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ustomProperty4.bin" ContentType="application/vnd.openxmlformats-officedocument.spreadsheetml.customProperty"/>
  <Override PartName="/xl/comments8.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omments9.xml" ContentType="application/vnd.openxmlformats-officedocument.spreadsheetml.comments+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omments10.xml" ContentType="application/vnd.openxmlformats-officedocument.spreadsheetml.comments+xml"/>
  <Override PartName="/xl/threadedComments/threadedComment1.xml" ContentType="application/vnd.ms-excel.threadedcomments+xml"/>
  <Override PartName="/customXml/itemProps3.xml" ContentType="application/vnd.openxmlformats-officedocument.customXmlProperties+xml"/>
  <Override PartName="/customXml/itemProps4.xml" ContentType="application/vnd.openxmlformats-officedocument.customXmlProperties+xml"/>
  <Override PartName="/xl/comments1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1.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4.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15.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13.xml" ContentType="application/vnd.openxmlformats-officedocument.spreadsheetml.comments+xml"/>
  <Override PartName="/xl/comments24.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customXml/itemProps7.xml" ContentType="application/vnd.openxmlformats-officedocument.customXmlProperties+xml"/>
  <Override PartName="/customXml/itemProps6.xml" ContentType="application/vnd.openxmlformats-officedocument.customXmlProperties+xml"/>
  <Override PartName="/customXml/itemProps8.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uiwater.com\files\Rate Case\Kentucky\2020 WSCKY Rate Case\CAM\"/>
    </mc:Choice>
  </mc:AlternateContent>
  <xr:revisionPtr revIDLastSave="0" documentId="13_ncr:1_{02A908F3-8E88-4F4D-8E4C-54331DB15AF2}" xr6:coauthVersionLast="44" xr6:coauthVersionMax="44" xr10:uidLastSave="{00000000-0000-0000-0000-000000000000}"/>
  <bookViews>
    <workbookView xWindow="-120" yWindow="-120" windowWidth="29040" windowHeight="15840" tabRatio="921" xr2:uid="{00000000-000D-0000-FFFF-FFFF00000000}"/>
  </bookViews>
  <sheets>
    <sheet name="Corporate Costs Summary" sheetId="80" r:id="rId1"/>
    <sheet name="TTM Summary" sheetId="105" r:id="rId2"/>
    <sheet name="2020 Q1&gt;&gt;&gt;" sheetId="89" r:id="rId3"/>
    <sheet name="2020 Assumptions" sheetId="7" r:id="rId4"/>
    <sheet name="CAM Budget" sheetId="48" r:id="rId5"/>
    <sheet name="JE" sheetId="46" r:id="rId6"/>
    <sheet name="RU Summary Q1 2020" sheetId="85" r:id="rId7"/>
    <sheet name="Allocation Summary" sheetId="37" r:id="rId8"/>
    <sheet name="Allocation $" sheetId="27" r:id="rId9"/>
    <sheet name="CII" sheetId="86" r:id="rId10"/>
    <sheet name="CISUS" sheetId="87" r:id="rId11"/>
    <sheet name="Board Fees" sheetId="88" r:id="rId12"/>
    <sheet name="Sense Check" sheetId="31" state="hidden" r:id="rId13"/>
    <sheet name="CrossfireHiddenWorksheet" sheetId="40" state="veryHidden" r:id="rId14"/>
    <sheet name="OfficeConnectSuppressions" sheetId="41" state="veryHidden" r:id="rId15"/>
    <sheet name="OfficeConnectCellHighlights" sheetId="42" state="veryHidden" r:id="rId16"/>
    <sheet name="ACTUALS" sheetId="30" r:id="rId17"/>
    <sheet name="EBITDA" sheetId="43" r:id="rId18"/>
    <sheet name="D&amp;A" sheetId="44" r:id="rId19"/>
    <sheet name="Non-margin Costs" sheetId="45" r:id="rId20"/>
    <sheet name="Allocation %" sheetId="26" r:id="rId21"/>
    <sheet name="US" sheetId="13" r:id="rId22"/>
    <sheet name="Canada" sheetId="5" r:id="rId23"/>
    <sheet name="WSC" sheetId="36" r:id="rId24"/>
    <sheet name="2019 Q4&gt;&gt;&gt;" sheetId="50" r:id="rId25"/>
    <sheet name="Assumptions" sheetId="56" r:id="rId26"/>
    <sheet name="RU Summary Q4 2019" sheetId="90" r:id="rId27"/>
    <sheet name="Cost Allocation - Tier 1" sheetId="60" r:id="rId28"/>
    <sheet name="CII (2)" sheetId="91" r:id="rId29"/>
    <sheet name="CISUS (2)" sheetId="92" r:id="rId30"/>
    <sheet name="Summary" sheetId="57" r:id="rId31"/>
    <sheet name="Cost Allocation - Tier 2" sheetId="61" r:id="rId32"/>
    <sheet name="Allocation CU RU" sheetId="62" r:id="rId33"/>
    <sheet name="Vancouver Rent" sheetId="63" r:id="rId34"/>
    <sheet name="CU Composites" sheetId="64" r:id="rId35"/>
    <sheet name="RU Composites" sheetId="65" r:id="rId36"/>
    <sheet name="RU Working Paper" sheetId="66" r:id="rId37"/>
    <sheet name="CU Can Data" sheetId="67" r:id="rId38"/>
    <sheet name="2019 Q1&gt;&gt;&gt;" sheetId="68" r:id="rId39"/>
    <sheet name="Assumptions (3)" sheetId="69" r:id="rId40"/>
    <sheet name="RU Summary Q1 2019" sheetId="98" r:id="rId41"/>
    <sheet name="CII (3)" sheetId="99" r:id="rId42"/>
    <sheet name="CISUS (3)" sheetId="100" r:id="rId43"/>
    <sheet name="Cost Allocation - Tier 1 (2)" sheetId="72" r:id="rId44"/>
    <sheet name="Cost Allocation - Tier 2 (2)" sheetId="73" r:id="rId45"/>
    <sheet name="ERC Summary - March 31, 2020" sheetId="107" r:id="rId46"/>
  </sheets>
  <externalReferences>
    <externalReference r:id="rId47"/>
    <externalReference r:id="rId48"/>
    <externalReference r:id="rId49"/>
    <externalReference r:id="rId50"/>
    <externalReference r:id="rId51"/>
    <externalReference r:id="rId52"/>
  </externalReferences>
  <definedNames>
    <definedName name="_xlnm._FilterDatabase" localSheetId="8" hidden="1">'Allocation $'!$B$5:$D$35</definedName>
    <definedName name="_xlnm._FilterDatabase" localSheetId="20" hidden="1">'Allocation %'!$A$5:$AK$74</definedName>
    <definedName name="_Order1" hidden="1">255</definedName>
    <definedName name="abc" localSheetId="38" hidden="1">[1]Table!#REF!</definedName>
    <definedName name="abc" localSheetId="0" hidden="1">[1]Table!#REF!</definedName>
    <definedName name="abc" localSheetId="30" hidden="1">[1]Table!#REF!</definedName>
    <definedName name="abc" hidden="1">[1]Table!#REF!</definedName>
    <definedName name="acbd" hidden="1">[1]Table!#REF!</definedName>
    <definedName name="AS2DocOpenMode" hidden="1">"AS2DocumentEdit"</definedName>
    <definedName name="AS2HasNoAutoHeaderFooter" hidden="1">" "</definedName>
    <definedName name="bbb" localSheetId="0" hidden="1">{#N/A,#N/A,FALSE,"Aging Summary";#N/A,#N/A,FALSE,"Ratio Analysis";#N/A,#N/A,FALSE,"Test 120 Day Accts";#N/A,#N/A,FALSE,"Tickmarks"}</definedName>
    <definedName name="bbb" localSheetId="30" hidden="1">{#N/A,#N/A,FALSE,"Aging Summary";#N/A,#N/A,FALSE,"Ratio Analysis";#N/A,#N/A,FALSE,"Test 120 Day Accts";#N/A,#N/A,FALSE,"Tickmarks"}</definedName>
    <definedName name="bbb" hidden="1">{#N/A,#N/A,FALSE,"Aging Summary";#N/A,#N/A,FALSE,"Ratio Analysis";#N/A,#N/A,FALSE,"Test 120 Day Accts";#N/A,#N/A,FALSE,"Tickmarks"}</definedName>
    <definedName name="Begin_Print1" localSheetId="38">#REF!</definedName>
    <definedName name="Begin_Print1" localSheetId="0">#REF!</definedName>
    <definedName name="Begin_Print1">#REF!</definedName>
    <definedName name="Begin_Print2" localSheetId="38">#REF!</definedName>
    <definedName name="Begin_Print2" localSheetId="0">#REF!</definedName>
    <definedName name="Begin_Print2" localSheetId="30">#REF!</definedName>
    <definedName name="Begin_Print2">#REF!</definedName>
    <definedName name="BEx3O85IKWARA6NCJOLRBRJFMEWW" localSheetId="38" hidden="1">[1]Table!#REF!</definedName>
    <definedName name="BEx3O85IKWARA6NCJOLRBRJFMEWW" localSheetId="0" hidden="1">[1]Table!#REF!</definedName>
    <definedName name="BEx3O85IKWARA6NCJOLRBRJFMEWW" hidden="1">[1]Table!#REF!</definedName>
    <definedName name="BEx5MLQZM68YQSKARVWTTPINFQ2C" localSheetId="38" hidden="1">[1]Table!#REF!</definedName>
    <definedName name="BEx5MLQZM68YQSKARVWTTPINFQ2C" localSheetId="0" hidden="1">[1]Table!#REF!</definedName>
    <definedName name="BEx5MLQZM68YQSKARVWTTPINFQ2C" hidden="1">[1]Table!#REF!</definedName>
    <definedName name="BExERWCEBKQRYWRQLYJ4UCMMKTHG" localSheetId="38" hidden="1">[1]Table!#REF!</definedName>
    <definedName name="BExERWCEBKQRYWRQLYJ4UCMMKTHG" localSheetId="0" hidden="1">[1]Table!#REF!</definedName>
    <definedName name="BExERWCEBKQRYWRQLYJ4UCMMKTHG" hidden="1">[1]Table!#REF!</definedName>
    <definedName name="BExMBYPQDG9AYDQ5E8IECVFREPO6" localSheetId="38" hidden="1">[1]Table!#REF!</definedName>
    <definedName name="BExMBYPQDG9AYDQ5E8IECVFREPO6" localSheetId="0" hidden="1">[1]Table!#REF!</definedName>
    <definedName name="BExMBYPQDG9AYDQ5E8IECVFREPO6" hidden="1">[1]Table!#REF!</definedName>
    <definedName name="BExQ9ZLYHWABXAA9NJDW8ZS0UQ9P" localSheetId="38" hidden="1">[1]Table!#REF!</definedName>
    <definedName name="BExQ9ZLYHWABXAA9NJDW8ZS0UQ9P" hidden="1">[1]Table!#REF!</definedName>
    <definedName name="BExTUY9WNSJ91GV8CP0SKJTEIV82" localSheetId="38" hidden="1">[1]Table!#REF!</definedName>
    <definedName name="BExTUY9WNSJ91GV8CP0SKJTEIV82" hidden="1">[1]Table!#REF!</definedName>
    <definedName name="BS_Begin" localSheetId="38">#REF!</definedName>
    <definedName name="BS_Begin" localSheetId="0">#REF!</definedName>
    <definedName name="BS_Begin" localSheetId="30">#REF!</definedName>
    <definedName name="BS_Begin">#REF!</definedName>
    <definedName name="BS_Break" localSheetId="38">#REF!</definedName>
    <definedName name="BS_Break" localSheetId="0">#REF!</definedName>
    <definedName name="BS_Break" localSheetId="30">#REF!</definedName>
    <definedName name="BS_Break">#REF!</definedName>
    <definedName name="BS_End" localSheetId="38">#REF!</definedName>
    <definedName name="BS_End" localSheetId="0">#REF!</definedName>
    <definedName name="BS_End" localSheetId="30">#REF!</definedName>
    <definedName name="BS_End">#REF!</definedName>
    <definedName name="Cities">'[2]2012 Q3 - 2013 Q3 Index'!$D$5:$D$338</definedName>
    <definedName name="Class">#REF!</definedName>
    <definedName name="Collapse_Level" localSheetId="38">#REF!</definedName>
    <definedName name="Collapse_Level" localSheetId="0">#REF!</definedName>
    <definedName name="Collapse_Level" localSheetId="30">#REF!</definedName>
    <definedName name="Collapse_Level">#REF!</definedName>
    <definedName name="CompanyList">[3]BU!$A$4:$A$91</definedName>
    <definedName name="Date_budget" localSheetId="30">'[4]Budget Load'!$P$3:$AY$3</definedName>
    <definedName name="Date_budget">'[5]Budget Load'!$P$3:$AY$3</definedName>
    <definedName name="End_of_Report" localSheetId="38">#REF!</definedName>
    <definedName name="End_of_Report" localSheetId="0">#REF!</definedName>
    <definedName name="End_of_Report">#REF!</definedName>
    <definedName name="End_Print1" localSheetId="38">#REF!</definedName>
    <definedName name="End_Print1" localSheetId="0">#REF!</definedName>
    <definedName name="End_Print1" localSheetId="30">#REF!</definedName>
    <definedName name="End_Print1">#REF!</definedName>
    <definedName name="End_Print2" localSheetId="38">#REF!</definedName>
    <definedName name="End_Print2" localSheetId="0">#REF!</definedName>
    <definedName name="End_Print2" localSheetId="30">#REF!</definedName>
    <definedName name="End_Print2">#REF!</definedName>
    <definedName name="Fiscal_Period" localSheetId="38">#REF!</definedName>
    <definedName name="Fiscal_Period" localSheetId="0">#REF!</definedName>
    <definedName name="Fiscal_Period" localSheetId="30">#REF!</definedName>
    <definedName name="Fiscal_Period">#REF!</definedName>
    <definedName name="Fiscal_Year" localSheetId="38">#REF!</definedName>
    <definedName name="Fiscal_Year" localSheetId="0">#REF!</definedName>
    <definedName name="Fiscal_Year" localSheetId="30">#REF!</definedName>
    <definedName name="Fiscal_Year">#REF!</definedName>
    <definedName name="FT_Budget" localSheetId="30">'[4]Budget Load'!$P$7:$AY$66</definedName>
    <definedName name="FT_Budget">'[5]Budget Load'!$P$7:$AY$66</definedName>
    <definedName name="howToChange" localSheetId="38">#REF!</definedName>
    <definedName name="howToChange" localSheetId="0">#REF!</definedName>
    <definedName name="howToChange">#REF!</definedName>
    <definedName name="howToCheck" localSheetId="38">#REF!</definedName>
    <definedName name="howToCheck" localSheetId="0">#REF!</definedName>
    <definedName name="howToCheck">#REF!</definedName>
    <definedName name="IS_Begin" localSheetId="38">#REF!</definedName>
    <definedName name="IS_Begin" localSheetId="0">#REF!</definedName>
    <definedName name="IS_Begin">#REF!</definedName>
    <definedName name="IS_END" localSheetId="38">#REF!</definedName>
    <definedName name="IS_END" localSheetId="0">#REF!</definedName>
    <definedName name="IS_END" localSheetId="30">#REF!</definedName>
    <definedName name="IS_END">#REF!</definedName>
    <definedName name="LOLD">1</definedName>
    <definedName name="LOLD_Table">5</definedName>
    <definedName name="newwrn" localSheetId="0" hidden="1">{#N/A,#N/A,FALSE,"Aging Summary";#N/A,#N/A,FALSE,"Ratio Analysis";#N/A,#N/A,FALSE,"Test 120 Day Accts";#N/A,#N/A,FALSE,"Tickmarks"}</definedName>
    <definedName name="newwrn" localSheetId="30" hidden="1">{#N/A,#N/A,FALSE,"Aging Summary";#N/A,#N/A,FALSE,"Ratio Analysis";#N/A,#N/A,FALSE,"Test 120 Day Accts";#N/A,#N/A,FALSE,"Tickmarks"}</definedName>
    <definedName name="newwrn" hidden="1">{#N/A,#N/A,FALSE,"Aging Summary";#N/A,#N/A,FALSE,"Ratio Analysis";#N/A,#N/A,FALSE,"Test 120 Day Accts";#N/A,#N/A,FALSE,"Tickmarks"}</definedName>
    <definedName name="NvsASD">"V2016-09-30"</definedName>
    <definedName name="NvsAutoDrillOk">"VN"</definedName>
    <definedName name="NvsElapsedTime">0.000509259261889383</definedName>
    <definedName name="NvsEndTime">42651.6490740741</definedName>
    <definedName name="NvsInstanceHook">"""nvsMacro"""</definedName>
    <definedName name="NvsInstLang">"VENG"</definedName>
    <definedName name="NvsInstSpec">"%,FBUSINESS_UNIT,V374"</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"%,X,RZF.ACCOUNT.,CNF.."</definedName>
    <definedName name="NvsPanelBusUnit">"V100"</definedName>
    <definedName name="NvsPanelEffdt">"V2099-01-01"</definedName>
    <definedName name="NvsPanelSetid">"VAEP"</definedName>
    <definedName name="NvsReqBU">"VX998"</definedName>
    <definedName name="NvsReqBUOnly">"VN"</definedName>
    <definedName name="NvsTransLed">"VN"</definedName>
    <definedName name="NvsTreeASD">"V2016-09-30"</definedName>
    <definedName name="NvsValTbl.ACCOUNT">"GL_ACCOUNT_TBL"</definedName>
    <definedName name="NvsValTbl.CURRENCY_CD">"CURRENCY_CD_TBL"</definedName>
    <definedName name="OPR_ID" localSheetId="38">#REF!</definedName>
    <definedName name="OPR_ID" localSheetId="0">#REF!</definedName>
    <definedName name="OPR_ID">#REF!</definedName>
    <definedName name="_xlnm.Print_Area" localSheetId="3">'2020 Assumptions'!$A$1:$J$20</definedName>
    <definedName name="_xlnm.Print_Area" localSheetId="32">'Allocation CU RU'!$A$1:$M$85</definedName>
    <definedName name="_xlnm.Print_Area" localSheetId="25">Assumptions!$A$1:$J$42</definedName>
    <definedName name="_xlnm.Print_Area" localSheetId="39">'Assumptions (3)'!$A$1:$J$42</definedName>
    <definedName name="_xlnm.Print_Area" localSheetId="0">'Corporate Costs Summary'!$A$1:$U$74</definedName>
    <definedName name="_xlnm.Print_Area" localSheetId="27">'Cost Allocation - Tier 1'!$A$1:$BL$63</definedName>
    <definedName name="_xlnm.Print_Area" localSheetId="43">'Cost Allocation - Tier 1 (2)'!$A$1:$BL$63</definedName>
    <definedName name="_xlnm.Print_Area" localSheetId="31">'Cost Allocation - Tier 2'!$A$1:$BL$63</definedName>
    <definedName name="_xlnm.Print_Area" localSheetId="44">'Cost Allocation - Tier 2 (2)'!$A$1:$BL$63</definedName>
    <definedName name="_xlnm.Print_Area" localSheetId="5">JE!$A$1:$AI$91</definedName>
    <definedName name="PT_Budget" localSheetId="30">'[4]Budget Load'!$P$75:$AY$134</definedName>
    <definedName name="PT_Budget">'[5]Budget Load'!$P$75:$AY$134</definedName>
    <definedName name="Range_SFD" localSheetId="38">#REF!</definedName>
    <definedName name="Range_SFD" localSheetId="0">#REF!</definedName>
    <definedName name="Range_SFD">#REF!</definedName>
    <definedName name="Reserved_Section" localSheetId="38">#REF!</definedName>
    <definedName name="Reserved_Section" localSheetId="0">#REF!</definedName>
    <definedName name="Reserved_Section" localSheetId="30">#REF!</definedName>
    <definedName name="Reserved_Section">#REF!</definedName>
    <definedName name="SAPBEXhrIndnt" hidden="1">"Wide"</definedName>
    <definedName name="SAPsysID" hidden="1">"708C5W7SBKP804JT78WJ0JNKI"</definedName>
    <definedName name="SAPwbID" hidden="1">"ARS"</definedName>
    <definedName name="search_directory_name">"R:\fcm90prd\nvision\rpts\Fin_Reports\"</definedName>
    <definedName name="some" localSheetId="0" hidden="1">{#N/A,#N/A,FALSE,"Aging Summary";#N/A,#N/A,FALSE,"Ratio Analysis";#N/A,#N/A,FALSE,"Test 120 Day Accts";#N/A,#N/A,FALSE,"Tickmarks"}</definedName>
    <definedName name="some" localSheetId="30" hidden="1">{#N/A,#N/A,FALSE,"Aging Summary";#N/A,#N/A,FALSE,"Ratio Analysis";#N/A,#N/A,FALSE,"Test 120 Day Accts";#N/A,#N/A,FALSE,"Tickmarks"}</definedName>
    <definedName name="some" hidden="1">{#N/A,#N/A,FALSE,"Aging Summary";#N/A,#N/A,FALSE,"Ratio Analysis";#N/A,#N/A,FALSE,"Test 120 Day Accts";#N/A,#N/A,FALSE,"Tickmarks"}</definedName>
    <definedName name="test" localSheetId="38" hidden="1">[1]Table!#REF!</definedName>
    <definedName name="test" localSheetId="30" hidden="1">{#N/A,#N/A,FALSE,"Aging Summary";#N/A,#N/A,FALSE,"Ratio Analysis";#N/A,#N/A,FALSE,"Test 120 Day Accts";#N/A,#N/A,FALSE,"Tickmarks"}</definedName>
    <definedName name="test" hidden="1">[1]Table!#REF!</definedName>
    <definedName name="wrn.Aging._.and._.Trend._.Analysis." localSheetId="0" hidden="1">{#N/A,#N/A,FALSE,"Aging Summary";#N/A,#N/A,FALSE,"Ratio Analysis";#N/A,#N/A,FALSE,"Test 120 Day Accts";#N/A,#N/A,FALSE,"Tickmarks"}</definedName>
    <definedName name="wrn.Aging._.and._.Trend._.Analysis." localSheetId="30" hidden="1">{#N/A,#N/A,FALSE,"Aging Summary";#N/A,#N/A,FALSE,"Ratio Analysis";#N/A,#N/A,FALSE,"Test 120 Day Accts";#N/A,#N/A,FALSE,"Tickmarks"}</definedName>
    <definedName name="wrn.Aging._.and._.Trend._.Analysis." hidden="1">{#N/A,#N/A,FALSE,"Aging Summary";#N/A,#N/A,FALSE,"Ratio Analysis";#N/A,#N/A,FALSE,"Test 120 Day Accts";#N/A,#N/A,FALSE,"Tickmarks"}</definedName>
  </definedNames>
  <calcPr calcId="191029" calcMode="manual"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1" i="107" l="1"/>
  <c r="F10" i="107"/>
  <c r="H10" i="107" s="1"/>
  <c r="A9" i="107"/>
  <c r="H7" i="107"/>
  <c r="I42" i="80" s="1"/>
  <c r="H6" i="107"/>
  <c r="H5" i="107"/>
  <c r="H4" i="107"/>
  <c r="I56" i="80" l="1"/>
  <c r="I48" i="80"/>
  <c r="I40" i="80"/>
  <c r="I55" i="80"/>
  <c r="I47" i="80"/>
  <c r="I39" i="80"/>
  <c r="I46" i="80"/>
  <c r="I53" i="80"/>
  <c r="I45" i="80"/>
  <c r="I37" i="80"/>
  <c r="I57" i="80"/>
  <c r="I49" i="80"/>
  <c r="I41" i="80"/>
  <c r="I54" i="80"/>
  <c r="I52" i="80"/>
  <c r="I44" i="80"/>
  <c r="I36" i="80"/>
  <c r="I38" i="80"/>
  <c r="I51" i="80"/>
  <c r="I43" i="80"/>
  <c r="I35" i="80"/>
  <c r="I50" i="80"/>
  <c r="N27" i="105" l="1"/>
  <c r="N28" i="105"/>
  <c r="X28" i="105" l="1"/>
  <c r="X27" i="105"/>
  <c r="X26" i="105"/>
  <c r="X25" i="105"/>
  <c r="X24" i="105"/>
  <c r="X23" i="105"/>
  <c r="X22" i="105"/>
  <c r="X21" i="105"/>
  <c r="X20" i="105"/>
  <c r="X19" i="105"/>
  <c r="X18" i="105"/>
  <c r="X16" i="105"/>
  <c r="X15" i="105"/>
  <c r="X14" i="105"/>
  <c r="X13" i="105"/>
  <c r="X12" i="105"/>
  <c r="X11" i="105"/>
  <c r="X8" i="105"/>
  <c r="X9" i="105"/>
  <c r="X6" i="105"/>
  <c r="T5" i="105"/>
  <c r="Q5" i="105"/>
  <c r="K5" i="105"/>
  <c r="J31" i="105"/>
  <c r="W5" i="98"/>
  <c r="O39" i="85"/>
  <c r="M27" i="105" l="1"/>
  <c r="AB8" i="105"/>
  <c r="AN28" i="105"/>
  <c r="AN27" i="105"/>
  <c r="AN11" i="105"/>
  <c r="AN16" i="105"/>
  <c r="AN21" i="105"/>
  <c r="AN22" i="105"/>
  <c r="AN23" i="105"/>
  <c r="AN24" i="105"/>
  <c r="AN25" i="105"/>
  <c r="AM11" i="105"/>
  <c r="AM16" i="105"/>
  <c r="AM21" i="105"/>
  <c r="AM22" i="105"/>
  <c r="AM23" i="105"/>
  <c r="AM24" i="105"/>
  <c r="AM25" i="105"/>
  <c r="AM28" i="105"/>
  <c r="AM27" i="105"/>
  <c r="AI28" i="105"/>
  <c r="AI9" i="105"/>
  <c r="AI11" i="105"/>
  <c r="AI14" i="105"/>
  <c r="AI16" i="105"/>
  <c r="AI21" i="105"/>
  <c r="AI22" i="105"/>
  <c r="AI23" i="105"/>
  <c r="AI24" i="105"/>
  <c r="AI25" i="105"/>
  <c r="AH28" i="105"/>
  <c r="AH9" i="105"/>
  <c r="AH11" i="105"/>
  <c r="AH14" i="105"/>
  <c r="AH16" i="105"/>
  <c r="AH21" i="105"/>
  <c r="AH22" i="105"/>
  <c r="AH23" i="105"/>
  <c r="AH24" i="105"/>
  <c r="AH25" i="105"/>
  <c r="AL28" i="105"/>
  <c r="AL8" i="105"/>
  <c r="AG8" i="105"/>
  <c r="AG28" i="105"/>
  <c r="AD11" i="105"/>
  <c r="AD16" i="105"/>
  <c r="AD21" i="105"/>
  <c r="AD22" i="105"/>
  <c r="AD23" i="105"/>
  <c r="AD24" i="105"/>
  <c r="AD25" i="105"/>
  <c r="AD27" i="105"/>
  <c r="AC16" i="105"/>
  <c r="AS16" i="105" s="1"/>
  <c r="AC21" i="105"/>
  <c r="AC22" i="105"/>
  <c r="AC23" i="105"/>
  <c r="AC24" i="105"/>
  <c r="AS24" i="105" s="1"/>
  <c r="AC25" i="105"/>
  <c r="AC27" i="105"/>
  <c r="Y8" i="105"/>
  <c r="Y9" i="105"/>
  <c r="Y11" i="105"/>
  <c r="Y12" i="105"/>
  <c r="Y13" i="105"/>
  <c r="Y14" i="105"/>
  <c r="Y15" i="105"/>
  <c r="Y16" i="105"/>
  <c r="Y18" i="105"/>
  <c r="Y19" i="105"/>
  <c r="Y20" i="105"/>
  <c r="Y21" i="105"/>
  <c r="Y22" i="105"/>
  <c r="Y23" i="105"/>
  <c r="Y24" i="105"/>
  <c r="Y25" i="105"/>
  <c r="Y26" i="105"/>
  <c r="Y27" i="105"/>
  <c r="Y28" i="105"/>
  <c r="Y6" i="105"/>
  <c r="W8" i="105"/>
  <c r="W28" i="105"/>
  <c r="AS22" i="105" l="1"/>
  <c r="AS25" i="105"/>
  <c r="AS23" i="105"/>
  <c r="AT23" i="105"/>
  <c r="AT11" i="105"/>
  <c r="AS21" i="105"/>
  <c r="AT25" i="105"/>
  <c r="AT21" i="105"/>
  <c r="AT24" i="105"/>
  <c r="AT16" i="105"/>
  <c r="AT22" i="105"/>
  <c r="AR8" i="105"/>
  <c r="AO28" i="105"/>
  <c r="AJ28" i="105"/>
  <c r="S30" i="80" s="1"/>
  <c r="J9" i="105"/>
  <c r="W38" i="98"/>
  <c r="W37" i="98"/>
  <c r="W36" i="98"/>
  <c r="W35" i="98"/>
  <c r="W34" i="98"/>
  <c r="W22" i="98"/>
  <c r="W21" i="98"/>
  <c r="W10" i="98"/>
  <c r="J12" i="105" s="1"/>
  <c r="W13" i="98"/>
  <c r="W14" i="98"/>
  <c r="W15" i="98"/>
  <c r="J20" i="105" s="1"/>
  <c r="W16" i="98"/>
  <c r="J26" i="105" s="1"/>
  <c r="W17" i="98"/>
  <c r="I9" i="105"/>
  <c r="I11" i="105"/>
  <c r="I14" i="105"/>
  <c r="I16" i="105"/>
  <c r="I19" i="105"/>
  <c r="I21" i="105"/>
  <c r="I22" i="105"/>
  <c r="I23" i="105"/>
  <c r="I24" i="105"/>
  <c r="I25" i="105"/>
  <c r="D16" i="105"/>
  <c r="D21" i="105"/>
  <c r="D22" i="105"/>
  <c r="D23" i="105"/>
  <c r="D24" i="105"/>
  <c r="D25" i="105"/>
  <c r="X30" i="90"/>
  <c r="X31" i="90"/>
  <c r="X32" i="90"/>
  <c r="X33" i="90"/>
  <c r="X34" i="90"/>
  <c r="X10" i="90"/>
  <c r="I12" i="105" s="1"/>
  <c r="X13" i="90"/>
  <c r="I17" i="105" s="1"/>
  <c r="X17" i="90"/>
  <c r="K27" i="105"/>
  <c r="C8" i="105"/>
  <c r="C9" i="105"/>
  <c r="H8" i="105"/>
  <c r="H9" i="105"/>
  <c r="M11" i="100"/>
  <c r="M12" i="100"/>
  <c r="C13" i="100"/>
  <c r="C23" i="100" s="1"/>
  <c r="C43" i="100" s="1"/>
  <c r="D13" i="100"/>
  <c r="E13" i="100"/>
  <c r="F13" i="100"/>
  <c r="F23" i="100" s="1"/>
  <c r="G13" i="100"/>
  <c r="H13" i="100"/>
  <c r="H23" i="100" s="1"/>
  <c r="I13" i="100"/>
  <c r="I23" i="100" s="1"/>
  <c r="I43" i="100" s="1"/>
  <c r="J13" i="100"/>
  <c r="K13" i="100"/>
  <c r="L13" i="100"/>
  <c r="M16" i="100"/>
  <c r="M17" i="100"/>
  <c r="M18" i="100"/>
  <c r="M19" i="100"/>
  <c r="M20" i="100"/>
  <c r="C21" i="100"/>
  <c r="D21" i="100"/>
  <c r="E21" i="100"/>
  <c r="E23" i="100" s="1"/>
  <c r="E43" i="100" s="1"/>
  <c r="F21" i="100"/>
  <c r="G21" i="100"/>
  <c r="H21" i="100"/>
  <c r="I21" i="100"/>
  <c r="J21" i="100"/>
  <c r="K21" i="100"/>
  <c r="L21" i="100"/>
  <c r="G23" i="100"/>
  <c r="G43" i="100" s="1"/>
  <c r="K23" i="100"/>
  <c r="C41" i="100"/>
  <c r="D41" i="100"/>
  <c r="E41" i="100"/>
  <c r="F41" i="100"/>
  <c r="G41" i="100"/>
  <c r="H41" i="100"/>
  <c r="I41" i="100"/>
  <c r="J41" i="100"/>
  <c r="K41" i="100"/>
  <c r="L41" i="100"/>
  <c r="M41" i="100"/>
  <c r="C52" i="100"/>
  <c r="D52" i="100"/>
  <c r="E52" i="100"/>
  <c r="E59" i="100" s="1"/>
  <c r="F52" i="100"/>
  <c r="G52" i="100"/>
  <c r="G59" i="100" s="1"/>
  <c r="H52" i="100"/>
  <c r="I52" i="100"/>
  <c r="I59" i="100" s="1"/>
  <c r="J52" i="100"/>
  <c r="K52" i="100"/>
  <c r="L52" i="100"/>
  <c r="M52" i="100"/>
  <c r="M59" i="100" s="1"/>
  <c r="C57" i="100"/>
  <c r="D57" i="100"/>
  <c r="D59" i="100" s="1"/>
  <c r="E57" i="100"/>
  <c r="F57" i="100"/>
  <c r="G57" i="100"/>
  <c r="H57" i="100"/>
  <c r="I57" i="100"/>
  <c r="J57" i="100"/>
  <c r="J59" i="100" s="1"/>
  <c r="K57" i="100"/>
  <c r="L57" i="100"/>
  <c r="L59" i="100" s="1"/>
  <c r="M57" i="100"/>
  <c r="C66" i="100"/>
  <c r="D66" i="100"/>
  <c r="E66" i="100"/>
  <c r="F66" i="100"/>
  <c r="G66" i="100"/>
  <c r="H66" i="100"/>
  <c r="I66" i="100"/>
  <c r="J66" i="100"/>
  <c r="K66" i="100"/>
  <c r="L66" i="100"/>
  <c r="M66" i="100"/>
  <c r="M73" i="100"/>
  <c r="M74" i="100"/>
  <c r="M75" i="100"/>
  <c r="C76" i="100"/>
  <c r="D76" i="100"/>
  <c r="E76" i="100"/>
  <c r="F76" i="100"/>
  <c r="G76" i="100"/>
  <c r="H76" i="100"/>
  <c r="I76" i="100"/>
  <c r="J76" i="100"/>
  <c r="K76" i="100"/>
  <c r="L76" i="100"/>
  <c r="M76" i="100"/>
  <c r="M79" i="100"/>
  <c r="M80" i="100"/>
  <c r="M81" i="100"/>
  <c r="M82" i="100"/>
  <c r="M83" i="100"/>
  <c r="M84" i="100"/>
  <c r="M85" i="100"/>
  <c r="M86" i="100"/>
  <c r="M87" i="100"/>
  <c r="M88" i="100"/>
  <c r="M89" i="100"/>
  <c r="M90" i="100"/>
  <c r="M91" i="100"/>
  <c r="M92" i="100"/>
  <c r="M93" i="100"/>
  <c r="M94" i="100"/>
  <c r="M95" i="100"/>
  <c r="M96" i="100"/>
  <c r="M97" i="100"/>
  <c r="M98" i="100"/>
  <c r="M99" i="100"/>
  <c r="M100" i="100"/>
  <c r="M101" i="100"/>
  <c r="M102" i="100"/>
  <c r="M103" i="100"/>
  <c r="M104" i="100"/>
  <c r="C105" i="100"/>
  <c r="D105" i="100"/>
  <c r="E105" i="100"/>
  <c r="F105" i="100"/>
  <c r="G105" i="100"/>
  <c r="H105" i="100"/>
  <c r="I105" i="100"/>
  <c r="J105" i="100"/>
  <c r="K105" i="100"/>
  <c r="L105" i="100"/>
  <c r="M108" i="100"/>
  <c r="M109" i="100"/>
  <c r="M110" i="100"/>
  <c r="M111" i="100"/>
  <c r="M112" i="100"/>
  <c r="M113" i="100"/>
  <c r="M114" i="100"/>
  <c r="M115" i="100"/>
  <c r="C116" i="100"/>
  <c r="D116" i="100"/>
  <c r="E116" i="100"/>
  <c r="F116" i="100"/>
  <c r="G116" i="100"/>
  <c r="H116" i="100"/>
  <c r="I116" i="100"/>
  <c r="J116" i="100"/>
  <c r="K116" i="100"/>
  <c r="L116" i="100"/>
  <c r="M119" i="100"/>
  <c r="M120" i="100"/>
  <c r="M121" i="100"/>
  <c r="M122" i="100"/>
  <c r="M123" i="100"/>
  <c r="M124" i="100"/>
  <c r="C125" i="100"/>
  <c r="D125" i="100"/>
  <c r="E125" i="100"/>
  <c r="F125" i="100"/>
  <c r="G125" i="100"/>
  <c r="H125" i="100"/>
  <c r="H204" i="100" s="1"/>
  <c r="I125" i="100"/>
  <c r="J125" i="100"/>
  <c r="K125" i="100"/>
  <c r="L125" i="100"/>
  <c r="M128" i="100"/>
  <c r="M129" i="100"/>
  <c r="M130" i="100"/>
  <c r="M131" i="100"/>
  <c r="M132" i="100"/>
  <c r="M133" i="100"/>
  <c r="M134" i="100"/>
  <c r="M135" i="100"/>
  <c r="M136" i="100"/>
  <c r="C137" i="100"/>
  <c r="D137" i="100"/>
  <c r="E137" i="100"/>
  <c r="F137" i="100"/>
  <c r="G137" i="100"/>
  <c r="H137" i="100"/>
  <c r="I137" i="100"/>
  <c r="J137" i="100"/>
  <c r="K137" i="100"/>
  <c r="L137" i="100"/>
  <c r="M140" i="100"/>
  <c r="M141" i="100"/>
  <c r="M142" i="100"/>
  <c r="M143" i="100"/>
  <c r="M144" i="100"/>
  <c r="M145" i="100"/>
  <c r="M146" i="100"/>
  <c r="M147" i="100"/>
  <c r="C148" i="100"/>
  <c r="D148" i="100"/>
  <c r="E148" i="100"/>
  <c r="F148" i="100"/>
  <c r="G148" i="100"/>
  <c r="H148" i="100"/>
  <c r="I148" i="100"/>
  <c r="J148" i="100"/>
  <c r="J204" i="100" s="1"/>
  <c r="K148" i="100"/>
  <c r="L148" i="100"/>
  <c r="M151" i="100"/>
  <c r="M152" i="100"/>
  <c r="M153" i="100"/>
  <c r="M154" i="100"/>
  <c r="M155" i="100"/>
  <c r="M156" i="100"/>
  <c r="M157" i="100"/>
  <c r="M158" i="100"/>
  <c r="M159" i="100"/>
  <c r="M160" i="100"/>
  <c r="M161" i="100"/>
  <c r="M162" i="100"/>
  <c r="M163" i="100"/>
  <c r="M164" i="100"/>
  <c r="M165" i="100"/>
  <c r="M166" i="100"/>
  <c r="M167" i="100"/>
  <c r="M168" i="100"/>
  <c r="M169" i="100"/>
  <c r="M170" i="100"/>
  <c r="M171" i="100"/>
  <c r="M172" i="100"/>
  <c r="M173" i="100"/>
  <c r="M174" i="100"/>
  <c r="M175" i="100"/>
  <c r="M176" i="100"/>
  <c r="M177" i="100"/>
  <c r="M178" i="100"/>
  <c r="M179" i="100"/>
  <c r="M180" i="100"/>
  <c r="M181" i="100"/>
  <c r="M182" i="100"/>
  <c r="M183" i="100"/>
  <c r="M184" i="100"/>
  <c r="M185" i="100"/>
  <c r="M186" i="100"/>
  <c r="M187" i="100"/>
  <c r="M188" i="100"/>
  <c r="M189" i="100"/>
  <c r="M190" i="100"/>
  <c r="M191" i="100"/>
  <c r="M192" i="100"/>
  <c r="M193" i="100"/>
  <c r="M194" i="100"/>
  <c r="M195" i="100"/>
  <c r="M196" i="100"/>
  <c r="M197" i="100"/>
  <c r="M198" i="100"/>
  <c r="M199" i="100"/>
  <c r="M200" i="100"/>
  <c r="M201" i="100"/>
  <c r="C202" i="100"/>
  <c r="D202" i="100"/>
  <c r="D204" i="100" s="1"/>
  <c r="E202" i="100"/>
  <c r="E204" i="100" s="1"/>
  <c r="F202" i="100"/>
  <c r="G202" i="100"/>
  <c r="H202" i="100"/>
  <c r="I202" i="100"/>
  <c r="J202" i="100"/>
  <c r="K202" i="100"/>
  <c r="L202" i="100"/>
  <c r="L204" i="100" s="1"/>
  <c r="M202" i="100"/>
  <c r="M210" i="100"/>
  <c r="M214" i="100" s="1"/>
  <c r="M211" i="100"/>
  <c r="M212" i="100"/>
  <c r="M213" i="100"/>
  <c r="C214" i="100"/>
  <c r="D214" i="100"/>
  <c r="E214" i="100"/>
  <c r="F214" i="100"/>
  <c r="G214" i="100"/>
  <c r="H214" i="100"/>
  <c r="I214" i="100"/>
  <c r="J214" i="100"/>
  <c r="K214" i="100"/>
  <c r="L214" i="100"/>
  <c r="M223" i="100"/>
  <c r="M224" i="100"/>
  <c r="M225" i="100"/>
  <c r="M226" i="100"/>
  <c r="M227" i="100"/>
  <c r="M228" i="100"/>
  <c r="M229" i="100"/>
  <c r="M230" i="100"/>
  <c r="M231" i="100"/>
  <c r="M232" i="100"/>
  <c r="M233" i="100"/>
  <c r="C234" i="100"/>
  <c r="D234" i="100"/>
  <c r="E234" i="100"/>
  <c r="F234" i="100"/>
  <c r="G234" i="100"/>
  <c r="H234" i="100"/>
  <c r="I234" i="100"/>
  <c r="D37" i="98" s="1"/>
  <c r="J234" i="100"/>
  <c r="J244" i="100" s="1"/>
  <c r="K234" i="100"/>
  <c r="L234" i="100"/>
  <c r="L244" i="100" s="1"/>
  <c r="M237" i="100"/>
  <c r="M238" i="100" s="1"/>
  <c r="C238" i="100"/>
  <c r="D238" i="100"/>
  <c r="E238" i="100"/>
  <c r="F238" i="100"/>
  <c r="F244" i="100" s="1"/>
  <c r="G238" i="100"/>
  <c r="H238" i="100"/>
  <c r="H244" i="100" s="1"/>
  <c r="I238" i="100"/>
  <c r="J238" i="100"/>
  <c r="K238" i="100"/>
  <c r="L238" i="100"/>
  <c r="M241" i="100"/>
  <c r="M242" i="100"/>
  <c r="D244" i="100"/>
  <c r="M250" i="100"/>
  <c r="M251" i="100"/>
  <c r="M252" i="100"/>
  <c r="M253" i="100"/>
  <c r="M254" i="100"/>
  <c r="M255" i="100"/>
  <c r="M256" i="100"/>
  <c r="M257" i="100"/>
  <c r="M258" i="100"/>
  <c r="M259" i="100"/>
  <c r="M260" i="100"/>
  <c r="C261" i="100"/>
  <c r="D261" i="100"/>
  <c r="E261" i="100"/>
  <c r="F261" i="100"/>
  <c r="G261" i="100"/>
  <c r="H261" i="100"/>
  <c r="I261" i="100"/>
  <c r="J261" i="100"/>
  <c r="K261" i="100"/>
  <c r="L261" i="100"/>
  <c r="M265" i="100"/>
  <c r="M266" i="100" s="1"/>
  <c r="C266" i="100"/>
  <c r="D266" i="100"/>
  <c r="E266" i="100"/>
  <c r="F266" i="100"/>
  <c r="G266" i="100"/>
  <c r="H266" i="100"/>
  <c r="I266" i="100"/>
  <c r="J266" i="100"/>
  <c r="K266" i="100"/>
  <c r="L266" i="100"/>
  <c r="F272" i="100"/>
  <c r="M272" i="100" s="1"/>
  <c r="F273" i="100"/>
  <c r="M273" i="100" s="1"/>
  <c r="Y11" i="99"/>
  <c r="Y13" i="99" s="1"/>
  <c r="Y12" i="99"/>
  <c r="C13" i="99"/>
  <c r="D13" i="99"/>
  <c r="E13" i="99"/>
  <c r="F13" i="99"/>
  <c r="G13" i="99"/>
  <c r="H13" i="99"/>
  <c r="H23" i="99" s="1"/>
  <c r="H43" i="99" s="1"/>
  <c r="I13" i="99"/>
  <c r="I23" i="99" s="1"/>
  <c r="I43" i="99" s="1"/>
  <c r="J13" i="99"/>
  <c r="K13" i="99"/>
  <c r="L13" i="99"/>
  <c r="L23" i="99" s="1"/>
  <c r="L43" i="99" s="1"/>
  <c r="M13" i="99"/>
  <c r="N13" i="99"/>
  <c r="O13" i="99"/>
  <c r="P13" i="99"/>
  <c r="Q13" i="99"/>
  <c r="Q23" i="99" s="1"/>
  <c r="Q43" i="99" s="1"/>
  <c r="R13" i="99"/>
  <c r="R23" i="99" s="1"/>
  <c r="R43" i="99" s="1"/>
  <c r="R44" i="99" s="1"/>
  <c r="S13" i="99"/>
  <c r="T13" i="99"/>
  <c r="U13" i="99"/>
  <c r="V13" i="99"/>
  <c r="W13" i="99"/>
  <c r="X13" i="99"/>
  <c r="X23" i="99" s="1"/>
  <c r="X43" i="99" s="1"/>
  <c r="Y16" i="99"/>
  <c r="Y21" i="99" s="1"/>
  <c r="Y17" i="99"/>
  <c r="Y18" i="99"/>
  <c r="Y19" i="99"/>
  <c r="Y20" i="99"/>
  <c r="C21" i="99"/>
  <c r="D21" i="99"/>
  <c r="E21" i="99"/>
  <c r="E23" i="99" s="1"/>
  <c r="E43" i="99" s="1"/>
  <c r="F21" i="99"/>
  <c r="F23" i="99" s="1"/>
  <c r="F43" i="99" s="1"/>
  <c r="F44" i="99" s="1"/>
  <c r="G21" i="99"/>
  <c r="H21" i="99"/>
  <c r="I21" i="99"/>
  <c r="J21" i="99"/>
  <c r="K21" i="99"/>
  <c r="L21" i="99"/>
  <c r="M21" i="99"/>
  <c r="M23" i="99" s="1"/>
  <c r="N21" i="99"/>
  <c r="N23" i="99" s="1"/>
  <c r="N43" i="99" s="1"/>
  <c r="O21" i="99"/>
  <c r="P21" i="99"/>
  <c r="Q21" i="99"/>
  <c r="R21" i="99"/>
  <c r="S21" i="99"/>
  <c r="T21" i="99"/>
  <c r="U21" i="99"/>
  <c r="U23" i="99" s="1"/>
  <c r="U43" i="99" s="1"/>
  <c r="V21" i="99"/>
  <c r="V23" i="99" s="1"/>
  <c r="V43" i="99" s="1"/>
  <c r="V44" i="99" s="1"/>
  <c r="W21" i="99"/>
  <c r="X21" i="99"/>
  <c r="J23" i="99"/>
  <c r="C41" i="99"/>
  <c r="D41" i="99"/>
  <c r="E41" i="99"/>
  <c r="F41" i="99"/>
  <c r="G41" i="99"/>
  <c r="H41" i="99"/>
  <c r="I41" i="99"/>
  <c r="J41" i="99"/>
  <c r="K41" i="99"/>
  <c r="L41" i="99"/>
  <c r="M41" i="99"/>
  <c r="N41" i="99"/>
  <c r="O41" i="99"/>
  <c r="P41" i="99"/>
  <c r="Q41" i="99"/>
  <c r="R41" i="99"/>
  <c r="S41" i="99"/>
  <c r="T41" i="99"/>
  <c r="U41" i="99"/>
  <c r="V41" i="99"/>
  <c r="W41" i="99"/>
  <c r="X41" i="99"/>
  <c r="Y41" i="99"/>
  <c r="J43" i="99"/>
  <c r="J44" i="99" s="1"/>
  <c r="C52" i="99"/>
  <c r="D52" i="99"/>
  <c r="E52" i="99"/>
  <c r="E59" i="99" s="1"/>
  <c r="F52" i="99"/>
  <c r="F59" i="99" s="1"/>
  <c r="G52" i="99"/>
  <c r="H52" i="99"/>
  <c r="I52" i="99"/>
  <c r="I59" i="99" s="1"/>
  <c r="J52" i="99"/>
  <c r="J59" i="99" s="1"/>
  <c r="J61" i="99" s="1"/>
  <c r="J68" i="99" s="1"/>
  <c r="K52" i="99"/>
  <c r="L52" i="99"/>
  <c r="M52" i="99"/>
  <c r="M59" i="99" s="1"/>
  <c r="N52" i="99"/>
  <c r="O52" i="99"/>
  <c r="P52" i="99"/>
  <c r="Q52" i="99"/>
  <c r="Q59" i="99" s="1"/>
  <c r="R52" i="99"/>
  <c r="S52" i="99"/>
  <c r="T52" i="99"/>
  <c r="U52" i="99"/>
  <c r="U59" i="99" s="1"/>
  <c r="V52" i="99"/>
  <c r="V59" i="99" s="1"/>
  <c r="W52" i="99"/>
  <c r="X52" i="99"/>
  <c r="Y52" i="99"/>
  <c r="Y59" i="99" s="1"/>
  <c r="C57" i="99"/>
  <c r="D57" i="99"/>
  <c r="E57" i="99"/>
  <c r="F57" i="99"/>
  <c r="G57" i="99"/>
  <c r="G59" i="99" s="1"/>
  <c r="H57" i="99"/>
  <c r="H59" i="99" s="1"/>
  <c r="I57" i="99"/>
  <c r="J57" i="99"/>
  <c r="K57" i="99"/>
  <c r="K59" i="99" s="1"/>
  <c r="L57" i="99"/>
  <c r="M57" i="99"/>
  <c r="N57" i="99"/>
  <c r="O57" i="99"/>
  <c r="O59" i="99" s="1"/>
  <c r="P57" i="99"/>
  <c r="P59" i="99" s="1"/>
  <c r="Q57" i="99"/>
  <c r="R57" i="99"/>
  <c r="S57" i="99"/>
  <c r="T57" i="99"/>
  <c r="U57" i="99"/>
  <c r="V57" i="99"/>
  <c r="W57" i="99"/>
  <c r="W59" i="99" s="1"/>
  <c r="X57" i="99"/>
  <c r="X59" i="99" s="1"/>
  <c r="Y57" i="99"/>
  <c r="C59" i="99"/>
  <c r="D59" i="99"/>
  <c r="L59" i="99"/>
  <c r="N59" i="99"/>
  <c r="S59" i="99"/>
  <c r="T59" i="99"/>
  <c r="C66" i="99"/>
  <c r="D66" i="99"/>
  <c r="E66" i="99"/>
  <c r="F66" i="99"/>
  <c r="G66" i="99"/>
  <c r="H66" i="99"/>
  <c r="I66" i="99"/>
  <c r="J66" i="99"/>
  <c r="K66" i="99"/>
  <c r="L66" i="99"/>
  <c r="M66" i="99"/>
  <c r="N66" i="99"/>
  <c r="O66" i="99"/>
  <c r="P66" i="99"/>
  <c r="Q66" i="99"/>
  <c r="R66" i="99"/>
  <c r="S66" i="99"/>
  <c r="T66" i="99"/>
  <c r="U66" i="99"/>
  <c r="V66" i="99"/>
  <c r="W66" i="99"/>
  <c r="X66" i="99"/>
  <c r="Y66" i="99"/>
  <c r="Y73" i="99"/>
  <c r="Y76" i="99" s="1"/>
  <c r="Y74" i="99"/>
  <c r="Y75" i="99"/>
  <c r="C76" i="99"/>
  <c r="D76" i="99"/>
  <c r="E76" i="99"/>
  <c r="K6" i="98" s="1"/>
  <c r="F76" i="99"/>
  <c r="G76" i="99"/>
  <c r="H76" i="99"/>
  <c r="I76" i="99"/>
  <c r="J76" i="99"/>
  <c r="K76" i="99"/>
  <c r="L76" i="99"/>
  <c r="M76" i="99"/>
  <c r="N76" i="99"/>
  <c r="O76" i="99"/>
  <c r="P76" i="99"/>
  <c r="Q76" i="99"/>
  <c r="R76" i="99"/>
  <c r="S76" i="99"/>
  <c r="T76" i="99"/>
  <c r="U76" i="99"/>
  <c r="V76" i="99"/>
  <c r="W76" i="99"/>
  <c r="X76" i="99"/>
  <c r="Y79" i="99"/>
  <c r="Y80" i="99"/>
  <c r="Y81" i="99"/>
  <c r="Y82" i="99"/>
  <c r="Y83" i="99"/>
  <c r="Y84" i="99"/>
  <c r="Y85" i="99"/>
  <c r="Y86" i="99"/>
  <c r="Y87" i="99"/>
  <c r="Y88" i="99"/>
  <c r="Y89" i="99"/>
  <c r="Y90" i="99"/>
  <c r="Y91" i="99"/>
  <c r="Y92" i="99"/>
  <c r="Y93" i="99"/>
  <c r="Y94" i="99"/>
  <c r="Y95" i="99"/>
  <c r="Y96" i="99"/>
  <c r="Y97" i="99"/>
  <c r="Y98" i="99"/>
  <c r="Y99" i="99"/>
  <c r="Y100" i="99"/>
  <c r="Y101" i="99"/>
  <c r="Y102" i="99"/>
  <c r="Y103" i="99"/>
  <c r="Y104" i="99"/>
  <c r="C105" i="99"/>
  <c r="D105" i="99"/>
  <c r="E105" i="99"/>
  <c r="F105" i="99"/>
  <c r="G105" i="99"/>
  <c r="H105" i="99"/>
  <c r="I105" i="99"/>
  <c r="J105" i="99"/>
  <c r="K105" i="99"/>
  <c r="L105" i="99"/>
  <c r="M105" i="99"/>
  <c r="N105" i="99"/>
  <c r="O105" i="99"/>
  <c r="P105" i="99"/>
  <c r="Q105" i="99"/>
  <c r="R105" i="99"/>
  <c r="S105" i="99"/>
  <c r="T105" i="99"/>
  <c r="U105" i="99"/>
  <c r="V105" i="99"/>
  <c r="W105" i="99"/>
  <c r="X105" i="99"/>
  <c r="Y105" i="99"/>
  <c r="Y108" i="99"/>
  <c r="Y116" i="99" s="1"/>
  <c r="Y109" i="99"/>
  <c r="Y110" i="99"/>
  <c r="Y111" i="99"/>
  <c r="Y112" i="99"/>
  <c r="Y113" i="99"/>
  <c r="Y114" i="99"/>
  <c r="Y115" i="99"/>
  <c r="C116" i="99"/>
  <c r="D116" i="99"/>
  <c r="E116" i="99"/>
  <c r="F116" i="99"/>
  <c r="G116" i="99"/>
  <c r="H116" i="99"/>
  <c r="I116" i="99"/>
  <c r="J116" i="99"/>
  <c r="K116" i="99"/>
  <c r="L116" i="99"/>
  <c r="M116" i="99"/>
  <c r="N116" i="99"/>
  <c r="O116" i="99"/>
  <c r="P116" i="99"/>
  <c r="Q116" i="99"/>
  <c r="R116" i="99"/>
  <c r="S116" i="99"/>
  <c r="T116" i="99"/>
  <c r="U116" i="99"/>
  <c r="V116" i="99"/>
  <c r="V204" i="99" s="1"/>
  <c r="W116" i="99"/>
  <c r="X116" i="99"/>
  <c r="Y119" i="99"/>
  <c r="Y120" i="99"/>
  <c r="Y121" i="99"/>
  <c r="Y122" i="99"/>
  <c r="Y123" i="99"/>
  <c r="Y124" i="99"/>
  <c r="C125" i="99"/>
  <c r="D125" i="99"/>
  <c r="E125" i="99"/>
  <c r="F125" i="99"/>
  <c r="G125" i="99"/>
  <c r="H125" i="99"/>
  <c r="I125" i="99"/>
  <c r="J125" i="99"/>
  <c r="K125" i="99"/>
  <c r="L125" i="99"/>
  <c r="M125" i="99"/>
  <c r="N125" i="99"/>
  <c r="O125" i="99"/>
  <c r="P125" i="99"/>
  <c r="Q125" i="99"/>
  <c r="R125" i="99"/>
  <c r="S125" i="99"/>
  <c r="T125" i="99"/>
  <c r="U125" i="99"/>
  <c r="V125" i="99"/>
  <c r="W125" i="99"/>
  <c r="X125" i="99"/>
  <c r="Y125" i="99"/>
  <c r="Y128" i="99"/>
  <c r="Y137" i="99" s="1"/>
  <c r="Y129" i="99"/>
  <c r="Y130" i="99"/>
  <c r="Y131" i="99"/>
  <c r="Y132" i="99"/>
  <c r="Y133" i="99"/>
  <c r="Y134" i="99"/>
  <c r="Y135" i="99"/>
  <c r="Y136" i="99"/>
  <c r="C137" i="99"/>
  <c r="D137" i="99"/>
  <c r="E137" i="99"/>
  <c r="F137" i="99"/>
  <c r="C8" i="98" s="1"/>
  <c r="F8" i="98" s="1"/>
  <c r="S8" i="98" s="1"/>
  <c r="G137" i="99"/>
  <c r="H137" i="99"/>
  <c r="I137" i="99"/>
  <c r="J137" i="99"/>
  <c r="K137" i="99"/>
  <c r="L137" i="99"/>
  <c r="M137" i="99"/>
  <c r="N137" i="99"/>
  <c r="O137" i="99"/>
  <c r="P137" i="99"/>
  <c r="Q137" i="99"/>
  <c r="R137" i="99"/>
  <c r="S137" i="99"/>
  <c r="T137" i="99"/>
  <c r="U137" i="99"/>
  <c r="V137" i="99"/>
  <c r="W137" i="99"/>
  <c r="X137" i="99"/>
  <c r="Y140" i="99"/>
  <c r="Y148" i="99" s="1"/>
  <c r="Y141" i="99"/>
  <c r="Y142" i="99"/>
  <c r="Y143" i="99"/>
  <c r="Y144" i="99"/>
  <c r="Y145" i="99"/>
  <c r="Y146" i="99"/>
  <c r="Y147" i="99"/>
  <c r="C148" i="99"/>
  <c r="D148" i="99"/>
  <c r="E148" i="99"/>
  <c r="F148" i="99"/>
  <c r="G148" i="99"/>
  <c r="H148" i="99"/>
  <c r="I148" i="99"/>
  <c r="J148" i="99"/>
  <c r="K148" i="99"/>
  <c r="K204" i="99" s="1"/>
  <c r="K216" i="99" s="1"/>
  <c r="L148" i="99"/>
  <c r="M148" i="99"/>
  <c r="N148" i="99"/>
  <c r="O148" i="99"/>
  <c r="P148" i="99"/>
  <c r="Q148" i="99"/>
  <c r="R148" i="99"/>
  <c r="S148" i="99"/>
  <c r="S204" i="99" s="1"/>
  <c r="S216" i="99" s="1"/>
  <c r="T148" i="99"/>
  <c r="U148" i="99"/>
  <c r="V148" i="99"/>
  <c r="W148" i="99"/>
  <c r="W204" i="99" s="1"/>
  <c r="W216" i="99" s="1"/>
  <c r="X148" i="99"/>
  <c r="Y151" i="99"/>
  <c r="Y152" i="99"/>
  <c r="Y153" i="99"/>
  <c r="Y154" i="99"/>
  <c r="Y155" i="99"/>
  <c r="Y156" i="99"/>
  <c r="Y157" i="99"/>
  <c r="Y158" i="99"/>
  <c r="Y159" i="99"/>
  <c r="Y160" i="99"/>
  <c r="Y161" i="99"/>
  <c r="Y162" i="99"/>
  <c r="Y163" i="99"/>
  <c r="Y164" i="99"/>
  <c r="Y165" i="99"/>
  <c r="Y166" i="99"/>
  <c r="Y167" i="99"/>
  <c r="Y168" i="99"/>
  <c r="Y169" i="99"/>
  <c r="Y170" i="99"/>
  <c r="Y171" i="99"/>
  <c r="Y172" i="99"/>
  <c r="Y173" i="99"/>
  <c r="Y174" i="99"/>
  <c r="Y175" i="99"/>
  <c r="Y176" i="99"/>
  <c r="Y177" i="99"/>
  <c r="Y178" i="99"/>
  <c r="Y179" i="99"/>
  <c r="Y180" i="99"/>
  <c r="Y181" i="99"/>
  <c r="Y182" i="99"/>
  <c r="Y183" i="99"/>
  <c r="Y184" i="99"/>
  <c r="Y185" i="99"/>
  <c r="Y186" i="99"/>
  <c r="Y187" i="99"/>
  <c r="Y188" i="99"/>
  <c r="Y189" i="99"/>
  <c r="Y190" i="99"/>
  <c r="Y191" i="99"/>
  <c r="Y192" i="99"/>
  <c r="Y193" i="99"/>
  <c r="Y194" i="99"/>
  <c r="Y195" i="99"/>
  <c r="Y196" i="99"/>
  <c r="Y197" i="99"/>
  <c r="Y198" i="99"/>
  <c r="Y199" i="99"/>
  <c r="Y200" i="99"/>
  <c r="Y201" i="99"/>
  <c r="C202" i="99"/>
  <c r="D202" i="99"/>
  <c r="E202" i="99"/>
  <c r="F202" i="99"/>
  <c r="F204" i="99" s="1"/>
  <c r="G202" i="99"/>
  <c r="G204" i="99" s="1"/>
  <c r="G216" i="99" s="1"/>
  <c r="H202" i="99"/>
  <c r="I202" i="99"/>
  <c r="I204" i="99" s="1"/>
  <c r="I205" i="99" s="1"/>
  <c r="J202" i="99"/>
  <c r="J204" i="99" s="1"/>
  <c r="K202" i="99"/>
  <c r="L202" i="99"/>
  <c r="M202" i="99"/>
  <c r="M204" i="99" s="1"/>
  <c r="N202" i="99"/>
  <c r="N204" i="99" s="1"/>
  <c r="O202" i="99"/>
  <c r="P202" i="99"/>
  <c r="Q202" i="99"/>
  <c r="Q204" i="99" s="1"/>
  <c r="Q205" i="99" s="1"/>
  <c r="R202" i="99"/>
  <c r="R204" i="99" s="1"/>
  <c r="S202" i="99"/>
  <c r="T202" i="99"/>
  <c r="U202" i="99"/>
  <c r="V202" i="99"/>
  <c r="W202" i="99"/>
  <c r="X202" i="99"/>
  <c r="Y202" i="99"/>
  <c r="Y204" i="99" s="1"/>
  <c r="C204" i="99"/>
  <c r="C216" i="99" s="1"/>
  <c r="O204" i="99"/>
  <c r="Y210" i="99"/>
  <c r="Y214" i="99" s="1"/>
  <c r="Y211" i="99"/>
  <c r="Y212" i="99"/>
  <c r="Y213" i="99"/>
  <c r="C214" i="99"/>
  <c r="D214" i="99"/>
  <c r="E214" i="99"/>
  <c r="F214" i="99"/>
  <c r="G214" i="99"/>
  <c r="H214" i="99"/>
  <c r="I214" i="99"/>
  <c r="J214" i="99"/>
  <c r="K214" i="99"/>
  <c r="L214" i="99"/>
  <c r="M214" i="99"/>
  <c r="N214" i="99"/>
  <c r="O214" i="99"/>
  <c r="P214" i="99"/>
  <c r="Q214" i="99"/>
  <c r="R214" i="99"/>
  <c r="S214" i="99"/>
  <c r="T214" i="99"/>
  <c r="U214" i="99"/>
  <c r="V214" i="99"/>
  <c r="W214" i="99"/>
  <c r="X214" i="99"/>
  <c r="O216" i="99"/>
  <c r="Y223" i="99"/>
  <c r="Y224" i="99"/>
  <c r="Y225" i="99"/>
  <c r="Y226" i="99"/>
  <c r="Y227" i="99"/>
  <c r="Y228" i="99"/>
  <c r="Y229" i="99"/>
  <c r="Y230" i="99"/>
  <c r="Y231" i="99"/>
  <c r="Y232" i="99"/>
  <c r="Y233" i="99"/>
  <c r="C234" i="99"/>
  <c r="D234" i="99"/>
  <c r="E234" i="99"/>
  <c r="D6" i="98" s="1"/>
  <c r="F234" i="99"/>
  <c r="G234" i="99"/>
  <c r="H234" i="99"/>
  <c r="D9" i="98" s="1"/>
  <c r="I234" i="99"/>
  <c r="I244" i="99" s="1"/>
  <c r="J234" i="99"/>
  <c r="K234" i="99"/>
  <c r="L234" i="99"/>
  <c r="M234" i="99"/>
  <c r="M244" i="99" s="1"/>
  <c r="N234" i="99"/>
  <c r="O234" i="99"/>
  <c r="P234" i="99"/>
  <c r="Q234" i="99"/>
  <c r="Q244" i="99" s="1"/>
  <c r="R234" i="99"/>
  <c r="S234" i="99"/>
  <c r="T234" i="99"/>
  <c r="D14" i="98" s="1"/>
  <c r="U234" i="99"/>
  <c r="U244" i="99" s="1"/>
  <c r="V234" i="99"/>
  <c r="W234" i="99"/>
  <c r="X234" i="99"/>
  <c r="Y234" i="99"/>
  <c r="Y237" i="99"/>
  <c r="Y238" i="99" s="1"/>
  <c r="C238" i="99"/>
  <c r="D238" i="99"/>
  <c r="D244" i="99" s="1"/>
  <c r="E238" i="99"/>
  <c r="F238" i="99"/>
  <c r="G238" i="99"/>
  <c r="H238" i="99"/>
  <c r="H244" i="99" s="1"/>
  <c r="I238" i="99"/>
  <c r="J238" i="99"/>
  <c r="K238" i="99"/>
  <c r="L238" i="99"/>
  <c r="L244" i="99" s="1"/>
  <c r="M238" i="99"/>
  <c r="N238" i="99"/>
  <c r="O238" i="99"/>
  <c r="P238" i="99"/>
  <c r="P244" i="99" s="1"/>
  <c r="Q238" i="99"/>
  <c r="R238" i="99"/>
  <c r="S238" i="99"/>
  <c r="T238" i="99"/>
  <c r="T244" i="99" s="1"/>
  <c r="U238" i="99"/>
  <c r="V238" i="99"/>
  <c r="W238" i="99"/>
  <c r="X238" i="99"/>
  <c r="X244" i="99" s="1"/>
  <c r="Y241" i="99"/>
  <c r="Y242" i="99"/>
  <c r="C244" i="99"/>
  <c r="G244" i="99"/>
  <c r="K244" i="99"/>
  <c r="O244" i="99"/>
  <c r="S244" i="99"/>
  <c r="W244" i="99"/>
  <c r="Y250" i="99"/>
  <c r="Y261" i="99" s="1"/>
  <c r="Y251" i="99"/>
  <c r="Y252" i="99"/>
  <c r="Y253" i="99"/>
  <c r="Y254" i="99"/>
  <c r="Y255" i="99"/>
  <c r="Y256" i="99"/>
  <c r="Y257" i="99"/>
  <c r="Y258" i="99"/>
  <c r="Y259" i="99"/>
  <c r="Y260" i="99"/>
  <c r="C261" i="99"/>
  <c r="D261" i="99"/>
  <c r="E261" i="99"/>
  <c r="F261" i="99"/>
  <c r="G261" i="99"/>
  <c r="H261" i="99"/>
  <c r="I261" i="99"/>
  <c r="J261" i="99"/>
  <c r="K261" i="99"/>
  <c r="L261" i="99"/>
  <c r="M261" i="99"/>
  <c r="N261" i="99"/>
  <c r="O261" i="99"/>
  <c r="P261" i="99"/>
  <c r="Q261" i="99"/>
  <c r="R261" i="99"/>
  <c r="S261" i="99"/>
  <c r="T261" i="99"/>
  <c r="U261" i="99"/>
  <c r="V261" i="99"/>
  <c r="W261" i="99"/>
  <c r="X261" i="99"/>
  <c r="Y265" i="99"/>
  <c r="Y266" i="99" s="1"/>
  <c r="C266" i="99"/>
  <c r="D266" i="99"/>
  <c r="E266" i="99"/>
  <c r="F266" i="99"/>
  <c r="G266" i="99"/>
  <c r="H266" i="99"/>
  <c r="I266" i="99"/>
  <c r="J266" i="99"/>
  <c r="K266" i="99"/>
  <c r="L266" i="99"/>
  <c r="M266" i="99"/>
  <c r="N266" i="99"/>
  <c r="O266" i="99"/>
  <c r="P266" i="99"/>
  <c r="Q266" i="99"/>
  <c r="R266" i="99"/>
  <c r="S266" i="99"/>
  <c r="T266" i="99"/>
  <c r="U266" i="99"/>
  <c r="V266" i="99"/>
  <c r="W266" i="99"/>
  <c r="X266" i="99"/>
  <c r="D5" i="98"/>
  <c r="P6" i="98"/>
  <c r="E7" i="98"/>
  <c r="E18" i="98" s="1"/>
  <c r="E25" i="98" s="1"/>
  <c r="K7" i="98"/>
  <c r="W7" i="98" s="1"/>
  <c r="J7" i="105" s="1"/>
  <c r="L7" i="98"/>
  <c r="L25" i="98" s="1"/>
  <c r="P7" i="98"/>
  <c r="O8" i="98"/>
  <c r="W8" i="98" s="1"/>
  <c r="J8" i="105" s="1"/>
  <c r="K9" i="98"/>
  <c r="D10" i="98"/>
  <c r="D11" i="98"/>
  <c r="P11" i="98"/>
  <c r="P25" i="98" s="1"/>
  <c r="D12" i="98"/>
  <c r="D13" i="98"/>
  <c r="D15" i="98"/>
  <c r="D16" i="98"/>
  <c r="F17" i="98"/>
  <c r="V17" i="98" s="1"/>
  <c r="F21" i="98"/>
  <c r="V21" i="98" s="1"/>
  <c r="S21" i="98"/>
  <c r="F22" i="98"/>
  <c r="V22" i="98" s="1"/>
  <c r="E27" i="105" s="1"/>
  <c r="D23" i="98"/>
  <c r="E23" i="98"/>
  <c r="J25" i="98"/>
  <c r="D34" i="98"/>
  <c r="D35" i="98"/>
  <c r="D36" i="98"/>
  <c r="F38" i="98"/>
  <c r="V38" i="98" s="1"/>
  <c r="E39" i="98"/>
  <c r="J39" i="98"/>
  <c r="K39" i="98"/>
  <c r="L39" i="98"/>
  <c r="M39" i="98"/>
  <c r="N39" i="98"/>
  <c r="P39" i="98"/>
  <c r="N53" i="98"/>
  <c r="M7" i="98" s="1"/>
  <c r="N54" i="98"/>
  <c r="N55" i="98"/>
  <c r="N56" i="98"/>
  <c r="N57" i="98"/>
  <c r="S60" i="98"/>
  <c r="N11" i="98" s="1"/>
  <c r="N25" i="98" s="1"/>
  <c r="S62" i="98"/>
  <c r="O9" i="98" s="1"/>
  <c r="O25" i="98" s="1"/>
  <c r="R216" i="99" l="1"/>
  <c r="R217" i="99" s="1"/>
  <c r="R205" i="99"/>
  <c r="N44" i="99"/>
  <c r="N61" i="99"/>
  <c r="N68" i="99" s="1"/>
  <c r="Q44" i="99"/>
  <c r="Q61" i="99"/>
  <c r="Q68" i="99" s="1"/>
  <c r="Q69" i="99" s="1"/>
  <c r="Y23" i="99"/>
  <c r="Y43" i="99" s="1"/>
  <c r="D205" i="100"/>
  <c r="D216" i="100"/>
  <c r="N205" i="99"/>
  <c r="N216" i="99"/>
  <c r="N217" i="99" s="1"/>
  <c r="F216" i="99"/>
  <c r="F217" i="99" s="1"/>
  <c r="F205" i="99"/>
  <c r="U61" i="99"/>
  <c r="U68" i="99" s="1"/>
  <c r="U69" i="99" s="1"/>
  <c r="U44" i="99"/>
  <c r="E44" i="99"/>
  <c r="E61" i="99"/>
  <c r="E68" i="99" s="1"/>
  <c r="E69" i="99" s="1"/>
  <c r="L216" i="100"/>
  <c r="M205" i="99"/>
  <c r="M216" i="99"/>
  <c r="M217" i="99" s="1"/>
  <c r="Y216" i="99"/>
  <c r="Y217" i="99" s="1"/>
  <c r="H205" i="100"/>
  <c r="H216" i="100"/>
  <c r="H217" i="100" s="1"/>
  <c r="J205" i="99"/>
  <c r="J216" i="99"/>
  <c r="J217" i="99" s="1"/>
  <c r="Y205" i="99"/>
  <c r="V216" i="99"/>
  <c r="V217" i="99" s="1"/>
  <c r="V205" i="99"/>
  <c r="K25" i="98"/>
  <c r="W6" i="98"/>
  <c r="J216" i="100"/>
  <c r="E244" i="99"/>
  <c r="F204" i="100"/>
  <c r="K43" i="100"/>
  <c r="K44" i="100" s="1"/>
  <c r="X204" i="99"/>
  <c r="X216" i="99" s="1"/>
  <c r="X217" i="99" s="1"/>
  <c r="P204" i="99"/>
  <c r="H204" i="99"/>
  <c r="H216" i="99" s="1"/>
  <c r="H217" i="99" s="1"/>
  <c r="K204" i="100"/>
  <c r="C204" i="100"/>
  <c r="Y244" i="99"/>
  <c r="R244" i="99"/>
  <c r="J244" i="99"/>
  <c r="H59" i="100"/>
  <c r="K59" i="100"/>
  <c r="C59" i="100"/>
  <c r="F43" i="100"/>
  <c r="R59" i="99"/>
  <c r="R61" i="99" s="1"/>
  <c r="R68" i="99" s="1"/>
  <c r="I204" i="100"/>
  <c r="W11" i="98"/>
  <c r="J13" i="105" s="1"/>
  <c r="D23" i="99"/>
  <c r="D43" i="99" s="1"/>
  <c r="F59" i="100"/>
  <c r="L23" i="100"/>
  <c r="L43" i="100" s="1"/>
  <c r="D23" i="100"/>
  <c r="F61" i="99"/>
  <c r="F68" i="99" s="1"/>
  <c r="U204" i="99"/>
  <c r="P23" i="99"/>
  <c r="P43" i="99" s="1"/>
  <c r="T23" i="99"/>
  <c r="T43" i="99" s="1"/>
  <c r="T61" i="99" s="1"/>
  <c r="T68" i="99" s="1"/>
  <c r="T204" i="99"/>
  <c r="L204" i="99"/>
  <c r="D204" i="99"/>
  <c r="G204" i="100"/>
  <c r="V61" i="99"/>
  <c r="V68" i="99" s="1"/>
  <c r="D39" i="98"/>
  <c r="E204" i="99"/>
  <c r="S17" i="98"/>
  <c r="V244" i="99"/>
  <c r="N244" i="99"/>
  <c r="F244" i="99"/>
  <c r="I216" i="99"/>
  <c r="I217" i="99" s="1"/>
  <c r="M234" i="100"/>
  <c r="M244" i="100" s="1"/>
  <c r="J23" i="100"/>
  <c r="J43" i="100" s="1"/>
  <c r="J44" i="100" s="1"/>
  <c r="M13" i="100"/>
  <c r="N9" i="105"/>
  <c r="V8" i="98"/>
  <c r="O9" i="105"/>
  <c r="M9" i="105"/>
  <c r="K11" i="105"/>
  <c r="M11" i="105"/>
  <c r="K9" i="105"/>
  <c r="S22" i="98"/>
  <c r="F23" i="98"/>
  <c r="C23" i="98"/>
  <c r="U205" i="99"/>
  <c r="U207" i="99"/>
  <c r="U219" i="99" s="1"/>
  <c r="U216" i="99"/>
  <c r="U217" i="99" s="1"/>
  <c r="E205" i="99"/>
  <c r="E207" i="99"/>
  <c r="E219" i="99" s="1"/>
  <c r="E216" i="99"/>
  <c r="E217" i="99" s="1"/>
  <c r="M9" i="98"/>
  <c r="M25" i="98" s="1"/>
  <c r="I42" i="98" s="1"/>
  <c r="M12" i="98"/>
  <c r="W12" i="98" s="1"/>
  <c r="J15" i="105" s="1"/>
  <c r="D7" i="98"/>
  <c r="D18" i="98" s="1"/>
  <c r="D25" i="98" s="1"/>
  <c r="Q216" i="99"/>
  <c r="Q217" i="99" s="1"/>
  <c r="Q207" i="99"/>
  <c r="Q219" i="99" s="1"/>
  <c r="X205" i="99"/>
  <c r="H205" i="99"/>
  <c r="N207" i="99"/>
  <c r="N219" i="99" s="1"/>
  <c r="N69" i="99"/>
  <c r="J207" i="99"/>
  <c r="J219" i="99" s="1"/>
  <c r="J69" i="99"/>
  <c r="V207" i="99"/>
  <c r="V219" i="99" s="1"/>
  <c r="V69" i="99"/>
  <c r="R207" i="99"/>
  <c r="R219" i="99" s="1"/>
  <c r="R69" i="99"/>
  <c r="F207" i="99"/>
  <c r="F219" i="99" s="1"/>
  <c r="F69" i="99"/>
  <c r="L44" i="99"/>
  <c r="L61" i="99"/>
  <c r="L68" i="99" s="1"/>
  <c r="Y61" i="99"/>
  <c r="Y68" i="99" s="1"/>
  <c r="Y44" i="99"/>
  <c r="I61" i="99"/>
  <c r="I68" i="99" s="1"/>
  <c r="I44" i="99"/>
  <c r="P61" i="99"/>
  <c r="P68" i="99" s="1"/>
  <c r="P44" i="99"/>
  <c r="X61" i="99"/>
  <c r="X68" i="99" s="1"/>
  <c r="X44" i="99"/>
  <c r="H61" i="99"/>
  <c r="H68" i="99" s="1"/>
  <c r="H44" i="99"/>
  <c r="D61" i="99"/>
  <c r="D68" i="99" s="1"/>
  <c r="D44" i="99"/>
  <c r="F205" i="100"/>
  <c r="F216" i="100"/>
  <c r="F217" i="100" s="1"/>
  <c r="M43" i="99"/>
  <c r="M261" i="100"/>
  <c r="I205" i="100"/>
  <c r="I216" i="100"/>
  <c r="I217" i="100" s="1"/>
  <c r="E205" i="100"/>
  <c r="E216" i="100"/>
  <c r="E217" i="100" s="1"/>
  <c r="M116" i="100"/>
  <c r="J61" i="100"/>
  <c r="J68" i="100" s="1"/>
  <c r="K244" i="100"/>
  <c r="G244" i="100"/>
  <c r="C244" i="100"/>
  <c r="M125" i="100"/>
  <c r="G44" i="100"/>
  <c r="G61" i="100"/>
  <c r="G68" i="100" s="1"/>
  <c r="W23" i="99"/>
  <c r="S23" i="99"/>
  <c r="O23" i="99"/>
  <c r="K23" i="99"/>
  <c r="G23" i="99"/>
  <c r="C23" i="99"/>
  <c r="M137" i="100"/>
  <c r="I44" i="100"/>
  <c r="I61" i="100"/>
  <c r="I68" i="100" s="1"/>
  <c r="M21" i="100"/>
  <c r="M23" i="100" s="1"/>
  <c r="M43" i="100" s="1"/>
  <c r="I244" i="100"/>
  <c r="E244" i="100"/>
  <c r="M148" i="100"/>
  <c r="M105" i="100"/>
  <c r="E44" i="100"/>
  <c r="E61" i="100"/>
  <c r="E68" i="100" s="1"/>
  <c r="C44" i="100"/>
  <c r="C61" i="100"/>
  <c r="C68" i="100" s="1"/>
  <c r="H43" i="100"/>
  <c r="D43" i="100"/>
  <c r="D216" i="99" l="1"/>
  <c r="D217" i="99" s="1"/>
  <c r="D205" i="99"/>
  <c r="J6" i="105"/>
  <c r="K61" i="100"/>
  <c r="K68" i="100" s="1"/>
  <c r="T44" i="99"/>
  <c r="L216" i="99"/>
  <c r="L217" i="99" s="1"/>
  <c r="L205" i="99"/>
  <c r="P216" i="99"/>
  <c r="P217" i="99" s="1"/>
  <c r="P205" i="99"/>
  <c r="T216" i="99"/>
  <c r="T217" i="99" s="1"/>
  <c r="T205" i="99"/>
  <c r="L217" i="100"/>
  <c r="C216" i="100"/>
  <c r="C217" i="100" s="1"/>
  <c r="C205" i="100"/>
  <c r="L205" i="100"/>
  <c r="M204" i="100"/>
  <c r="F44" i="100"/>
  <c r="F61" i="100"/>
  <c r="F68" i="100" s="1"/>
  <c r="K216" i="100"/>
  <c r="K217" i="100" s="1"/>
  <c r="K205" i="100"/>
  <c r="J217" i="100"/>
  <c r="W9" i="98"/>
  <c r="J10" i="105" s="1"/>
  <c r="G216" i="100"/>
  <c r="G217" i="100" s="1"/>
  <c r="G205" i="100"/>
  <c r="J205" i="100"/>
  <c r="D217" i="100"/>
  <c r="E8" i="105"/>
  <c r="P9" i="105"/>
  <c r="E38" i="80" s="1"/>
  <c r="M44" i="100"/>
  <c r="M61" i="100"/>
  <c r="M68" i="100" s="1"/>
  <c r="M205" i="100"/>
  <c r="M216" i="100"/>
  <c r="M217" i="100" s="1"/>
  <c r="G43" i="99"/>
  <c r="G205" i="99"/>
  <c r="W43" i="99"/>
  <c r="W205" i="99"/>
  <c r="Q246" i="99"/>
  <c r="Q220" i="99"/>
  <c r="W217" i="99"/>
  <c r="K69" i="100"/>
  <c r="K207" i="100"/>
  <c r="K219" i="100" s="1"/>
  <c r="K43" i="99"/>
  <c r="K217" i="99"/>
  <c r="K205" i="99"/>
  <c r="M44" i="99"/>
  <c r="M61" i="99"/>
  <c r="M68" i="99" s="1"/>
  <c r="D69" i="99"/>
  <c r="D207" i="99"/>
  <c r="D219" i="99" s="1"/>
  <c r="T69" i="99"/>
  <c r="T207" i="99"/>
  <c r="T219" i="99" s="1"/>
  <c r="P69" i="99"/>
  <c r="P207" i="99"/>
  <c r="P219" i="99" s="1"/>
  <c r="Y69" i="99"/>
  <c r="Y207" i="99"/>
  <c r="Y219" i="99" s="1"/>
  <c r="F220" i="99"/>
  <c r="F246" i="99"/>
  <c r="C7" i="98"/>
  <c r="F7" i="98" s="1"/>
  <c r="V220" i="99"/>
  <c r="V246" i="99"/>
  <c r="C15" i="98"/>
  <c r="F15" i="98" s="1"/>
  <c r="N220" i="99"/>
  <c r="N246" i="99"/>
  <c r="U246" i="99"/>
  <c r="U220" i="99"/>
  <c r="D44" i="100"/>
  <c r="D61" i="100"/>
  <c r="D68" i="100" s="1"/>
  <c r="H44" i="100"/>
  <c r="H61" i="100"/>
  <c r="H68" i="100" s="1"/>
  <c r="I207" i="100"/>
  <c r="I219" i="100" s="1"/>
  <c r="I69" i="100"/>
  <c r="O43" i="99"/>
  <c r="O205" i="99"/>
  <c r="G69" i="100"/>
  <c r="G207" i="100"/>
  <c r="G219" i="100" s="1"/>
  <c r="J207" i="100"/>
  <c r="J219" i="100" s="1"/>
  <c r="J69" i="100"/>
  <c r="L69" i="99"/>
  <c r="L207" i="99"/>
  <c r="L219" i="99" s="1"/>
  <c r="E246" i="99"/>
  <c r="E220" i="99"/>
  <c r="C6" i="98"/>
  <c r="F6" i="98" s="1"/>
  <c r="O217" i="99"/>
  <c r="L44" i="100"/>
  <c r="L61" i="100"/>
  <c r="L68" i="100" s="1"/>
  <c r="C69" i="100"/>
  <c r="C207" i="100"/>
  <c r="C219" i="100" s="1"/>
  <c r="E207" i="100"/>
  <c r="E219" i="100" s="1"/>
  <c r="E69" i="100"/>
  <c r="C43" i="99"/>
  <c r="C217" i="99"/>
  <c r="C205" i="99"/>
  <c r="S43" i="99"/>
  <c r="S205" i="99"/>
  <c r="H69" i="99"/>
  <c r="H207" i="99"/>
  <c r="H219" i="99" s="1"/>
  <c r="X69" i="99"/>
  <c r="X207" i="99"/>
  <c r="X219" i="99" s="1"/>
  <c r="I69" i="99"/>
  <c r="I207" i="99"/>
  <c r="I219" i="99" s="1"/>
  <c r="R220" i="99"/>
  <c r="R246" i="99"/>
  <c r="C12" i="98"/>
  <c r="F12" i="98" s="1"/>
  <c r="J220" i="99"/>
  <c r="J246" i="99"/>
  <c r="C10" i="98"/>
  <c r="F10" i="98" s="1"/>
  <c r="S217" i="99"/>
  <c r="G217" i="99"/>
  <c r="S15" i="98" l="1"/>
  <c r="V15" i="98"/>
  <c r="E20" i="105" s="1"/>
  <c r="S10" i="98"/>
  <c r="V10" i="98"/>
  <c r="E12" i="105" s="1"/>
  <c r="F207" i="100"/>
  <c r="F219" i="100" s="1"/>
  <c r="F69" i="100"/>
  <c r="S7" i="98"/>
  <c r="V7" i="98"/>
  <c r="E7" i="105" s="1"/>
  <c r="J29" i="105"/>
  <c r="J34" i="105" s="1"/>
  <c r="J35" i="105" s="1"/>
  <c r="W39" i="98"/>
  <c r="S12" i="98"/>
  <c r="V12" i="98"/>
  <c r="E15" i="105" s="1"/>
  <c r="S6" i="98"/>
  <c r="V6" i="98"/>
  <c r="E6" i="105" s="1"/>
  <c r="Q9" i="105"/>
  <c r="R9" i="105" s="1"/>
  <c r="X246" i="99"/>
  <c r="X220" i="99"/>
  <c r="C44" i="99"/>
  <c r="C61" i="99"/>
  <c r="C68" i="99" s="1"/>
  <c r="I220" i="100"/>
  <c r="I246" i="100"/>
  <c r="U247" i="99"/>
  <c r="U274" i="99"/>
  <c r="U268" i="99"/>
  <c r="U269" i="99" s="1"/>
  <c r="V247" i="99"/>
  <c r="V268" i="99"/>
  <c r="V269" i="99" s="1"/>
  <c r="V274" i="99"/>
  <c r="J247" i="99"/>
  <c r="J268" i="99"/>
  <c r="J269" i="99" s="1"/>
  <c r="J274" i="99"/>
  <c r="D69" i="100"/>
  <c r="D207" i="100"/>
  <c r="D219" i="100" s="1"/>
  <c r="N247" i="99"/>
  <c r="N274" i="99"/>
  <c r="N268" i="99"/>
  <c r="N269" i="99" s="1"/>
  <c r="Y246" i="99"/>
  <c r="Y220" i="99"/>
  <c r="T246" i="99"/>
  <c r="T220" i="99"/>
  <c r="C14" i="98"/>
  <c r="F14" i="98" s="1"/>
  <c r="M69" i="99"/>
  <c r="M207" i="99"/>
  <c r="M219" i="99" s="1"/>
  <c r="W44" i="99"/>
  <c r="W61" i="99"/>
  <c r="W68" i="99" s="1"/>
  <c r="L69" i="100"/>
  <c r="L207" i="100"/>
  <c r="L219" i="100" s="1"/>
  <c r="H246" i="99"/>
  <c r="H220" i="99"/>
  <c r="C9" i="98"/>
  <c r="F9" i="98" s="1"/>
  <c r="E246" i="100"/>
  <c r="E220" i="100"/>
  <c r="E247" i="99"/>
  <c r="E274" i="99"/>
  <c r="E268" i="99"/>
  <c r="E269" i="99" s="1"/>
  <c r="J246" i="100"/>
  <c r="J220" i="100"/>
  <c r="O44" i="99"/>
  <c r="O61" i="99"/>
  <c r="O68" i="99" s="1"/>
  <c r="K44" i="99"/>
  <c r="K61" i="99"/>
  <c r="K68" i="99" s="1"/>
  <c r="M207" i="100"/>
  <c r="M219" i="100" s="1"/>
  <c r="M69" i="100"/>
  <c r="R247" i="99"/>
  <c r="R268" i="99"/>
  <c r="R269" i="99" s="1"/>
  <c r="R274" i="99"/>
  <c r="S44" i="99"/>
  <c r="S61" i="99"/>
  <c r="S68" i="99" s="1"/>
  <c r="I246" i="99"/>
  <c r="I220" i="99"/>
  <c r="C246" i="100"/>
  <c r="C220" i="100"/>
  <c r="L246" i="99"/>
  <c r="L220" i="99"/>
  <c r="G246" i="100"/>
  <c r="G220" i="100"/>
  <c r="H69" i="100"/>
  <c r="H207" i="100"/>
  <c r="H219" i="100" s="1"/>
  <c r="F247" i="99"/>
  <c r="F268" i="99"/>
  <c r="F269" i="99" s="1"/>
  <c r="F274" i="99"/>
  <c r="P246" i="99"/>
  <c r="P220" i="99"/>
  <c r="D246" i="99"/>
  <c r="D220" i="99"/>
  <c r="K246" i="100"/>
  <c r="K220" i="100"/>
  <c r="Q247" i="99"/>
  <c r="Q274" i="99"/>
  <c r="Q268" i="99"/>
  <c r="Q269" i="99" s="1"/>
  <c r="G44" i="99"/>
  <c r="G61" i="99"/>
  <c r="G68" i="99" s="1"/>
  <c r="Q274" i="92"/>
  <c r="G273" i="92"/>
  <c r="E273" i="92"/>
  <c r="P267" i="92"/>
  <c r="O267" i="92"/>
  <c r="N267" i="92"/>
  <c r="M267" i="92"/>
  <c r="L267" i="92"/>
  <c r="K267" i="92"/>
  <c r="J267" i="92"/>
  <c r="I267" i="92"/>
  <c r="H267" i="92"/>
  <c r="G267" i="92"/>
  <c r="F267" i="92"/>
  <c r="E267" i="92"/>
  <c r="D267" i="92"/>
  <c r="C267" i="92"/>
  <c r="Q266" i="92"/>
  <c r="Q267" i="92" s="1"/>
  <c r="P262" i="92"/>
  <c r="O262" i="92"/>
  <c r="N262" i="92"/>
  <c r="M262" i="92"/>
  <c r="L262" i="92"/>
  <c r="K262" i="92"/>
  <c r="J262" i="92"/>
  <c r="I262" i="92"/>
  <c r="H262" i="92"/>
  <c r="G262" i="92"/>
  <c r="F262" i="92"/>
  <c r="E262" i="92"/>
  <c r="D262" i="92"/>
  <c r="C262" i="92"/>
  <c r="Q261" i="92"/>
  <c r="Q260" i="92"/>
  <c r="Q259" i="92"/>
  <c r="Q258" i="92"/>
  <c r="Q257" i="92"/>
  <c r="Q256" i="92"/>
  <c r="Q255" i="92"/>
  <c r="Q254" i="92"/>
  <c r="Q253" i="92"/>
  <c r="Q252" i="92"/>
  <c r="Q251" i="92"/>
  <c r="M245" i="92"/>
  <c r="L245" i="92"/>
  <c r="Q243" i="92"/>
  <c r="Q242" i="92"/>
  <c r="P239" i="92"/>
  <c r="O239" i="92"/>
  <c r="N239" i="92"/>
  <c r="M239" i="92"/>
  <c r="L239" i="92"/>
  <c r="K239" i="92"/>
  <c r="J239" i="92"/>
  <c r="I239" i="92"/>
  <c r="H239" i="92"/>
  <c r="G239" i="92"/>
  <c r="F239" i="92"/>
  <c r="E239" i="92"/>
  <c r="D239" i="92"/>
  <c r="C239" i="92"/>
  <c r="Q238" i="92"/>
  <c r="Q239" i="92" s="1"/>
  <c r="P235" i="92"/>
  <c r="P245" i="92" s="1"/>
  <c r="O235" i="92"/>
  <c r="N235" i="92"/>
  <c r="N245" i="92" s="1"/>
  <c r="M235" i="92"/>
  <c r="L235" i="92"/>
  <c r="K235" i="92"/>
  <c r="J235" i="92"/>
  <c r="J245" i="92" s="1"/>
  <c r="I235" i="92"/>
  <c r="I245" i="92" s="1"/>
  <c r="H235" i="92"/>
  <c r="H245" i="92" s="1"/>
  <c r="G235" i="92"/>
  <c r="F235" i="92"/>
  <c r="F245" i="92" s="1"/>
  <c r="E235" i="92"/>
  <c r="E245" i="92" s="1"/>
  <c r="D235" i="92"/>
  <c r="D245" i="92" s="1"/>
  <c r="C235" i="92"/>
  <c r="Q234" i="92"/>
  <c r="Q233" i="92"/>
  <c r="Q232" i="92"/>
  <c r="Q231" i="92"/>
  <c r="Q230" i="92"/>
  <c r="Q229" i="92"/>
  <c r="Q228" i="92"/>
  <c r="Q227" i="92"/>
  <c r="Q226" i="92"/>
  <c r="Q225" i="92"/>
  <c r="Q224" i="92"/>
  <c r="P215" i="92"/>
  <c r="O215" i="92"/>
  <c r="N215" i="92"/>
  <c r="M215" i="92"/>
  <c r="L215" i="92"/>
  <c r="K215" i="92"/>
  <c r="J215" i="92"/>
  <c r="I215" i="92"/>
  <c r="H215" i="92"/>
  <c r="G215" i="92"/>
  <c r="F215" i="92"/>
  <c r="E215" i="92"/>
  <c r="D215" i="92"/>
  <c r="C215" i="92"/>
  <c r="Q214" i="92"/>
  <c r="Q213" i="92"/>
  <c r="Q212" i="92"/>
  <c r="Q215" i="92" s="1"/>
  <c r="Q211" i="92"/>
  <c r="P203" i="92"/>
  <c r="O203" i="92"/>
  <c r="N203" i="92"/>
  <c r="M203" i="92"/>
  <c r="L203" i="92"/>
  <c r="K203" i="92"/>
  <c r="J203" i="92"/>
  <c r="J205" i="92" s="1"/>
  <c r="I203" i="92"/>
  <c r="H203" i="92"/>
  <c r="G203" i="92"/>
  <c r="F203" i="92"/>
  <c r="E203" i="92"/>
  <c r="D203" i="92"/>
  <c r="C203" i="92"/>
  <c r="Q202" i="92"/>
  <c r="Q201" i="92"/>
  <c r="Q200" i="92"/>
  <c r="Q199" i="92"/>
  <c r="Q198" i="92"/>
  <c r="Q197" i="92"/>
  <c r="Q196" i="92"/>
  <c r="Q195" i="92"/>
  <c r="Q194" i="92"/>
  <c r="Q193" i="92"/>
  <c r="Q192" i="92"/>
  <c r="Q191" i="92"/>
  <c r="Q190" i="92"/>
  <c r="Q189" i="92"/>
  <c r="Q188" i="92"/>
  <c r="Q187" i="92"/>
  <c r="Q186" i="92"/>
  <c r="Q185" i="92"/>
  <c r="Q184" i="92"/>
  <c r="Q183" i="92"/>
  <c r="Q182" i="92"/>
  <c r="Q181" i="92"/>
  <c r="Q180" i="92"/>
  <c r="Q179" i="92"/>
  <c r="Q178" i="92"/>
  <c r="Q177" i="92"/>
  <c r="Q176" i="92"/>
  <c r="Q175" i="92"/>
  <c r="Q174" i="92"/>
  <c r="Q173" i="92"/>
  <c r="Q172" i="92"/>
  <c r="Q171" i="92"/>
  <c r="Q170" i="92"/>
  <c r="Q169" i="92"/>
  <c r="Q168" i="92"/>
  <c r="Q167" i="92"/>
  <c r="Q166" i="92"/>
  <c r="Q165" i="92"/>
  <c r="Q164" i="92"/>
  <c r="Q163" i="92"/>
  <c r="Q162" i="92"/>
  <c r="Q161" i="92"/>
  <c r="Q160" i="92"/>
  <c r="Q159" i="92"/>
  <c r="Q158" i="92"/>
  <c r="Q157" i="92"/>
  <c r="Q156" i="92"/>
  <c r="Q155" i="92"/>
  <c r="Q154" i="92"/>
  <c r="Q153" i="92"/>
  <c r="Q152" i="92"/>
  <c r="P149" i="92"/>
  <c r="O149" i="92"/>
  <c r="N149" i="92"/>
  <c r="M149" i="92"/>
  <c r="L149" i="92"/>
  <c r="K149" i="92"/>
  <c r="J149" i="92"/>
  <c r="I149" i="92"/>
  <c r="H149" i="92"/>
  <c r="G149" i="92"/>
  <c r="F149" i="92"/>
  <c r="E149" i="92"/>
  <c r="D149" i="92"/>
  <c r="C149" i="92"/>
  <c r="Q148" i="92"/>
  <c r="Q147" i="92"/>
  <c r="Q146" i="92"/>
  <c r="Q145" i="92"/>
  <c r="Q144" i="92"/>
  <c r="Q143" i="92"/>
  <c r="Q142" i="92"/>
  <c r="Q141" i="92"/>
  <c r="P138" i="92"/>
  <c r="O138" i="92"/>
  <c r="N138" i="92"/>
  <c r="M138" i="92"/>
  <c r="L138" i="92"/>
  <c r="K138" i="92"/>
  <c r="J138" i="92"/>
  <c r="I138" i="92"/>
  <c r="H138" i="92"/>
  <c r="G138" i="92"/>
  <c r="F138" i="92"/>
  <c r="E138" i="92"/>
  <c r="D138" i="92"/>
  <c r="C138" i="92"/>
  <c r="Q137" i="92"/>
  <c r="Q136" i="92"/>
  <c r="Q135" i="92"/>
  <c r="Q134" i="92"/>
  <c r="Q133" i="92"/>
  <c r="Q132" i="92"/>
  <c r="Q131" i="92"/>
  <c r="Q130" i="92"/>
  <c r="Q129" i="92"/>
  <c r="Q128" i="92"/>
  <c r="P125" i="92"/>
  <c r="O125" i="92"/>
  <c r="N125" i="92"/>
  <c r="M125" i="92"/>
  <c r="L125" i="92"/>
  <c r="K125" i="92"/>
  <c r="J125" i="92"/>
  <c r="I125" i="92"/>
  <c r="H125" i="92"/>
  <c r="G125" i="92"/>
  <c r="F125" i="92"/>
  <c r="E125" i="92"/>
  <c r="D125" i="92"/>
  <c r="C125" i="92"/>
  <c r="Q124" i="92"/>
  <c r="Q123" i="92"/>
  <c r="Q122" i="92"/>
  <c r="Q121" i="92"/>
  <c r="Q120" i="92"/>
  <c r="Q119" i="92"/>
  <c r="P116" i="92"/>
  <c r="O116" i="92"/>
  <c r="N116" i="92"/>
  <c r="M116" i="92"/>
  <c r="L116" i="92"/>
  <c r="K116" i="92"/>
  <c r="J116" i="92"/>
  <c r="I116" i="92"/>
  <c r="H116" i="92"/>
  <c r="G116" i="92"/>
  <c r="F116" i="92"/>
  <c r="E116" i="92"/>
  <c r="D116" i="92"/>
  <c r="C116" i="92"/>
  <c r="Q115" i="92"/>
  <c r="Q114" i="92"/>
  <c r="Q113" i="92"/>
  <c r="Q112" i="92"/>
  <c r="Q111" i="92"/>
  <c r="Q110" i="92"/>
  <c r="Q109" i="92"/>
  <c r="Q108" i="92"/>
  <c r="P105" i="92"/>
  <c r="O105" i="92"/>
  <c r="N105" i="92"/>
  <c r="M105" i="92"/>
  <c r="L105" i="92"/>
  <c r="K105" i="92"/>
  <c r="J105" i="92"/>
  <c r="I105" i="92"/>
  <c r="H105" i="92"/>
  <c r="G105" i="92"/>
  <c r="F105" i="92"/>
  <c r="E105" i="92"/>
  <c r="D105" i="92"/>
  <c r="C105" i="92"/>
  <c r="Q104" i="92"/>
  <c r="Q103" i="92"/>
  <c r="Q102" i="92"/>
  <c r="Q101" i="92"/>
  <c r="Q100" i="92"/>
  <c r="Q99" i="92"/>
  <c r="Q98" i="92"/>
  <c r="Q97" i="92"/>
  <c r="Q96" i="92"/>
  <c r="Q95" i="92"/>
  <c r="Q94" i="92"/>
  <c r="Q93" i="92"/>
  <c r="Q92" i="92"/>
  <c r="Q91" i="92"/>
  <c r="Q90" i="92"/>
  <c r="Q89" i="92"/>
  <c r="Q88" i="92"/>
  <c r="Q87" i="92"/>
  <c r="Q86" i="92"/>
  <c r="Q85" i="92"/>
  <c r="Q84" i="92"/>
  <c r="Q83" i="92"/>
  <c r="Q82" i="92"/>
  <c r="Q81" i="92"/>
  <c r="Q80" i="92"/>
  <c r="Q79" i="92"/>
  <c r="P76" i="92"/>
  <c r="O76" i="92"/>
  <c r="N76" i="92"/>
  <c r="M76" i="92"/>
  <c r="L76" i="92"/>
  <c r="K76" i="92"/>
  <c r="J76" i="92"/>
  <c r="I76" i="92"/>
  <c r="H76" i="92"/>
  <c r="G76" i="92"/>
  <c r="F76" i="92"/>
  <c r="E76" i="92"/>
  <c r="D76" i="92"/>
  <c r="C76" i="92"/>
  <c r="Q75" i="92"/>
  <c r="Q74" i="92"/>
  <c r="Q73" i="92"/>
  <c r="Q76" i="92" s="1"/>
  <c r="Q66" i="92"/>
  <c r="P66" i="92"/>
  <c r="O66" i="92"/>
  <c r="N66" i="92"/>
  <c r="M66" i="92"/>
  <c r="L66" i="92"/>
  <c r="K66" i="92"/>
  <c r="J66" i="92"/>
  <c r="I66" i="92"/>
  <c r="H66" i="92"/>
  <c r="G66" i="92"/>
  <c r="F66" i="92"/>
  <c r="E66" i="92"/>
  <c r="D66" i="92"/>
  <c r="C66" i="92"/>
  <c r="Q57" i="92"/>
  <c r="Q59" i="92" s="1"/>
  <c r="P57" i="92"/>
  <c r="O57" i="92"/>
  <c r="N57" i="92"/>
  <c r="M57" i="92"/>
  <c r="L57" i="92"/>
  <c r="K57" i="92"/>
  <c r="J57" i="92"/>
  <c r="I57" i="92"/>
  <c r="I59" i="92" s="1"/>
  <c r="H57" i="92"/>
  <c r="G57" i="92"/>
  <c r="F57" i="92"/>
  <c r="E57" i="92"/>
  <c r="D57" i="92"/>
  <c r="C57" i="92"/>
  <c r="Q52" i="92"/>
  <c r="P52" i="92"/>
  <c r="O52" i="92"/>
  <c r="O59" i="92" s="1"/>
  <c r="N52" i="92"/>
  <c r="N59" i="92" s="1"/>
  <c r="M52" i="92"/>
  <c r="L52" i="92"/>
  <c r="L59" i="92" s="1"/>
  <c r="K52" i="92"/>
  <c r="K59" i="92" s="1"/>
  <c r="J52" i="92"/>
  <c r="J59" i="92" s="1"/>
  <c r="I52" i="92"/>
  <c r="H52" i="92"/>
  <c r="G52" i="92"/>
  <c r="G59" i="92" s="1"/>
  <c r="F52" i="92"/>
  <c r="F59" i="92" s="1"/>
  <c r="E52" i="92"/>
  <c r="D52" i="92"/>
  <c r="D59" i="92" s="1"/>
  <c r="C52" i="92"/>
  <c r="C59" i="92" s="1"/>
  <c r="Q41" i="92"/>
  <c r="P41" i="92"/>
  <c r="O41" i="92"/>
  <c r="N41" i="92"/>
  <c r="M41" i="92"/>
  <c r="L41" i="92"/>
  <c r="K41" i="92"/>
  <c r="J41" i="92"/>
  <c r="I41" i="92"/>
  <c r="H41" i="92"/>
  <c r="G41" i="92"/>
  <c r="F41" i="92"/>
  <c r="E41" i="92"/>
  <c r="D41" i="92"/>
  <c r="C41" i="92"/>
  <c r="P21" i="92"/>
  <c r="O21" i="92"/>
  <c r="N21" i="92"/>
  <c r="M21" i="92"/>
  <c r="L21" i="92"/>
  <c r="K21" i="92"/>
  <c r="J21" i="92"/>
  <c r="I21" i="92"/>
  <c r="H21" i="92"/>
  <c r="G21" i="92"/>
  <c r="F21" i="92"/>
  <c r="E21" i="92"/>
  <c r="D21" i="92"/>
  <c r="C21" i="92"/>
  <c r="Q20" i="92"/>
  <c r="Q19" i="92"/>
  <c r="Q18" i="92"/>
  <c r="Q17" i="92"/>
  <c r="Q16" i="92"/>
  <c r="P13" i="92"/>
  <c r="P23" i="92" s="1"/>
  <c r="P43" i="92" s="1"/>
  <c r="O13" i="92"/>
  <c r="N13" i="92"/>
  <c r="N23" i="92" s="1"/>
  <c r="M13" i="92"/>
  <c r="M23" i="92" s="1"/>
  <c r="M43" i="92" s="1"/>
  <c r="L13" i="92"/>
  <c r="L23" i="92" s="1"/>
  <c r="L43" i="92" s="1"/>
  <c r="K13" i="92"/>
  <c r="K23" i="92" s="1"/>
  <c r="K43" i="92" s="1"/>
  <c r="K44" i="92" s="1"/>
  <c r="J13" i="92"/>
  <c r="J23" i="92" s="1"/>
  <c r="J43" i="92" s="1"/>
  <c r="I13" i="92"/>
  <c r="H13" i="92"/>
  <c r="H23" i="92" s="1"/>
  <c r="H43" i="92" s="1"/>
  <c r="G13" i="92"/>
  <c r="F13" i="92"/>
  <c r="F23" i="92" s="1"/>
  <c r="E13" i="92"/>
  <c r="E23" i="92" s="1"/>
  <c r="E43" i="92" s="1"/>
  <c r="D13" i="92"/>
  <c r="D23" i="92" s="1"/>
  <c r="D43" i="92" s="1"/>
  <c r="C13" i="92"/>
  <c r="C23" i="92" s="1"/>
  <c r="C43" i="92" s="1"/>
  <c r="C44" i="92" s="1"/>
  <c r="Q12" i="92"/>
  <c r="Q11" i="92"/>
  <c r="Z285" i="91"/>
  <c r="AA283" i="91"/>
  <c r="AA282" i="91"/>
  <c r="AA281" i="91"/>
  <c r="AA280" i="91"/>
  <c r="AA279" i="91"/>
  <c r="AA278" i="91"/>
  <c r="Y266" i="91"/>
  <c r="X266" i="91"/>
  <c r="W266" i="91"/>
  <c r="V266" i="91"/>
  <c r="U266" i="91"/>
  <c r="T266" i="91"/>
  <c r="S266" i="91"/>
  <c r="R266" i="91"/>
  <c r="Q266" i="91"/>
  <c r="P266" i="91"/>
  <c r="O266" i="91"/>
  <c r="N266" i="91"/>
  <c r="M266" i="91"/>
  <c r="L266" i="91"/>
  <c r="K266" i="91"/>
  <c r="J266" i="91"/>
  <c r="I266" i="91"/>
  <c r="H266" i="91"/>
  <c r="G266" i="91"/>
  <c r="F266" i="91"/>
  <c r="E266" i="91"/>
  <c r="D266" i="91"/>
  <c r="C266" i="91"/>
  <c r="Z265" i="91"/>
  <c r="Z266" i="91" s="1"/>
  <c r="Y261" i="91"/>
  <c r="X261" i="91"/>
  <c r="W261" i="91"/>
  <c r="V261" i="91"/>
  <c r="U261" i="91"/>
  <c r="T261" i="91"/>
  <c r="S261" i="91"/>
  <c r="R261" i="91"/>
  <c r="Q261" i="91"/>
  <c r="P261" i="91"/>
  <c r="O261" i="91"/>
  <c r="N261" i="91"/>
  <c r="M261" i="91"/>
  <c r="L261" i="91"/>
  <c r="K261" i="91"/>
  <c r="J261" i="91"/>
  <c r="I261" i="91"/>
  <c r="H261" i="91"/>
  <c r="G261" i="91"/>
  <c r="F261" i="91"/>
  <c r="E261" i="91"/>
  <c r="D261" i="91"/>
  <c r="C261" i="91"/>
  <c r="Z260" i="91"/>
  <c r="Z259" i="91"/>
  <c r="Z258" i="91"/>
  <c r="Z257" i="91"/>
  <c r="Z256" i="91"/>
  <c r="Z255" i="91"/>
  <c r="Z254" i="91"/>
  <c r="Z253" i="91"/>
  <c r="Z252" i="91"/>
  <c r="Z251" i="91"/>
  <c r="Z250" i="91"/>
  <c r="Z242" i="91"/>
  <c r="Z241" i="91"/>
  <c r="Y238" i="91"/>
  <c r="X238" i="91"/>
  <c r="W238" i="91"/>
  <c r="V238" i="91"/>
  <c r="U238" i="91"/>
  <c r="T238" i="91"/>
  <c r="S238" i="91"/>
  <c r="R238" i="91"/>
  <c r="Q238" i="91"/>
  <c r="P238" i="91"/>
  <c r="O238" i="91"/>
  <c r="N238" i="91"/>
  <c r="M238" i="91"/>
  <c r="L238" i="91"/>
  <c r="K238" i="91"/>
  <c r="J238" i="91"/>
  <c r="I238" i="91"/>
  <c r="H238" i="91"/>
  <c r="G238" i="91"/>
  <c r="F238" i="91"/>
  <c r="E238" i="91"/>
  <c r="D238" i="91"/>
  <c r="C238" i="91"/>
  <c r="Z237" i="91"/>
  <c r="Z238" i="91" s="1"/>
  <c r="Y234" i="91"/>
  <c r="X234" i="91"/>
  <c r="W234" i="91"/>
  <c r="W244" i="91" s="1"/>
  <c r="V234" i="91"/>
  <c r="V244" i="91" s="1"/>
  <c r="U234" i="91"/>
  <c r="U244" i="91" s="1"/>
  <c r="T234" i="91"/>
  <c r="S234" i="91"/>
  <c r="D12" i="90" s="1"/>
  <c r="R234" i="91"/>
  <c r="R244" i="91" s="1"/>
  <c r="Q234" i="91"/>
  <c r="Q244" i="91" s="1"/>
  <c r="P234" i="91"/>
  <c r="O234" i="91"/>
  <c r="O244" i="91" s="1"/>
  <c r="N234" i="91"/>
  <c r="N244" i="91" s="1"/>
  <c r="M234" i="91"/>
  <c r="M244" i="91" s="1"/>
  <c r="L234" i="91"/>
  <c r="K234" i="91"/>
  <c r="J234" i="91"/>
  <c r="J244" i="91" s="1"/>
  <c r="I234" i="91"/>
  <c r="H234" i="91"/>
  <c r="G234" i="91"/>
  <c r="G244" i="91" s="1"/>
  <c r="F234" i="91"/>
  <c r="F244" i="91" s="1"/>
  <c r="E234" i="91"/>
  <c r="E244" i="91" s="1"/>
  <c r="D234" i="91"/>
  <c r="C234" i="91"/>
  <c r="D5" i="90" s="1"/>
  <c r="D18" i="90" s="1"/>
  <c r="D25" i="90" s="1"/>
  <c r="Z233" i="91"/>
  <c r="Z232" i="91"/>
  <c r="Z231" i="91"/>
  <c r="Z230" i="91"/>
  <c r="Z229" i="91"/>
  <c r="Z228" i="91"/>
  <c r="Z227" i="91"/>
  <c r="Z226" i="91"/>
  <c r="Z225" i="91"/>
  <c r="Z224" i="91"/>
  <c r="Z223" i="91"/>
  <c r="Y214" i="91"/>
  <c r="X214" i="91"/>
  <c r="W214" i="91"/>
  <c r="V214" i="91"/>
  <c r="U214" i="91"/>
  <c r="T214" i="91"/>
  <c r="S214" i="91"/>
  <c r="R214" i="91"/>
  <c r="Q214" i="91"/>
  <c r="P214" i="91"/>
  <c r="O214" i="91"/>
  <c r="N214" i="91"/>
  <c r="M214" i="91"/>
  <c r="L214" i="91"/>
  <c r="K214" i="91"/>
  <c r="J214" i="91"/>
  <c r="I214" i="91"/>
  <c r="H214" i="91"/>
  <c r="G214" i="91"/>
  <c r="F214" i="91"/>
  <c r="E214" i="91"/>
  <c r="D214" i="91"/>
  <c r="C214" i="91"/>
  <c r="Z213" i="91"/>
  <c r="Z212" i="91"/>
  <c r="Z211" i="91"/>
  <c r="Z210" i="91"/>
  <c r="Z214" i="91" s="1"/>
  <c r="Y202" i="91"/>
  <c r="X202" i="91"/>
  <c r="X204" i="91" s="1"/>
  <c r="W202" i="91"/>
  <c r="V202" i="91"/>
  <c r="U202" i="91"/>
  <c r="T202" i="91"/>
  <c r="S202" i="91"/>
  <c r="R202" i="91"/>
  <c r="Q202" i="91"/>
  <c r="P202" i="91"/>
  <c r="P204" i="91" s="1"/>
  <c r="O202" i="91"/>
  <c r="N202" i="91"/>
  <c r="M202" i="91"/>
  <c r="L202" i="91"/>
  <c r="K202" i="91"/>
  <c r="J202" i="91"/>
  <c r="I202" i="91"/>
  <c r="H202" i="91"/>
  <c r="G202" i="91"/>
  <c r="F202" i="91"/>
  <c r="E202" i="91"/>
  <c r="D202" i="91"/>
  <c r="C202" i="91"/>
  <c r="Z201" i="91"/>
  <c r="Z200" i="91"/>
  <c r="Z199" i="91"/>
  <c r="Z198" i="91"/>
  <c r="Z197" i="91"/>
  <c r="Z196" i="91"/>
  <c r="Z195" i="91"/>
  <c r="Z194" i="91"/>
  <c r="Z193" i="91"/>
  <c r="Z192" i="91"/>
  <c r="Z191" i="91"/>
  <c r="Z190" i="91"/>
  <c r="Z189" i="91"/>
  <c r="Z188" i="91"/>
  <c r="Z187" i="91"/>
  <c r="Z186" i="91"/>
  <c r="Z185" i="91"/>
  <c r="Z184" i="91"/>
  <c r="Z183" i="91"/>
  <c r="Z182" i="91"/>
  <c r="Z181" i="91"/>
  <c r="Z180" i="91"/>
  <c r="Z179" i="91"/>
  <c r="Z178" i="91"/>
  <c r="Z177" i="91"/>
  <c r="Z176" i="91"/>
  <c r="Z175" i="91"/>
  <c r="Z174" i="91"/>
  <c r="Z173" i="91"/>
  <c r="Z172" i="91"/>
  <c r="Z171" i="91"/>
  <c r="Z170" i="91"/>
  <c r="Z169" i="91"/>
  <c r="Z168" i="91"/>
  <c r="Z167" i="91"/>
  <c r="Z166" i="91"/>
  <c r="Z165" i="91"/>
  <c r="Z164" i="91"/>
  <c r="Z163" i="91"/>
  <c r="Z162" i="91"/>
  <c r="Z161" i="91"/>
  <c r="Z160" i="91"/>
  <c r="Z159" i="91"/>
  <c r="Z158" i="91"/>
  <c r="Z157" i="91"/>
  <c r="Z156" i="91"/>
  <c r="Z155" i="91"/>
  <c r="Z154" i="91"/>
  <c r="Z153" i="91"/>
  <c r="Z152" i="91"/>
  <c r="Z151" i="91"/>
  <c r="Z202" i="91" s="1"/>
  <c r="Y148" i="91"/>
  <c r="X148" i="91"/>
  <c r="W148" i="91"/>
  <c r="V148" i="91"/>
  <c r="U148" i="91"/>
  <c r="T148" i="91"/>
  <c r="S148" i="91"/>
  <c r="R148" i="91"/>
  <c r="Q148" i="91"/>
  <c r="P148" i="91"/>
  <c r="O148" i="91"/>
  <c r="N148" i="91"/>
  <c r="M148" i="91"/>
  <c r="L148" i="91"/>
  <c r="K148" i="91"/>
  <c r="J148" i="91"/>
  <c r="I148" i="91"/>
  <c r="H148" i="91"/>
  <c r="G148" i="91"/>
  <c r="F148" i="91"/>
  <c r="E148" i="91"/>
  <c r="D148" i="91"/>
  <c r="C148" i="91"/>
  <c r="Z147" i="91"/>
  <c r="Z146" i="91"/>
  <c r="Z145" i="91"/>
  <c r="Z144" i="91"/>
  <c r="Z143" i="91"/>
  <c r="Z142" i="91"/>
  <c r="Z141" i="91"/>
  <c r="Z140" i="91"/>
  <c r="Y137" i="91"/>
  <c r="X137" i="91"/>
  <c r="W137" i="91"/>
  <c r="V137" i="91"/>
  <c r="U137" i="91"/>
  <c r="T137" i="91"/>
  <c r="S137" i="91"/>
  <c r="R137" i="91"/>
  <c r="Q137" i="91"/>
  <c r="P137" i="91"/>
  <c r="O137" i="91"/>
  <c r="N137" i="91"/>
  <c r="M137" i="91"/>
  <c r="L137" i="91"/>
  <c r="K137" i="91"/>
  <c r="J137" i="91"/>
  <c r="I137" i="91"/>
  <c r="H137" i="91"/>
  <c r="G137" i="91"/>
  <c r="F137" i="91"/>
  <c r="E137" i="91"/>
  <c r="D137" i="91"/>
  <c r="C137" i="91"/>
  <c r="Z136" i="91"/>
  <c r="Z135" i="91"/>
  <c r="Z134" i="91"/>
  <c r="Z133" i="91"/>
  <c r="Z132" i="91"/>
  <c r="Z131" i="91"/>
  <c r="Z130" i="91"/>
  <c r="Z129" i="91"/>
  <c r="Z128" i="91"/>
  <c r="Y125" i="91"/>
  <c r="X125" i="91"/>
  <c r="W125" i="91"/>
  <c r="V125" i="91"/>
  <c r="U125" i="91"/>
  <c r="T125" i="91"/>
  <c r="S125" i="91"/>
  <c r="R125" i="91"/>
  <c r="Q125" i="91"/>
  <c r="P125" i="91"/>
  <c r="O125" i="91"/>
  <c r="N125" i="91"/>
  <c r="M125" i="91"/>
  <c r="L125" i="91"/>
  <c r="K125" i="91"/>
  <c r="J125" i="91"/>
  <c r="I125" i="91"/>
  <c r="H125" i="91"/>
  <c r="G125" i="91"/>
  <c r="F125" i="91"/>
  <c r="E125" i="91"/>
  <c r="D125" i="91"/>
  <c r="C125" i="91"/>
  <c r="Z124" i="91"/>
  <c r="Z123" i="91"/>
  <c r="AB122" i="91"/>
  <c r="Z122" i="91"/>
  <c r="Z121" i="91"/>
  <c r="Z120" i="91"/>
  <c r="Z119" i="91"/>
  <c r="Y116" i="91"/>
  <c r="X116" i="91"/>
  <c r="W116" i="91"/>
  <c r="V116" i="91"/>
  <c r="U116" i="91"/>
  <c r="T116" i="91"/>
  <c r="S116" i="91"/>
  <c r="R116" i="91"/>
  <c r="Q116" i="91"/>
  <c r="P116" i="91"/>
  <c r="O116" i="91"/>
  <c r="N116" i="91"/>
  <c r="M116" i="91"/>
  <c r="L116" i="91"/>
  <c r="K116" i="91"/>
  <c r="J116" i="91"/>
  <c r="I116" i="91"/>
  <c r="H116" i="91"/>
  <c r="G116" i="91"/>
  <c r="F116" i="91"/>
  <c r="E116" i="91"/>
  <c r="D116" i="91"/>
  <c r="C116" i="91"/>
  <c r="Z115" i="91"/>
  <c r="Z114" i="91"/>
  <c r="Z113" i="91"/>
  <c r="Z112" i="91"/>
  <c r="Z111" i="91"/>
  <c r="Z110" i="91"/>
  <c r="Z109" i="91"/>
  <c r="Z108" i="91"/>
  <c r="Y105" i="91"/>
  <c r="X105" i="91"/>
  <c r="W105" i="91"/>
  <c r="V105" i="91"/>
  <c r="U105" i="91"/>
  <c r="T105" i="91"/>
  <c r="S105" i="91"/>
  <c r="R105" i="91"/>
  <c r="Q105" i="91"/>
  <c r="P105" i="91"/>
  <c r="O105" i="91"/>
  <c r="N105" i="91"/>
  <c r="M105" i="91"/>
  <c r="L105" i="91"/>
  <c r="K105" i="91"/>
  <c r="J105" i="91"/>
  <c r="I105" i="91"/>
  <c r="H105" i="91"/>
  <c r="G105" i="91"/>
  <c r="F105" i="91"/>
  <c r="E105" i="91"/>
  <c r="D105" i="91"/>
  <c r="C105" i="91"/>
  <c r="Z104" i="91"/>
  <c r="Z103" i="91"/>
  <c r="Z102" i="91"/>
  <c r="Z101" i="91"/>
  <c r="Z100" i="91"/>
  <c r="Z99" i="91"/>
  <c r="Z98" i="91"/>
  <c r="Z97" i="91"/>
  <c r="Z96" i="91"/>
  <c r="Z95" i="91"/>
  <c r="Z94" i="91"/>
  <c r="Z93" i="91"/>
  <c r="Z92" i="91"/>
  <c r="Z91" i="91"/>
  <c r="Z90" i="91"/>
  <c r="Z89" i="91"/>
  <c r="Z88" i="91"/>
  <c r="Z87" i="91"/>
  <c r="Z86" i="91"/>
  <c r="Z85" i="91"/>
  <c r="Z84" i="91"/>
  <c r="Z83" i="91"/>
  <c r="Z82" i="91"/>
  <c r="Z81" i="91"/>
  <c r="Z80" i="91"/>
  <c r="Z79" i="91"/>
  <c r="Y76" i="91"/>
  <c r="X76" i="91"/>
  <c r="W76" i="91"/>
  <c r="V76" i="91"/>
  <c r="U76" i="91"/>
  <c r="T76" i="91"/>
  <c r="S76" i="91"/>
  <c r="R76" i="91"/>
  <c r="Q76" i="91"/>
  <c r="P76" i="91"/>
  <c r="O76" i="91"/>
  <c r="N76" i="91"/>
  <c r="M76" i="91"/>
  <c r="L76" i="91"/>
  <c r="K76" i="91"/>
  <c r="J76" i="91"/>
  <c r="I76" i="91"/>
  <c r="H76" i="91"/>
  <c r="G76" i="91"/>
  <c r="F76" i="91"/>
  <c r="E76" i="91"/>
  <c r="D76" i="91"/>
  <c r="C76" i="91"/>
  <c r="Z75" i="91"/>
  <c r="Z74" i="91"/>
  <c r="Z73" i="91"/>
  <c r="Z66" i="91"/>
  <c r="Y66" i="91"/>
  <c r="X66" i="91"/>
  <c r="W66" i="91"/>
  <c r="V66" i="91"/>
  <c r="U66" i="91"/>
  <c r="T66" i="91"/>
  <c r="S66" i="91"/>
  <c r="R66" i="91"/>
  <c r="Q66" i="91"/>
  <c r="P66" i="91"/>
  <c r="O66" i="91"/>
  <c r="N66" i="91"/>
  <c r="M66" i="91"/>
  <c r="L66" i="91"/>
  <c r="K66" i="91"/>
  <c r="J66" i="91"/>
  <c r="I66" i="91"/>
  <c r="H66" i="91"/>
  <c r="G66" i="91"/>
  <c r="F66" i="91"/>
  <c r="E66" i="91"/>
  <c r="D66" i="91"/>
  <c r="C66" i="91"/>
  <c r="Y59" i="91"/>
  <c r="E59" i="91"/>
  <c r="D59" i="91"/>
  <c r="Z57" i="91"/>
  <c r="Y57" i="91"/>
  <c r="X57" i="91"/>
  <c r="W57" i="91"/>
  <c r="V57" i="91"/>
  <c r="U57" i="91"/>
  <c r="T57" i="91"/>
  <c r="S57" i="91"/>
  <c r="R57" i="91"/>
  <c r="Q57" i="91"/>
  <c r="P57" i="91"/>
  <c r="O57" i="91"/>
  <c r="N57" i="91"/>
  <c r="M57" i="91"/>
  <c r="L57" i="91"/>
  <c r="K57" i="91"/>
  <c r="J57" i="91"/>
  <c r="I57" i="91"/>
  <c r="H57" i="91"/>
  <c r="G57" i="91"/>
  <c r="F57" i="91"/>
  <c r="E57" i="91"/>
  <c r="D57" i="91"/>
  <c r="C57" i="91"/>
  <c r="Z52" i="91"/>
  <c r="Z59" i="91" s="1"/>
  <c r="Y52" i="91"/>
  <c r="X52" i="91"/>
  <c r="X59" i="91" s="1"/>
  <c r="W52" i="91"/>
  <c r="W59" i="91" s="1"/>
  <c r="V52" i="91"/>
  <c r="V59" i="91" s="1"/>
  <c r="U52" i="91"/>
  <c r="U59" i="91" s="1"/>
  <c r="T52" i="91"/>
  <c r="T59" i="91" s="1"/>
  <c r="S52" i="91"/>
  <c r="S59" i="91" s="1"/>
  <c r="R52" i="91"/>
  <c r="R59" i="91" s="1"/>
  <c r="Q52" i="91"/>
  <c r="Q59" i="91" s="1"/>
  <c r="P52" i="91"/>
  <c r="P59" i="91" s="1"/>
  <c r="O52" i="91"/>
  <c r="O59" i="91" s="1"/>
  <c r="N52" i="91"/>
  <c r="N59" i="91" s="1"/>
  <c r="M52" i="91"/>
  <c r="M59" i="91" s="1"/>
  <c r="L52" i="91"/>
  <c r="L59" i="91" s="1"/>
  <c r="K52" i="91"/>
  <c r="K59" i="91" s="1"/>
  <c r="J52" i="91"/>
  <c r="J59" i="91" s="1"/>
  <c r="I52" i="91"/>
  <c r="I59" i="91" s="1"/>
  <c r="H52" i="91"/>
  <c r="H59" i="91" s="1"/>
  <c r="G52" i="91"/>
  <c r="G59" i="91" s="1"/>
  <c r="F52" i="91"/>
  <c r="F59" i="91" s="1"/>
  <c r="E52" i="91"/>
  <c r="D52" i="91"/>
  <c r="C52" i="91"/>
  <c r="C59" i="91" s="1"/>
  <c r="Z41" i="91"/>
  <c r="Y41" i="91"/>
  <c r="X41" i="91"/>
  <c r="W41" i="91"/>
  <c r="V41" i="91"/>
  <c r="U41" i="91"/>
  <c r="T41" i="91"/>
  <c r="S41" i="91"/>
  <c r="R41" i="91"/>
  <c r="Q41" i="91"/>
  <c r="P41" i="91"/>
  <c r="O41" i="91"/>
  <c r="N41" i="91"/>
  <c r="M41" i="91"/>
  <c r="L41" i="91"/>
  <c r="K41" i="91"/>
  <c r="J41" i="91"/>
  <c r="I41" i="91"/>
  <c r="H41" i="91"/>
  <c r="G41" i="91"/>
  <c r="F41" i="91"/>
  <c r="E41" i="91"/>
  <c r="D41" i="91"/>
  <c r="C41" i="91"/>
  <c r="Y21" i="91"/>
  <c r="X21" i="91"/>
  <c r="X23" i="91" s="1"/>
  <c r="X43" i="91" s="1"/>
  <c r="W21" i="91"/>
  <c r="V21" i="91"/>
  <c r="U21" i="91"/>
  <c r="U23" i="91" s="1"/>
  <c r="U43" i="91" s="1"/>
  <c r="T21" i="91"/>
  <c r="S21" i="91"/>
  <c r="R21" i="91"/>
  <c r="Q21" i="91"/>
  <c r="P21" i="91"/>
  <c r="P23" i="91" s="1"/>
  <c r="P43" i="91" s="1"/>
  <c r="O21" i="91"/>
  <c r="N21" i="91"/>
  <c r="M21" i="91"/>
  <c r="M23" i="91" s="1"/>
  <c r="M43" i="91" s="1"/>
  <c r="L21" i="91"/>
  <c r="K21" i="91"/>
  <c r="J21" i="91"/>
  <c r="I21" i="91"/>
  <c r="H21" i="91"/>
  <c r="H23" i="91" s="1"/>
  <c r="H43" i="91" s="1"/>
  <c r="G21" i="91"/>
  <c r="F21" i="91"/>
  <c r="E21" i="91"/>
  <c r="E23" i="91" s="1"/>
  <c r="E43" i="91" s="1"/>
  <c r="D21" i="91"/>
  <c r="C21" i="91"/>
  <c r="Z20" i="91"/>
  <c r="Z19" i="91"/>
  <c r="Z18" i="91"/>
  <c r="Z17" i="91"/>
  <c r="Z16" i="91"/>
  <c r="Z21" i="91" s="1"/>
  <c r="Y13" i="91"/>
  <c r="X13" i="91"/>
  <c r="W13" i="91"/>
  <c r="W23" i="91" s="1"/>
  <c r="W43" i="91" s="1"/>
  <c r="V13" i="91"/>
  <c r="U13" i="91"/>
  <c r="T13" i="91"/>
  <c r="T23" i="91" s="1"/>
  <c r="T43" i="91" s="1"/>
  <c r="S13" i="91"/>
  <c r="S23" i="91" s="1"/>
  <c r="R13" i="91"/>
  <c r="R23" i="91" s="1"/>
  <c r="R43" i="91" s="1"/>
  <c r="Q13" i="91"/>
  <c r="P13" i="91"/>
  <c r="O13" i="91"/>
  <c r="O23" i="91" s="1"/>
  <c r="O43" i="91" s="1"/>
  <c r="N13" i="91"/>
  <c r="M13" i="91"/>
  <c r="L13" i="91"/>
  <c r="L23" i="91" s="1"/>
  <c r="L43" i="91" s="1"/>
  <c r="K13" i="91"/>
  <c r="K23" i="91" s="1"/>
  <c r="J13" i="91"/>
  <c r="J23" i="91" s="1"/>
  <c r="J43" i="91" s="1"/>
  <c r="I13" i="91"/>
  <c r="H13" i="91"/>
  <c r="G13" i="91"/>
  <c r="G23" i="91" s="1"/>
  <c r="G43" i="91" s="1"/>
  <c r="F13" i="91"/>
  <c r="E13" i="91"/>
  <c r="D13" i="91"/>
  <c r="D23" i="91" s="1"/>
  <c r="D43" i="91" s="1"/>
  <c r="C13" i="91"/>
  <c r="C23" i="91" s="1"/>
  <c r="Z12" i="91"/>
  <c r="Z11" i="91"/>
  <c r="S61" i="90"/>
  <c r="S59" i="90"/>
  <c r="N57" i="90"/>
  <c r="L57" i="90"/>
  <c r="N56" i="90"/>
  <c r="L56" i="90"/>
  <c r="L55" i="90"/>
  <c r="N55" i="90" s="1"/>
  <c r="M12" i="90" s="1"/>
  <c r="X12" i="90" s="1"/>
  <c r="I15" i="105" s="1"/>
  <c r="L54" i="90"/>
  <c r="N54" i="90" s="1"/>
  <c r="M9" i="90" s="1"/>
  <c r="N53" i="90"/>
  <c r="L53" i="90"/>
  <c r="N52" i="90"/>
  <c r="L52" i="90"/>
  <c r="L51" i="90"/>
  <c r="N51" i="90" s="1"/>
  <c r="M7" i="90" s="1"/>
  <c r="M25" i="90" s="1"/>
  <c r="N58" i="90" s="1"/>
  <c r="P35" i="90"/>
  <c r="N35" i="90"/>
  <c r="M35" i="90"/>
  <c r="L35" i="90"/>
  <c r="K35" i="90"/>
  <c r="E35" i="90"/>
  <c r="F34" i="90"/>
  <c r="W34" i="90" s="1"/>
  <c r="D33" i="90"/>
  <c r="D32" i="90"/>
  <c r="D30" i="90"/>
  <c r="D29" i="90"/>
  <c r="E23" i="90"/>
  <c r="D23" i="90"/>
  <c r="F22" i="90"/>
  <c r="C23" i="90"/>
  <c r="S20" i="90"/>
  <c r="F17" i="90"/>
  <c r="W17" i="90" s="1"/>
  <c r="D16" i="90"/>
  <c r="D15" i="90"/>
  <c r="K14" i="90"/>
  <c r="X14" i="90" s="1"/>
  <c r="I18" i="105" s="1"/>
  <c r="D14" i="90"/>
  <c r="D13" i="90"/>
  <c r="P11" i="90"/>
  <c r="N11" i="90"/>
  <c r="D11" i="90"/>
  <c r="D10" i="90"/>
  <c r="K9" i="90"/>
  <c r="D9" i="90"/>
  <c r="O8" i="90"/>
  <c r="C8" i="90"/>
  <c r="F8" i="90" s="1"/>
  <c r="P7" i="90"/>
  <c r="P25" i="90" s="1"/>
  <c r="L7" i="90"/>
  <c r="L25" i="90" s="1"/>
  <c r="K7" i="90"/>
  <c r="E7" i="90"/>
  <c r="Z284" i="91" s="1"/>
  <c r="D7" i="90"/>
  <c r="P6" i="90"/>
  <c r="K6" i="90"/>
  <c r="D6" i="90"/>
  <c r="W8" i="90" l="1"/>
  <c r="D8" i="105" s="1"/>
  <c r="F8" i="105" s="1"/>
  <c r="C10" i="80" s="1"/>
  <c r="S8" i="90"/>
  <c r="H59" i="92"/>
  <c r="C43" i="91"/>
  <c r="K43" i="91"/>
  <c r="K61" i="91" s="1"/>
  <c r="K68" i="91" s="1"/>
  <c r="S43" i="91"/>
  <c r="F205" i="92"/>
  <c r="N205" i="92"/>
  <c r="Q235" i="92"/>
  <c r="Q245" i="92" s="1"/>
  <c r="Z148" i="91"/>
  <c r="Z76" i="91"/>
  <c r="Z125" i="91"/>
  <c r="C204" i="91"/>
  <c r="C216" i="91" s="1"/>
  <c r="C217" i="91" s="1"/>
  <c r="K204" i="91"/>
  <c r="S204" i="91"/>
  <c r="S244" i="91"/>
  <c r="F43" i="92"/>
  <c r="N43" i="92"/>
  <c r="Q125" i="92"/>
  <c r="F220" i="100"/>
  <c r="F246" i="100"/>
  <c r="I204" i="91"/>
  <c r="C244" i="91"/>
  <c r="P59" i="92"/>
  <c r="K25" i="90"/>
  <c r="X6" i="90"/>
  <c r="I6" i="105" s="1"/>
  <c r="N25" i="90"/>
  <c r="X11" i="90"/>
  <c r="I13" i="105" s="1"/>
  <c r="I23" i="91"/>
  <c r="I43" i="91" s="1"/>
  <c r="I61" i="91" s="1"/>
  <c r="I68" i="91" s="1"/>
  <c r="Q23" i="91"/>
  <c r="Q43" i="91" s="1"/>
  <c r="Y23" i="91"/>
  <c r="Y43" i="91" s="1"/>
  <c r="Z116" i="91"/>
  <c r="L204" i="91"/>
  <c r="T204" i="91"/>
  <c r="K244" i="91"/>
  <c r="Z13" i="91"/>
  <c r="Z23" i="91" s="1"/>
  <c r="Z43" i="91" s="1"/>
  <c r="O25" i="90"/>
  <c r="X8" i="90"/>
  <c r="I8" i="105" s="1"/>
  <c r="F23" i="91"/>
  <c r="F43" i="91" s="1"/>
  <c r="N23" i="91"/>
  <c r="N43" i="91" s="1"/>
  <c r="V23" i="91"/>
  <c r="V43" i="91" s="1"/>
  <c r="E204" i="91"/>
  <c r="M204" i="91"/>
  <c r="U204" i="91"/>
  <c r="U216" i="91" s="1"/>
  <c r="U217" i="91" s="1"/>
  <c r="Z261" i="91"/>
  <c r="E59" i="92"/>
  <c r="M59" i="92"/>
  <c r="Q262" i="92"/>
  <c r="S9" i="98"/>
  <c r="V9" i="98"/>
  <c r="E10" i="105" s="1"/>
  <c r="X9" i="90"/>
  <c r="I10" i="105" s="1"/>
  <c r="Y204" i="91"/>
  <c r="Y216" i="91" s="1"/>
  <c r="Y217" i="91" s="1"/>
  <c r="S17" i="90"/>
  <c r="I244" i="91"/>
  <c r="Y244" i="91"/>
  <c r="I23" i="92"/>
  <c r="I43" i="92" s="1"/>
  <c r="Q203" i="92"/>
  <c r="S14" i="98"/>
  <c r="V14" i="98"/>
  <c r="E18" i="105" s="1"/>
  <c r="Z137" i="91"/>
  <c r="Q204" i="91"/>
  <c r="Q216" i="91" s="1"/>
  <c r="Q217" i="91" s="1"/>
  <c r="X7" i="90"/>
  <c r="I7" i="105" s="1"/>
  <c r="G204" i="91"/>
  <c r="O204" i="91"/>
  <c r="W204" i="91"/>
  <c r="Z234" i="91"/>
  <c r="Z244" i="91" s="1"/>
  <c r="G23" i="92"/>
  <c r="G43" i="92" s="1"/>
  <c r="O23" i="92"/>
  <c r="O43" i="92" s="1"/>
  <c r="O44" i="92" s="1"/>
  <c r="Q138" i="92"/>
  <c r="S22" i="90"/>
  <c r="W22" i="90"/>
  <c r="D27" i="105" s="1"/>
  <c r="F21" i="90"/>
  <c r="L247" i="99"/>
  <c r="L268" i="99"/>
  <c r="L269" i="99" s="1"/>
  <c r="L274" i="99"/>
  <c r="I247" i="99"/>
  <c r="I274" i="99"/>
  <c r="I268" i="99"/>
  <c r="I269" i="99" s="1"/>
  <c r="K69" i="99"/>
  <c r="K207" i="99"/>
  <c r="K219" i="99" s="1"/>
  <c r="J274" i="100"/>
  <c r="J247" i="100"/>
  <c r="J268" i="100"/>
  <c r="J269" i="100" s="1"/>
  <c r="H247" i="99"/>
  <c r="H274" i="99"/>
  <c r="H268" i="99"/>
  <c r="H269" i="99" s="1"/>
  <c r="C69" i="99"/>
  <c r="C207" i="99"/>
  <c r="C219" i="99" s="1"/>
  <c r="G69" i="99"/>
  <c r="G207" i="99"/>
  <c r="G219" i="99" s="1"/>
  <c r="D247" i="99"/>
  <c r="D268" i="99"/>
  <c r="D269" i="99" s="1"/>
  <c r="D274" i="99"/>
  <c r="S69" i="99"/>
  <c r="S207" i="99"/>
  <c r="S219" i="99" s="1"/>
  <c r="O69" i="99"/>
  <c r="O207" i="99"/>
  <c r="O219" i="99" s="1"/>
  <c r="E247" i="100"/>
  <c r="E268" i="100"/>
  <c r="E269" i="100" s="1"/>
  <c r="E274" i="100"/>
  <c r="C35" i="98" s="1"/>
  <c r="F35" i="98" s="1"/>
  <c r="L220" i="100"/>
  <c r="L246" i="100"/>
  <c r="M246" i="99"/>
  <c r="M220" i="99"/>
  <c r="T247" i="99"/>
  <c r="T274" i="99"/>
  <c r="T268" i="99"/>
  <c r="T269" i="99" s="1"/>
  <c r="G247" i="100"/>
  <c r="G268" i="100"/>
  <c r="G269" i="100" s="1"/>
  <c r="G274" i="100"/>
  <c r="C247" i="100"/>
  <c r="C274" i="100"/>
  <c r="C34" i="98" s="1"/>
  <c r="C268" i="100"/>
  <c r="C269" i="100" s="1"/>
  <c r="I247" i="100"/>
  <c r="I268" i="100"/>
  <c r="I269" i="100" s="1"/>
  <c r="I274" i="100"/>
  <c r="C37" i="98" s="1"/>
  <c r="F37" i="98" s="1"/>
  <c r="K247" i="100"/>
  <c r="K274" i="100"/>
  <c r="K268" i="100"/>
  <c r="K269" i="100" s="1"/>
  <c r="P247" i="99"/>
  <c r="P274" i="99"/>
  <c r="P268" i="99"/>
  <c r="P269" i="99" s="1"/>
  <c r="H220" i="100"/>
  <c r="H246" i="100"/>
  <c r="M246" i="100"/>
  <c r="M220" i="100"/>
  <c r="W69" i="99"/>
  <c r="W207" i="99"/>
  <c r="W219" i="99" s="1"/>
  <c r="Y247" i="99"/>
  <c r="Y274" i="99"/>
  <c r="Y268" i="99"/>
  <c r="Y269" i="99" s="1"/>
  <c r="D220" i="100"/>
  <c r="D246" i="100"/>
  <c r="X247" i="99"/>
  <c r="X274" i="99"/>
  <c r="X268" i="99"/>
  <c r="X269" i="99" s="1"/>
  <c r="Z61" i="91"/>
  <c r="Z68" i="91" s="1"/>
  <c r="Z44" i="91"/>
  <c r="D61" i="91"/>
  <c r="D68" i="91" s="1"/>
  <c r="D44" i="91"/>
  <c r="L61" i="91"/>
  <c r="L68" i="91" s="1"/>
  <c r="L44" i="91"/>
  <c r="H61" i="91"/>
  <c r="H68" i="91" s="1"/>
  <c r="H44" i="91"/>
  <c r="P61" i="91"/>
  <c r="P68" i="91" s="1"/>
  <c r="P44" i="91"/>
  <c r="X61" i="91"/>
  <c r="X68" i="91" s="1"/>
  <c r="X44" i="91"/>
  <c r="T61" i="91"/>
  <c r="T68" i="91" s="1"/>
  <c r="T44" i="91"/>
  <c r="E61" i="91"/>
  <c r="E68" i="91" s="1"/>
  <c r="E44" i="91"/>
  <c r="I44" i="91"/>
  <c r="M61" i="91"/>
  <c r="M68" i="91" s="1"/>
  <c r="M44" i="91"/>
  <c r="Q61" i="91"/>
  <c r="Q68" i="91" s="1"/>
  <c r="Q44" i="91"/>
  <c r="U44" i="91"/>
  <c r="U61" i="91"/>
  <c r="U68" i="91" s="1"/>
  <c r="Y61" i="91"/>
  <c r="Y68" i="91" s="1"/>
  <c r="Y44" i="91"/>
  <c r="F61" i="91"/>
  <c r="F68" i="91" s="1"/>
  <c r="F44" i="91"/>
  <c r="J61" i="91"/>
  <c r="J68" i="91" s="1"/>
  <c r="J44" i="91"/>
  <c r="N61" i="91"/>
  <c r="N68" i="91" s="1"/>
  <c r="N44" i="91"/>
  <c r="R61" i="91"/>
  <c r="R68" i="91" s="1"/>
  <c r="R44" i="91"/>
  <c r="V61" i="91"/>
  <c r="V68" i="91" s="1"/>
  <c r="V44" i="91"/>
  <c r="E216" i="91"/>
  <c r="E217" i="91" s="1"/>
  <c r="E205" i="91"/>
  <c r="I216" i="91"/>
  <c r="M216" i="91"/>
  <c r="M217" i="91" s="1"/>
  <c r="M205" i="91"/>
  <c r="C61" i="91"/>
  <c r="C68" i="91" s="1"/>
  <c r="C44" i="91"/>
  <c r="G61" i="91"/>
  <c r="G68" i="91" s="1"/>
  <c r="G44" i="91"/>
  <c r="O61" i="91"/>
  <c r="O68" i="91" s="1"/>
  <c r="O44" i="91"/>
  <c r="S61" i="91"/>
  <c r="S68" i="91" s="1"/>
  <c r="S44" i="91"/>
  <c r="W61" i="91"/>
  <c r="W68" i="91" s="1"/>
  <c r="W44" i="91"/>
  <c r="F204" i="91"/>
  <c r="J204" i="91"/>
  <c r="N204" i="91"/>
  <c r="R204" i="91"/>
  <c r="V204" i="91"/>
  <c r="Z105" i="91"/>
  <c r="Z204" i="91" s="1"/>
  <c r="G216" i="91"/>
  <c r="G217" i="91" s="1"/>
  <c r="G205" i="91"/>
  <c r="K216" i="91"/>
  <c r="K217" i="91" s="1"/>
  <c r="K205" i="91"/>
  <c r="O216" i="91"/>
  <c r="O217" i="91" s="1"/>
  <c r="O205" i="91"/>
  <c r="S216" i="91"/>
  <c r="S217" i="91" s="1"/>
  <c r="S205" i="91"/>
  <c r="W216" i="91"/>
  <c r="W217" i="91" s="1"/>
  <c r="W205" i="91"/>
  <c r="E18" i="90"/>
  <c r="E25" i="90" s="1"/>
  <c r="D204" i="91"/>
  <c r="H204" i="91"/>
  <c r="L216" i="91"/>
  <c r="L217" i="91" s="1"/>
  <c r="L205" i="91"/>
  <c r="P216" i="91"/>
  <c r="P217" i="91" s="1"/>
  <c r="P205" i="91"/>
  <c r="T216" i="91"/>
  <c r="T217" i="91" s="1"/>
  <c r="T205" i="91"/>
  <c r="X216" i="91"/>
  <c r="X217" i="91" s="1"/>
  <c r="X205" i="91"/>
  <c r="J61" i="92"/>
  <c r="J68" i="92" s="1"/>
  <c r="J44" i="92"/>
  <c r="G61" i="92"/>
  <c r="G68" i="92" s="1"/>
  <c r="G44" i="92"/>
  <c r="D244" i="91"/>
  <c r="H244" i="91"/>
  <c r="L244" i="91"/>
  <c r="P244" i="91"/>
  <c r="T244" i="91"/>
  <c r="X244" i="91"/>
  <c r="E61" i="92"/>
  <c r="E68" i="92" s="1"/>
  <c r="E44" i="92"/>
  <c r="I61" i="92"/>
  <c r="I68" i="92" s="1"/>
  <c r="I44" i="92"/>
  <c r="M61" i="92"/>
  <c r="M68" i="92" s="1"/>
  <c r="M44" i="92"/>
  <c r="C61" i="92"/>
  <c r="C68" i="92" s="1"/>
  <c r="F206" i="92"/>
  <c r="F217" i="92"/>
  <c r="F218" i="92" s="1"/>
  <c r="N206" i="92"/>
  <c r="N217" i="92"/>
  <c r="N218" i="92" s="1"/>
  <c r="E205" i="92"/>
  <c r="I205" i="92"/>
  <c r="M205" i="92"/>
  <c r="F61" i="92"/>
  <c r="F68" i="92" s="1"/>
  <c r="F44" i="92"/>
  <c r="N61" i="92"/>
  <c r="N68" i="92" s="1"/>
  <c r="N44" i="92"/>
  <c r="K61" i="92"/>
  <c r="K68" i="92" s="1"/>
  <c r="J217" i="92"/>
  <c r="J218" i="92" s="1"/>
  <c r="J206" i="92"/>
  <c r="Q13" i="92"/>
  <c r="Q23" i="92" s="1"/>
  <c r="Q43" i="92" s="1"/>
  <c r="Q21" i="92"/>
  <c r="D61" i="92"/>
  <c r="D68" i="92" s="1"/>
  <c r="D44" i="92"/>
  <c r="L61" i="92"/>
  <c r="L68" i="92" s="1"/>
  <c r="L44" i="92"/>
  <c r="D205" i="92"/>
  <c r="H205" i="92"/>
  <c r="L205" i="92"/>
  <c r="P205" i="92"/>
  <c r="C245" i="92"/>
  <c r="G245" i="92"/>
  <c r="D31" i="90" s="1"/>
  <c r="D35" i="90" s="1"/>
  <c r="K245" i="92"/>
  <c r="O245" i="92"/>
  <c r="H61" i="92"/>
  <c r="H68" i="92" s="1"/>
  <c r="H44" i="92"/>
  <c r="P61" i="92"/>
  <c r="P68" i="92" s="1"/>
  <c r="P44" i="92"/>
  <c r="Q149" i="92"/>
  <c r="Q105" i="92"/>
  <c r="Q116" i="92"/>
  <c r="C205" i="92"/>
  <c r="G205" i="92"/>
  <c r="K205" i="92"/>
  <c r="O205" i="92"/>
  <c r="Y205" i="91" l="1"/>
  <c r="I205" i="91"/>
  <c r="I217" i="91"/>
  <c r="O61" i="92"/>
  <c r="O68" i="92" s="1"/>
  <c r="O69" i="92" s="1"/>
  <c r="K44" i="91"/>
  <c r="U205" i="91"/>
  <c r="F268" i="100"/>
  <c r="F269" i="100" s="1"/>
  <c r="F274" i="100"/>
  <c r="F247" i="100"/>
  <c r="Q205" i="92"/>
  <c r="C205" i="91"/>
  <c r="Q205" i="91"/>
  <c r="S37" i="98"/>
  <c r="V37" i="98"/>
  <c r="E19" i="105" s="1"/>
  <c r="S35" i="98"/>
  <c r="V35" i="98"/>
  <c r="E9" i="105" s="1"/>
  <c r="M8" i="105"/>
  <c r="K8" i="105"/>
  <c r="T8" i="105" s="1"/>
  <c r="F23" i="90"/>
  <c r="W21" i="90"/>
  <c r="S21" i="90"/>
  <c r="W220" i="99"/>
  <c r="W246" i="99"/>
  <c r="C16" i="98"/>
  <c r="F16" i="98" s="1"/>
  <c r="H274" i="100"/>
  <c r="C36" i="98" s="1"/>
  <c r="F36" i="98" s="1"/>
  <c r="H247" i="100"/>
  <c r="H268" i="100"/>
  <c r="H269" i="100" s="1"/>
  <c r="F34" i="98"/>
  <c r="V34" i="98" s="1"/>
  <c r="C220" i="99"/>
  <c r="C246" i="99"/>
  <c r="C5" i="98"/>
  <c r="K220" i="99"/>
  <c r="K246" i="99"/>
  <c r="M247" i="99"/>
  <c r="M274" i="99"/>
  <c r="M268" i="99"/>
  <c r="M269" i="99" s="1"/>
  <c r="S220" i="99"/>
  <c r="S246" i="99"/>
  <c r="C13" i="98"/>
  <c r="F13" i="98" s="1"/>
  <c r="L274" i="100"/>
  <c r="L247" i="100"/>
  <c r="L268" i="100"/>
  <c r="L269" i="100" s="1"/>
  <c r="G220" i="99"/>
  <c r="G246" i="99"/>
  <c r="D274" i="100"/>
  <c r="D247" i="100"/>
  <c r="D268" i="100"/>
  <c r="D269" i="100" s="1"/>
  <c r="M247" i="100"/>
  <c r="M274" i="100"/>
  <c r="M268" i="100"/>
  <c r="M269" i="100" s="1"/>
  <c r="O220" i="99"/>
  <c r="O246" i="99"/>
  <c r="C11" i="98"/>
  <c r="F11" i="98" s="1"/>
  <c r="Z216" i="91"/>
  <c r="Z217" i="91" s="1"/>
  <c r="Z205" i="91"/>
  <c r="Q206" i="92"/>
  <c r="Q217" i="92"/>
  <c r="Q218" i="92" s="1"/>
  <c r="C217" i="92"/>
  <c r="C218" i="92" s="1"/>
  <c r="C206" i="92"/>
  <c r="L69" i="92"/>
  <c r="L208" i="92"/>
  <c r="L220" i="92" s="1"/>
  <c r="I208" i="92"/>
  <c r="I220" i="92" s="1"/>
  <c r="I69" i="92"/>
  <c r="G217" i="92"/>
  <c r="G218" i="92" s="1"/>
  <c r="G206" i="92"/>
  <c r="P206" i="92"/>
  <c r="P217" i="92"/>
  <c r="P218" i="92" s="1"/>
  <c r="E206" i="92"/>
  <c r="E217" i="92"/>
  <c r="E218" i="92" s="1"/>
  <c r="H216" i="91"/>
  <c r="H217" i="91" s="1"/>
  <c r="H205" i="91"/>
  <c r="V216" i="91"/>
  <c r="V217" i="91" s="1"/>
  <c r="V205" i="91"/>
  <c r="F216" i="91"/>
  <c r="F217" i="91" s="1"/>
  <c r="F205" i="91"/>
  <c r="S207" i="91"/>
  <c r="S219" i="91" s="1"/>
  <c r="S69" i="91"/>
  <c r="K207" i="91"/>
  <c r="K219" i="91" s="1"/>
  <c r="K69" i="91"/>
  <c r="C207" i="91"/>
  <c r="C219" i="91" s="1"/>
  <c r="C69" i="91"/>
  <c r="U207" i="91"/>
  <c r="U219" i="91" s="1"/>
  <c r="U69" i="91"/>
  <c r="K69" i="92"/>
  <c r="K208" i="92"/>
  <c r="K220" i="92" s="1"/>
  <c r="R216" i="91"/>
  <c r="R217" i="91" s="1"/>
  <c r="R205" i="91"/>
  <c r="V207" i="91"/>
  <c r="V219" i="91" s="1"/>
  <c r="V69" i="91"/>
  <c r="N207" i="91"/>
  <c r="N219" i="91" s="1"/>
  <c r="N69" i="91"/>
  <c r="F207" i="91"/>
  <c r="F219" i="91" s="1"/>
  <c r="F69" i="91"/>
  <c r="M207" i="91"/>
  <c r="M219" i="91" s="1"/>
  <c r="M69" i="91"/>
  <c r="E207" i="91"/>
  <c r="E219" i="91" s="1"/>
  <c r="E69" i="91"/>
  <c r="X207" i="91"/>
  <c r="X219" i="91" s="1"/>
  <c r="X69" i="91"/>
  <c r="H207" i="91"/>
  <c r="H219" i="91" s="1"/>
  <c r="H69" i="91"/>
  <c r="D207" i="91"/>
  <c r="D219" i="91" s="1"/>
  <c r="D69" i="91"/>
  <c r="Q61" i="92"/>
  <c r="Q68" i="92" s="1"/>
  <c r="Q44" i="92"/>
  <c r="H206" i="92"/>
  <c r="H217" i="92"/>
  <c r="H218" i="92" s="1"/>
  <c r="M206" i="92"/>
  <c r="M217" i="92"/>
  <c r="M218" i="92" s="1"/>
  <c r="N216" i="91"/>
  <c r="N217" i="91" s="1"/>
  <c r="N205" i="91"/>
  <c r="W207" i="91"/>
  <c r="W219" i="91" s="1"/>
  <c r="W69" i="91"/>
  <c r="O207" i="91"/>
  <c r="O219" i="91" s="1"/>
  <c r="O69" i="91"/>
  <c r="G207" i="91"/>
  <c r="G219" i="91" s="1"/>
  <c r="G69" i="91"/>
  <c r="P69" i="92"/>
  <c r="P208" i="92"/>
  <c r="P220" i="92" s="1"/>
  <c r="L206" i="92"/>
  <c r="L217" i="92"/>
  <c r="L218" i="92" s="1"/>
  <c r="F208" i="92"/>
  <c r="F220" i="92" s="1"/>
  <c r="F69" i="92"/>
  <c r="C69" i="92"/>
  <c r="C208" i="92"/>
  <c r="C220" i="92" s="1"/>
  <c r="G69" i="92"/>
  <c r="G208" i="92"/>
  <c r="G220" i="92" s="1"/>
  <c r="D216" i="91"/>
  <c r="D217" i="91" s="1"/>
  <c r="D205" i="91"/>
  <c r="O217" i="92"/>
  <c r="O218" i="92" s="1"/>
  <c r="O206" i="92"/>
  <c r="K217" i="92"/>
  <c r="K218" i="92" s="1"/>
  <c r="K206" i="92"/>
  <c r="H69" i="92"/>
  <c r="H208" i="92"/>
  <c r="H220" i="92" s="1"/>
  <c r="D206" i="92"/>
  <c r="D217" i="92"/>
  <c r="D218" i="92" s="1"/>
  <c r="D69" i="92"/>
  <c r="D208" i="92"/>
  <c r="D220" i="92" s="1"/>
  <c r="N208" i="92"/>
  <c r="N220" i="92" s="1"/>
  <c r="N69" i="92"/>
  <c r="I206" i="92"/>
  <c r="I217" i="92"/>
  <c r="I218" i="92" s="1"/>
  <c r="M208" i="92"/>
  <c r="M220" i="92" s="1"/>
  <c r="M69" i="92"/>
  <c r="E208" i="92"/>
  <c r="E220" i="92" s="1"/>
  <c r="E69" i="92"/>
  <c r="J208" i="92"/>
  <c r="J220" i="92" s="1"/>
  <c r="J69" i="92"/>
  <c r="J216" i="91"/>
  <c r="J217" i="91" s="1"/>
  <c r="J205" i="91"/>
  <c r="R207" i="91"/>
  <c r="R219" i="91" s="1"/>
  <c r="R69" i="91"/>
  <c r="J207" i="91"/>
  <c r="J219" i="91" s="1"/>
  <c r="J69" i="91"/>
  <c r="Y207" i="91"/>
  <c r="Y219" i="91" s="1"/>
  <c r="Y69" i="91"/>
  <c r="Q207" i="91"/>
  <c r="Q219" i="91" s="1"/>
  <c r="Q69" i="91"/>
  <c r="I207" i="91"/>
  <c r="I219" i="91" s="1"/>
  <c r="I69" i="91"/>
  <c r="T207" i="91"/>
  <c r="T219" i="91" s="1"/>
  <c r="T69" i="91"/>
  <c r="P207" i="91"/>
  <c r="P219" i="91" s="1"/>
  <c r="P69" i="91"/>
  <c r="L207" i="91"/>
  <c r="L219" i="91" s="1"/>
  <c r="L69" i="91"/>
  <c r="Z207" i="91"/>
  <c r="Z219" i="91" s="1"/>
  <c r="Z69" i="91"/>
  <c r="S13" i="98" l="1"/>
  <c r="V13" i="98"/>
  <c r="E17" i="105" s="1"/>
  <c r="O208" i="92"/>
  <c r="O220" i="92" s="1"/>
  <c r="S11" i="98"/>
  <c r="V11" i="98"/>
  <c r="E13" i="105" s="1"/>
  <c r="E29" i="105" s="1"/>
  <c r="S36" i="98"/>
  <c r="V36" i="98"/>
  <c r="E14" i="105" s="1"/>
  <c r="C39" i="98"/>
  <c r="S16" i="98"/>
  <c r="V16" i="98"/>
  <c r="E26" i="105" s="1"/>
  <c r="D28" i="105"/>
  <c r="G247" i="99"/>
  <c r="G274" i="99"/>
  <c r="G268" i="99"/>
  <c r="G269" i="99" s="1"/>
  <c r="C18" i="98"/>
  <c r="C25" i="98" s="1"/>
  <c r="F5" i="98"/>
  <c r="V5" i="98" s="1"/>
  <c r="S34" i="98"/>
  <c r="S39" i="98" s="1"/>
  <c r="F42" i="98"/>
  <c r="F39" i="98"/>
  <c r="O247" i="99"/>
  <c r="O274" i="99"/>
  <c r="O268" i="99"/>
  <c r="O269" i="99" s="1"/>
  <c r="S247" i="99"/>
  <c r="S274" i="99"/>
  <c r="S268" i="99"/>
  <c r="S269" i="99" s="1"/>
  <c r="C247" i="99"/>
  <c r="C274" i="99"/>
  <c r="C268" i="99"/>
  <c r="C269" i="99" s="1"/>
  <c r="W247" i="99"/>
  <c r="W274" i="99"/>
  <c r="W268" i="99"/>
  <c r="W269" i="99" s="1"/>
  <c r="K247" i="99"/>
  <c r="K274" i="99"/>
  <c r="K268" i="99"/>
  <c r="K269" i="99" s="1"/>
  <c r="O221" i="92"/>
  <c r="O247" i="92"/>
  <c r="C221" i="92"/>
  <c r="C247" i="92"/>
  <c r="K221" i="92"/>
  <c r="K247" i="92"/>
  <c r="L247" i="92"/>
  <c r="L221" i="92"/>
  <c r="Q246" i="91"/>
  <c r="Q220" i="91"/>
  <c r="M247" i="92"/>
  <c r="M221" i="92"/>
  <c r="G246" i="91"/>
  <c r="G220" i="91"/>
  <c r="W246" i="91"/>
  <c r="W220" i="91"/>
  <c r="C15" i="90"/>
  <c r="F15" i="90" s="1"/>
  <c r="W15" i="90" s="1"/>
  <c r="D20" i="105" s="1"/>
  <c r="Q208" i="92"/>
  <c r="Q220" i="92" s="1"/>
  <c r="Q69" i="92"/>
  <c r="H246" i="91"/>
  <c r="H220" i="91"/>
  <c r="C9" i="90"/>
  <c r="F9" i="90" s="1"/>
  <c r="W9" i="90" s="1"/>
  <c r="D10" i="105" s="1"/>
  <c r="E220" i="91"/>
  <c r="E246" i="91"/>
  <c r="C6" i="90"/>
  <c r="F6" i="90" s="1"/>
  <c r="W6" i="90" s="1"/>
  <c r="D6" i="105" s="1"/>
  <c r="F220" i="91"/>
  <c r="F246" i="91"/>
  <c r="V220" i="91"/>
  <c r="V246" i="91"/>
  <c r="C246" i="91"/>
  <c r="C220" i="91"/>
  <c r="C5" i="90"/>
  <c r="S246" i="91"/>
  <c r="S220" i="91"/>
  <c r="C12" i="90"/>
  <c r="F12" i="90" s="1"/>
  <c r="W12" i="90" s="1"/>
  <c r="D15" i="105" s="1"/>
  <c r="T246" i="91"/>
  <c r="T220" i="91"/>
  <c r="C13" i="90"/>
  <c r="F13" i="90" s="1"/>
  <c r="W13" i="90" s="1"/>
  <c r="D17" i="105" s="1"/>
  <c r="N221" i="92"/>
  <c r="N247" i="92"/>
  <c r="D247" i="92"/>
  <c r="D221" i="92"/>
  <c r="H247" i="92"/>
  <c r="H221" i="92"/>
  <c r="G221" i="92"/>
  <c r="G247" i="92"/>
  <c r="P247" i="92"/>
  <c r="P221" i="92"/>
  <c r="L246" i="91"/>
  <c r="L220" i="91"/>
  <c r="J220" i="91"/>
  <c r="J246" i="91"/>
  <c r="C10" i="90"/>
  <c r="F10" i="90" s="1"/>
  <c r="W10" i="90" s="1"/>
  <c r="D12" i="105" s="1"/>
  <c r="Z220" i="91"/>
  <c r="Z246" i="91"/>
  <c r="P246" i="91"/>
  <c r="P220" i="91"/>
  <c r="C11" i="90"/>
  <c r="F11" i="90" s="1"/>
  <c r="W11" i="90" s="1"/>
  <c r="D13" i="105" s="1"/>
  <c r="I220" i="91"/>
  <c r="I246" i="91"/>
  <c r="Y220" i="91"/>
  <c r="Y246" i="91"/>
  <c r="R246" i="91"/>
  <c r="R220" i="91"/>
  <c r="J221" i="92"/>
  <c r="J247" i="92"/>
  <c r="E247" i="92"/>
  <c r="E221" i="92"/>
  <c r="F221" i="92"/>
  <c r="F247" i="92"/>
  <c r="O246" i="91"/>
  <c r="O220" i="91"/>
  <c r="D246" i="91"/>
  <c r="D220" i="91"/>
  <c r="X246" i="91"/>
  <c r="X220" i="91"/>
  <c r="C16" i="90"/>
  <c r="F16" i="90" s="1"/>
  <c r="W16" i="90" s="1"/>
  <c r="D26" i="105" s="1"/>
  <c r="M246" i="91"/>
  <c r="M220" i="91"/>
  <c r="N220" i="91"/>
  <c r="N246" i="91"/>
  <c r="U220" i="91"/>
  <c r="U246" i="91"/>
  <c r="C14" i="90"/>
  <c r="F14" i="90" s="1"/>
  <c r="W14" i="90" s="1"/>
  <c r="D18" i="105" s="1"/>
  <c r="K246" i="91"/>
  <c r="K220" i="91"/>
  <c r="I247" i="92"/>
  <c r="I221" i="92"/>
  <c r="E31" i="105" l="1"/>
  <c r="E34" i="105" s="1"/>
  <c r="E35" i="105" s="1"/>
  <c r="V39" i="98"/>
  <c r="T39" i="98"/>
  <c r="S5" i="98"/>
  <c r="F18" i="98"/>
  <c r="F25" i="98" s="1"/>
  <c r="S14" i="90"/>
  <c r="I274" i="91"/>
  <c r="Z278" i="91" s="1"/>
  <c r="I247" i="91"/>
  <c r="I268" i="91"/>
  <c r="I269" i="91" s="1"/>
  <c r="P247" i="91"/>
  <c r="P274" i="91"/>
  <c r="P276" i="91" s="1"/>
  <c r="P268" i="91"/>
  <c r="P269" i="91" s="1"/>
  <c r="J274" i="91"/>
  <c r="J247" i="91"/>
  <c r="J268" i="91"/>
  <c r="J269" i="91" s="1"/>
  <c r="N275" i="92"/>
  <c r="N248" i="92"/>
  <c r="N269" i="92"/>
  <c r="N270" i="92" s="1"/>
  <c r="T248" i="91"/>
  <c r="T247" i="91"/>
  <c r="T274" i="91"/>
  <c r="T276" i="91" s="1"/>
  <c r="T268" i="91"/>
  <c r="T269" i="91" s="1"/>
  <c r="F5" i="90"/>
  <c r="W5" i="90" s="1"/>
  <c r="E274" i="91"/>
  <c r="E276" i="91" s="1"/>
  <c r="E247" i="91"/>
  <c r="E268" i="91"/>
  <c r="E269" i="91" s="1"/>
  <c r="H247" i="91"/>
  <c r="H274" i="91"/>
  <c r="H276" i="91" s="1"/>
  <c r="H268" i="91"/>
  <c r="H269" i="91" s="1"/>
  <c r="C275" i="92"/>
  <c r="C29" i="90" s="1"/>
  <c r="C269" i="92"/>
  <c r="C270" i="92" s="1"/>
  <c r="C248" i="92"/>
  <c r="X274" i="91"/>
  <c r="X276" i="91" s="1"/>
  <c r="X247" i="91"/>
  <c r="X268" i="91"/>
  <c r="X269" i="91" s="1"/>
  <c r="R247" i="91"/>
  <c r="R268" i="91"/>
  <c r="R269" i="91" s="1"/>
  <c r="Z247" i="91"/>
  <c r="Z268" i="91"/>
  <c r="Z269" i="91" s="1"/>
  <c r="P275" i="92"/>
  <c r="P248" i="92"/>
  <c r="P269" i="92"/>
  <c r="P270" i="92" s="1"/>
  <c r="H248" i="92"/>
  <c r="H269" i="92"/>
  <c r="S12" i="90"/>
  <c r="F274" i="91"/>
  <c r="F248" i="91"/>
  <c r="F247" i="91"/>
  <c r="F268" i="91"/>
  <c r="F269" i="91" s="1"/>
  <c r="W274" i="91"/>
  <c r="W276" i="91" s="1"/>
  <c r="W268" i="91"/>
  <c r="W269" i="91" s="1"/>
  <c r="W247" i="91"/>
  <c r="M248" i="92"/>
  <c r="M269" i="92"/>
  <c r="L248" i="92"/>
  <c r="L275" i="92"/>
  <c r="C33" i="90" s="1"/>
  <c r="F33" i="90" s="1"/>
  <c r="W33" i="90" s="1"/>
  <c r="D19" i="105" s="1"/>
  <c r="L269" i="92"/>
  <c r="L270" i="92" s="1"/>
  <c r="I248" i="92"/>
  <c r="I275" i="92"/>
  <c r="I269" i="92"/>
  <c r="I270" i="92" s="1"/>
  <c r="E248" i="92"/>
  <c r="E275" i="92"/>
  <c r="C30" i="90" s="1"/>
  <c r="F30" i="90" s="1"/>
  <c r="W30" i="90" s="1"/>
  <c r="D9" i="105" s="1"/>
  <c r="F9" i="105" s="1"/>
  <c r="E269" i="92"/>
  <c r="E270" i="92" s="1"/>
  <c r="M274" i="91"/>
  <c r="Z281" i="91" s="1"/>
  <c r="M247" i="91"/>
  <c r="M268" i="91"/>
  <c r="M269" i="91" s="1"/>
  <c r="F248" i="92"/>
  <c r="F269" i="92"/>
  <c r="J275" i="92"/>
  <c r="C32" i="90" s="1"/>
  <c r="F32" i="90" s="1"/>
  <c r="W32" i="90" s="1"/>
  <c r="D14" i="105" s="1"/>
  <c r="J248" i="92"/>
  <c r="J269" i="92"/>
  <c r="J270" i="92" s="1"/>
  <c r="Y274" i="91"/>
  <c r="Y247" i="91"/>
  <c r="Y268" i="91"/>
  <c r="Y269" i="91" s="1"/>
  <c r="G11" i="90"/>
  <c r="S11" i="90"/>
  <c r="G275" i="92"/>
  <c r="C31" i="90" s="1"/>
  <c r="F31" i="90" s="1"/>
  <c r="W31" i="90" s="1"/>
  <c r="D11" i="105" s="1"/>
  <c r="G248" i="92"/>
  <c r="G269" i="92"/>
  <c r="G270" i="92" s="1"/>
  <c r="G13" i="90"/>
  <c r="S13" i="90"/>
  <c r="C274" i="91"/>
  <c r="C247" i="91"/>
  <c r="C268" i="91"/>
  <c r="C269" i="91" s="1"/>
  <c r="S9" i="90"/>
  <c r="Q247" i="92"/>
  <c r="Q221" i="92"/>
  <c r="K269" i="92"/>
  <c r="K248" i="92"/>
  <c r="O275" i="92"/>
  <c r="O248" i="92"/>
  <c r="O269" i="92"/>
  <c r="O270" i="92" s="1"/>
  <c r="U274" i="91"/>
  <c r="U276" i="91" s="1"/>
  <c r="U247" i="91"/>
  <c r="U268" i="91"/>
  <c r="U269" i="91" s="1"/>
  <c r="O274" i="91"/>
  <c r="O276" i="91" s="1"/>
  <c r="O268" i="91"/>
  <c r="O269" i="91" s="1"/>
  <c r="O247" i="91"/>
  <c r="K274" i="91"/>
  <c r="Z279" i="91" s="1"/>
  <c r="K268" i="91"/>
  <c r="K269" i="91" s="1"/>
  <c r="K247" i="91"/>
  <c r="N274" i="91"/>
  <c r="Z282" i="91" s="1"/>
  <c r="N247" i="91"/>
  <c r="N268" i="91"/>
  <c r="N269" i="91" s="1"/>
  <c r="S16" i="90"/>
  <c r="J16" i="90"/>
  <c r="X16" i="90" s="1"/>
  <c r="I26" i="105" s="1"/>
  <c r="G16" i="90"/>
  <c r="D247" i="91"/>
  <c r="D274" i="91"/>
  <c r="D268" i="91"/>
  <c r="D269" i="91" s="1"/>
  <c r="S10" i="90"/>
  <c r="G10" i="90"/>
  <c r="L247" i="91"/>
  <c r="L274" i="91"/>
  <c r="Z280" i="91" s="1"/>
  <c r="L268" i="91"/>
  <c r="L269" i="91" s="1"/>
  <c r="D248" i="92"/>
  <c r="D275" i="92"/>
  <c r="D269" i="92"/>
  <c r="D270" i="92" s="1"/>
  <c r="S274" i="91"/>
  <c r="S276" i="91" s="1"/>
  <c r="S268" i="91"/>
  <c r="S269" i="91" s="1"/>
  <c r="S247" i="91"/>
  <c r="V247" i="91"/>
  <c r="V268" i="91"/>
  <c r="V269" i="91" s="1"/>
  <c r="S6" i="90"/>
  <c r="G6" i="90"/>
  <c r="J15" i="90"/>
  <c r="X15" i="90" s="1"/>
  <c r="I20" i="105" s="1"/>
  <c r="G274" i="91"/>
  <c r="G268" i="91"/>
  <c r="G269" i="91" s="1"/>
  <c r="G247" i="91"/>
  <c r="Q274" i="91"/>
  <c r="Z283" i="91" s="1"/>
  <c r="Q247" i="91"/>
  <c r="Q268" i="91"/>
  <c r="Q269" i="91" s="1"/>
  <c r="S25" i="98" l="1"/>
  <c r="S42" i="98"/>
  <c r="S15" i="90"/>
  <c r="G15" i="90"/>
  <c r="I29" i="105"/>
  <c r="D31" i="105"/>
  <c r="C11" i="80"/>
  <c r="T9" i="105"/>
  <c r="G9" i="90"/>
  <c r="T25" i="98"/>
  <c r="Q248" i="92"/>
  <c r="Q269" i="92"/>
  <c r="Q270" i="92" s="1"/>
  <c r="G33" i="90"/>
  <c r="S33" i="90"/>
  <c r="G12" i="90"/>
  <c r="J5" i="90"/>
  <c r="G5" i="90"/>
  <c r="K273" i="92"/>
  <c r="K275" i="92" s="1"/>
  <c r="K270" i="92"/>
  <c r="C276" i="91"/>
  <c r="Z274" i="91"/>
  <c r="Z286" i="91" s="1"/>
  <c r="C35" i="90"/>
  <c r="F29" i="90"/>
  <c r="W29" i="90" s="1"/>
  <c r="S31" i="90"/>
  <c r="G31" i="90"/>
  <c r="G32" i="90"/>
  <c r="S32" i="90"/>
  <c r="S30" i="90"/>
  <c r="G30" i="90"/>
  <c r="M270" i="92"/>
  <c r="M273" i="92"/>
  <c r="M275" i="92" s="1"/>
  <c r="H273" i="92"/>
  <c r="H275" i="92" s="1"/>
  <c r="H270" i="92"/>
  <c r="G14" i="90"/>
  <c r="F270" i="92"/>
  <c r="F273" i="92"/>
  <c r="C7" i="90"/>
  <c r="F276" i="91" s="1"/>
  <c r="J276" i="91"/>
  <c r="J25" i="90" l="1"/>
  <c r="X5" i="90"/>
  <c r="Y5" i="90" s="1"/>
  <c r="G29" i="90"/>
  <c r="F35" i="90"/>
  <c r="G35" i="90" s="1"/>
  <c r="J29" i="90"/>
  <c r="S5" i="90"/>
  <c r="F7" i="90"/>
  <c r="W7" i="90" s="1"/>
  <c r="G7" i="90"/>
  <c r="C18" i="90"/>
  <c r="C25" i="90" s="1"/>
  <c r="Q273" i="92"/>
  <c r="Q275" i="92" s="1"/>
  <c r="F275" i="92"/>
  <c r="J35" i="90" l="1"/>
  <c r="X29" i="90"/>
  <c r="U11" i="90"/>
  <c r="S25" i="90"/>
  <c r="I31" i="105"/>
  <c r="I34" i="105" s="1"/>
  <c r="I35" i="105" s="1"/>
  <c r="D7" i="105"/>
  <c r="D29" i="105" s="1"/>
  <c r="W35" i="90"/>
  <c r="S29" i="90"/>
  <c r="S7" i="90"/>
  <c r="F18" i="90"/>
  <c r="Q277" i="92"/>
  <c r="S35" i="90" l="1"/>
  <c r="T35" i="90" s="1"/>
  <c r="D34" i="105"/>
  <c r="D35" i="105" s="1"/>
  <c r="S38" i="90"/>
  <c r="F25" i="90"/>
  <c r="G18" i="90"/>
  <c r="T25" i="90"/>
  <c r="G38" i="88" l="1"/>
  <c r="F38" i="88"/>
  <c r="C38" i="85" s="1"/>
  <c r="F38" i="85" s="1"/>
  <c r="G24" i="88"/>
  <c r="F24" i="88"/>
  <c r="L330" i="87"/>
  <c r="H330" i="87"/>
  <c r="Q329" i="87"/>
  <c r="Q330" i="87" s="1"/>
  <c r="P329" i="87"/>
  <c r="P330" i="87" s="1"/>
  <c r="O329" i="87"/>
  <c r="O330" i="87" s="1"/>
  <c r="N329" i="87"/>
  <c r="N330" i="87" s="1"/>
  <c r="I25" i="85" s="1"/>
  <c r="M329" i="87"/>
  <c r="M330" i="87" s="1"/>
  <c r="L329" i="87"/>
  <c r="K329" i="87"/>
  <c r="K330" i="87" s="1"/>
  <c r="I24" i="85" s="1"/>
  <c r="J329" i="87"/>
  <c r="J330" i="87" s="1"/>
  <c r="I329" i="87"/>
  <c r="I330" i="87" s="1"/>
  <c r="H329" i="87"/>
  <c r="G329" i="87"/>
  <c r="G330" i="87" s="1"/>
  <c r="F329" i="87"/>
  <c r="F330" i="87" s="1"/>
  <c r="I27" i="85" s="1"/>
  <c r="E329" i="87"/>
  <c r="E330" i="87" s="1"/>
  <c r="D329" i="87"/>
  <c r="D330" i="87" s="1"/>
  <c r="C329" i="87"/>
  <c r="C330" i="87" s="1"/>
  <c r="I23" i="85" s="1"/>
  <c r="S274" i="87"/>
  <c r="H273" i="87"/>
  <c r="E273" i="87"/>
  <c r="R267" i="87"/>
  <c r="Q267" i="87"/>
  <c r="P267" i="87"/>
  <c r="O267" i="87"/>
  <c r="N267" i="87"/>
  <c r="M267" i="87"/>
  <c r="L267" i="87"/>
  <c r="K267" i="87"/>
  <c r="J267" i="87"/>
  <c r="I267" i="87"/>
  <c r="H267" i="87"/>
  <c r="G267" i="87"/>
  <c r="F267" i="87"/>
  <c r="E267" i="87"/>
  <c r="D267" i="87"/>
  <c r="C267" i="87"/>
  <c r="S266" i="87"/>
  <c r="S267" i="87" s="1"/>
  <c r="R262" i="87"/>
  <c r="Q262" i="87"/>
  <c r="P262" i="87"/>
  <c r="O262" i="87"/>
  <c r="N262" i="87"/>
  <c r="M262" i="87"/>
  <c r="L262" i="87"/>
  <c r="K262" i="87"/>
  <c r="J262" i="87"/>
  <c r="I262" i="87"/>
  <c r="H262" i="87"/>
  <c r="G262" i="87"/>
  <c r="F262" i="87"/>
  <c r="E262" i="87"/>
  <c r="D262" i="87"/>
  <c r="C262" i="87"/>
  <c r="S261" i="87"/>
  <c r="S260" i="87"/>
  <c r="S259" i="87"/>
  <c r="S258" i="87"/>
  <c r="S257" i="87"/>
  <c r="S256" i="87"/>
  <c r="S255" i="87"/>
  <c r="S254" i="87"/>
  <c r="S253" i="87"/>
  <c r="S252" i="87"/>
  <c r="S251" i="87"/>
  <c r="S243" i="87"/>
  <c r="S242" i="87"/>
  <c r="R239" i="87"/>
  <c r="Q239" i="87"/>
  <c r="P239" i="87"/>
  <c r="O239" i="87"/>
  <c r="N239" i="87"/>
  <c r="M239" i="87"/>
  <c r="L239" i="87"/>
  <c r="K239" i="87"/>
  <c r="J239" i="87"/>
  <c r="I239" i="87"/>
  <c r="H239" i="87"/>
  <c r="G239" i="87"/>
  <c r="F239" i="87"/>
  <c r="E239" i="87"/>
  <c r="D239" i="87"/>
  <c r="C239" i="87"/>
  <c r="S238" i="87"/>
  <c r="S239" i="87" s="1"/>
  <c r="R235" i="87"/>
  <c r="R245" i="87" s="1"/>
  <c r="Q235" i="87"/>
  <c r="Q245" i="87" s="1"/>
  <c r="P235" i="87"/>
  <c r="P245" i="87" s="1"/>
  <c r="O235" i="87"/>
  <c r="D31" i="85" s="1"/>
  <c r="N235" i="87"/>
  <c r="M235" i="87"/>
  <c r="M245" i="87" s="1"/>
  <c r="L235" i="87"/>
  <c r="K235" i="87"/>
  <c r="K245" i="87" s="1"/>
  <c r="J235" i="87"/>
  <c r="J245" i="87" s="1"/>
  <c r="I235" i="87"/>
  <c r="H235" i="87"/>
  <c r="H245" i="87" s="1"/>
  <c r="G235" i="87"/>
  <c r="G245" i="87" s="1"/>
  <c r="F235" i="87"/>
  <c r="E235" i="87"/>
  <c r="E245" i="87" s="1"/>
  <c r="D235" i="87"/>
  <c r="C235" i="87"/>
  <c r="C245" i="87" s="1"/>
  <c r="S234" i="87"/>
  <c r="S233" i="87"/>
  <c r="S232" i="87"/>
  <c r="S231" i="87"/>
  <c r="S230" i="87"/>
  <c r="S229" i="87"/>
  <c r="S228" i="87"/>
  <c r="S227" i="87"/>
  <c r="S226" i="87"/>
  <c r="S225" i="87"/>
  <c r="S224" i="87"/>
  <c r="R215" i="87"/>
  <c r="Q215" i="87"/>
  <c r="P215" i="87"/>
  <c r="O215" i="87"/>
  <c r="N215" i="87"/>
  <c r="M215" i="87"/>
  <c r="L215" i="87"/>
  <c r="K215" i="87"/>
  <c r="J215" i="87"/>
  <c r="I215" i="87"/>
  <c r="H215" i="87"/>
  <c r="G215" i="87"/>
  <c r="F215" i="87"/>
  <c r="E215" i="87"/>
  <c r="D215" i="87"/>
  <c r="C215" i="87"/>
  <c r="S214" i="87"/>
  <c r="S213" i="87"/>
  <c r="S212" i="87"/>
  <c r="S211" i="87"/>
  <c r="R203" i="87"/>
  <c r="Q203" i="87"/>
  <c r="P203" i="87"/>
  <c r="O203" i="87"/>
  <c r="N203" i="87"/>
  <c r="M203" i="87"/>
  <c r="M205" i="87" s="1"/>
  <c r="L203" i="87"/>
  <c r="K203" i="87"/>
  <c r="K205" i="87" s="1"/>
  <c r="J203" i="87"/>
  <c r="I203" i="87"/>
  <c r="I205" i="87" s="1"/>
  <c r="I217" i="87" s="1"/>
  <c r="H203" i="87"/>
  <c r="G203" i="87"/>
  <c r="F203" i="87"/>
  <c r="E203" i="87"/>
  <c r="D203" i="87"/>
  <c r="C203" i="87"/>
  <c r="C205" i="87" s="1"/>
  <c r="C217" i="87" s="1"/>
  <c r="S202" i="87"/>
  <c r="S201" i="87"/>
  <c r="S200" i="87"/>
  <c r="S199" i="87"/>
  <c r="S198" i="87"/>
  <c r="S197" i="87"/>
  <c r="S196" i="87"/>
  <c r="S195" i="87"/>
  <c r="S194" i="87"/>
  <c r="S193" i="87"/>
  <c r="S192" i="87"/>
  <c r="S191" i="87"/>
  <c r="S190" i="87"/>
  <c r="S189" i="87"/>
  <c r="S188" i="87"/>
  <c r="S187" i="87"/>
  <c r="S186" i="87"/>
  <c r="S185" i="87"/>
  <c r="S184" i="87"/>
  <c r="S183" i="87"/>
  <c r="S182" i="87"/>
  <c r="S181" i="87"/>
  <c r="S180" i="87"/>
  <c r="S179" i="87"/>
  <c r="S178" i="87"/>
  <c r="S177" i="87"/>
  <c r="S176" i="87"/>
  <c r="S175" i="87"/>
  <c r="S174" i="87"/>
  <c r="S173" i="87"/>
  <c r="S172" i="87"/>
  <c r="S171" i="87"/>
  <c r="S170" i="87"/>
  <c r="S169" i="87"/>
  <c r="S168" i="87"/>
  <c r="S167" i="87"/>
  <c r="S166" i="87"/>
  <c r="S165" i="87"/>
  <c r="S164" i="87"/>
  <c r="S163" i="87"/>
  <c r="S162" i="87"/>
  <c r="S161" i="87"/>
  <c r="S160" i="87"/>
  <c r="S159" i="87"/>
  <c r="S158" i="87"/>
  <c r="S157" i="87"/>
  <c r="S156" i="87"/>
  <c r="S155" i="87"/>
  <c r="S154" i="87"/>
  <c r="S153" i="87"/>
  <c r="S152" i="87"/>
  <c r="R149" i="87"/>
  <c r="Q149" i="87"/>
  <c r="P149" i="87"/>
  <c r="O149" i="87"/>
  <c r="N149" i="87"/>
  <c r="M149" i="87"/>
  <c r="L149" i="87"/>
  <c r="K149" i="87"/>
  <c r="J149" i="87"/>
  <c r="I149" i="87"/>
  <c r="H149" i="87"/>
  <c r="G149" i="87"/>
  <c r="F149" i="87"/>
  <c r="E149" i="87"/>
  <c r="D149" i="87"/>
  <c r="C149" i="87"/>
  <c r="S148" i="87"/>
  <c r="S147" i="87"/>
  <c r="S146" i="87"/>
  <c r="S145" i="87"/>
  <c r="S144" i="87"/>
  <c r="S143" i="87"/>
  <c r="S142" i="87"/>
  <c r="S141" i="87"/>
  <c r="R138" i="87"/>
  <c r="Q138" i="87"/>
  <c r="P138" i="87"/>
  <c r="O138" i="87"/>
  <c r="N138" i="87"/>
  <c r="M138" i="87"/>
  <c r="L138" i="87"/>
  <c r="K138" i="87"/>
  <c r="J138" i="87"/>
  <c r="I138" i="87"/>
  <c r="H138" i="87"/>
  <c r="G138" i="87"/>
  <c r="F138" i="87"/>
  <c r="E138" i="87"/>
  <c r="D138" i="87"/>
  <c r="C138" i="87"/>
  <c r="S137" i="87"/>
  <c r="S136" i="87"/>
  <c r="S135" i="87"/>
  <c r="S134" i="87"/>
  <c r="S133" i="87"/>
  <c r="S132" i="87"/>
  <c r="S131" i="87"/>
  <c r="S130" i="87"/>
  <c r="S129" i="87"/>
  <c r="R126" i="87"/>
  <c r="Q126" i="87"/>
  <c r="P126" i="87"/>
  <c r="O126" i="87"/>
  <c r="N126" i="87"/>
  <c r="M126" i="87"/>
  <c r="L126" i="87"/>
  <c r="K126" i="87"/>
  <c r="J126" i="87"/>
  <c r="I126" i="87"/>
  <c r="H126" i="87"/>
  <c r="G126" i="87"/>
  <c r="F126" i="87"/>
  <c r="E126" i="87"/>
  <c r="D126" i="87"/>
  <c r="C126" i="87"/>
  <c r="S125" i="87"/>
  <c r="S124" i="87"/>
  <c r="S123" i="87"/>
  <c r="S122" i="87"/>
  <c r="S121" i="87"/>
  <c r="S120" i="87"/>
  <c r="R117" i="87"/>
  <c r="Q117" i="87"/>
  <c r="P117" i="87"/>
  <c r="O117" i="87"/>
  <c r="N117" i="87"/>
  <c r="M117" i="87"/>
  <c r="L117" i="87"/>
  <c r="K117" i="87"/>
  <c r="J117" i="87"/>
  <c r="I117" i="87"/>
  <c r="H117" i="87"/>
  <c r="G117" i="87"/>
  <c r="F117" i="87"/>
  <c r="E117" i="87"/>
  <c r="D117" i="87"/>
  <c r="C117" i="87"/>
  <c r="S116" i="87"/>
  <c r="S115" i="87"/>
  <c r="S114" i="87"/>
  <c r="S113" i="87"/>
  <c r="S112" i="87"/>
  <c r="S111" i="87"/>
  <c r="S110" i="87"/>
  <c r="S109" i="87"/>
  <c r="R106" i="87"/>
  <c r="Q106" i="87"/>
  <c r="P106" i="87"/>
  <c r="O106" i="87"/>
  <c r="N106" i="87"/>
  <c r="M106" i="87"/>
  <c r="L106" i="87"/>
  <c r="K106" i="87"/>
  <c r="J106" i="87"/>
  <c r="I106" i="87"/>
  <c r="H106" i="87"/>
  <c r="G106" i="87"/>
  <c r="F106" i="87"/>
  <c r="E106" i="87"/>
  <c r="D106" i="87"/>
  <c r="C106" i="87"/>
  <c r="S105" i="87"/>
  <c r="S104" i="87"/>
  <c r="S103" i="87"/>
  <c r="S102" i="87"/>
  <c r="S101" i="87"/>
  <c r="S100" i="87"/>
  <c r="S99" i="87"/>
  <c r="S98" i="87"/>
  <c r="S97" i="87"/>
  <c r="S96" i="87"/>
  <c r="S95" i="87"/>
  <c r="S94" i="87"/>
  <c r="S93" i="87"/>
  <c r="S92" i="87"/>
  <c r="S91" i="87"/>
  <c r="S90" i="87"/>
  <c r="S89" i="87"/>
  <c r="S88" i="87"/>
  <c r="S87" i="87"/>
  <c r="S86" i="87"/>
  <c r="S85" i="87"/>
  <c r="S84" i="87"/>
  <c r="S83" i="87"/>
  <c r="S82" i="87"/>
  <c r="S81" i="87"/>
  <c r="S80" i="87"/>
  <c r="R77" i="87"/>
  <c r="Q77" i="87"/>
  <c r="P77" i="87"/>
  <c r="O77" i="87"/>
  <c r="N77" i="87"/>
  <c r="M77" i="87"/>
  <c r="L77" i="87"/>
  <c r="K77" i="87"/>
  <c r="J77" i="87"/>
  <c r="I77" i="87"/>
  <c r="H77" i="87"/>
  <c r="G77" i="87"/>
  <c r="F77" i="87"/>
  <c r="E77" i="87"/>
  <c r="D77" i="87"/>
  <c r="C77" i="87"/>
  <c r="S76" i="87"/>
  <c r="S75" i="87"/>
  <c r="S74" i="87"/>
  <c r="S67" i="87"/>
  <c r="R67" i="87"/>
  <c r="Q67" i="87"/>
  <c r="P67" i="87"/>
  <c r="O67" i="87"/>
  <c r="N67" i="87"/>
  <c r="M67" i="87"/>
  <c r="L67" i="87"/>
  <c r="K67" i="87"/>
  <c r="J67" i="87"/>
  <c r="I67" i="87"/>
  <c r="H67" i="87"/>
  <c r="G67" i="87"/>
  <c r="F67" i="87"/>
  <c r="E67" i="87"/>
  <c r="D67" i="87"/>
  <c r="C67" i="87"/>
  <c r="L60" i="87"/>
  <c r="S58" i="87"/>
  <c r="R58" i="87"/>
  <c r="Q58" i="87"/>
  <c r="P58" i="87"/>
  <c r="O58" i="87"/>
  <c r="O60" i="87" s="1"/>
  <c r="N58" i="87"/>
  <c r="M58" i="87"/>
  <c r="L58" i="87"/>
  <c r="K58" i="87"/>
  <c r="J58" i="87"/>
  <c r="I58" i="87"/>
  <c r="H58" i="87"/>
  <c r="G58" i="87"/>
  <c r="G60" i="87" s="1"/>
  <c r="F58" i="87"/>
  <c r="E58" i="87"/>
  <c r="D58" i="87"/>
  <c r="C58" i="87"/>
  <c r="S53" i="87"/>
  <c r="R53" i="87"/>
  <c r="R60" i="87" s="1"/>
  <c r="Q53" i="87"/>
  <c r="P53" i="87"/>
  <c r="P60" i="87" s="1"/>
  <c r="O53" i="87"/>
  <c r="N53" i="87"/>
  <c r="N60" i="87" s="1"/>
  <c r="M53" i="87"/>
  <c r="L53" i="87"/>
  <c r="K53" i="87"/>
  <c r="J53" i="87"/>
  <c r="J60" i="87" s="1"/>
  <c r="I53" i="87"/>
  <c r="H53" i="87"/>
  <c r="H60" i="87" s="1"/>
  <c r="G53" i="87"/>
  <c r="F53" i="87"/>
  <c r="F60" i="87" s="1"/>
  <c r="E53" i="87"/>
  <c r="D53" i="87"/>
  <c r="D60" i="87" s="1"/>
  <c r="C53" i="87"/>
  <c r="S42" i="87"/>
  <c r="R42" i="87"/>
  <c r="Q42" i="87"/>
  <c r="P42" i="87"/>
  <c r="O42" i="87"/>
  <c r="N42" i="87"/>
  <c r="M42" i="87"/>
  <c r="L42" i="87"/>
  <c r="K42" i="87"/>
  <c r="J42" i="87"/>
  <c r="I42" i="87"/>
  <c r="H42" i="87"/>
  <c r="G42" i="87"/>
  <c r="F42" i="87"/>
  <c r="E42" i="87"/>
  <c r="D42" i="87"/>
  <c r="C42" i="87"/>
  <c r="L24" i="87"/>
  <c r="L44" i="87" s="1"/>
  <c r="D24" i="87"/>
  <c r="D44" i="87" s="1"/>
  <c r="R22" i="87"/>
  <c r="Q22" i="87"/>
  <c r="P22" i="87"/>
  <c r="O22" i="87"/>
  <c r="N22" i="87"/>
  <c r="M22" i="87"/>
  <c r="L22" i="87"/>
  <c r="K22" i="87"/>
  <c r="J22" i="87"/>
  <c r="I22" i="87"/>
  <c r="H22" i="87"/>
  <c r="G22" i="87"/>
  <c r="F22" i="87"/>
  <c r="F24" i="87" s="1"/>
  <c r="F44" i="87" s="1"/>
  <c r="F45" i="87" s="1"/>
  <c r="E22" i="87"/>
  <c r="D22" i="87"/>
  <c r="C22" i="87"/>
  <c r="S21" i="87"/>
  <c r="S20" i="87"/>
  <c r="S19" i="87"/>
  <c r="S18" i="87"/>
  <c r="S17" i="87"/>
  <c r="S22" i="87" s="1"/>
  <c r="R14" i="87"/>
  <c r="R24" i="87" s="1"/>
  <c r="R44" i="87" s="1"/>
  <c r="Q14" i="87"/>
  <c r="Q24" i="87" s="1"/>
  <c r="P14" i="87"/>
  <c r="P24" i="87" s="1"/>
  <c r="P44" i="87" s="1"/>
  <c r="O14" i="87"/>
  <c r="N14" i="87"/>
  <c r="M14" i="87"/>
  <c r="L14" i="87"/>
  <c r="K14" i="87"/>
  <c r="J14" i="87"/>
  <c r="I14" i="87"/>
  <c r="I24" i="87" s="1"/>
  <c r="H14" i="87"/>
  <c r="H24" i="87" s="1"/>
  <c r="H44" i="87" s="1"/>
  <c r="G14" i="87"/>
  <c r="F14" i="87"/>
  <c r="E14" i="87"/>
  <c r="D14" i="87"/>
  <c r="C14" i="87"/>
  <c r="S13" i="87"/>
  <c r="S12" i="87"/>
  <c r="AD330" i="86"/>
  <c r="H330" i="86"/>
  <c r="AF329" i="86"/>
  <c r="AF330" i="86" s="1"/>
  <c r="AE329" i="86"/>
  <c r="AE330" i="86" s="1"/>
  <c r="AD329" i="86"/>
  <c r="AC329" i="86"/>
  <c r="AC330" i="86" s="1"/>
  <c r="AB329" i="86"/>
  <c r="AB330" i="86" s="1"/>
  <c r="I48" i="85" s="1"/>
  <c r="AA329" i="86"/>
  <c r="AA330" i="86" s="1"/>
  <c r="Z329" i="86"/>
  <c r="Z330" i="86" s="1"/>
  <c r="Y329" i="86"/>
  <c r="Y330" i="86" s="1"/>
  <c r="X329" i="86"/>
  <c r="X330" i="86" s="1"/>
  <c r="I15" i="85" s="1"/>
  <c r="W329" i="86"/>
  <c r="W330" i="86" s="1"/>
  <c r="I14" i="85" s="1"/>
  <c r="V329" i="86"/>
  <c r="V330" i="86" s="1"/>
  <c r="U329" i="86"/>
  <c r="U330" i="86" s="1"/>
  <c r="I51" i="85" s="1"/>
  <c r="T329" i="86"/>
  <c r="T330" i="86" s="1"/>
  <c r="I13" i="85" s="1"/>
  <c r="S329" i="86"/>
  <c r="S330" i="86" s="1"/>
  <c r="R329" i="86"/>
  <c r="R330" i="86" s="1"/>
  <c r="Q329" i="86"/>
  <c r="Q330" i="86" s="1"/>
  <c r="P329" i="86"/>
  <c r="P330" i="86" s="1"/>
  <c r="I47" i="85" s="1"/>
  <c r="O329" i="86"/>
  <c r="O330" i="86" s="1"/>
  <c r="N329" i="86"/>
  <c r="N330" i="86" s="1"/>
  <c r="M329" i="86"/>
  <c r="M330" i="86" s="1"/>
  <c r="I12" i="85" s="1"/>
  <c r="L329" i="86"/>
  <c r="L330" i="86" s="1"/>
  <c r="I45" i="85" s="1"/>
  <c r="K329" i="86"/>
  <c r="K330" i="86" s="1"/>
  <c r="J329" i="86"/>
  <c r="J330" i="86" s="1"/>
  <c r="I329" i="86"/>
  <c r="I330" i="86" s="1"/>
  <c r="H329" i="86"/>
  <c r="G329" i="86"/>
  <c r="G330" i="86" s="1"/>
  <c r="F329" i="86"/>
  <c r="F330" i="86" s="1"/>
  <c r="E329" i="86"/>
  <c r="E330" i="86" s="1"/>
  <c r="I10" i="85" s="1"/>
  <c r="D329" i="86"/>
  <c r="D330" i="86" s="1"/>
  <c r="C329" i="86"/>
  <c r="C330" i="86" s="1"/>
  <c r="I9" i="85" s="1"/>
  <c r="AG267" i="86"/>
  <c r="AF267" i="86"/>
  <c r="AE267" i="86"/>
  <c r="AD267" i="86"/>
  <c r="AC267" i="86"/>
  <c r="AB267" i="86"/>
  <c r="AA267" i="86"/>
  <c r="Z267" i="86"/>
  <c r="Y267" i="86"/>
  <c r="X267" i="86"/>
  <c r="W267" i="86"/>
  <c r="V267" i="86"/>
  <c r="U267" i="86"/>
  <c r="T267" i="86"/>
  <c r="S267" i="86"/>
  <c r="R267" i="86"/>
  <c r="Q267" i="86"/>
  <c r="P267" i="86"/>
  <c r="O267" i="86"/>
  <c r="N267" i="86"/>
  <c r="M267" i="86"/>
  <c r="L267" i="86"/>
  <c r="K267" i="86"/>
  <c r="J267" i="86"/>
  <c r="I267" i="86"/>
  <c r="H267" i="86"/>
  <c r="G267" i="86"/>
  <c r="F267" i="86"/>
  <c r="E267" i="86"/>
  <c r="D267" i="86"/>
  <c r="C267" i="86"/>
  <c r="AH266" i="86"/>
  <c r="AH267" i="86" s="1"/>
  <c r="AG262" i="86"/>
  <c r="AF262" i="86"/>
  <c r="AE262" i="86"/>
  <c r="AD262" i="86"/>
  <c r="AC262" i="86"/>
  <c r="AB262" i="86"/>
  <c r="AA262" i="86"/>
  <c r="Z262" i="86"/>
  <c r="Y262" i="86"/>
  <c r="X262" i="86"/>
  <c r="W262" i="86"/>
  <c r="V262" i="86"/>
  <c r="U262" i="86"/>
  <c r="T262" i="86"/>
  <c r="S262" i="86"/>
  <c r="R262" i="86"/>
  <c r="Q262" i="86"/>
  <c r="P262" i="86"/>
  <c r="O262" i="86"/>
  <c r="N262" i="86"/>
  <c r="M262" i="86"/>
  <c r="L262" i="86"/>
  <c r="K262" i="86"/>
  <c r="J262" i="86"/>
  <c r="I262" i="86"/>
  <c r="H262" i="86"/>
  <c r="G262" i="86"/>
  <c r="F262" i="86"/>
  <c r="E262" i="86"/>
  <c r="D262" i="86"/>
  <c r="C262" i="86"/>
  <c r="AH261" i="86"/>
  <c r="AH260" i="86"/>
  <c r="AH259" i="86"/>
  <c r="AH258" i="86"/>
  <c r="AH257" i="86"/>
  <c r="AH256" i="86"/>
  <c r="AH255" i="86"/>
  <c r="AH254" i="86"/>
  <c r="AH253" i="86"/>
  <c r="AH252" i="86"/>
  <c r="AH251" i="86"/>
  <c r="W245" i="86"/>
  <c r="Q245" i="86"/>
  <c r="G245" i="86"/>
  <c r="AH243" i="86"/>
  <c r="AH242" i="86"/>
  <c r="AG239" i="86"/>
  <c r="AF239" i="86"/>
  <c r="AE239" i="86"/>
  <c r="AD239" i="86"/>
  <c r="AC239" i="86"/>
  <c r="AB239" i="86"/>
  <c r="AA239" i="86"/>
  <c r="Z239" i="86"/>
  <c r="Y239" i="86"/>
  <c r="X239" i="86"/>
  <c r="W239" i="86"/>
  <c r="V239" i="86"/>
  <c r="U239" i="86"/>
  <c r="T239" i="86"/>
  <c r="S239" i="86"/>
  <c r="R239" i="86"/>
  <c r="Q239" i="86"/>
  <c r="P239" i="86"/>
  <c r="O239" i="86"/>
  <c r="N239" i="86"/>
  <c r="M239" i="86"/>
  <c r="L239" i="86"/>
  <c r="K239" i="86"/>
  <c r="J239" i="86"/>
  <c r="I239" i="86"/>
  <c r="H239" i="86"/>
  <c r="G239" i="86"/>
  <c r="F239" i="86"/>
  <c r="E239" i="86"/>
  <c r="D239" i="86"/>
  <c r="C239" i="86"/>
  <c r="AH238" i="86"/>
  <c r="AH239" i="86" s="1"/>
  <c r="AG235" i="86"/>
  <c r="AF235" i="86"/>
  <c r="AF245" i="86" s="1"/>
  <c r="AE235" i="86"/>
  <c r="AE245" i="86" s="1"/>
  <c r="AD235" i="86"/>
  <c r="AD245" i="86" s="1"/>
  <c r="AC235" i="86"/>
  <c r="AC245" i="86" s="1"/>
  <c r="AB235" i="86"/>
  <c r="AB245" i="86" s="1"/>
  <c r="AA235" i="86"/>
  <c r="Z235" i="86"/>
  <c r="Z245" i="86" s="1"/>
  <c r="Y235" i="86"/>
  <c r="X235" i="86"/>
  <c r="W235" i="86"/>
  <c r="V235" i="86"/>
  <c r="V245" i="86" s="1"/>
  <c r="U235" i="86"/>
  <c r="U245" i="86" s="1"/>
  <c r="T235" i="86"/>
  <c r="S235" i="86"/>
  <c r="R235" i="86"/>
  <c r="R245" i="86" s="1"/>
  <c r="Q235" i="86"/>
  <c r="P235" i="86"/>
  <c r="P245" i="86" s="1"/>
  <c r="O235" i="86"/>
  <c r="O245" i="86" s="1"/>
  <c r="N235" i="86"/>
  <c r="N245" i="86" s="1"/>
  <c r="M235" i="86"/>
  <c r="M245" i="86" s="1"/>
  <c r="L235" i="86"/>
  <c r="L245" i="86" s="1"/>
  <c r="K235" i="86"/>
  <c r="J235" i="86"/>
  <c r="J245" i="86" s="1"/>
  <c r="I235" i="86"/>
  <c r="H235" i="86"/>
  <c r="H245" i="86" s="1"/>
  <c r="G235" i="86"/>
  <c r="F235" i="86"/>
  <c r="F245" i="86" s="1"/>
  <c r="E235" i="86"/>
  <c r="D235" i="86"/>
  <c r="D245" i="86" s="1"/>
  <c r="C235" i="86"/>
  <c r="AH234" i="86"/>
  <c r="AH233" i="86"/>
  <c r="AH232" i="86"/>
  <c r="AH231" i="86"/>
  <c r="AH230" i="86"/>
  <c r="AH229" i="86"/>
  <c r="AH228" i="86"/>
  <c r="AH227" i="86"/>
  <c r="AH226" i="86"/>
  <c r="AH225" i="86"/>
  <c r="AH224" i="86"/>
  <c r="AG215" i="86"/>
  <c r="AF215" i="86"/>
  <c r="AE215" i="86"/>
  <c r="AD215" i="86"/>
  <c r="AC215" i="86"/>
  <c r="AB215" i="86"/>
  <c r="AA215" i="86"/>
  <c r="Z215" i="86"/>
  <c r="Y215" i="86"/>
  <c r="X215" i="86"/>
  <c r="W215" i="86"/>
  <c r="V215" i="86"/>
  <c r="U215" i="86"/>
  <c r="T215" i="86"/>
  <c r="S215" i="86"/>
  <c r="R215" i="86"/>
  <c r="Q215" i="86"/>
  <c r="P215" i="86"/>
  <c r="O215" i="86"/>
  <c r="N215" i="86"/>
  <c r="M215" i="86"/>
  <c r="L215" i="86"/>
  <c r="K215" i="86"/>
  <c r="J215" i="86"/>
  <c r="I215" i="86"/>
  <c r="H215" i="86"/>
  <c r="G215" i="86"/>
  <c r="F215" i="86"/>
  <c r="E215" i="86"/>
  <c r="D215" i="86"/>
  <c r="C215" i="86"/>
  <c r="AH214" i="86"/>
  <c r="AH213" i="86"/>
  <c r="AH212" i="86"/>
  <c r="AH211" i="86"/>
  <c r="AD205" i="86"/>
  <c r="AD217" i="86" s="1"/>
  <c r="AG203" i="86"/>
  <c r="AF203" i="86"/>
  <c r="AE203" i="86"/>
  <c r="AD203" i="86"/>
  <c r="AC203" i="86"/>
  <c r="AB203" i="86"/>
  <c r="AA203" i="86"/>
  <c r="Z203" i="86"/>
  <c r="Y203" i="86"/>
  <c r="X203" i="86"/>
  <c r="W203" i="86"/>
  <c r="V203" i="86"/>
  <c r="U203" i="86"/>
  <c r="T203" i="86"/>
  <c r="S203" i="86"/>
  <c r="R203" i="86"/>
  <c r="R205" i="86" s="1"/>
  <c r="Q203" i="86"/>
  <c r="P203" i="86"/>
  <c r="O203" i="86"/>
  <c r="N203" i="86"/>
  <c r="M203" i="86"/>
  <c r="L203" i="86"/>
  <c r="K203" i="86"/>
  <c r="J203" i="86"/>
  <c r="I203" i="86"/>
  <c r="H203" i="86"/>
  <c r="G203" i="86"/>
  <c r="F203" i="86"/>
  <c r="E203" i="86"/>
  <c r="D203" i="86"/>
  <c r="C203" i="86"/>
  <c r="AH202" i="86"/>
  <c r="AH201" i="86"/>
  <c r="AH200" i="86"/>
  <c r="AH199" i="86"/>
  <c r="AH198" i="86"/>
  <c r="AH197" i="86"/>
  <c r="AH196" i="86"/>
  <c r="AH195" i="86"/>
  <c r="AH194" i="86"/>
  <c r="AH193" i="86"/>
  <c r="AH192" i="86"/>
  <c r="AH191" i="86"/>
  <c r="AH190" i="86"/>
  <c r="AH189" i="86"/>
  <c r="AH188" i="86"/>
  <c r="AH187" i="86"/>
  <c r="AH186" i="86"/>
  <c r="AH185" i="86"/>
  <c r="AH184" i="86"/>
  <c r="AH183" i="86"/>
  <c r="AH182" i="86"/>
  <c r="AH181" i="86"/>
  <c r="AH180" i="86"/>
  <c r="AH179" i="86"/>
  <c r="AH178" i="86"/>
  <c r="AH177" i="86"/>
  <c r="AH176" i="86"/>
  <c r="AH175" i="86"/>
  <c r="AH174" i="86"/>
  <c r="AH173" i="86"/>
  <c r="AH172" i="86"/>
  <c r="AH171" i="86"/>
  <c r="AH170" i="86"/>
  <c r="AH169" i="86"/>
  <c r="AH168" i="86"/>
  <c r="AH167" i="86"/>
  <c r="AH166" i="86"/>
  <c r="AH165" i="86"/>
  <c r="AH164" i="86"/>
  <c r="AH163" i="86"/>
  <c r="AH162" i="86"/>
  <c r="AH161" i="86"/>
  <c r="AH160" i="86"/>
  <c r="AH159" i="86"/>
  <c r="AH158" i="86"/>
  <c r="AH157" i="86"/>
  <c r="AH156" i="86"/>
  <c r="AH155" i="86"/>
  <c r="AH154" i="86"/>
  <c r="AH203" i="86" s="1"/>
  <c r="AH153" i="86"/>
  <c r="AH152" i="86"/>
  <c r="AG149" i="86"/>
  <c r="AF149" i="86"/>
  <c r="AE149" i="86"/>
  <c r="AD149" i="86"/>
  <c r="AC149" i="86"/>
  <c r="AB149" i="86"/>
  <c r="AA149" i="86"/>
  <c r="Z149" i="86"/>
  <c r="Y149" i="86"/>
  <c r="X149" i="86"/>
  <c r="W149" i="86"/>
  <c r="V149" i="86"/>
  <c r="U149" i="86"/>
  <c r="T149" i="86"/>
  <c r="S149" i="86"/>
  <c r="R149" i="86"/>
  <c r="Q149" i="86"/>
  <c r="P149" i="86"/>
  <c r="O149" i="86"/>
  <c r="N149" i="86"/>
  <c r="M149" i="86"/>
  <c r="L149" i="86"/>
  <c r="K149" i="86"/>
  <c r="J149" i="86"/>
  <c r="I149" i="86"/>
  <c r="H149" i="86"/>
  <c r="G149" i="86"/>
  <c r="F149" i="86"/>
  <c r="E149" i="86"/>
  <c r="D149" i="86"/>
  <c r="C149" i="86"/>
  <c r="AH148" i="86"/>
  <c r="AH147" i="86"/>
  <c r="AH146" i="86"/>
  <c r="AH145" i="86"/>
  <c r="AH144" i="86"/>
  <c r="AH143" i="86"/>
  <c r="AH142" i="86"/>
  <c r="AH141" i="86"/>
  <c r="AG138" i="86"/>
  <c r="AF138" i="86"/>
  <c r="AE138" i="86"/>
  <c r="AD138" i="86"/>
  <c r="AC138" i="86"/>
  <c r="AB138" i="86"/>
  <c r="AA138" i="86"/>
  <c r="Z138" i="86"/>
  <c r="Y138" i="86"/>
  <c r="X138" i="86"/>
  <c r="W138" i="86"/>
  <c r="V138" i="86"/>
  <c r="U138" i="86"/>
  <c r="T138" i="86"/>
  <c r="S138" i="86"/>
  <c r="R138" i="86"/>
  <c r="Q138" i="86"/>
  <c r="P138" i="86"/>
  <c r="O138" i="86"/>
  <c r="N138" i="86"/>
  <c r="M138" i="86"/>
  <c r="L138" i="86"/>
  <c r="K138" i="86"/>
  <c r="J138" i="86"/>
  <c r="I138" i="86"/>
  <c r="H138" i="86"/>
  <c r="G138" i="86"/>
  <c r="F138" i="86"/>
  <c r="E138" i="86"/>
  <c r="D138" i="86"/>
  <c r="C138" i="86"/>
  <c r="AH137" i="86"/>
  <c r="AH136" i="86"/>
  <c r="AH135" i="86"/>
  <c r="AH134" i="86"/>
  <c r="AH133" i="86"/>
  <c r="AH132" i="86"/>
  <c r="AH131" i="86"/>
  <c r="AH130" i="86"/>
  <c r="AH129" i="86"/>
  <c r="AG126" i="86"/>
  <c r="AF126" i="86"/>
  <c r="AE126" i="86"/>
  <c r="AD126" i="86"/>
  <c r="AC126" i="86"/>
  <c r="AB126" i="86"/>
  <c r="AA126" i="86"/>
  <c r="Z126" i="86"/>
  <c r="Y126" i="86"/>
  <c r="X126" i="86"/>
  <c r="W126" i="86"/>
  <c r="V126" i="86"/>
  <c r="U126" i="86"/>
  <c r="T126" i="86"/>
  <c r="S126" i="86"/>
  <c r="R126" i="86"/>
  <c r="Q126" i="86"/>
  <c r="P126" i="86"/>
  <c r="O126" i="86"/>
  <c r="N126" i="86"/>
  <c r="M126" i="86"/>
  <c r="L126" i="86"/>
  <c r="K126" i="86"/>
  <c r="J126" i="86"/>
  <c r="I126" i="86"/>
  <c r="H126" i="86"/>
  <c r="G126" i="86"/>
  <c r="F126" i="86"/>
  <c r="E126" i="86"/>
  <c r="D126" i="86"/>
  <c r="C126" i="86"/>
  <c r="AH125" i="86"/>
  <c r="AH124" i="86"/>
  <c r="AH123" i="86"/>
  <c r="AJ123" i="86" s="1"/>
  <c r="AH122" i="86"/>
  <c r="AH121" i="86"/>
  <c r="AH120" i="86"/>
  <c r="AG117" i="86"/>
  <c r="AF117" i="86"/>
  <c r="AE117" i="86"/>
  <c r="AD117" i="86"/>
  <c r="AC117" i="86"/>
  <c r="AB117" i="86"/>
  <c r="AA117" i="86"/>
  <c r="Z117" i="86"/>
  <c r="Y117" i="86"/>
  <c r="X117" i="86"/>
  <c r="W117" i="86"/>
  <c r="V117" i="86"/>
  <c r="U117" i="86"/>
  <c r="T117" i="86"/>
  <c r="S117" i="86"/>
  <c r="R117" i="86"/>
  <c r="Q117" i="86"/>
  <c r="P117" i="86"/>
  <c r="O117" i="86"/>
  <c r="N117" i="86"/>
  <c r="M117" i="86"/>
  <c r="L117" i="86"/>
  <c r="K117" i="86"/>
  <c r="J117" i="86"/>
  <c r="I117" i="86"/>
  <c r="H117" i="86"/>
  <c r="G117" i="86"/>
  <c r="F117" i="86"/>
  <c r="E117" i="86"/>
  <c r="D117" i="86"/>
  <c r="C117" i="86"/>
  <c r="AH116" i="86"/>
  <c r="AH115" i="86"/>
  <c r="AH114" i="86"/>
  <c r="AH113" i="86"/>
  <c r="AH112" i="86"/>
  <c r="AH111" i="86"/>
  <c r="AH110" i="86"/>
  <c r="AH109" i="86"/>
  <c r="AG106" i="86"/>
  <c r="AF106" i="86"/>
  <c r="AE106" i="86"/>
  <c r="AD106" i="86"/>
  <c r="AC106" i="86"/>
  <c r="AB106" i="86"/>
  <c r="AA106" i="86"/>
  <c r="Z106" i="86"/>
  <c r="Y106" i="86"/>
  <c r="X106" i="86"/>
  <c r="W106" i="86"/>
  <c r="V106" i="86"/>
  <c r="U106" i="86"/>
  <c r="T106" i="86"/>
  <c r="S106" i="86"/>
  <c r="R106" i="86"/>
  <c r="Q106" i="86"/>
  <c r="P106" i="86"/>
  <c r="O106" i="86"/>
  <c r="N106" i="86"/>
  <c r="M106" i="86"/>
  <c r="L106" i="86"/>
  <c r="K106" i="86"/>
  <c r="J106" i="86"/>
  <c r="I106" i="86"/>
  <c r="I205" i="86" s="1"/>
  <c r="H106" i="86"/>
  <c r="G106" i="86"/>
  <c r="F106" i="86"/>
  <c r="E106" i="86"/>
  <c r="D106" i="86"/>
  <c r="C106" i="86"/>
  <c r="AH105" i="86"/>
  <c r="AH104" i="86"/>
  <c r="AH103" i="86"/>
  <c r="AH102" i="86"/>
  <c r="AH101" i="86"/>
  <c r="AH100" i="86"/>
  <c r="AH99" i="86"/>
  <c r="AH98" i="86"/>
  <c r="AH97" i="86"/>
  <c r="AH96" i="86"/>
  <c r="AH95" i="86"/>
  <c r="AH94" i="86"/>
  <c r="AH93" i="86"/>
  <c r="AH92" i="86"/>
  <c r="AH91" i="86"/>
  <c r="AH90" i="86"/>
  <c r="AH89" i="86"/>
  <c r="AH88" i="86"/>
  <c r="AH87" i="86"/>
  <c r="AH86" i="86"/>
  <c r="AH85" i="86"/>
  <c r="AH84" i="86"/>
  <c r="AH83" i="86"/>
  <c r="AH82" i="86"/>
  <c r="AH81" i="86"/>
  <c r="AH80" i="86"/>
  <c r="AG77" i="86"/>
  <c r="AF77" i="86"/>
  <c r="AE77" i="86"/>
  <c r="AD77" i="86"/>
  <c r="AC77" i="86"/>
  <c r="AB77" i="86"/>
  <c r="AA77" i="86"/>
  <c r="Z77" i="86"/>
  <c r="Y77" i="86"/>
  <c r="X77" i="86"/>
  <c r="W77" i="86"/>
  <c r="V77" i="86"/>
  <c r="U77" i="86"/>
  <c r="T77" i="86"/>
  <c r="S77" i="86"/>
  <c r="R77" i="86"/>
  <c r="Q77" i="86"/>
  <c r="P77" i="86"/>
  <c r="O77" i="86"/>
  <c r="N77" i="86"/>
  <c r="M77" i="86"/>
  <c r="L77" i="86"/>
  <c r="K77" i="86"/>
  <c r="J77" i="86"/>
  <c r="I77" i="86"/>
  <c r="H77" i="86"/>
  <c r="G77" i="86"/>
  <c r="F77" i="86"/>
  <c r="E77" i="86"/>
  <c r="D77" i="86"/>
  <c r="C77" i="86"/>
  <c r="AH76" i="86"/>
  <c r="AH75" i="86"/>
  <c r="AH74" i="86"/>
  <c r="AH67" i="86"/>
  <c r="AG67" i="86"/>
  <c r="AF67" i="86"/>
  <c r="AE67" i="86"/>
  <c r="AD67" i="86"/>
  <c r="AC67" i="86"/>
  <c r="AB67" i="86"/>
  <c r="AA67" i="86"/>
  <c r="Z67" i="86"/>
  <c r="Y67" i="86"/>
  <c r="X67" i="86"/>
  <c r="W67" i="86"/>
  <c r="V67" i="86"/>
  <c r="U67" i="86"/>
  <c r="T67" i="86"/>
  <c r="S67" i="86"/>
  <c r="R67" i="86"/>
  <c r="Q67" i="86"/>
  <c r="P67" i="86"/>
  <c r="O67" i="86"/>
  <c r="N67" i="86"/>
  <c r="M67" i="86"/>
  <c r="L67" i="86"/>
  <c r="K67" i="86"/>
  <c r="J67" i="86"/>
  <c r="I67" i="86"/>
  <c r="H67" i="86"/>
  <c r="G67" i="86"/>
  <c r="F67" i="86"/>
  <c r="E67" i="86"/>
  <c r="D67" i="86"/>
  <c r="C67" i="86"/>
  <c r="AH58" i="86"/>
  <c r="AG58" i="86"/>
  <c r="AF58" i="86"/>
  <c r="AE58" i="86"/>
  <c r="AD58" i="86"/>
  <c r="AC58" i="86"/>
  <c r="AB58" i="86"/>
  <c r="AA58" i="86"/>
  <c r="Z58" i="86"/>
  <c r="Y58" i="86"/>
  <c r="X58" i="86"/>
  <c r="W58" i="86"/>
  <c r="V58" i="86"/>
  <c r="U58" i="86"/>
  <c r="T58" i="86"/>
  <c r="S58" i="86"/>
  <c r="R58" i="86"/>
  <c r="Q58" i="86"/>
  <c r="P58" i="86"/>
  <c r="O58" i="86"/>
  <c r="N58" i="86"/>
  <c r="M58" i="86"/>
  <c r="L58" i="86"/>
  <c r="K58" i="86"/>
  <c r="J58" i="86"/>
  <c r="I58" i="86"/>
  <c r="H58" i="86"/>
  <c r="G58" i="86"/>
  <c r="F58" i="86"/>
  <c r="E58" i="86"/>
  <c r="D58" i="86"/>
  <c r="C58" i="86"/>
  <c r="AH53" i="86"/>
  <c r="AH60" i="86" s="1"/>
  <c r="AG53" i="86"/>
  <c r="AG60" i="86" s="1"/>
  <c r="AF53" i="86"/>
  <c r="AF60" i="86" s="1"/>
  <c r="AE53" i="86"/>
  <c r="AE60" i="86" s="1"/>
  <c r="AD53" i="86"/>
  <c r="AD60" i="86" s="1"/>
  <c r="AC53" i="86"/>
  <c r="AC60" i="86" s="1"/>
  <c r="AB53" i="86"/>
  <c r="AB60" i="86" s="1"/>
  <c r="AA53" i="86"/>
  <c r="AA60" i="86" s="1"/>
  <c r="Z53" i="86"/>
  <c r="Z60" i="86" s="1"/>
  <c r="Y53" i="86"/>
  <c r="Y60" i="86" s="1"/>
  <c r="X53" i="86"/>
  <c r="X60" i="86" s="1"/>
  <c r="W53" i="86"/>
  <c r="W60" i="86" s="1"/>
  <c r="V53" i="86"/>
  <c r="V60" i="86" s="1"/>
  <c r="U53" i="86"/>
  <c r="U60" i="86" s="1"/>
  <c r="T53" i="86"/>
  <c r="T60" i="86" s="1"/>
  <c r="S53" i="86"/>
  <c r="S60" i="86" s="1"/>
  <c r="R53" i="86"/>
  <c r="R60" i="86" s="1"/>
  <c r="Q53" i="86"/>
  <c r="Q60" i="86" s="1"/>
  <c r="P53" i="86"/>
  <c r="P60" i="86" s="1"/>
  <c r="O53" i="86"/>
  <c r="O60" i="86" s="1"/>
  <c r="N53" i="86"/>
  <c r="N60" i="86" s="1"/>
  <c r="M53" i="86"/>
  <c r="M60" i="86" s="1"/>
  <c r="L53" i="86"/>
  <c r="L60" i="86" s="1"/>
  <c r="K53" i="86"/>
  <c r="K60" i="86" s="1"/>
  <c r="J53" i="86"/>
  <c r="J60" i="86" s="1"/>
  <c r="I53" i="86"/>
  <c r="I60" i="86" s="1"/>
  <c r="H53" i="86"/>
  <c r="H60" i="86" s="1"/>
  <c r="G53" i="86"/>
  <c r="F53" i="86"/>
  <c r="F60" i="86" s="1"/>
  <c r="E53" i="86"/>
  <c r="E60" i="86" s="1"/>
  <c r="D53" i="86"/>
  <c r="D60" i="86" s="1"/>
  <c r="C53" i="86"/>
  <c r="C60" i="86" s="1"/>
  <c r="AH42" i="86"/>
  <c r="AG42" i="86"/>
  <c r="AF42" i="86"/>
  <c r="AE42" i="86"/>
  <c r="AD42" i="86"/>
  <c r="AC42" i="86"/>
  <c r="AB42" i="86"/>
  <c r="AA42" i="86"/>
  <c r="Z42" i="86"/>
  <c r="Y42" i="86"/>
  <c r="X42" i="86"/>
  <c r="W42" i="86"/>
  <c r="V42" i="86"/>
  <c r="U42" i="86"/>
  <c r="T42" i="86"/>
  <c r="S42" i="86"/>
  <c r="R42" i="86"/>
  <c r="Q42" i="86"/>
  <c r="P42" i="86"/>
  <c r="O42" i="86"/>
  <c r="N42" i="86"/>
  <c r="M42" i="86"/>
  <c r="L42" i="86"/>
  <c r="K42" i="86"/>
  <c r="J42" i="86"/>
  <c r="I42" i="86"/>
  <c r="H42" i="86"/>
  <c r="G42" i="86"/>
  <c r="F42" i="86"/>
  <c r="E42" i="86"/>
  <c r="D42" i="86"/>
  <c r="C42" i="86"/>
  <c r="Y24" i="86"/>
  <c r="Y44" i="86" s="1"/>
  <c r="M24" i="86"/>
  <c r="M44" i="86" s="1"/>
  <c r="AG22" i="86"/>
  <c r="AF22" i="86"/>
  <c r="AE22" i="86"/>
  <c r="AD22" i="86"/>
  <c r="AD24" i="86" s="1"/>
  <c r="AD44" i="86" s="1"/>
  <c r="AC22" i="86"/>
  <c r="AB22" i="86"/>
  <c r="AA22" i="86"/>
  <c r="Z22" i="86"/>
  <c r="Y22" i="86"/>
  <c r="X22" i="86"/>
  <c r="W22" i="86"/>
  <c r="V22" i="86"/>
  <c r="U22" i="86"/>
  <c r="T22" i="86"/>
  <c r="S22" i="86"/>
  <c r="R22" i="86"/>
  <c r="Q22" i="86"/>
  <c r="P22" i="86"/>
  <c r="O22" i="86"/>
  <c r="N22" i="86"/>
  <c r="N24" i="86" s="1"/>
  <c r="N44" i="86" s="1"/>
  <c r="M22" i="86"/>
  <c r="L22" i="86"/>
  <c r="K22" i="86"/>
  <c r="J22" i="86"/>
  <c r="I22" i="86"/>
  <c r="H22" i="86"/>
  <c r="G22" i="86"/>
  <c r="F22" i="86"/>
  <c r="E22" i="86"/>
  <c r="D22" i="86"/>
  <c r="C22" i="86"/>
  <c r="AH21" i="86"/>
  <c r="AH20" i="86"/>
  <c r="AH19" i="86"/>
  <c r="AH18" i="86"/>
  <c r="AH17" i="86"/>
  <c r="AH22" i="86" s="1"/>
  <c r="AG14" i="86"/>
  <c r="AF14" i="86"/>
  <c r="AF24" i="86" s="1"/>
  <c r="AF44" i="86" s="1"/>
  <c r="AE14" i="86"/>
  <c r="AE24" i="86" s="1"/>
  <c r="AD14" i="86"/>
  <c r="AC14" i="86"/>
  <c r="AC24" i="86" s="1"/>
  <c r="AC44" i="86" s="1"/>
  <c r="AB14" i="86"/>
  <c r="AA14" i="86"/>
  <c r="AA24" i="86" s="1"/>
  <c r="AA44" i="86" s="1"/>
  <c r="Z14" i="86"/>
  <c r="Y14" i="86"/>
  <c r="X14" i="86"/>
  <c r="X24" i="86" s="1"/>
  <c r="X44" i="86" s="1"/>
  <c r="W14" i="86"/>
  <c r="W24" i="86" s="1"/>
  <c r="V14" i="86"/>
  <c r="U14" i="86"/>
  <c r="U24" i="86" s="1"/>
  <c r="U44" i="86" s="1"/>
  <c r="T14" i="86"/>
  <c r="S14" i="86"/>
  <c r="S24" i="86" s="1"/>
  <c r="S44" i="86" s="1"/>
  <c r="R14" i="86"/>
  <c r="Q14" i="86"/>
  <c r="P14" i="86"/>
  <c r="P24" i="86" s="1"/>
  <c r="P44" i="86" s="1"/>
  <c r="O14" i="86"/>
  <c r="O24" i="86" s="1"/>
  <c r="N14" i="86"/>
  <c r="M14" i="86"/>
  <c r="L14" i="86"/>
  <c r="K14" i="86"/>
  <c r="K24" i="86" s="1"/>
  <c r="K44" i="86" s="1"/>
  <c r="J14" i="86"/>
  <c r="I14" i="86"/>
  <c r="I24" i="86" s="1"/>
  <c r="I44" i="86" s="1"/>
  <c r="H14" i="86"/>
  <c r="H24" i="86" s="1"/>
  <c r="H44" i="86" s="1"/>
  <c r="G14" i="86"/>
  <c r="G24" i="86" s="1"/>
  <c r="F14" i="86"/>
  <c r="E14" i="86"/>
  <c r="E24" i="86" s="1"/>
  <c r="E44" i="86" s="1"/>
  <c r="D14" i="86"/>
  <c r="C14" i="86"/>
  <c r="C24" i="86" s="1"/>
  <c r="C44" i="86" s="1"/>
  <c r="AH13" i="86"/>
  <c r="AH14" i="86" s="1"/>
  <c r="AH24" i="86" s="1"/>
  <c r="AH44" i="86" s="1"/>
  <c r="AH12" i="86"/>
  <c r="E52" i="85"/>
  <c r="D51" i="85"/>
  <c r="I50" i="85"/>
  <c r="I49" i="85"/>
  <c r="D49" i="85"/>
  <c r="I46" i="85"/>
  <c r="D46" i="85"/>
  <c r="I44" i="85"/>
  <c r="D44" i="85"/>
  <c r="F44" i="85" s="1"/>
  <c r="C44" i="85"/>
  <c r="I43" i="85"/>
  <c r="D43" i="85"/>
  <c r="F37" i="85"/>
  <c r="C37" i="85"/>
  <c r="N35" i="85"/>
  <c r="N39" i="85" s="1"/>
  <c r="E35" i="85"/>
  <c r="E39" i="85" s="1"/>
  <c r="I34" i="85"/>
  <c r="D34" i="85"/>
  <c r="C34" i="85"/>
  <c r="P33" i="85"/>
  <c r="W33" i="85" s="1"/>
  <c r="I33" i="85"/>
  <c r="D33" i="85"/>
  <c r="C33" i="85"/>
  <c r="F33" i="85" s="1"/>
  <c r="P32" i="85"/>
  <c r="W32" i="85" s="1"/>
  <c r="I32" i="85"/>
  <c r="D32" i="85"/>
  <c r="F32" i="85" s="1"/>
  <c r="C32" i="85"/>
  <c r="P31" i="85"/>
  <c r="W31" i="85" s="1"/>
  <c r="H16" i="105" s="1"/>
  <c r="I31" i="85"/>
  <c r="P30" i="85"/>
  <c r="W30" i="85" s="1"/>
  <c r="H25" i="105" s="1"/>
  <c r="I30" i="85"/>
  <c r="P29" i="85"/>
  <c r="W29" i="85" s="1"/>
  <c r="H24" i="105" s="1"/>
  <c r="I29" i="85"/>
  <c r="D29" i="85"/>
  <c r="P28" i="85"/>
  <c r="W28" i="85" s="1"/>
  <c r="I28" i="85"/>
  <c r="D28" i="85"/>
  <c r="D27" i="85"/>
  <c r="P26" i="85"/>
  <c r="W26" i="85" s="1"/>
  <c r="H14" i="105" s="1"/>
  <c r="I26" i="85"/>
  <c r="D26" i="85"/>
  <c r="P25" i="85"/>
  <c r="W25" i="85" s="1"/>
  <c r="H19" i="105" s="1"/>
  <c r="D24" i="85"/>
  <c r="D23" i="85"/>
  <c r="F22" i="85"/>
  <c r="N20" i="85"/>
  <c r="E20" i="85"/>
  <c r="P19" i="85"/>
  <c r="W19" i="85" s="1"/>
  <c r="H21" i="105" s="1"/>
  <c r="I19" i="85"/>
  <c r="D19" i="85"/>
  <c r="P18" i="85"/>
  <c r="W18" i="85" s="1"/>
  <c r="H22" i="105" s="1"/>
  <c r="I18" i="85"/>
  <c r="D18" i="85"/>
  <c r="P17" i="85"/>
  <c r="W17" i="85" s="1"/>
  <c r="H18" i="105" s="1"/>
  <c r="I17" i="85"/>
  <c r="D17" i="85"/>
  <c r="P16" i="85"/>
  <c r="W16" i="85" s="1"/>
  <c r="H17" i="105" s="1"/>
  <c r="I16" i="85"/>
  <c r="D16" i="85"/>
  <c r="P15" i="85"/>
  <c r="W15" i="85" s="1"/>
  <c r="H15" i="105" s="1"/>
  <c r="P14" i="85"/>
  <c r="W14" i="85" s="1"/>
  <c r="H23" i="105" s="1"/>
  <c r="D14" i="85"/>
  <c r="P13" i="85"/>
  <c r="W13" i="85" s="1"/>
  <c r="H13" i="105" s="1"/>
  <c r="P12" i="85"/>
  <c r="W12" i="85" s="1"/>
  <c r="H12" i="105" s="1"/>
  <c r="D12" i="85"/>
  <c r="P11" i="85"/>
  <c r="W11" i="85" s="1"/>
  <c r="H10" i="105" s="1"/>
  <c r="I11" i="85"/>
  <c r="D11" i="85"/>
  <c r="P10" i="85"/>
  <c r="W10" i="85" s="1"/>
  <c r="H6" i="105" s="1"/>
  <c r="D10" i="85"/>
  <c r="D9" i="85"/>
  <c r="I8" i="85"/>
  <c r="D8" i="85"/>
  <c r="C8" i="85"/>
  <c r="F8" i="85" s="1"/>
  <c r="U8" i="85" s="1"/>
  <c r="I7" i="85"/>
  <c r="P6" i="85"/>
  <c r="W6" i="85" s="1"/>
  <c r="H20" i="105" s="1"/>
  <c r="I6" i="85"/>
  <c r="D6" i="85"/>
  <c r="N5" i="85"/>
  <c r="P5" i="85" s="1"/>
  <c r="W5" i="85" s="1"/>
  <c r="H7" i="105" s="1"/>
  <c r="I5" i="85"/>
  <c r="D5" i="85"/>
  <c r="R32" i="85" l="1"/>
  <c r="U32" i="85"/>
  <c r="G60" i="86"/>
  <c r="M21" i="105"/>
  <c r="K21" i="105"/>
  <c r="D48" i="85"/>
  <c r="AH149" i="86"/>
  <c r="M205" i="86"/>
  <c r="AC205" i="86"/>
  <c r="C205" i="86"/>
  <c r="E245" i="86"/>
  <c r="S14" i="87"/>
  <c r="S24" i="87" s="1"/>
  <c r="S44" i="87" s="1"/>
  <c r="I44" i="87"/>
  <c r="I62" i="87" s="1"/>
  <c r="I69" i="87" s="1"/>
  <c r="Q44" i="87"/>
  <c r="S126" i="87"/>
  <c r="F245" i="87"/>
  <c r="N245" i="87"/>
  <c r="K18" i="105"/>
  <c r="M18" i="105"/>
  <c r="K14" i="105"/>
  <c r="M14" i="105"/>
  <c r="D30" i="85"/>
  <c r="F34" i="85"/>
  <c r="U34" i="85" s="1"/>
  <c r="S205" i="86"/>
  <c r="AH126" i="86"/>
  <c r="N24" i="87"/>
  <c r="N44" i="87" s="1"/>
  <c r="N45" i="87" s="1"/>
  <c r="M17" i="105"/>
  <c r="K17" i="105"/>
  <c r="K13" i="105"/>
  <c r="M13" i="105"/>
  <c r="AH106" i="86"/>
  <c r="K23" i="105"/>
  <c r="M23" i="105"/>
  <c r="D24" i="86"/>
  <c r="D44" i="86" s="1"/>
  <c r="L24" i="86"/>
  <c r="L44" i="86" s="1"/>
  <c r="T24" i="86"/>
  <c r="T44" i="86" s="1"/>
  <c r="AB24" i="86"/>
  <c r="AB44" i="86" s="1"/>
  <c r="AB62" i="86" s="1"/>
  <c r="AB69" i="86" s="1"/>
  <c r="AH117" i="86"/>
  <c r="N205" i="86"/>
  <c r="N217" i="86" s="1"/>
  <c r="N218" i="86" s="1"/>
  <c r="AH215" i="86"/>
  <c r="AH235" i="86"/>
  <c r="AH245" i="86" s="1"/>
  <c r="M16" i="105"/>
  <c r="K16" i="105"/>
  <c r="K6" i="105"/>
  <c r="M6" i="105"/>
  <c r="K25" i="105"/>
  <c r="M25" i="105"/>
  <c r="D50" i="85"/>
  <c r="Q24" i="86"/>
  <c r="Q44" i="86" s="1"/>
  <c r="AG24" i="86"/>
  <c r="AG44" i="86" s="1"/>
  <c r="Y205" i="86"/>
  <c r="G205" i="86"/>
  <c r="G217" i="86" s="1"/>
  <c r="G218" i="86" s="1"/>
  <c r="I245" i="86"/>
  <c r="Y245" i="86"/>
  <c r="AG245" i="86"/>
  <c r="E24" i="87"/>
  <c r="E44" i="87" s="1"/>
  <c r="M24" i="87"/>
  <c r="M44" i="87" s="1"/>
  <c r="R205" i="87"/>
  <c r="Q205" i="87"/>
  <c r="S215" i="87"/>
  <c r="I245" i="87"/>
  <c r="O245" i="87"/>
  <c r="K19" i="105"/>
  <c r="M19" i="105"/>
  <c r="U37" i="85"/>
  <c r="C27" i="105"/>
  <c r="F27" i="105" s="1"/>
  <c r="R37" i="85"/>
  <c r="AH77" i="86"/>
  <c r="K10" i="105"/>
  <c r="M10" i="105"/>
  <c r="M22" i="105"/>
  <c r="K22" i="105"/>
  <c r="R33" i="85"/>
  <c r="U33" i="85"/>
  <c r="F24" i="86"/>
  <c r="F44" i="86" s="1"/>
  <c r="V24" i="86"/>
  <c r="V44" i="86" s="1"/>
  <c r="V62" i="86" s="1"/>
  <c r="V69" i="86" s="1"/>
  <c r="J24" i="86"/>
  <c r="J44" i="86" s="1"/>
  <c r="J62" i="86" s="1"/>
  <c r="J69" i="86" s="1"/>
  <c r="R24" i="86"/>
  <c r="R44" i="86" s="1"/>
  <c r="R62" i="86" s="1"/>
  <c r="R69" i="86" s="1"/>
  <c r="Z24" i="86"/>
  <c r="Z44" i="86" s="1"/>
  <c r="AH262" i="86"/>
  <c r="C60" i="87"/>
  <c r="K60" i="87"/>
  <c r="S60" i="87"/>
  <c r="R38" i="85"/>
  <c r="U38" i="85"/>
  <c r="M12" i="105"/>
  <c r="K12" i="105"/>
  <c r="K20" i="105"/>
  <c r="M20" i="105"/>
  <c r="K24" i="105"/>
  <c r="M24" i="105"/>
  <c r="K15" i="105"/>
  <c r="M15" i="105"/>
  <c r="K7" i="105"/>
  <c r="M7" i="105"/>
  <c r="G44" i="86"/>
  <c r="O44" i="86"/>
  <c r="W44" i="86"/>
  <c r="AE44" i="86"/>
  <c r="W205" i="86"/>
  <c r="W217" i="86" s="1"/>
  <c r="W218" i="86" s="1"/>
  <c r="AH138" i="86"/>
  <c r="C245" i="86"/>
  <c r="K245" i="86"/>
  <c r="S245" i="86"/>
  <c r="AA245" i="86"/>
  <c r="J24" i="87"/>
  <c r="J44" i="87" s="1"/>
  <c r="J45" i="87" s="1"/>
  <c r="S203" i="87"/>
  <c r="D245" i="87"/>
  <c r="L245" i="87"/>
  <c r="S262" i="87"/>
  <c r="Q62" i="86"/>
  <c r="Q69" i="86" s="1"/>
  <c r="Q45" i="86"/>
  <c r="AG62" i="86"/>
  <c r="AG69" i="86" s="1"/>
  <c r="AG45" i="86"/>
  <c r="U45" i="86"/>
  <c r="U62" i="86"/>
  <c r="U69" i="86" s="1"/>
  <c r="M217" i="86"/>
  <c r="M218" i="86" s="1"/>
  <c r="M206" i="86"/>
  <c r="Y217" i="86"/>
  <c r="Y218" i="86" s="1"/>
  <c r="Y206" i="86"/>
  <c r="AC217" i="86"/>
  <c r="AC218" i="86" s="1"/>
  <c r="AC206" i="86"/>
  <c r="C217" i="86"/>
  <c r="C218" i="86" s="1"/>
  <c r="C206" i="86"/>
  <c r="G206" i="86"/>
  <c r="AH62" i="86"/>
  <c r="AH69" i="86" s="1"/>
  <c r="AH45" i="86"/>
  <c r="F45" i="86"/>
  <c r="F62" i="86"/>
  <c r="F69" i="86" s="1"/>
  <c r="V45" i="86"/>
  <c r="J45" i="86"/>
  <c r="N62" i="86"/>
  <c r="N69" i="86" s="1"/>
  <c r="N45" i="86"/>
  <c r="Z45" i="86"/>
  <c r="Z62" i="86"/>
  <c r="Z69" i="86" s="1"/>
  <c r="AD62" i="86"/>
  <c r="AD69" i="86" s="1"/>
  <c r="AD45" i="86"/>
  <c r="E45" i="86"/>
  <c r="E62" i="86"/>
  <c r="E69" i="86" s="1"/>
  <c r="Y62" i="86"/>
  <c r="Y69" i="86" s="1"/>
  <c r="Y45" i="86"/>
  <c r="I217" i="86"/>
  <c r="I218" i="86" s="1"/>
  <c r="I206" i="86"/>
  <c r="R206" i="87"/>
  <c r="R217" i="87"/>
  <c r="R218" i="87" s="1"/>
  <c r="I20" i="85"/>
  <c r="I39" i="85" s="1"/>
  <c r="I35" i="85"/>
  <c r="C62" i="86"/>
  <c r="C69" i="86" s="1"/>
  <c r="C45" i="86"/>
  <c r="G62" i="86"/>
  <c r="G69" i="86" s="1"/>
  <c r="G45" i="86"/>
  <c r="K62" i="86"/>
  <c r="K69" i="86" s="1"/>
  <c r="K45" i="86"/>
  <c r="O62" i="86"/>
  <c r="O69" i="86" s="1"/>
  <c r="O45" i="86"/>
  <c r="S62" i="86"/>
  <c r="S69" i="86" s="1"/>
  <c r="S45" i="86"/>
  <c r="W62" i="86"/>
  <c r="W69" i="86" s="1"/>
  <c r="W45" i="86"/>
  <c r="AA62" i="86"/>
  <c r="AA69" i="86" s="1"/>
  <c r="AA45" i="86"/>
  <c r="AE62" i="86"/>
  <c r="AE69" i="86" s="1"/>
  <c r="AE45" i="86"/>
  <c r="I62" i="86"/>
  <c r="I69" i="86" s="1"/>
  <c r="I45" i="86"/>
  <c r="AC62" i="86"/>
  <c r="AC69" i="86" s="1"/>
  <c r="AC45" i="86"/>
  <c r="S217" i="86"/>
  <c r="S218" i="86" s="1"/>
  <c r="S206" i="86"/>
  <c r="M62" i="86"/>
  <c r="M69" i="86" s="1"/>
  <c r="M45" i="86"/>
  <c r="AH205" i="86"/>
  <c r="R217" i="86"/>
  <c r="AD218" i="86"/>
  <c r="Q205" i="86"/>
  <c r="AG205" i="86"/>
  <c r="AD206" i="86"/>
  <c r="T245" i="86"/>
  <c r="D13" i="85"/>
  <c r="D15" i="85"/>
  <c r="X245" i="86"/>
  <c r="P62" i="87"/>
  <c r="P69" i="87" s="1"/>
  <c r="P45" i="87"/>
  <c r="D62" i="87"/>
  <c r="D69" i="87" s="1"/>
  <c r="D45" i="87"/>
  <c r="D7" i="85"/>
  <c r="D47" i="85"/>
  <c r="D62" i="86"/>
  <c r="D69" i="86" s="1"/>
  <c r="D45" i="86"/>
  <c r="H62" i="86"/>
  <c r="H69" i="86" s="1"/>
  <c r="H45" i="86"/>
  <c r="L62" i="86"/>
  <c r="L69" i="86" s="1"/>
  <c r="L45" i="86"/>
  <c r="P62" i="86"/>
  <c r="P69" i="86" s="1"/>
  <c r="P45" i="86"/>
  <c r="T62" i="86"/>
  <c r="T69" i="86" s="1"/>
  <c r="T45" i="86"/>
  <c r="X62" i="86"/>
  <c r="X69" i="86" s="1"/>
  <c r="X45" i="86"/>
  <c r="AB45" i="86"/>
  <c r="AF62" i="86"/>
  <c r="AF69" i="86" s="1"/>
  <c r="AF45" i="86"/>
  <c r="E205" i="86"/>
  <c r="U205" i="86"/>
  <c r="F205" i="86"/>
  <c r="J205" i="86"/>
  <c r="V205" i="86"/>
  <c r="Z205" i="86"/>
  <c r="S62" i="87"/>
  <c r="S69" i="87" s="1"/>
  <c r="S45" i="87"/>
  <c r="E45" i="87"/>
  <c r="M45" i="87"/>
  <c r="Q45" i="87"/>
  <c r="H62" i="87"/>
  <c r="H69" i="87" s="1"/>
  <c r="H45" i="87"/>
  <c r="M8" i="85"/>
  <c r="P8" i="85" s="1"/>
  <c r="I52" i="85"/>
  <c r="K205" i="86"/>
  <c r="O205" i="86"/>
  <c r="AA205" i="86"/>
  <c r="AE205" i="86"/>
  <c r="M217" i="87"/>
  <c r="M218" i="87" s="1"/>
  <c r="M206" i="87"/>
  <c r="D25" i="85"/>
  <c r="D35" i="85" s="1"/>
  <c r="D39" i="85" s="1"/>
  <c r="D45" i="85"/>
  <c r="D52" i="85" s="1"/>
  <c r="R62" i="87"/>
  <c r="R69" i="87" s="1"/>
  <c r="R45" i="87"/>
  <c r="I45" i="87"/>
  <c r="N62" i="87"/>
  <c r="N69" i="87" s="1"/>
  <c r="F205" i="87"/>
  <c r="Q217" i="87"/>
  <c r="Q218" i="87" s="1"/>
  <c r="Q206" i="87"/>
  <c r="N205" i="87"/>
  <c r="D205" i="86"/>
  <c r="H205" i="86"/>
  <c r="L205" i="86"/>
  <c r="P205" i="86"/>
  <c r="T205" i="86"/>
  <c r="X205" i="86"/>
  <c r="AB205" i="86"/>
  <c r="AF205" i="86"/>
  <c r="L62" i="87"/>
  <c r="L69" i="87" s="1"/>
  <c r="L45" i="87"/>
  <c r="K217" i="87"/>
  <c r="I218" i="87"/>
  <c r="F62" i="87"/>
  <c r="F69" i="87" s="1"/>
  <c r="S77" i="87"/>
  <c r="S149" i="87"/>
  <c r="D205" i="87"/>
  <c r="H205" i="87"/>
  <c r="L205" i="87"/>
  <c r="P205" i="87"/>
  <c r="I206" i="87"/>
  <c r="S235" i="87"/>
  <c r="S245" i="87" s="1"/>
  <c r="S138" i="87"/>
  <c r="G205" i="87"/>
  <c r="O205" i="87"/>
  <c r="S106" i="87"/>
  <c r="E205" i="87"/>
  <c r="C24" i="87"/>
  <c r="C44" i="87" s="1"/>
  <c r="G24" i="87"/>
  <c r="G44" i="87" s="1"/>
  <c r="K24" i="87"/>
  <c r="K44" i="87" s="1"/>
  <c r="O24" i="87"/>
  <c r="O44" i="87" s="1"/>
  <c r="E60" i="87"/>
  <c r="E62" i="87" s="1"/>
  <c r="E69" i="87" s="1"/>
  <c r="I60" i="87"/>
  <c r="M60" i="87"/>
  <c r="M62" i="87" s="1"/>
  <c r="M69" i="87" s="1"/>
  <c r="Q60" i="87"/>
  <c r="Q62" i="87" s="1"/>
  <c r="Q69" i="87" s="1"/>
  <c r="S117" i="87"/>
  <c r="S205" i="87" s="1"/>
  <c r="J205" i="87"/>
  <c r="R45" i="86" l="1"/>
  <c r="R206" i="86"/>
  <c r="M34" i="85"/>
  <c r="P34" i="85" s="1"/>
  <c r="W34" i="85" s="1"/>
  <c r="T27" i="105"/>
  <c r="C29" i="80"/>
  <c r="I29" i="80" s="1"/>
  <c r="R218" i="86"/>
  <c r="W206" i="86"/>
  <c r="J62" i="87"/>
  <c r="J69" i="87" s="1"/>
  <c r="J70" i="87" s="1"/>
  <c r="R8" i="85"/>
  <c r="W8" i="85"/>
  <c r="N206" i="86"/>
  <c r="M208" i="87"/>
  <c r="M220" i="87" s="1"/>
  <c r="M70" i="87"/>
  <c r="S206" i="87"/>
  <c r="S217" i="87"/>
  <c r="S218" i="87" s="1"/>
  <c r="E70" i="87"/>
  <c r="E208" i="87"/>
  <c r="E220" i="87" s="1"/>
  <c r="C45" i="87"/>
  <c r="C62" i="87"/>
  <c r="C69" i="87" s="1"/>
  <c r="H217" i="87"/>
  <c r="H218" i="87" s="1"/>
  <c r="H206" i="87"/>
  <c r="T217" i="86"/>
  <c r="T218" i="86" s="1"/>
  <c r="T206" i="86"/>
  <c r="D217" i="86"/>
  <c r="D218" i="86" s="1"/>
  <c r="D206" i="86"/>
  <c r="AA217" i="86"/>
  <c r="AA218" i="86" s="1"/>
  <c r="AA206" i="86"/>
  <c r="Q70" i="87"/>
  <c r="Q208" i="87"/>
  <c r="Q220" i="87" s="1"/>
  <c r="I208" i="87"/>
  <c r="I220" i="87" s="1"/>
  <c r="I70" i="87"/>
  <c r="S70" i="87"/>
  <c r="S208" i="87"/>
  <c r="S220" i="87" s="1"/>
  <c r="V217" i="86"/>
  <c r="V218" i="86" s="1"/>
  <c r="V206" i="86"/>
  <c r="E217" i="86"/>
  <c r="E218" i="86" s="1"/>
  <c r="E206" i="86"/>
  <c r="AB208" i="86"/>
  <c r="AB220" i="86" s="1"/>
  <c r="AB70" i="86"/>
  <c r="T208" i="86"/>
  <c r="T220" i="86" s="1"/>
  <c r="T70" i="86"/>
  <c r="L208" i="86"/>
  <c r="L220" i="86" s="1"/>
  <c r="L70" i="86"/>
  <c r="D208" i="86"/>
  <c r="D220" i="86" s="1"/>
  <c r="D70" i="86"/>
  <c r="D70" i="87"/>
  <c r="D208" i="87"/>
  <c r="D220" i="87" s="1"/>
  <c r="AG217" i="86"/>
  <c r="AG218" i="86" s="1"/>
  <c r="AG206" i="86"/>
  <c r="AH217" i="86"/>
  <c r="AH218" i="86" s="1"/>
  <c r="AH206" i="86"/>
  <c r="E208" i="86"/>
  <c r="E220" i="86" s="1"/>
  <c r="E70" i="86"/>
  <c r="Z208" i="86"/>
  <c r="Z220" i="86" s="1"/>
  <c r="Z70" i="86"/>
  <c r="V208" i="86"/>
  <c r="V220" i="86" s="1"/>
  <c r="V70" i="86"/>
  <c r="O62" i="87"/>
  <c r="O69" i="87" s="1"/>
  <c r="O45" i="87"/>
  <c r="O206" i="87"/>
  <c r="O217" i="87"/>
  <c r="O218" i="87" s="1"/>
  <c r="D217" i="87"/>
  <c r="D218" i="87" s="1"/>
  <c r="D206" i="87"/>
  <c r="F208" i="87"/>
  <c r="F220" i="87" s="1"/>
  <c r="F70" i="87"/>
  <c r="C206" i="87"/>
  <c r="L208" i="87"/>
  <c r="L220" i="87" s="1"/>
  <c r="L70" i="87"/>
  <c r="AF217" i="86"/>
  <c r="AF218" i="86" s="1"/>
  <c r="AF206" i="86"/>
  <c r="P217" i="86"/>
  <c r="P218" i="86" s="1"/>
  <c r="P206" i="86"/>
  <c r="C218" i="87"/>
  <c r="F217" i="87"/>
  <c r="F218" i="87" s="1"/>
  <c r="F206" i="87"/>
  <c r="R208" i="87"/>
  <c r="R220" i="87" s="1"/>
  <c r="R70" i="87"/>
  <c r="O217" i="86"/>
  <c r="O218" i="86" s="1"/>
  <c r="O206" i="86"/>
  <c r="J217" i="86"/>
  <c r="J218" i="86" s="1"/>
  <c r="J206" i="86"/>
  <c r="Q217" i="86"/>
  <c r="Q218" i="86" s="1"/>
  <c r="Q206" i="86"/>
  <c r="I70" i="86"/>
  <c r="I208" i="86"/>
  <c r="I220" i="86" s="1"/>
  <c r="AA208" i="86"/>
  <c r="AA220" i="86" s="1"/>
  <c r="AA70" i="86"/>
  <c r="S70" i="86"/>
  <c r="S208" i="86"/>
  <c r="S220" i="86" s="1"/>
  <c r="K208" i="86"/>
  <c r="K220" i="86" s="1"/>
  <c r="K70" i="86"/>
  <c r="C70" i="86"/>
  <c r="C208" i="86"/>
  <c r="C220" i="86" s="1"/>
  <c r="N208" i="86"/>
  <c r="N220" i="86" s="1"/>
  <c r="N70" i="86"/>
  <c r="AH208" i="86"/>
  <c r="AH220" i="86" s="1"/>
  <c r="AH70" i="86"/>
  <c r="AG208" i="86"/>
  <c r="AG220" i="86" s="1"/>
  <c r="AG70" i="86"/>
  <c r="K62" i="87"/>
  <c r="K69" i="87" s="1"/>
  <c r="K45" i="87"/>
  <c r="E217" i="87"/>
  <c r="E218" i="87" s="1"/>
  <c r="E206" i="87"/>
  <c r="G206" i="87"/>
  <c r="G217" i="87"/>
  <c r="G218" i="87" s="1"/>
  <c r="P217" i="87"/>
  <c r="P218" i="87" s="1"/>
  <c r="P206" i="87"/>
  <c r="K218" i="87"/>
  <c r="AB217" i="86"/>
  <c r="AB218" i="86" s="1"/>
  <c r="AB206" i="86"/>
  <c r="L217" i="86"/>
  <c r="L218" i="86" s="1"/>
  <c r="L206" i="86"/>
  <c r="N206" i="87"/>
  <c r="N217" i="87"/>
  <c r="N218" i="87" s="1"/>
  <c r="N208" i="87"/>
  <c r="N220" i="87" s="1"/>
  <c r="N70" i="87"/>
  <c r="K217" i="86"/>
  <c r="K218" i="86" s="1"/>
  <c r="K206" i="86"/>
  <c r="F217" i="86"/>
  <c r="F218" i="86" s="1"/>
  <c r="F206" i="86"/>
  <c r="AF208" i="86"/>
  <c r="AF220" i="86" s="1"/>
  <c r="AF70" i="86"/>
  <c r="X208" i="86"/>
  <c r="X220" i="86" s="1"/>
  <c r="X70" i="86"/>
  <c r="P208" i="86"/>
  <c r="P220" i="86" s="1"/>
  <c r="P70" i="86"/>
  <c r="H208" i="86"/>
  <c r="H220" i="86" s="1"/>
  <c r="H70" i="86"/>
  <c r="D20" i="85"/>
  <c r="D54" i="85" s="1"/>
  <c r="P70" i="87"/>
  <c r="P208" i="87"/>
  <c r="P220" i="87" s="1"/>
  <c r="M208" i="86"/>
  <c r="M220" i="86" s="1"/>
  <c r="M70" i="86"/>
  <c r="J208" i="86"/>
  <c r="J220" i="86" s="1"/>
  <c r="J70" i="86"/>
  <c r="F208" i="86"/>
  <c r="F220" i="86" s="1"/>
  <c r="F70" i="86"/>
  <c r="U208" i="86"/>
  <c r="U220" i="86" s="1"/>
  <c r="U70" i="86"/>
  <c r="J217" i="87"/>
  <c r="J218" i="87" s="1"/>
  <c r="J206" i="87"/>
  <c r="G62" i="87"/>
  <c r="G69" i="87" s="1"/>
  <c r="G45" i="87"/>
  <c r="L217" i="87"/>
  <c r="L218" i="87" s="1"/>
  <c r="L206" i="87"/>
  <c r="K206" i="87"/>
  <c r="X217" i="86"/>
  <c r="X218" i="86" s="1"/>
  <c r="X206" i="86"/>
  <c r="H217" i="86"/>
  <c r="H218" i="86" s="1"/>
  <c r="H206" i="86"/>
  <c r="AE217" i="86"/>
  <c r="AE218" i="86" s="1"/>
  <c r="AE206" i="86"/>
  <c r="H208" i="87"/>
  <c r="H220" i="87" s="1"/>
  <c r="H70" i="87"/>
  <c r="Z217" i="86"/>
  <c r="Z206" i="86"/>
  <c r="U217" i="86"/>
  <c r="U218" i="86" s="1"/>
  <c r="U206" i="86"/>
  <c r="AC208" i="86"/>
  <c r="AC220" i="86" s="1"/>
  <c r="AC70" i="86"/>
  <c r="AE208" i="86"/>
  <c r="AE220" i="86" s="1"/>
  <c r="AE70" i="86"/>
  <c r="W70" i="86"/>
  <c r="W208" i="86"/>
  <c r="W220" i="86" s="1"/>
  <c r="O208" i="86"/>
  <c r="O220" i="86" s="1"/>
  <c r="O70" i="86"/>
  <c r="G70" i="86"/>
  <c r="G208" i="86"/>
  <c r="G220" i="86" s="1"/>
  <c r="Y70" i="86"/>
  <c r="Y208" i="86"/>
  <c r="Y220" i="86" s="1"/>
  <c r="AD70" i="86"/>
  <c r="AD208" i="86"/>
  <c r="AD220" i="86" s="1"/>
  <c r="R208" i="86"/>
  <c r="R220" i="86" s="1"/>
  <c r="R70" i="86"/>
  <c r="J208" i="87"/>
  <c r="J220" i="87" s="1"/>
  <c r="Q208" i="86"/>
  <c r="Q220" i="86" s="1"/>
  <c r="Q70" i="86"/>
  <c r="R34" i="85" l="1"/>
  <c r="Y285" i="86"/>
  <c r="Y292" i="86" s="1"/>
  <c r="Y247" i="86"/>
  <c r="Y221" i="86"/>
  <c r="G70" i="87"/>
  <c r="G208" i="87"/>
  <c r="G220" i="87" s="1"/>
  <c r="U247" i="86"/>
  <c r="U221" i="86"/>
  <c r="U285" i="86"/>
  <c r="U292" i="86" s="1"/>
  <c r="J285" i="86"/>
  <c r="J292" i="86" s="1"/>
  <c r="J247" i="86"/>
  <c r="J221" i="86"/>
  <c r="AG221" i="86"/>
  <c r="AG247" i="86"/>
  <c r="N285" i="86"/>
  <c r="N292" i="86" s="1"/>
  <c r="N293" i="86" s="1"/>
  <c r="N247" i="86"/>
  <c r="N221" i="86"/>
  <c r="K221" i="86"/>
  <c r="K247" i="86"/>
  <c r="K285" i="86"/>
  <c r="K292" i="86" s="1"/>
  <c r="AA285" i="86"/>
  <c r="AA292" i="86" s="1"/>
  <c r="AA221" i="86"/>
  <c r="AA247" i="86"/>
  <c r="O70" i="87"/>
  <c r="O208" i="87"/>
  <c r="O220" i="87" s="1"/>
  <c r="Z285" i="86"/>
  <c r="Z292" i="86" s="1"/>
  <c r="Z247" i="86"/>
  <c r="L221" i="86"/>
  <c r="L285" i="86"/>
  <c r="L292" i="86" s="1"/>
  <c r="L247" i="86"/>
  <c r="AB221" i="86"/>
  <c r="AB285" i="86"/>
  <c r="AB292" i="86" s="1"/>
  <c r="AB247" i="86"/>
  <c r="I285" i="87"/>
  <c r="I292" i="87" s="1"/>
  <c r="I221" i="87"/>
  <c r="I247" i="87"/>
  <c r="R285" i="86"/>
  <c r="R292" i="86" s="1"/>
  <c r="R247" i="86"/>
  <c r="R221" i="86"/>
  <c r="O221" i="86"/>
  <c r="O285" i="86"/>
  <c r="O292" i="86" s="1"/>
  <c r="O293" i="86" s="1"/>
  <c r="O247" i="86"/>
  <c r="AE285" i="86"/>
  <c r="AE292" i="86" s="1"/>
  <c r="AE247" i="86"/>
  <c r="AE221" i="86"/>
  <c r="H247" i="87"/>
  <c r="H221" i="87"/>
  <c r="H285" i="87"/>
  <c r="H292" i="87" s="1"/>
  <c r="H293" i="87" s="1"/>
  <c r="P285" i="86"/>
  <c r="P292" i="86" s="1"/>
  <c r="P247" i="86"/>
  <c r="P221" i="86"/>
  <c r="AF221" i="86"/>
  <c r="AF247" i="86"/>
  <c r="AF285" i="86"/>
  <c r="AF292" i="86" s="1"/>
  <c r="C221" i="86"/>
  <c r="C285" i="86"/>
  <c r="C292" i="86" s="1"/>
  <c r="C247" i="86"/>
  <c r="S221" i="86"/>
  <c r="S247" i="86"/>
  <c r="S285" i="86"/>
  <c r="S292" i="86" s="1"/>
  <c r="S293" i="86" s="1"/>
  <c r="I285" i="86"/>
  <c r="I292" i="86" s="1"/>
  <c r="I247" i="86"/>
  <c r="I221" i="86"/>
  <c r="S247" i="87"/>
  <c r="S221" i="87"/>
  <c r="Q285" i="87"/>
  <c r="Q292" i="87" s="1"/>
  <c r="Q293" i="87" s="1"/>
  <c r="Q221" i="87"/>
  <c r="Q247" i="87"/>
  <c r="E285" i="87"/>
  <c r="E292" i="87" s="1"/>
  <c r="E293" i="87" s="1"/>
  <c r="E221" i="87"/>
  <c r="E247" i="87"/>
  <c r="Q221" i="86"/>
  <c r="Q285" i="86"/>
  <c r="Q292" i="86" s="1"/>
  <c r="Q293" i="86" s="1"/>
  <c r="Q247" i="86"/>
  <c r="AD285" i="86"/>
  <c r="AD292" i="86" s="1"/>
  <c r="AD293" i="86" s="1"/>
  <c r="AD247" i="86"/>
  <c r="AD221" i="86"/>
  <c r="G221" i="86"/>
  <c r="G285" i="86"/>
  <c r="G292" i="86" s="1"/>
  <c r="G247" i="86"/>
  <c r="W221" i="86"/>
  <c r="W285" i="86"/>
  <c r="W292" i="86" s="1"/>
  <c r="W247" i="86"/>
  <c r="F285" i="86"/>
  <c r="F292" i="86" s="1"/>
  <c r="F293" i="86" s="1"/>
  <c r="F247" i="86"/>
  <c r="F221" i="86"/>
  <c r="M285" i="86"/>
  <c r="M292" i="86" s="1"/>
  <c r="M247" i="86"/>
  <c r="M221" i="86"/>
  <c r="K70" i="87"/>
  <c r="K208" i="87"/>
  <c r="K220" i="87" s="1"/>
  <c r="AH247" i="86"/>
  <c r="AH221" i="86"/>
  <c r="R247" i="87"/>
  <c r="R221" i="87"/>
  <c r="F285" i="87"/>
  <c r="F292" i="87" s="1"/>
  <c r="F247" i="87"/>
  <c r="F221" i="87"/>
  <c r="V285" i="86"/>
  <c r="V292" i="86" s="1"/>
  <c r="V247" i="86"/>
  <c r="V221" i="86"/>
  <c r="E285" i="86"/>
  <c r="E292" i="86" s="1"/>
  <c r="E247" i="86"/>
  <c r="E221" i="86"/>
  <c r="D285" i="86"/>
  <c r="D292" i="86" s="1"/>
  <c r="D293" i="86" s="1"/>
  <c r="D247" i="86"/>
  <c r="D221" i="86"/>
  <c r="T285" i="86"/>
  <c r="T292" i="86" s="1"/>
  <c r="T247" i="86"/>
  <c r="T221" i="86"/>
  <c r="J247" i="87"/>
  <c r="J285" i="87"/>
  <c r="J292" i="87" s="1"/>
  <c r="J293" i="87" s="1"/>
  <c r="J221" i="87"/>
  <c r="AC221" i="86"/>
  <c r="AC247" i="86"/>
  <c r="AC285" i="86"/>
  <c r="AC292" i="86" s="1"/>
  <c r="P285" i="87"/>
  <c r="P292" i="87" s="1"/>
  <c r="P293" i="87" s="1"/>
  <c r="P247" i="87"/>
  <c r="P221" i="87"/>
  <c r="H247" i="86"/>
  <c r="H221" i="86"/>
  <c r="H285" i="86"/>
  <c r="H292" i="86" s="1"/>
  <c r="H293" i="86" s="1"/>
  <c r="X221" i="86"/>
  <c r="X285" i="86"/>
  <c r="X292" i="86" s="1"/>
  <c r="X247" i="86"/>
  <c r="N221" i="87"/>
  <c r="N285" i="87"/>
  <c r="N292" i="87" s="1"/>
  <c r="N247" i="87"/>
  <c r="L285" i="87"/>
  <c r="L292" i="87" s="1"/>
  <c r="L247" i="87"/>
  <c r="L221" i="87"/>
  <c r="D247" i="87"/>
  <c r="D221" i="87"/>
  <c r="D285" i="87"/>
  <c r="D292" i="87" s="1"/>
  <c r="D293" i="87" s="1"/>
  <c r="C70" i="87"/>
  <c r="C208" i="87"/>
  <c r="C220" i="87" s="1"/>
  <c r="M285" i="87"/>
  <c r="M292" i="87" s="1"/>
  <c r="M221" i="87"/>
  <c r="M247" i="87"/>
  <c r="M293" i="87" l="1"/>
  <c r="C29" i="85"/>
  <c r="F29" i="85" s="1"/>
  <c r="L293" i="87"/>
  <c r="C26" i="85"/>
  <c r="F26" i="85" s="1"/>
  <c r="X275" i="86"/>
  <c r="X248" i="86"/>
  <c r="X269" i="86"/>
  <c r="X270" i="86" s="1"/>
  <c r="T275" i="86"/>
  <c r="T248" i="86"/>
  <c r="T269" i="86"/>
  <c r="T270" i="86" s="1"/>
  <c r="F248" i="87"/>
  <c r="F269" i="87"/>
  <c r="F248" i="86"/>
  <c r="F275" i="86"/>
  <c r="F269" i="86"/>
  <c r="F270" i="86" s="1"/>
  <c r="I293" i="86"/>
  <c r="C11" i="85"/>
  <c r="F11" i="85" s="1"/>
  <c r="C275" i="86"/>
  <c r="C269" i="86"/>
  <c r="C270" i="86" s="1"/>
  <c r="C248" i="86"/>
  <c r="AF248" i="86"/>
  <c r="AF275" i="86"/>
  <c r="AF269" i="86"/>
  <c r="AF270" i="86" s="1"/>
  <c r="P293" i="86"/>
  <c r="C47" i="85"/>
  <c r="F47" i="85" s="1"/>
  <c r="R293" i="86"/>
  <c r="C49" i="85"/>
  <c r="F49" i="85" s="1"/>
  <c r="AB275" i="86"/>
  <c r="AB248" i="86"/>
  <c r="AB269" i="86"/>
  <c r="AB270" i="86" s="1"/>
  <c r="C45" i="85"/>
  <c r="F45" i="85" s="1"/>
  <c r="L293" i="86"/>
  <c r="O247" i="87"/>
  <c r="O285" i="87"/>
  <c r="O292" i="87" s="1"/>
  <c r="O221" i="87"/>
  <c r="AA293" i="86"/>
  <c r="C17" i="85"/>
  <c r="F17" i="85" s="1"/>
  <c r="U293" i="86"/>
  <c r="C51" i="85"/>
  <c r="F51" i="85" s="1"/>
  <c r="C247" i="87"/>
  <c r="C221" i="87"/>
  <c r="C285" i="87"/>
  <c r="C292" i="87" s="1"/>
  <c r="D275" i="87"/>
  <c r="D248" i="87"/>
  <c r="D269" i="87"/>
  <c r="D270" i="87" s="1"/>
  <c r="N248" i="87"/>
  <c r="N269" i="87"/>
  <c r="N270" i="87" s="1"/>
  <c r="N275" i="87"/>
  <c r="X293" i="86"/>
  <c r="C15" i="85"/>
  <c r="F15" i="85" s="1"/>
  <c r="H275" i="86"/>
  <c r="H248" i="86"/>
  <c r="H269" i="86"/>
  <c r="H270" i="86" s="1"/>
  <c r="AC293" i="86"/>
  <c r="C19" i="85"/>
  <c r="F19" i="85" s="1"/>
  <c r="T293" i="86"/>
  <c r="C13" i="85"/>
  <c r="F13" i="85" s="1"/>
  <c r="V248" i="86"/>
  <c r="V275" i="86"/>
  <c r="V269" i="86"/>
  <c r="V270" i="86" s="1"/>
  <c r="F293" i="87"/>
  <c r="C27" i="85"/>
  <c r="F27" i="85" s="1"/>
  <c r="U27" i="85" s="1"/>
  <c r="C32" i="105" s="1"/>
  <c r="AH248" i="86"/>
  <c r="AH269" i="86"/>
  <c r="AH270" i="86" s="1"/>
  <c r="M275" i="86"/>
  <c r="M269" i="86"/>
  <c r="M270" i="86" s="1"/>
  <c r="M248" i="86"/>
  <c r="G275" i="86"/>
  <c r="G249" i="86"/>
  <c r="G248" i="86"/>
  <c r="G269" i="86"/>
  <c r="G270" i="86" s="1"/>
  <c r="AD248" i="86"/>
  <c r="AD269" i="86"/>
  <c r="AD270" i="86" s="1"/>
  <c r="Q248" i="87"/>
  <c r="Q275" i="87"/>
  <c r="Q269" i="87"/>
  <c r="Q270" i="87" s="1"/>
  <c r="S248" i="87"/>
  <c r="S269" i="87"/>
  <c r="S270" i="87" s="1"/>
  <c r="C293" i="86"/>
  <c r="C9" i="85"/>
  <c r="F9" i="85" s="1"/>
  <c r="U9" i="85" s="1"/>
  <c r="AE275" i="86"/>
  <c r="AE248" i="86"/>
  <c r="AE269" i="86"/>
  <c r="AE270" i="86" s="1"/>
  <c r="I248" i="87"/>
  <c r="I269" i="87"/>
  <c r="C48" i="85"/>
  <c r="F48" i="85" s="1"/>
  <c r="AB293" i="86"/>
  <c r="K293" i="86"/>
  <c r="C43" i="85"/>
  <c r="N248" i="86"/>
  <c r="N275" i="86"/>
  <c r="N269" i="86"/>
  <c r="N270" i="86" s="1"/>
  <c r="M248" i="87"/>
  <c r="M269" i="87"/>
  <c r="N293" i="87"/>
  <c r="C25" i="85"/>
  <c r="F25" i="85" s="1"/>
  <c r="AC275" i="86"/>
  <c r="AC269" i="86"/>
  <c r="AC270" i="86" s="1"/>
  <c r="AC248" i="86"/>
  <c r="J248" i="87"/>
  <c r="J275" i="87"/>
  <c r="J269" i="87"/>
  <c r="J270" i="87" s="1"/>
  <c r="E275" i="86"/>
  <c r="E269" i="86"/>
  <c r="E270" i="86" s="1"/>
  <c r="E248" i="86"/>
  <c r="V293" i="86"/>
  <c r="C50" i="85"/>
  <c r="F50" i="85" s="1"/>
  <c r="K247" i="87"/>
  <c r="K285" i="87"/>
  <c r="K292" i="87" s="1"/>
  <c r="K221" i="87"/>
  <c r="M293" i="86"/>
  <c r="C12" i="85"/>
  <c r="F12" i="85" s="1"/>
  <c r="W248" i="86"/>
  <c r="W269" i="86"/>
  <c r="W270" i="86" s="1"/>
  <c r="G293" i="86"/>
  <c r="C5" i="85"/>
  <c r="E275" i="87"/>
  <c r="E248" i="87"/>
  <c r="E269" i="87"/>
  <c r="E270" i="87" s="1"/>
  <c r="S248" i="86"/>
  <c r="S275" i="86"/>
  <c r="S269" i="86"/>
  <c r="S270" i="86" s="1"/>
  <c r="AE293" i="86"/>
  <c r="C6" i="85"/>
  <c r="F6" i="85" s="1"/>
  <c r="Z248" i="86"/>
  <c r="Z249" i="86"/>
  <c r="Z275" i="86"/>
  <c r="Z269" i="86"/>
  <c r="Z270" i="86" s="1"/>
  <c r="AA275" i="86"/>
  <c r="AA248" i="86"/>
  <c r="AA269" i="86"/>
  <c r="AA270" i="86" s="1"/>
  <c r="K275" i="86"/>
  <c r="K269" i="86"/>
  <c r="K270" i="86" s="1"/>
  <c r="K248" i="86"/>
  <c r="J248" i="86"/>
  <c r="J275" i="86"/>
  <c r="J269" i="86"/>
  <c r="J270" i="86" s="1"/>
  <c r="U275" i="86"/>
  <c r="U269" i="86"/>
  <c r="U270" i="86" s="1"/>
  <c r="U248" i="86"/>
  <c r="Y275" i="86"/>
  <c r="Y248" i="86"/>
  <c r="Y269" i="86"/>
  <c r="Y270" i="86" s="1"/>
  <c r="L248" i="87"/>
  <c r="L269" i="87"/>
  <c r="P275" i="87"/>
  <c r="P269" i="87"/>
  <c r="P270" i="87" s="1"/>
  <c r="P248" i="87"/>
  <c r="D275" i="86"/>
  <c r="D248" i="86"/>
  <c r="D269" i="86"/>
  <c r="D270" i="86" s="1"/>
  <c r="E293" i="86"/>
  <c r="C10" i="85"/>
  <c r="F10" i="85" s="1"/>
  <c r="R248" i="87"/>
  <c r="R275" i="87"/>
  <c r="R269" i="87"/>
  <c r="R270" i="87" s="1"/>
  <c r="W293" i="86"/>
  <c r="C14" i="85"/>
  <c r="F14" i="85" s="1"/>
  <c r="Q248" i="86"/>
  <c r="Q275" i="86"/>
  <c r="Q269" i="86"/>
  <c r="Q270" i="86" s="1"/>
  <c r="I248" i="86"/>
  <c r="I275" i="86"/>
  <c r="I269" i="86"/>
  <c r="I270" i="86" s="1"/>
  <c r="AF293" i="86"/>
  <c r="C7" i="85"/>
  <c r="F7" i="85" s="1"/>
  <c r="U7" i="85" s="1"/>
  <c r="C26" i="105" s="1"/>
  <c r="F26" i="105" s="1"/>
  <c r="P275" i="86"/>
  <c r="P248" i="86"/>
  <c r="P269" i="86"/>
  <c r="P270" i="86" s="1"/>
  <c r="H275" i="87"/>
  <c r="H248" i="87"/>
  <c r="H269" i="87"/>
  <c r="H270" i="87" s="1"/>
  <c r="O248" i="86"/>
  <c r="O275" i="86"/>
  <c r="O269" i="86"/>
  <c r="O270" i="86" s="1"/>
  <c r="R248" i="86"/>
  <c r="R275" i="86"/>
  <c r="R269" i="86"/>
  <c r="R270" i="86" s="1"/>
  <c r="I293" i="87"/>
  <c r="C28" i="85"/>
  <c r="F28" i="85" s="1"/>
  <c r="L275" i="86"/>
  <c r="L248" i="86"/>
  <c r="L269" i="86"/>
  <c r="L270" i="86" s="1"/>
  <c r="Z293" i="86"/>
  <c r="C16" i="85"/>
  <c r="F16" i="85" s="1"/>
  <c r="AG275" i="86"/>
  <c r="AG248" i="86"/>
  <c r="AG269" i="86"/>
  <c r="AG270" i="86" s="1"/>
  <c r="J293" i="86"/>
  <c r="C18" i="85"/>
  <c r="F18" i="85" s="1"/>
  <c r="G247" i="87"/>
  <c r="G221" i="87"/>
  <c r="G285" i="87"/>
  <c r="G292" i="87" s="1"/>
  <c r="C46" i="85"/>
  <c r="F46" i="85" s="1"/>
  <c r="Y293" i="86"/>
  <c r="R19" i="85" l="1"/>
  <c r="U19" i="85"/>
  <c r="C21" i="105" s="1"/>
  <c r="F21" i="105" s="1"/>
  <c r="R18" i="85"/>
  <c r="U18" i="85"/>
  <c r="C22" i="105" s="1"/>
  <c r="F22" i="105" s="1"/>
  <c r="R14" i="85"/>
  <c r="U14" i="85"/>
  <c r="C23" i="105" s="1"/>
  <c r="F23" i="105" s="1"/>
  <c r="F32" i="105"/>
  <c r="H32" i="105"/>
  <c r="K32" i="105" s="1"/>
  <c r="C28" i="80"/>
  <c r="G28" i="80" s="1"/>
  <c r="I28" i="80" s="1"/>
  <c r="R17" i="85"/>
  <c r="U17" i="85"/>
  <c r="C18" i="105" s="1"/>
  <c r="F18" i="105" s="1"/>
  <c r="R6" i="85"/>
  <c r="U6" i="85"/>
  <c r="C20" i="105" s="1"/>
  <c r="F20" i="105" s="1"/>
  <c r="R26" i="85"/>
  <c r="U26" i="85"/>
  <c r="C14" i="105" s="1"/>
  <c r="F14" i="105" s="1"/>
  <c r="R28" i="85"/>
  <c r="U28" i="85"/>
  <c r="C11" i="105" s="1"/>
  <c r="F11" i="105" s="1"/>
  <c r="R12" i="85"/>
  <c r="U12" i="85"/>
  <c r="C12" i="105" s="1"/>
  <c r="F12" i="105" s="1"/>
  <c r="R15" i="85"/>
  <c r="U15" i="85"/>
  <c r="C15" i="105" s="1"/>
  <c r="F15" i="105" s="1"/>
  <c r="R29" i="85"/>
  <c r="U29" i="85"/>
  <c r="C24" i="105" s="1"/>
  <c r="F24" i="105" s="1"/>
  <c r="R25" i="85"/>
  <c r="U25" i="85"/>
  <c r="C19" i="105" s="1"/>
  <c r="F19" i="105" s="1"/>
  <c r="R16" i="85"/>
  <c r="U16" i="85"/>
  <c r="C17" i="105" s="1"/>
  <c r="F17" i="105" s="1"/>
  <c r="R10" i="85"/>
  <c r="U10" i="85"/>
  <c r="C6" i="105" s="1"/>
  <c r="F6" i="105" s="1"/>
  <c r="R13" i="85"/>
  <c r="U13" i="85"/>
  <c r="C13" i="105" s="1"/>
  <c r="F13" i="105" s="1"/>
  <c r="R11" i="85"/>
  <c r="U11" i="85"/>
  <c r="C10" i="105" s="1"/>
  <c r="F10" i="105" s="1"/>
  <c r="G248" i="87"/>
  <c r="G269" i="87"/>
  <c r="C20" i="85"/>
  <c r="C54" i="85" s="1"/>
  <c r="F5" i="85"/>
  <c r="U5" i="85" s="1"/>
  <c r="K275" i="87"/>
  <c r="K248" i="87"/>
  <c r="K269" i="87"/>
  <c r="K270" i="87" s="1"/>
  <c r="C52" i="85"/>
  <c r="F43" i="85"/>
  <c r="F52" i="85" s="1"/>
  <c r="I273" i="87"/>
  <c r="I275" i="87" s="1"/>
  <c r="I270" i="87"/>
  <c r="F270" i="87"/>
  <c r="F273" i="87"/>
  <c r="M7" i="85"/>
  <c r="M27" i="85"/>
  <c r="P27" i="85" s="1"/>
  <c r="W27" i="85" s="1"/>
  <c r="R27" i="85"/>
  <c r="C293" i="87"/>
  <c r="C23" i="85"/>
  <c r="O293" i="87"/>
  <c r="C31" i="85"/>
  <c r="F31" i="85" s="1"/>
  <c r="AH275" i="86"/>
  <c r="G293" i="87"/>
  <c r="C30" i="85"/>
  <c r="F30" i="85" s="1"/>
  <c r="L273" i="87"/>
  <c r="L275" i="87" s="1"/>
  <c r="L270" i="87"/>
  <c r="M273" i="87"/>
  <c r="M275" i="87" s="1"/>
  <c r="M270" i="87"/>
  <c r="M9" i="85"/>
  <c r="P9" i="85" s="1"/>
  <c r="O248" i="87"/>
  <c r="O269" i="87"/>
  <c r="K293" i="87"/>
  <c r="C24" i="85"/>
  <c r="F24" i="85" s="1"/>
  <c r="U24" i="85" s="1"/>
  <c r="C33" i="105" s="1"/>
  <c r="C275" i="87"/>
  <c r="C248" i="87"/>
  <c r="C269" i="87"/>
  <c r="C270" i="87" s="1"/>
  <c r="R31" i="85" l="1"/>
  <c r="U31" i="85"/>
  <c r="C16" i="105" s="1"/>
  <c r="F16" i="105" s="1"/>
  <c r="C7" i="105"/>
  <c r="F7" i="105" s="1"/>
  <c r="U20" i="85"/>
  <c r="T6" i="105"/>
  <c r="C8" i="80"/>
  <c r="C17" i="80"/>
  <c r="T15" i="105"/>
  <c r="C22" i="80"/>
  <c r="T20" i="105"/>
  <c r="C19" i="80"/>
  <c r="T17" i="105"/>
  <c r="C14" i="80"/>
  <c r="T12" i="105"/>
  <c r="C20" i="80"/>
  <c r="T18" i="105"/>
  <c r="C24" i="80"/>
  <c r="G24" i="80" s="1"/>
  <c r="I24" i="80" s="1"/>
  <c r="T22" i="105"/>
  <c r="R9" i="85"/>
  <c r="W9" i="85"/>
  <c r="T10" i="105"/>
  <c r="C12" i="80"/>
  <c r="C21" i="80"/>
  <c r="T19" i="105"/>
  <c r="C13" i="80"/>
  <c r="I13" i="80" s="1"/>
  <c r="T11" i="105"/>
  <c r="F33" i="105"/>
  <c r="H33" i="105"/>
  <c r="K33" i="105" s="1"/>
  <c r="R30" i="85"/>
  <c r="U30" i="85"/>
  <c r="C25" i="105" s="1"/>
  <c r="F25" i="105" s="1"/>
  <c r="C23" i="80"/>
  <c r="G23" i="80" s="1"/>
  <c r="I23" i="80" s="1"/>
  <c r="T21" i="105"/>
  <c r="C25" i="80"/>
  <c r="I25" i="80" s="1"/>
  <c r="T23" i="105"/>
  <c r="C15" i="80"/>
  <c r="T13" i="105"/>
  <c r="C26" i="80"/>
  <c r="I26" i="80" s="1"/>
  <c r="T24" i="105"/>
  <c r="C16" i="80"/>
  <c r="T14" i="105"/>
  <c r="M24" i="85"/>
  <c r="P24" i="85" s="1"/>
  <c r="C35" i="85"/>
  <c r="C39" i="85" s="1"/>
  <c r="F23" i="85"/>
  <c r="U23" i="85" s="1"/>
  <c r="M20" i="85"/>
  <c r="P7" i="85"/>
  <c r="W7" i="85" s="1"/>
  <c r="H26" i="105" s="1"/>
  <c r="G273" i="87"/>
  <c r="G275" i="87" s="1"/>
  <c r="G270" i="87"/>
  <c r="O273" i="87"/>
  <c r="O275" i="87" s="1"/>
  <c r="O270" i="87"/>
  <c r="F275" i="87"/>
  <c r="F20" i="85"/>
  <c r="R5" i="85"/>
  <c r="C27" i="80" l="1"/>
  <c r="I27" i="80" s="1"/>
  <c r="T25" i="105"/>
  <c r="K26" i="105"/>
  <c r="T26" i="105" s="1"/>
  <c r="M26" i="105"/>
  <c r="F41" i="85"/>
  <c r="U41" i="85"/>
  <c r="U35" i="85"/>
  <c r="U39" i="85" s="1"/>
  <c r="C31" i="105"/>
  <c r="C9" i="80"/>
  <c r="T7" i="105"/>
  <c r="T16" i="105"/>
  <c r="C18" i="80"/>
  <c r="I18" i="80" s="1"/>
  <c r="S273" i="87"/>
  <c r="S275" i="87" s="1"/>
  <c r="S279" i="87" s="1"/>
  <c r="R24" i="85"/>
  <c r="W24" i="85"/>
  <c r="M23" i="85"/>
  <c r="F35" i="85"/>
  <c r="F39" i="85" s="1"/>
  <c r="P20" i="85"/>
  <c r="R7" i="85"/>
  <c r="R20" i="85" s="1"/>
  <c r="H31" i="105" l="1"/>
  <c r="K31" i="105" s="1"/>
  <c r="F31" i="105"/>
  <c r="M35" i="85"/>
  <c r="M39" i="85" s="1"/>
  <c r="P23" i="85"/>
  <c r="W23" i="85" s="1"/>
  <c r="P35" i="85" l="1"/>
  <c r="P39" i="85" s="1"/>
  <c r="R23" i="85"/>
  <c r="R35" i="85" s="1"/>
  <c r="R39" i="85" s="1"/>
  <c r="R41" i="85" s="1"/>
  <c r="C34" i="80" l="1"/>
  <c r="G22" i="80"/>
  <c r="I22" i="80" s="1"/>
  <c r="G21" i="80"/>
  <c r="I21" i="80" s="1"/>
  <c r="G20" i="80"/>
  <c r="I20" i="80" s="1"/>
  <c r="G19" i="80"/>
  <c r="I19" i="80" s="1"/>
  <c r="G17" i="80"/>
  <c r="I17" i="80" s="1"/>
  <c r="G15" i="80"/>
  <c r="I15" i="80" s="1"/>
  <c r="G11" i="80"/>
  <c r="I11" i="80" s="1"/>
  <c r="G10" i="80"/>
  <c r="I10" i="80" s="1"/>
  <c r="G9" i="80"/>
  <c r="I9" i="80" s="1"/>
  <c r="BL149" i="73"/>
  <c r="A141" i="73"/>
  <c r="A140" i="73"/>
  <c r="BM138" i="73"/>
  <c r="A137" i="73"/>
  <c r="A133" i="73"/>
  <c r="BK132" i="73"/>
  <c r="BJ132" i="73"/>
  <c r="BI132" i="73"/>
  <c r="BH132" i="73"/>
  <c r="BG132" i="73"/>
  <c r="BF132" i="73"/>
  <c r="BE132" i="73"/>
  <c r="BD132" i="73"/>
  <c r="BB132" i="73"/>
  <c r="BA132" i="73"/>
  <c r="AZ132" i="73"/>
  <c r="AY132" i="73"/>
  <c r="H132" i="73"/>
  <c r="F132" i="73"/>
  <c r="C132" i="73"/>
  <c r="B132" i="73"/>
  <c r="A132" i="73"/>
  <c r="BK131" i="73"/>
  <c r="BJ131" i="73"/>
  <c r="BI131" i="73"/>
  <c r="BH131" i="73"/>
  <c r="BH133" i="73" s="1"/>
  <c r="BG131" i="73"/>
  <c r="BF131" i="73"/>
  <c r="BE131" i="73"/>
  <c r="BD131" i="73"/>
  <c r="H131" i="73"/>
  <c r="F131" i="73"/>
  <c r="C131" i="73"/>
  <c r="B131" i="73"/>
  <c r="A131" i="73"/>
  <c r="BK130" i="73"/>
  <c r="BJ130" i="73"/>
  <c r="BJ133" i="73" s="1"/>
  <c r="BI130" i="73"/>
  <c r="BH130" i="73"/>
  <c r="BG130" i="73"/>
  <c r="BF130" i="73"/>
  <c r="BE130" i="73"/>
  <c r="BD130" i="73"/>
  <c r="BD133" i="73" s="1"/>
  <c r="BB130" i="73"/>
  <c r="BA130" i="73"/>
  <c r="AZ130" i="73"/>
  <c r="AY130" i="73"/>
  <c r="H130" i="73"/>
  <c r="F130" i="73"/>
  <c r="C130" i="73"/>
  <c r="B130" i="73"/>
  <c r="A130" i="73"/>
  <c r="A129" i="73"/>
  <c r="A127" i="73"/>
  <c r="BK125" i="73"/>
  <c r="AX125" i="73"/>
  <c r="AW125" i="73"/>
  <c r="AV125" i="73"/>
  <c r="AU125" i="73"/>
  <c r="AT125" i="73"/>
  <c r="AS125" i="73"/>
  <c r="AR125" i="73"/>
  <c r="AQ125" i="73"/>
  <c r="AP125" i="73"/>
  <c r="AO125" i="73"/>
  <c r="AN125" i="73"/>
  <c r="AM125" i="73"/>
  <c r="AL125" i="73"/>
  <c r="AK125" i="73"/>
  <c r="AJ125" i="73"/>
  <c r="AI125" i="73"/>
  <c r="AH125" i="73"/>
  <c r="AG125" i="73"/>
  <c r="AF125" i="73"/>
  <c r="AE125" i="73"/>
  <c r="AD125" i="73"/>
  <c r="AC125" i="73"/>
  <c r="AB125" i="73"/>
  <c r="AA125" i="73"/>
  <c r="Z125" i="73"/>
  <c r="Y125" i="73"/>
  <c r="X125" i="73"/>
  <c r="W125" i="73"/>
  <c r="V125" i="73"/>
  <c r="U125" i="73"/>
  <c r="T125" i="73"/>
  <c r="S125" i="73"/>
  <c r="R125" i="73"/>
  <c r="Q125" i="73"/>
  <c r="P125" i="73"/>
  <c r="O125" i="73"/>
  <c r="N125" i="73"/>
  <c r="M125" i="73"/>
  <c r="L125" i="73"/>
  <c r="K125" i="73"/>
  <c r="J125" i="73"/>
  <c r="H125" i="73"/>
  <c r="F125" i="73"/>
  <c r="C125" i="73"/>
  <c r="B125" i="73"/>
  <c r="A125" i="73"/>
  <c r="BL124" i="73"/>
  <c r="BK123" i="73"/>
  <c r="BJ123" i="73"/>
  <c r="BI123" i="73"/>
  <c r="BH123" i="73"/>
  <c r="BG123" i="73"/>
  <c r="BF123" i="73"/>
  <c r="BE123" i="73"/>
  <c r="BD123" i="73"/>
  <c r="H123" i="73"/>
  <c r="F123" i="73"/>
  <c r="C123" i="73"/>
  <c r="B123" i="73"/>
  <c r="A123" i="73"/>
  <c r="BK122" i="73"/>
  <c r="BJ122" i="73"/>
  <c r="BI122" i="73"/>
  <c r="BH122" i="73"/>
  <c r="BG122" i="73"/>
  <c r="BF122" i="73"/>
  <c r="BE122" i="73"/>
  <c r="BD122" i="73"/>
  <c r="BB122" i="73"/>
  <c r="BA122" i="73"/>
  <c r="AZ122" i="73"/>
  <c r="AY122" i="73"/>
  <c r="H122" i="73"/>
  <c r="F122" i="73"/>
  <c r="C122" i="73"/>
  <c r="B122" i="73"/>
  <c r="A122" i="73"/>
  <c r="BK121" i="73"/>
  <c r="BJ121" i="73"/>
  <c r="BI121" i="73"/>
  <c r="BH121" i="73"/>
  <c r="BG121" i="73"/>
  <c r="BF121" i="73"/>
  <c r="BE121" i="73"/>
  <c r="BD121" i="73"/>
  <c r="BB121" i="73"/>
  <c r="BA121" i="73"/>
  <c r="AZ121" i="73"/>
  <c r="AY121" i="73"/>
  <c r="H121" i="73"/>
  <c r="F121" i="73"/>
  <c r="C121" i="73"/>
  <c r="B121" i="73"/>
  <c r="A121" i="73"/>
  <c r="BK120" i="73"/>
  <c r="BJ120" i="73"/>
  <c r="BI120" i="73"/>
  <c r="BH120" i="73"/>
  <c r="BG120" i="73"/>
  <c r="BF120" i="73"/>
  <c r="BE120" i="73"/>
  <c r="BD120" i="73"/>
  <c r="BB120" i="73"/>
  <c r="BA120" i="73"/>
  <c r="AZ120" i="73"/>
  <c r="AY120" i="73"/>
  <c r="H120" i="73"/>
  <c r="F120" i="73"/>
  <c r="C120" i="73"/>
  <c r="B120" i="73"/>
  <c r="A120" i="73"/>
  <c r="BK118" i="73"/>
  <c r="BJ118" i="73"/>
  <c r="BI118" i="73"/>
  <c r="BH118" i="73"/>
  <c r="BG118" i="73"/>
  <c r="BF118" i="73"/>
  <c r="BE118" i="73"/>
  <c r="BD118" i="73"/>
  <c r="BB118" i="73"/>
  <c r="BA118" i="73"/>
  <c r="AZ118" i="73"/>
  <c r="AY118" i="73"/>
  <c r="H118" i="73"/>
  <c r="F118" i="73"/>
  <c r="C118" i="73"/>
  <c r="B118" i="73"/>
  <c r="A118" i="73"/>
  <c r="A116" i="73"/>
  <c r="BK115" i="73"/>
  <c r="BJ115" i="73"/>
  <c r="BI115" i="73"/>
  <c r="BH115" i="73"/>
  <c r="BG115" i="73"/>
  <c r="BF115" i="73"/>
  <c r="BE115" i="73"/>
  <c r="BD115" i="73"/>
  <c r="BB115" i="73"/>
  <c r="BA115" i="73"/>
  <c r="AZ115" i="73"/>
  <c r="AY115" i="73"/>
  <c r="H115" i="73"/>
  <c r="F115" i="73"/>
  <c r="C115" i="73"/>
  <c r="B115" i="73"/>
  <c r="A115" i="73"/>
  <c r="BK114" i="73"/>
  <c r="BJ114" i="73"/>
  <c r="BI114" i="73"/>
  <c r="BI116" i="73" s="1"/>
  <c r="BH114" i="73"/>
  <c r="BG114" i="73"/>
  <c r="BF114" i="73"/>
  <c r="BE114" i="73"/>
  <c r="BD114" i="73"/>
  <c r="BB114" i="73"/>
  <c r="BA114" i="73"/>
  <c r="AZ114" i="73"/>
  <c r="AY114" i="73"/>
  <c r="H114" i="73"/>
  <c r="F114" i="73"/>
  <c r="C114" i="73"/>
  <c r="B114" i="73"/>
  <c r="A114" i="73"/>
  <c r="BK113" i="73"/>
  <c r="BJ113" i="73"/>
  <c r="BJ116" i="73" s="1"/>
  <c r="BI113" i="73"/>
  <c r="BH113" i="73"/>
  <c r="BG113" i="73"/>
  <c r="BG116" i="73" s="1"/>
  <c r="BF113" i="73"/>
  <c r="BF116" i="73" s="1"/>
  <c r="BE113" i="73"/>
  <c r="BD113" i="73"/>
  <c r="H113" i="73"/>
  <c r="H116" i="73" s="1"/>
  <c r="F113" i="73"/>
  <c r="C113" i="73"/>
  <c r="B113" i="73"/>
  <c r="A113" i="73"/>
  <c r="A112" i="73"/>
  <c r="A110" i="73"/>
  <c r="A108" i="73"/>
  <c r="A105" i="73"/>
  <c r="H103" i="73"/>
  <c r="F103" i="73"/>
  <c r="C103" i="73"/>
  <c r="B103" i="73"/>
  <c r="A103" i="73"/>
  <c r="BJ102" i="73"/>
  <c r="BI102" i="73"/>
  <c r="BH102" i="73"/>
  <c r="BG102" i="73"/>
  <c r="BF102" i="73"/>
  <c r="BE102" i="73"/>
  <c r="BD102" i="73"/>
  <c r="BB102" i="73"/>
  <c r="BA102" i="73"/>
  <c r="AZ102" i="73"/>
  <c r="AY102" i="73"/>
  <c r="AX102" i="73"/>
  <c r="AW102" i="73"/>
  <c r="AV102" i="73"/>
  <c r="AU102" i="73"/>
  <c r="AT102" i="73"/>
  <c r="AS102" i="73"/>
  <c r="AR102" i="73"/>
  <c r="AQ102" i="73"/>
  <c r="AP102" i="73"/>
  <c r="AO102" i="73"/>
  <c r="AN102" i="73"/>
  <c r="AM102" i="73"/>
  <c r="AL102" i="73"/>
  <c r="AK102" i="73"/>
  <c r="AJ102" i="73"/>
  <c r="AI102" i="73"/>
  <c r="AH102" i="73"/>
  <c r="AG102" i="73"/>
  <c r="AF102" i="73"/>
  <c r="AE102" i="73"/>
  <c r="AD102" i="73"/>
  <c r="AC102" i="73"/>
  <c r="AB102" i="73"/>
  <c r="AA102" i="73"/>
  <c r="Z102" i="73"/>
  <c r="Y102" i="73"/>
  <c r="X102" i="73"/>
  <c r="W102" i="73"/>
  <c r="V102" i="73"/>
  <c r="U102" i="73"/>
  <c r="T102" i="73"/>
  <c r="S102" i="73"/>
  <c r="R102" i="73"/>
  <c r="Q102" i="73"/>
  <c r="P102" i="73"/>
  <c r="O102" i="73"/>
  <c r="N102" i="73"/>
  <c r="M102" i="73"/>
  <c r="L102" i="73"/>
  <c r="K102" i="73"/>
  <c r="J102" i="73"/>
  <c r="I102" i="73"/>
  <c r="H102" i="73"/>
  <c r="F102" i="73"/>
  <c r="C102" i="73"/>
  <c r="B102" i="73"/>
  <c r="A102" i="73"/>
  <c r="BK101" i="73"/>
  <c r="BJ101" i="73"/>
  <c r="BI101" i="73"/>
  <c r="BH101" i="73"/>
  <c r="BG101" i="73"/>
  <c r="BF101" i="73"/>
  <c r="BE101" i="73"/>
  <c r="BD101" i="73"/>
  <c r="BA101" i="73"/>
  <c r="AZ101" i="73"/>
  <c r="AY101" i="73"/>
  <c r="AX101" i="73"/>
  <c r="AW101" i="73"/>
  <c r="AV101" i="73"/>
  <c r="AU101" i="73"/>
  <c r="AT101" i="73"/>
  <c r="AS101" i="73"/>
  <c r="AR101" i="73"/>
  <c r="AQ101" i="73"/>
  <c r="AP101" i="73"/>
  <c r="AO101" i="73"/>
  <c r="AN101" i="73"/>
  <c r="AM101" i="73"/>
  <c r="AL101" i="73"/>
  <c r="AK101" i="73"/>
  <c r="AJ101" i="73"/>
  <c r="AI101" i="73"/>
  <c r="AH101" i="73"/>
  <c r="AG101" i="73"/>
  <c r="AF101" i="73"/>
  <c r="AE101" i="73"/>
  <c r="AD101" i="73"/>
  <c r="AC101" i="73"/>
  <c r="AB101" i="73"/>
  <c r="AA101" i="73"/>
  <c r="Z101" i="73"/>
  <c r="Y101" i="73"/>
  <c r="X101" i="73"/>
  <c r="W101" i="73"/>
  <c r="V101" i="73"/>
  <c r="U101" i="73"/>
  <c r="T101" i="73"/>
  <c r="S101" i="73"/>
  <c r="R101" i="73"/>
  <c r="Q101" i="73"/>
  <c r="P101" i="73"/>
  <c r="O101" i="73"/>
  <c r="N101" i="73"/>
  <c r="M101" i="73"/>
  <c r="L101" i="73"/>
  <c r="K101" i="73"/>
  <c r="J101" i="73"/>
  <c r="H101" i="73"/>
  <c r="F101" i="73"/>
  <c r="C101" i="73"/>
  <c r="B101" i="73"/>
  <c r="A101" i="73"/>
  <c r="A99" i="73"/>
  <c r="BM98" i="73"/>
  <c r="BB98" i="73"/>
  <c r="H98" i="73"/>
  <c r="BM97" i="73"/>
  <c r="A96" i="73"/>
  <c r="H95" i="73"/>
  <c r="C95" i="73"/>
  <c r="B95" i="73"/>
  <c r="A95" i="73"/>
  <c r="H94" i="73"/>
  <c r="C94" i="73"/>
  <c r="B94" i="73"/>
  <c r="A94" i="73"/>
  <c r="H93" i="73"/>
  <c r="C93" i="73"/>
  <c r="B93" i="73"/>
  <c r="A93" i="73"/>
  <c r="H92" i="73"/>
  <c r="C92" i="73"/>
  <c r="B92" i="73"/>
  <c r="A92" i="73"/>
  <c r="C91" i="73"/>
  <c r="B91" i="73"/>
  <c r="A91" i="73"/>
  <c r="H90" i="73"/>
  <c r="C90" i="73"/>
  <c r="B90" i="73"/>
  <c r="A90" i="73"/>
  <c r="BK89" i="73"/>
  <c r="AX89" i="73"/>
  <c r="AW89" i="73"/>
  <c r="AV89" i="73"/>
  <c r="AU89" i="73"/>
  <c r="AT89" i="73"/>
  <c r="AS89" i="73"/>
  <c r="AR89" i="73"/>
  <c r="AQ89" i="73"/>
  <c r="AP89" i="73"/>
  <c r="AO89" i="73"/>
  <c r="AN89" i="73"/>
  <c r="AM89" i="73"/>
  <c r="AL89" i="73"/>
  <c r="AK89" i="73"/>
  <c r="AJ89" i="73"/>
  <c r="AI89" i="73"/>
  <c r="AH89" i="73"/>
  <c r="AG89" i="73"/>
  <c r="AF89" i="73"/>
  <c r="AE89" i="73"/>
  <c r="AD89" i="73"/>
  <c r="AC89" i="73"/>
  <c r="AB89" i="73"/>
  <c r="AA89" i="73"/>
  <c r="Z89" i="73"/>
  <c r="Y89" i="73"/>
  <c r="X89" i="73"/>
  <c r="W89" i="73"/>
  <c r="V89" i="73"/>
  <c r="U89" i="73"/>
  <c r="T89" i="73"/>
  <c r="S89" i="73"/>
  <c r="R89" i="73"/>
  <c r="Q89" i="73"/>
  <c r="P89" i="73"/>
  <c r="O89" i="73"/>
  <c r="N89" i="73"/>
  <c r="M89" i="73"/>
  <c r="L89" i="73"/>
  <c r="K89" i="73"/>
  <c r="J89" i="73"/>
  <c r="H89" i="73"/>
  <c r="C89" i="73"/>
  <c r="B89" i="73"/>
  <c r="A89" i="73"/>
  <c r="H88" i="73"/>
  <c r="C88" i="73"/>
  <c r="B88" i="73"/>
  <c r="A88" i="73"/>
  <c r="H87" i="73"/>
  <c r="C87" i="73"/>
  <c r="B87" i="73"/>
  <c r="A87" i="73"/>
  <c r="C86" i="73"/>
  <c r="B86" i="73"/>
  <c r="A86" i="73"/>
  <c r="BK85" i="73"/>
  <c r="H85" i="73"/>
  <c r="C85" i="73"/>
  <c r="B85" i="73"/>
  <c r="A85" i="73"/>
  <c r="H84" i="73"/>
  <c r="C84" i="73"/>
  <c r="B84" i="73"/>
  <c r="A84" i="73"/>
  <c r="C83" i="73"/>
  <c r="B83" i="73"/>
  <c r="A83" i="73"/>
  <c r="H82" i="73"/>
  <c r="C82" i="73"/>
  <c r="B82" i="73"/>
  <c r="A82" i="73"/>
  <c r="H81" i="73"/>
  <c r="C81" i="73"/>
  <c r="B81" i="73"/>
  <c r="A81" i="73"/>
  <c r="H80" i="73"/>
  <c r="C80" i="73"/>
  <c r="B80" i="73"/>
  <c r="A80" i="73"/>
  <c r="A78" i="73"/>
  <c r="A58" i="73"/>
  <c r="BK57" i="73"/>
  <c r="BJ57" i="73"/>
  <c r="BI57" i="73"/>
  <c r="BH57" i="73"/>
  <c r="BG57" i="73"/>
  <c r="BF57" i="73"/>
  <c r="BE57" i="73"/>
  <c r="BD57" i="73"/>
  <c r="BB57" i="73"/>
  <c r="BA57" i="73"/>
  <c r="AZ57" i="73"/>
  <c r="AY57" i="73"/>
  <c r="D57" i="73"/>
  <c r="B57" i="73"/>
  <c r="A57" i="73"/>
  <c r="BK56" i="73"/>
  <c r="BJ56" i="73"/>
  <c r="BI56" i="73"/>
  <c r="BH56" i="73"/>
  <c r="BG56" i="73"/>
  <c r="BF56" i="73"/>
  <c r="BE56" i="73"/>
  <c r="BD56" i="73"/>
  <c r="D56" i="73"/>
  <c r="B56" i="73"/>
  <c r="A56" i="73"/>
  <c r="BK55" i="73"/>
  <c r="BJ55" i="73"/>
  <c r="BI55" i="73"/>
  <c r="BI58" i="73" s="1"/>
  <c r="BH55" i="73"/>
  <c r="BH58" i="73" s="1"/>
  <c r="BG55" i="73"/>
  <c r="BF55" i="73"/>
  <c r="BE55" i="73"/>
  <c r="BD55" i="73"/>
  <c r="BB55" i="73"/>
  <c r="BA55" i="73"/>
  <c r="AZ55" i="73"/>
  <c r="AY55" i="73"/>
  <c r="D55" i="73"/>
  <c r="B55" i="73"/>
  <c r="A55" i="73"/>
  <c r="A54" i="73"/>
  <c r="H52" i="73"/>
  <c r="A52" i="73"/>
  <c r="BK50" i="73"/>
  <c r="AX50" i="73"/>
  <c r="AW50" i="73"/>
  <c r="AV50" i="73"/>
  <c r="AU50" i="73"/>
  <c r="AT50" i="73"/>
  <c r="AS50" i="73"/>
  <c r="AR50" i="73"/>
  <c r="AQ50" i="73"/>
  <c r="AP50" i="73"/>
  <c r="AO50" i="73"/>
  <c r="AN50" i="73"/>
  <c r="AM50" i="73"/>
  <c r="AL50" i="73"/>
  <c r="AK50" i="73"/>
  <c r="AJ50" i="73"/>
  <c r="AI50" i="73"/>
  <c r="AH50" i="73"/>
  <c r="AG50" i="73"/>
  <c r="AF50" i="73"/>
  <c r="AE50" i="73"/>
  <c r="AD50" i="73"/>
  <c r="AC50" i="73"/>
  <c r="AB50" i="73"/>
  <c r="AA50" i="73"/>
  <c r="Z50" i="73"/>
  <c r="Y50" i="73"/>
  <c r="X50" i="73"/>
  <c r="W50" i="73"/>
  <c r="V50" i="73"/>
  <c r="U50" i="73"/>
  <c r="T50" i="73"/>
  <c r="S50" i="73"/>
  <c r="R50" i="73"/>
  <c r="Q50" i="73"/>
  <c r="P50" i="73"/>
  <c r="O50" i="73"/>
  <c r="N50" i="73"/>
  <c r="M50" i="73"/>
  <c r="L50" i="73"/>
  <c r="K50" i="73"/>
  <c r="J50" i="73"/>
  <c r="E50" i="73"/>
  <c r="B50" i="73"/>
  <c r="A50" i="73"/>
  <c r="BK48" i="73"/>
  <c r="BJ48" i="73"/>
  <c r="BI48" i="73"/>
  <c r="BH48" i="73"/>
  <c r="BG48" i="73"/>
  <c r="BF48" i="73"/>
  <c r="BE48" i="73"/>
  <c r="BD48" i="73"/>
  <c r="D48" i="73"/>
  <c r="B48" i="73"/>
  <c r="A48" i="73"/>
  <c r="BK47" i="73"/>
  <c r="BJ47" i="73"/>
  <c r="BI47" i="73"/>
  <c r="BH47" i="73"/>
  <c r="BG47" i="73"/>
  <c r="BF47" i="73"/>
  <c r="BE47" i="73"/>
  <c r="BD47" i="73"/>
  <c r="BB47" i="73"/>
  <c r="BA47" i="73"/>
  <c r="AZ47" i="73"/>
  <c r="AY47" i="73"/>
  <c r="D47" i="73"/>
  <c r="B47" i="73"/>
  <c r="A47" i="73"/>
  <c r="BK46" i="73"/>
  <c r="BJ46" i="73"/>
  <c r="BI46" i="73"/>
  <c r="BH46" i="73"/>
  <c r="BG46" i="73"/>
  <c r="BF46" i="73"/>
  <c r="BE46" i="73"/>
  <c r="BD46" i="73"/>
  <c r="BB46" i="73"/>
  <c r="BA46" i="73"/>
  <c r="AZ46" i="73"/>
  <c r="AY46" i="73"/>
  <c r="D46" i="73"/>
  <c r="B46" i="73"/>
  <c r="A46" i="73"/>
  <c r="BK45" i="73"/>
  <c r="BJ45" i="73"/>
  <c r="BI45" i="73"/>
  <c r="BH45" i="73"/>
  <c r="BG45" i="73"/>
  <c r="BF45" i="73"/>
  <c r="BE45" i="73"/>
  <c r="BD45" i="73"/>
  <c r="BB45" i="73"/>
  <c r="BA45" i="73"/>
  <c r="AZ45" i="73"/>
  <c r="AY45" i="73"/>
  <c r="D45" i="73"/>
  <c r="B45" i="73"/>
  <c r="A45" i="73"/>
  <c r="BK43" i="73"/>
  <c r="BJ43" i="73"/>
  <c r="BI43" i="73"/>
  <c r="BH43" i="73"/>
  <c r="BG43" i="73"/>
  <c r="BF43" i="73"/>
  <c r="BE43" i="73"/>
  <c r="BD43" i="73"/>
  <c r="BB43" i="73"/>
  <c r="BA43" i="73"/>
  <c r="AZ43" i="73"/>
  <c r="AY43" i="73"/>
  <c r="B43" i="73"/>
  <c r="A43" i="73"/>
  <c r="A41" i="73"/>
  <c r="BK40" i="73"/>
  <c r="BJ40" i="73"/>
  <c r="BI40" i="73"/>
  <c r="BH40" i="73"/>
  <c r="BG40" i="73"/>
  <c r="BF40" i="73"/>
  <c r="BE40" i="73"/>
  <c r="BD40" i="73"/>
  <c r="BB40" i="73"/>
  <c r="BA40" i="73"/>
  <c r="AZ40" i="73"/>
  <c r="AY40" i="73"/>
  <c r="D40" i="73"/>
  <c r="B40" i="73"/>
  <c r="A40" i="73"/>
  <c r="BK39" i="73"/>
  <c r="BJ39" i="73"/>
  <c r="BJ41" i="73" s="1"/>
  <c r="BI39" i="73"/>
  <c r="BH39" i="73"/>
  <c r="BG39" i="73"/>
  <c r="BF39" i="73"/>
  <c r="BE39" i="73"/>
  <c r="BD39" i="73"/>
  <c r="BB39" i="73"/>
  <c r="BA39" i="73"/>
  <c r="AZ39" i="73"/>
  <c r="AY39" i="73"/>
  <c r="D39" i="73"/>
  <c r="B39" i="73"/>
  <c r="A39" i="73"/>
  <c r="BK38" i="73"/>
  <c r="BJ38" i="73"/>
  <c r="BI38" i="73"/>
  <c r="BI41" i="73" s="1"/>
  <c r="BH38" i="73"/>
  <c r="BG38" i="73"/>
  <c r="BF38" i="73"/>
  <c r="BE38" i="73"/>
  <c r="BD38" i="73"/>
  <c r="BD41" i="73" s="1"/>
  <c r="D38" i="73"/>
  <c r="B38" i="73"/>
  <c r="A38" i="73"/>
  <c r="A37" i="73"/>
  <c r="A35" i="73"/>
  <c r="A33" i="73"/>
  <c r="A30" i="73"/>
  <c r="BL29" i="73"/>
  <c r="BM29" i="73" s="1"/>
  <c r="H28" i="73"/>
  <c r="D28" i="73"/>
  <c r="B28" i="73"/>
  <c r="A28" i="73"/>
  <c r="BJ27" i="73"/>
  <c r="BI27" i="73"/>
  <c r="BH27" i="73"/>
  <c r="BG27" i="73"/>
  <c r="BF27" i="73"/>
  <c r="BE27" i="73"/>
  <c r="BD27" i="73"/>
  <c r="BB27" i="73"/>
  <c r="BA27" i="73"/>
  <c r="AZ27" i="73"/>
  <c r="AY27" i="73"/>
  <c r="AX27" i="73"/>
  <c r="AW27" i="73"/>
  <c r="AV27" i="73"/>
  <c r="AU27" i="73"/>
  <c r="AT27" i="73"/>
  <c r="AS27" i="73"/>
  <c r="AR27" i="73"/>
  <c r="AQ27" i="73"/>
  <c r="AP27" i="73"/>
  <c r="AO27" i="73"/>
  <c r="AN27" i="73"/>
  <c r="AM27" i="73"/>
  <c r="AL27" i="73"/>
  <c r="AK27" i="73"/>
  <c r="AJ27" i="73"/>
  <c r="AI27" i="73"/>
  <c r="AH27" i="73"/>
  <c r="AG27" i="73"/>
  <c r="AF27" i="73"/>
  <c r="AE27" i="73"/>
  <c r="AD27" i="73"/>
  <c r="AC27" i="73"/>
  <c r="AB27" i="73"/>
  <c r="AA27" i="73"/>
  <c r="Z27" i="73"/>
  <c r="Y27" i="73"/>
  <c r="X27" i="73"/>
  <c r="W27" i="73"/>
  <c r="V27" i="73"/>
  <c r="U27" i="73"/>
  <c r="T27" i="73"/>
  <c r="S27" i="73"/>
  <c r="R27" i="73"/>
  <c r="Q27" i="73"/>
  <c r="P27" i="73"/>
  <c r="O27" i="73"/>
  <c r="N27" i="73"/>
  <c r="M27" i="73"/>
  <c r="L27" i="73"/>
  <c r="K27" i="73"/>
  <c r="J27" i="73"/>
  <c r="H27" i="73"/>
  <c r="E27" i="73"/>
  <c r="B27" i="73"/>
  <c r="A27" i="73"/>
  <c r="BA26" i="73"/>
  <c r="AZ26" i="73"/>
  <c r="AY26" i="73"/>
  <c r="AX26" i="73"/>
  <c r="AW26" i="73"/>
  <c r="AV26" i="73"/>
  <c r="AU26" i="73"/>
  <c r="AT26" i="73"/>
  <c r="AS26" i="73"/>
  <c r="AR26" i="73"/>
  <c r="AQ26" i="73"/>
  <c r="AP26" i="73"/>
  <c r="AO26" i="73"/>
  <c r="AN26" i="73"/>
  <c r="AM26" i="73"/>
  <c r="AL26" i="73"/>
  <c r="AK26" i="73"/>
  <c r="AJ26" i="73"/>
  <c r="AI26" i="73"/>
  <c r="AH26" i="73"/>
  <c r="AG26" i="73"/>
  <c r="AF26" i="73"/>
  <c r="AE26" i="73"/>
  <c r="AD26" i="73"/>
  <c r="AC26" i="73"/>
  <c r="AB26" i="73"/>
  <c r="AA26" i="73"/>
  <c r="Z26" i="73"/>
  <c r="Y26" i="73"/>
  <c r="X26" i="73"/>
  <c r="W26" i="73"/>
  <c r="V26" i="73"/>
  <c r="U26" i="73"/>
  <c r="T26" i="73"/>
  <c r="S26" i="73"/>
  <c r="R26" i="73"/>
  <c r="Q26" i="73"/>
  <c r="P26" i="73"/>
  <c r="O26" i="73"/>
  <c r="N26" i="73"/>
  <c r="M26" i="73"/>
  <c r="L26" i="73"/>
  <c r="K26" i="73"/>
  <c r="J26" i="73"/>
  <c r="H26" i="73"/>
  <c r="E26" i="73"/>
  <c r="B26" i="73"/>
  <c r="A26" i="73"/>
  <c r="A24" i="73"/>
  <c r="A21" i="73"/>
  <c r="H20" i="73"/>
  <c r="D20" i="73"/>
  <c r="B20" i="73"/>
  <c r="A20" i="73"/>
  <c r="H19" i="73"/>
  <c r="F19" i="73"/>
  <c r="D19" i="73"/>
  <c r="B19" i="73"/>
  <c r="A19" i="73"/>
  <c r="H18" i="73"/>
  <c r="F18" i="73"/>
  <c r="E18" i="73"/>
  <c r="B18" i="73"/>
  <c r="A18" i="73"/>
  <c r="H17" i="73"/>
  <c r="F17" i="73"/>
  <c r="D17" i="73"/>
  <c r="B17" i="73"/>
  <c r="A17" i="73"/>
  <c r="D16" i="73"/>
  <c r="B16" i="73"/>
  <c r="A16" i="73"/>
  <c r="H15" i="73"/>
  <c r="D15" i="73"/>
  <c r="B15" i="73"/>
  <c r="A15" i="73"/>
  <c r="BK14" i="73"/>
  <c r="AX14" i="73"/>
  <c r="AW14" i="73"/>
  <c r="AV14" i="73"/>
  <c r="AU14" i="73"/>
  <c r="AT14" i="73"/>
  <c r="AS14" i="73"/>
  <c r="AR14" i="73"/>
  <c r="AQ14" i="73"/>
  <c r="AP14" i="73"/>
  <c r="AO14" i="73"/>
  <c r="AN14" i="73"/>
  <c r="AM14" i="73"/>
  <c r="AL14" i="73"/>
  <c r="AK14" i="73"/>
  <c r="AJ14" i="73"/>
  <c r="AI14" i="73"/>
  <c r="AH14" i="73"/>
  <c r="AG14" i="73"/>
  <c r="AF14" i="73"/>
  <c r="AE14" i="73"/>
  <c r="AD14" i="73"/>
  <c r="AC14" i="73"/>
  <c r="AB14" i="73"/>
  <c r="AA14" i="73"/>
  <c r="Z14" i="73"/>
  <c r="Y14" i="73"/>
  <c r="X14" i="73"/>
  <c r="W14" i="73"/>
  <c r="V14" i="73"/>
  <c r="U14" i="73"/>
  <c r="T14" i="73"/>
  <c r="S14" i="73"/>
  <c r="R14" i="73"/>
  <c r="Q14" i="73"/>
  <c r="P14" i="73"/>
  <c r="O14" i="73"/>
  <c r="N14" i="73"/>
  <c r="M14" i="73"/>
  <c r="L14" i="73"/>
  <c r="K14" i="73"/>
  <c r="J14" i="73"/>
  <c r="H14" i="73"/>
  <c r="F14" i="73"/>
  <c r="E14" i="73"/>
  <c r="B14" i="73"/>
  <c r="A14" i="73"/>
  <c r="H13" i="73"/>
  <c r="D13" i="73"/>
  <c r="B13" i="73"/>
  <c r="A13" i="73"/>
  <c r="H12" i="73"/>
  <c r="F12" i="73"/>
  <c r="D12" i="73"/>
  <c r="B12" i="73"/>
  <c r="A12" i="73"/>
  <c r="D11" i="73"/>
  <c r="B11" i="73"/>
  <c r="A11" i="73"/>
  <c r="BK10" i="73"/>
  <c r="H10" i="73"/>
  <c r="F10" i="73"/>
  <c r="E10" i="73"/>
  <c r="B10" i="73"/>
  <c r="A10" i="73"/>
  <c r="H9" i="73"/>
  <c r="F9" i="73"/>
  <c r="B9" i="73"/>
  <c r="A9" i="73"/>
  <c r="D8" i="73"/>
  <c r="B8" i="73"/>
  <c r="A8" i="73"/>
  <c r="H7" i="73"/>
  <c r="D7" i="73"/>
  <c r="B7" i="73"/>
  <c r="A7" i="73"/>
  <c r="H6" i="73"/>
  <c r="F6" i="73"/>
  <c r="E6" i="73"/>
  <c r="B6" i="73"/>
  <c r="A6" i="73"/>
  <c r="H5" i="73"/>
  <c r="D5" i="73"/>
  <c r="B5" i="73"/>
  <c r="A5" i="73"/>
  <c r="A3" i="73"/>
  <c r="BM2" i="73"/>
  <c r="BL2" i="73"/>
  <c r="BC2" i="73"/>
  <c r="I2" i="73"/>
  <c r="H2" i="73"/>
  <c r="F2" i="73"/>
  <c r="E2" i="73"/>
  <c r="D2" i="73"/>
  <c r="B2" i="73"/>
  <c r="A2" i="73"/>
  <c r="D1" i="73"/>
  <c r="A1" i="73"/>
  <c r="U272" i="72"/>
  <c r="T272" i="72"/>
  <c r="S272" i="72"/>
  <c r="R272" i="72"/>
  <c r="Q272" i="72"/>
  <c r="P272" i="72"/>
  <c r="O272" i="72"/>
  <c r="N272" i="72"/>
  <c r="M272" i="72"/>
  <c r="L272" i="72"/>
  <c r="K272" i="72"/>
  <c r="J272" i="72"/>
  <c r="I272" i="72"/>
  <c r="H272" i="72"/>
  <c r="U271" i="72"/>
  <c r="T271" i="72"/>
  <c r="S271" i="72"/>
  <c r="R271" i="72"/>
  <c r="Q271" i="72"/>
  <c r="P271" i="72"/>
  <c r="O271" i="72"/>
  <c r="N271" i="72"/>
  <c r="M271" i="72"/>
  <c r="L271" i="72"/>
  <c r="K271" i="72"/>
  <c r="J271" i="72"/>
  <c r="I271" i="72"/>
  <c r="H271" i="72"/>
  <c r="U270" i="72"/>
  <c r="T270" i="72"/>
  <c r="S270" i="72"/>
  <c r="R270" i="72"/>
  <c r="Q270" i="72"/>
  <c r="P270" i="72"/>
  <c r="O270" i="72"/>
  <c r="N270" i="72"/>
  <c r="M270" i="72"/>
  <c r="L270" i="72"/>
  <c r="K270" i="72"/>
  <c r="J270" i="72"/>
  <c r="I270" i="72"/>
  <c r="H270" i="72"/>
  <c r="U269" i="72"/>
  <c r="T269" i="72"/>
  <c r="S269" i="72"/>
  <c r="R269" i="72"/>
  <c r="Q269" i="72"/>
  <c r="P269" i="72"/>
  <c r="O269" i="72"/>
  <c r="N269" i="72"/>
  <c r="M269" i="72"/>
  <c r="L269" i="72"/>
  <c r="K269" i="72"/>
  <c r="J269" i="72"/>
  <c r="I269" i="72"/>
  <c r="H269" i="72"/>
  <c r="V269" i="72" s="1"/>
  <c r="H268" i="72"/>
  <c r="H267" i="72"/>
  <c r="U257" i="72"/>
  <c r="T257" i="72"/>
  <c r="S257" i="72"/>
  <c r="R257" i="72"/>
  <c r="Q257" i="72"/>
  <c r="P257" i="72"/>
  <c r="O257" i="72"/>
  <c r="N257" i="72"/>
  <c r="M257" i="72"/>
  <c r="L257" i="72"/>
  <c r="K257" i="72"/>
  <c r="J257" i="72"/>
  <c r="I257" i="72"/>
  <c r="H257" i="72"/>
  <c r="U256" i="72"/>
  <c r="T256" i="72"/>
  <c r="S256" i="72"/>
  <c r="R256" i="72"/>
  <c r="Q256" i="72"/>
  <c r="P256" i="72"/>
  <c r="O256" i="72"/>
  <c r="N256" i="72"/>
  <c r="M256" i="72"/>
  <c r="L256" i="72"/>
  <c r="K256" i="72"/>
  <c r="J256" i="72"/>
  <c r="I256" i="72"/>
  <c r="H256" i="72"/>
  <c r="U255" i="72"/>
  <c r="T255" i="72"/>
  <c r="S255" i="72"/>
  <c r="R255" i="72"/>
  <c r="Q255" i="72"/>
  <c r="P255" i="72"/>
  <c r="O255" i="72"/>
  <c r="N255" i="72"/>
  <c r="M255" i="72"/>
  <c r="L255" i="72"/>
  <c r="K255" i="72"/>
  <c r="J255" i="72"/>
  <c r="I255" i="72"/>
  <c r="H255" i="72"/>
  <c r="U237" i="72"/>
  <c r="T237" i="72"/>
  <c r="S237" i="72"/>
  <c r="R237" i="72"/>
  <c r="Q237" i="72"/>
  <c r="P237" i="72"/>
  <c r="O237" i="72"/>
  <c r="N237" i="72"/>
  <c r="M237" i="72"/>
  <c r="L237" i="72"/>
  <c r="K237" i="72"/>
  <c r="J237" i="72"/>
  <c r="I237" i="72"/>
  <c r="H237" i="72"/>
  <c r="V236" i="72"/>
  <c r="V235" i="72"/>
  <c r="V234" i="72"/>
  <c r="V233" i="72"/>
  <c r="V232" i="72"/>
  <c r="V231" i="72"/>
  <c r="V230" i="72"/>
  <c r="U226" i="72"/>
  <c r="T226" i="72"/>
  <c r="S226" i="72"/>
  <c r="R226" i="72"/>
  <c r="Q226" i="72"/>
  <c r="P226" i="72"/>
  <c r="O226" i="72"/>
  <c r="N226" i="72"/>
  <c r="M226" i="72"/>
  <c r="L226" i="72"/>
  <c r="K226" i="72"/>
  <c r="J226" i="72"/>
  <c r="I226" i="72"/>
  <c r="H226" i="72"/>
  <c r="V225" i="72"/>
  <c r="V224" i="72"/>
  <c r="V223" i="72"/>
  <c r="V222" i="72"/>
  <c r="V221" i="72"/>
  <c r="V220" i="72"/>
  <c r="V219" i="72"/>
  <c r="S213" i="72"/>
  <c r="R213" i="72"/>
  <c r="R249" i="72" s="1"/>
  <c r="L211" i="72"/>
  <c r="H210" i="72"/>
  <c r="H246" i="72" s="1"/>
  <c r="U208" i="72"/>
  <c r="V197" i="72"/>
  <c r="W197" i="72" s="1"/>
  <c r="V196" i="72"/>
  <c r="W196" i="72" s="1"/>
  <c r="V195" i="72"/>
  <c r="W194" i="72"/>
  <c r="V194" i="72"/>
  <c r="V190" i="72"/>
  <c r="I190" i="72"/>
  <c r="V182" i="72"/>
  <c r="V181" i="72"/>
  <c r="V180" i="72"/>
  <c r="U179" i="72"/>
  <c r="U190" i="72" s="1"/>
  <c r="T179" i="72"/>
  <c r="T190" i="72" s="1"/>
  <c r="S179" i="72"/>
  <c r="S190" i="72" s="1"/>
  <c r="R179" i="72"/>
  <c r="R190" i="72" s="1"/>
  <c r="Q179" i="72"/>
  <c r="Q190" i="72" s="1"/>
  <c r="P179" i="72"/>
  <c r="P190" i="72" s="1"/>
  <c r="O179" i="72"/>
  <c r="O190" i="72" s="1"/>
  <c r="N179" i="72"/>
  <c r="N190" i="72" s="1"/>
  <c r="M179" i="72"/>
  <c r="M190" i="72" s="1"/>
  <c r="J179" i="72"/>
  <c r="J190" i="72" s="1"/>
  <c r="I179" i="72"/>
  <c r="H173" i="72"/>
  <c r="H185" i="72" s="1"/>
  <c r="L172" i="72"/>
  <c r="H169" i="72"/>
  <c r="M167" i="72"/>
  <c r="H167" i="72"/>
  <c r="H179" i="72" s="1"/>
  <c r="H190" i="72" s="1"/>
  <c r="BJ160" i="72"/>
  <c r="BI160" i="72"/>
  <c r="AV158" i="72"/>
  <c r="AN158" i="72"/>
  <c r="AM158" i="72"/>
  <c r="AF158" i="72"/>
  <c r="P158" i="72"/>
  <c r="H158" i="72"/>
  <c r="H157" i="72"/>
  <c r="BK150" i="72"/>
  <c r="BK160" i="72" s="1"/>
  <c r="BJ150" i="72"/>
  <c r="BI150" i="72"/>
  <c r="BH150" i="72"/>
  <c r="BG150" i="72"/>
  <c r="BG160" i="72" s="1"/>
  <c r="BF150" i="72"/>
  <c r="BE150" i="72"/>
  <c r="BE160" i="72" s="1"/>
  <c r="BD150" i="72"/>
  <c r="BB150" i="72"/>
  <c r="S174" i="72" s="1"/>
  <c r="S186" i="72" s="1"/>
  <c r="S261" i="72" s="1"/>
  <c r="BA150" i="72"/>
  <c r="R174" i="72" s="1"/>
  <c r="R186" i="72" s="1"/>
  <c r="R261" i="72" s="1"/>
  <c r="AZ150" i="72"/>
  <c r="Q174" i="72" s="1"/>
  <c r="Q186" i="72" s="1"/>
  <c r="Q261" i="72" s="1"/>
  <c r="AY150" i="72"/>
  <c r="P174" i="72" s="1"/>
  <c r="P186" i="72" s="1"/>
  <c r="P261" i="72" s="1"/>
  <c r="H150" i="72"/>
  <c r="H160" i="72" s="1"/>
  <c r="BK149" i="72"/>
  <c r="BK159" i="72" s="1"/>
  <c r="BJ149" i="72"/>
  <c r="BJ159" i="72" s="1"/>
  <c r="BI149" i="72"/>
  <c r="BH149" i="72"/>
  <c r="BG149" i="72"/>
  <c r="BG159" i="72" s="1"/>
  <c r="BF149" i="72"/>
  <c r="BE149" i="72"/>
  <c r="BD149" i="72"/>
  <c r="H149" i="72"/>
  <c r="BK148" i="72"/>
  <c r="U172" i="72" s="1"/>
  <c r="BJ148" i="72"/>
  <c r="BI148" i="72"/>
  <c r="BH148" i="72"/>
  <c r="BG148" i="72"/>
  <c r="BF148" i="72"/>
  <c r="BE148" i="72"/>
  <c r="BD148" i="72"/>
  <c r="BC148" i="72"/>
  <c r="AX148" i="72"/>
  <c r="O172" i="72" s="1"/>
  <c r="AW148" i="72"/>
  <c r="N172" i="72" s="1"/>
  <c r="AV148" i="72"/>
  <c r="AU148" i="72"/>
  <c r="AU158" i="72" s="1"/>
  <c r="AT148" i="72"/>
  <c r="AS148" i="72"/>
  <c r="AR148" i="72"/>
  <c r="AQ148" i="72"/>
  <c r="AP148" i="72"/>
  <c r="AO148" i="72"/>
  <c r="AN148" i="72"/>
  <c r="AM148" i="72"/>
  <c r="AL148" i="72"/>
  <c r="AK148" i="72"/>
  <c r="AJ148" i="72"/>
  <c r="AI148" i="72"/>
  <c r="AH148" i="72"/>
  <c r="AG148" i="72"/>
  <c r="AF148" i="72"/>
  <c r="AE148" i="72"/>
  <c r="AE158" i="72" s="1"/>
  <c r="AD148" i="72"/>
  <c r="AC148" i="72"/>
  <c r="AB148" i="72"/>
  <c r="AA148" i="72"/>
  <c r="Z148" i="72"/>
  <c r="Y148" i="72"/>
  <c r="X148" i="72"/>
  <c r="X158" i="72" s="1"/>
  <c r="W148" i="72"/>
  <c r="W158" i="72" s="1"/>
  <c r="V148" i="72"/>
  <c r="K172" i="72" s="1"/>
  <c r="U148" i="72"/>
  <c r="T148" i="72"/>
  <c r="S148" i="72"/>
  <c r="R148" i="72"/>
  <c r="Q148" i="72"/>
  <c r="P148" i="72"/>
  <c r="O148" i="72"/>
  <c r="O158" i="72" s="1"/>
  <c r="N148" i="72"/>
  <c r="M148" i="72"/>
  <c r="L148" i="72"/>
  <c r="K148" i="72"/>
  <c r="J148" i="72"/>
  <c r="H148" i="72"/>
  <c r="H172" i="72" s="1"/>
  <c r="H147" i="72"/>
  <c r="H171" i="72" s="1"/>
  <c r="BK146" i="72"/>
  <c r="U170" i="72" s="1"/>
  <c r="BJ146" i="72"/>
  <c r="BI146" i="72"/>
  <c r="BH146" i="72"/>
  <c r="BG146" i="72"/>
  <c r="BF146" i="72"/>
  <c r="BE146" i="72"/>
  <c r="BD146" i="72"/>
  <c r="H146" i="72"/>
  <c r="H170" i="72" s="1"/>
  <c r="BK145" i="72"/>
  <c r="BJ145" i="72"/>
  <c r="BI145" i="72"/>
  <c r="BH145" i="72"/>
  <c r="BG145" i="72"/>
  <c r="BF145" i="72"/>
  <c r="BE145" i="72"/>
  <c r="BD145" i="72"/>
  <c r="BB145" i="72"/>
  <c r="BA145" i="72"/>
  <c r="AZ145" i="72"/>
  <c r="Q169" i="72" s="1"/>
  <c r="Q244" i="72" s="1"/>
  <c r="AY145" i="72"/>
  <c r="P169" i="72" s="1"/>
  <c r="H145" i="72"/>
  <c r="BK140" i="72"/>
  <c r="U213" i="72" s="1"/>
  <c r="BJ140" i="72"/>
  <c r="BI140" i="72"/>
  <c r="BH140" i="72"/>
  <c r="BG140" i="72"/>
  <c r="BF140" i="72"/>
  <c r="BE140" i="72"/>
  <c r="BD140" i="72"/>
  <c r="BB140" i="72"/>
  <c r="BA140" i="72"/>
  <c r="AZ140" i="72"/>
  <c r="Q213" i="72" s="1"/>
  <c r="AY140" i="72"/>
  <c r="P213" i="72" s="1"/>
  <c r="H140" i="72"/>
  <c r="H213" i="72" s="1"/>
  <c r="BK139" i="72"/>
  <c r="U212" i="72" s="1"/>
  <c r="BJ139" i="72"/>
  <c r="BI139" i="72"/>
  <c r="BH139" i="72"/>
  <c r="BG139" i="72"/>
  <c r="BF139" i="72"/>
  <c r="BE139" i="72"/>
  <c r="BD139" i="72"/>
  <c r="H139" i="72"/>
  <c r="H212" i="72" s="1"/>
  <c r="BK138" i="72"/>
  <c r="U211" i="72" s="1"/>
  <c r="BJ138" i="72"/>
  <c r="BI138" i="72"/>
  <c r="BH138" i="72"/>
  <c r="BG138" i="72"/>
  <c r="BF138" i="72"/>
  <c r="BE138" i="72"/>
  <c r="BD138" i="72"/>
  <c r="AX138" i="72"/>
  <c r="O211" i="72" s="1"/>
  <c r="AW138" i="72"/>
  <c r="N211" i="72" s="1"/>
  <c r="AV138" i="72"/>
  <c r="AU138" i="72"/>
  <c r="AT138" i="72"/>
  <c r="AS138" i="72"/>
  <c r="AR138" i="72"/>
  <c r="AQ138" i="72"/>
  <c r="AP138" i="72"/>
  <c r="AO138" i="72"/>
  <c r="AN138" i="72"/>
  <c r="AM138" i="72"/>
  <c r="AL138" i="72"/>
  <c r="AK138" i="72"/>
  <c r="AJ138" i="72"/>
  <c r="AI138" i="72"/>
  <c r="AH138" i="72"/>
  <c r="M211" i="72" s="1"/>
  <c r="AG138" i="72"/>
  <c r="AF138" i="72"/>
  <c r="AE138" i="72"/>
  <c r="AD138" i="72"/>
  <c r="AC138" i="72"/>
  <c r="AB138" i="72"/>
  <c r="AA138" i="72"/>
  <c r="Z138" i="72"/>
  <c r="Y138" i="72"/>
  <c r="X138" i="72"/>
  <c r="W138" i="72"/>
  <c r="V138" i="72"/>
  <c r="K211" i="72" s="1"/>
  <c r="U138" i="72"/>
  <c r="T138" i="72"/>
  <c r="S138" i="72"/>
  <c r="R138" i="72"/>
  <c r="Q138" i="72"/>
  <c r="P138" i="72"/>
  <c r="O138" i="72"/>
  <c r="N138" i="72"/>
  <c r="M138" i="72"/>
  <c r="L138" i="72"/>
  <c r="K138" i="72"/>
  <c r="J138" i="72"/>
  <c r="H138" i="72"/>
  <c r="H211" i="72" s="1"/>
  <c r="H137" i="72"/>
  <c r="BK136" i="72"/>
  <c r="U209" i="72" s="1"/>
  <c r="BJ136" i="72"/>
  <c r="BI136" i="72"/>
  <c r="BH136" i="72"/>
  <c r="BG136" i="72"/>
  <c r="BF136" i="72"/>
  <c r="BE136" i="72"/>
  <c r="BD136" i="72"/>
  <c r="H136" i="72"/>
  <c r="H209" i="72" s="1"/>
  <c r="BK135" i="72"/>
  <c r="BJ135" i="72"/>
  <c r="BI135" i="72"/>
  <c r="BH135" i="72"/>
  <c r="BG135" i="72"/>
  <c r="BF135" i="72"/>
  <c r="BE135" i="72"/>
  <c r="BD135" i="72"/>
  <c r="BB135" i="72"/>
  <c r="S208" i="72" s="1"/>
  <c r="BA135" i="72"/>
  <c r="R208" i="72" s="1"/>
  <c r="AZ135" i="72"/>
  <c r="Q208" i="72" s="1"/>
  <c r="AY135" i="72"/>
  <c r="P208" i="72" s="1"/>
  <c r="H135" i="72"/>
  <c r="H208" i="72" s="1"/>
  <c r="BC122" i="72"/>
  <c r="H122" i="72"/>
  <c r="F122" i="72"/>
  <c r="BC121" i="72"/>
  <c r="BC132" i="73" s="1"/>
  <c r="D121" i="72"/>
  <c r="D132" i="73" s="1"/>
  <c r="BC120" i="72"/>
  <c r="BC131" i="73" s="1"/>
  <c r="D120" i="72"/>
  <c r="D131" i="73" s="1"/>
  <c r="BC119" i="72"/>
  <c r="D119" i="72"/>
  <c r="D130" i="73" s="1"/>
  <c r="BK116" i="72"/>
  <c r="BJ116" i="72"/>
  <c r="BI116" i="72"/>
  <c r="BH116" i="72"/>
  <c r="BG116" i="72"/>
  <c r="BF116" i="72"/>
  <c r="BE116" i="72"/>
  <c r="BD116" i="72"/>
  <c r="BC114" i="72"/>
  <c r="BC125" i="73" s="1"/>
  <c r="E114" i="72"/>
  <c r="E125" i="73" s="1"/>
  <c r="BC112" i="72"/>
  <c r="BC123" i="73" s="1"/>
  <c r="D112" i="72"/>
  <c r="D123" i="73" s="1"/>
  <c r="BC111" i="72"/>
  <c r="D111" i="72"/>
  <c r="D122" i="73" s="1"/>
  <c r="BC110" i="72"/>
  <c r="BC121" i="73" s="1"/>
  <c r="D110" i="72"/>
  <c r="D121" i="73" s="1"/>
  <c r="BC109" i="72"/>
  <c r="E109" i="72"/>
  <c r="D109" i="72"/>
  <c r="D120" i="73" s="1"/>
  <c r="BC107" i="72"/>
  <c r="BC118" i="73" s="1"/>
  <c r="BC105" i="72"/>
  <c r="H105" i="72"/>
  <c r="H116" i="72" s="1"/>
  <c r="BC104" i="72"/>
  <c r="BC115" i="73" s="1"/>
  <c r="D104" i="72"/>
  <c r="D115" i="73" s="1"/>
  <c r="BC103" i="72"/>
  <c r="BC114" i="73" s="1"/>
  <c r="D103" i="72"/>
  <c r="D114" i="73" s="1"/>
  <c r="BC102" i="72"/>
  <c r="D102" i="72"/>
  <c r="D113" i="73" s="1"/>
  <c r="H94" i="72"/>
  <c r="BC93" i="72"/>
  <c r="I93" i="72"/>
  <c r="BL93" i="72" s="1"/>
  <c r="D92" i="72"/>
  <c r="D103" i="73" s="1"/>
  <c r="E91" i="72"/>
  <c r="BC90" i="72"/>
  <c r="BC101" i="73" s="1"/>
  <c r="BB90" i="72"/>
  <c r="BB101" i="73" s="1"/>
  <c r="I90" i="72"/>
  <c r="G90" i="72"/>
  <c r="G101" i="73" s="1"/>
  <c r="E90" i="72"/>
  <c r="E101" i="73" s="1"/>
  <c r="D84" i="72"/>
  <c r="D95" i="73" s="1"/>
  <c r="F83" i="72"/>
  <c r="F94" i="73" s="1"/>
  <c r="D83" i="72"/>
  <c r="D94" i="73" s="1"/>
  <c r="F82" i="72"/>
  <c r="F93" i="73" s="1"/>
  <c r="E82" i="72"/>
  <c r="F81" i="72"/>
  <c r="F92" i="73" s="1"/>
  <c r="D81" i="72"/>
  <c r="D92" i="73" s="1"/>
  <c r="D80" i="72"/>
  <c r="D91" i="73" s="1"/>
  <c r="D79" i="72"/>
  <c r="D90" i="73" s="1"/>
  <c r="BC78" i="72"/>
  <c r="F78" i="72"/>
  <c r="F89" i="73" s="1"/>
  <c r="E78" i="72"/>
  <c r="D77" i="72"/>
  <c r="D88" i="73" s="1"/>
  <c r="F76" i="72"/>
  <c r="F87" i="73" s="1"/>
  <c r="D76" i="72"/>
  <c r="D87" i="73" s="1"/>
  <c r="F75" i="72"/>
  <c r="F86" i="73" s="1"/>
  <c r="D75" i="72"/>
  <c r="D86" i="73" s="1"/>
  <c r="BC74" i="72"/>
  <c r="F74" i="72"/>
  <c r="F85" i="73" s="1"/>
  <c r="E74" i="72"/>
  <c r="D74" i="72"/>
  <c r="D85" i="73" s="1"/>
  <c r="F73" i="72"/>
  <c r="F84" i="73" s="1"/>
  <c r="F72" i="72"/>
  <c r="F83" i="73" s="1"/>
  <c r="D72" i="72"/>
  <c r="D83" i="73" s="1"/>
  <c r="F71" i="72"/>
  <c r="F82" i="73" s="1"/>
  <c r="D71" i="72"/>
  <c r="D82" i="73" s="1"/>
  <c r="F70" i="72"/>
  <c r="F81" i="73" s="1"/>
  <c r="E70" i="72"/>
  <c r="E81" i="73" s="1"/>
  <c r="D69" i="72"/>
  <c r="D80" i="73" s="1"/>
  <c r="BC58" i="72"/>
  <c r="H58" i="72"/>
  <c r="D58" i="72"/>
  <c r="BC57" i="72"/>
  <c r="E57" i="72"/>
  <c r="BP57" i="72" s="1"/>
  <c r="BC56" i="72"/>
  <c r="E56" i="72"/>
  <c r="E56" i="73" s="1"/>
  <c r="BC55" i="72"/>
  <c r="BC136" i="72" s="1"/>
  <c r="E55" i="72"/>
  <c r="E58" i="72" s="1"/>
  <c r="BQ54" i="72"/>
  <c r="BR54" i="72" s="1"/>
  <c r="BP54" i="72"/>
  <c r="BQ53" i="72"/>
  <c r="BR53" i="72" s="1"/>
  <c r="BP53" i="72"/>
  <c r="BK52" i="72"/>
  <c r="BJ52" i="72"/>
  <c r="BI52" i="72"/>
  <c r="BH52" i="72"/>
  <c r="BG52" i="72"/>
  <c r="BF52" i="72"/>
  <c r="BE52" i="72"/>
  <c r="BD52" i="72"/>
  <c r="BQ51" i="72"/>
  <c r="BP51" i="72"/>
  <c r="BP50" i="72"/>
  <c r="BC50" i="72"/>
  <c r="D50" i="72"/>
  <c r="BQ49" i="72"/>
  <c r="BR49" i="72" s="1"/>
  <c r="BP49" i="72"/>
  <c r="BC48" i="72"/>
  <c r="E48" i="72"/>
  <c r="BC47" i="72"/>
  <c r="BC140" i="72" s="1"/>
  <c r="E47" i="72"/>
  <c r="BC46" i="72"/>
  <c r="E46" i="72"/>
  <c r="E46" i="73" s="1"/>
  <c r="BC45" i="72"/>
  <c r="E45" i="72"/>
  <c r="E45" i="73" s="1"/>
  <c r="BQ44" i="72"/>
  <c r="BR44" i="72" s="1"/>
  <c r="BP44" i="72"/>
  <c r="BC43" i="72"/>
  <c r="D107" i="72"/>
  <c r="D118" i="73" s="1"/>
  <c r="BQ42" i="72"/>
  <c r="BP42" i="72"/>
  <c r="BR42" i="72" s="1"/>
  <c r="BC41" i="72"/>
  <c r="H41" i="72"/>
  <c r="H52" i="72" s="1"/>
  <c r="D41" i="72"/>
  <c r="BP40" i="72"/>
  <c r="BC40" i="72"/>
  <c r="E40" i="72"/>
  <c r="E40" i="73" s="1"/>
  <c r="BC39" i="72"/>
  <c r="E39" i="72"/>
  <c r="BP39" i="72" s="1"/>
  <c r="BC38" i="72"/>
  <c r="E38" i="72"/>
  <c r="E41" i="72" s="1"/>
  <c r="BP41" i="72" s="1"/>
  <c r="BQ37" i="72"/>
  <c r="BP37" i="72"/>
  <c r="BR37" i="72" s="1"/>
  <c r="BQ36" i="72"/>
  <c r="BP36" i="72"/>
  <c r="BR36" i="72" s="1"/>
  <c r="BQ35" i="72"/>
  <c r="BR35" i="72" s="1"/>
  <c r="BP35" i="72"/>
  <c r="BQ34" i="72"/>
  <c r="BP34" i="72"/>
  <c r="BQ32" i="72"/>
  <c r="BP32" i="72"/>
  <c r="BR32" i="72" s="1"/>
  <c r="BQ31" i="72"/>
  <c r="BR31" i="72" s="1"/>
  <c r="BP31" i="72"/>
  <c r="H30" i="72"/>
  <c r="BQ29" i="72"/>
  <c r="BP29" i="72"/>
  <c r="BR29" i="72" s="1"/>
  <c r="BC29" i="72"/>
  <c r="I29" i="72"/>
  <c r="BL29" i="72" s="1"/>
  <c r="BM29" i="72" s="1"/>
  <c r="E28" i="72"/>
  <c r="E30" i="72" s="1"/>
  <c r="BP30" i="72" s="1"/>
  <c r="BP27" i="72"/>
  <c r="BK27" i="72"/>
  <c r="D27" i="72"/>
  <c r="D27" i="73" s="1"/>
  <c r="BQ26" i="72"/>
  <c r="BR26" i="72" s="1"/>
  <c r="BP26" i="72"/>
  <c r="BC26" i="72"/>
  <c r="BC26" i="73" s="1"/>
  <c r="BB26" i="72"/>
  <c r="BB26" i="73" s="1"/>
  <c r="D26" i="72"/>
  <c r="D26" i="73" s="1"/>
  <c r="D30" i="73" s="1"/>
  <c r="BQ25" i="72"/>
  <c r="BP25" i="72"/>
  <c r="BR25" i="72" s="1"/>
  <c r="BQ24" i="72"/>
  <c r="BR24" i="72" s="1"/>
  <c r="BP24" i="72"/>
  <c r="BR23" i="72"/>
  <c r="BQ23" i="72"/>
  <c r="BP23" i="72"/>
  <c r="BP22" i="72"/>
  <c r="F20" i="72"/>
  <c r="F20" i="73" s="1"/>
  <c r="E20" i="72"/>
  <c r="BP20" i="72" s="1"/>
  <c r="E19" i="72"/>
  <c r="BP18" i="72"/>
  <c r="D18" i="72"/>
  <c r="D18" i="73" s="1"/>
  <c r="E17" i="72"/>
  <c r="E81" i="72" s="1"/>
  <c r="F16" i="72"/>
  <c r="F16" i="73" s="1"/>
  <c r="E16" i="72"/>
  <c r="E80" i="72" s="1"/>
  <c r="BP15" i="72"/>
  <c r="F15" i="72"/>
  <c r="F15" i="73" s="1"/>
  <c r="E15" i="72"/>
  <c r="E79" i="72" s="1"/>
  <c r="BP14" i="72"/>
  <c r="BC14" i="72"/>
  <c r="D14" i="72"/>
  <c r="D78" i="72" s="1"/>
  <c r="D89" i="73" s="1"/>
  <c r="F13" i="72"/>
  <c r="E13" i="72"/>
  <c r="E77" i="72" s="1"/>
  <c r="E12" i="72"/>
  <c r="E76" i="72" s="1"/>
  <c r="F11" i="72"/>
  <c r="F11" i="73" s="1"/>
  <c r="E11" i="72"/>
  <c r="BP10" i="72"/>
  <c r="BC10" i="72"/>
  <c r="BV10" i="72" s="1"/>
  <c r="AN9" i="105" s="1"/>
  <c r="D10" i="72"/>
  <c r="D10" i="73" s="1"/>
  <c r="E9" i="72"/>
  <c r="F8" i="72"/>
  <c r="F8" i="73" s="1"/>
  <c r="E8" i="72"/>
  <c r="F7" i="72"/>
  <c r="F7" i="73" s="1"/>
  <c r="E7" i="72"/>
  <c r="BP6" i="72"/>
  <c r="D6" i="72"/>
  <c r="D6" i="73" s="1"/>
  <c r="F5" i="72"/>
  <c r="F5" i="73" s="1"/>
  <c r="E5" i="72"/>
  <c r="E5" i="73" s="1"/>
  <c r="E3" i="72"/>
  <c r="BJ2" i="73"/>
  <c r="BI2" i="73"/>
  <c r="BF2" i="73"/>
  <c r="BE2" i="73"/>
  <c r="BB2" i="73"/>
  <c r="AZ2" i="73"/>
  <c r="B12" i="69"/>
  <c r="BL90" i="72" l="1"/>
  <c r="D133" i="73"/>
  <c r="I211" i="72"/>
  <c r="T213" i="72"/>
  <c r="T169" i="72"/>
  <c r="T170" i="72"/>
  <c r="L247" i="72"/>
  <c r="E12" i="73"/>
  <c r="H16" i="72"/>
  <c r="BP12" i="72"/>
  <c r="BC52" i="72"/>
  <c r="BR51" i="72"/>
  <c r="BG155" i="72"/>
  <c r="BF156" i="72"/>
  <c r="J158" i="72"/>
  <c r="R158" i="72"/>
  <c r="Z158" i="72"/>
  <c r="AH158" i="72"/>
  <c r="AP158" i="72"/>
  <c r="O247" i="72"/>
  <c r="BI159" i="72"/>
  <c r="M172" i="72"/>
  <c r="D14" i="73"/>
  <c r="E17" i="73"/>
  <c r="D58" i="73"/>
  <c r="K158" i="72"/>
  <c r="AA158" i="72"/>
  <c r="AQ158" i="72"/>
  <c r="BP45" i="72"/>
  <c r="F79" i="72"/>
  <c r="F90" i="73" s="1"/>
  <c r="T212" i="72"/>
  <c r="BI155" i="72"/>
  <c r="BH156" i="72"/>
  <c r="J172" i="72"/>
  <c r="T158" i="72"/>
  <c r="AB158" i="72"/>
  <c r="AJ158" i="72"/>
  <c r="AR158" i="72"/>
  <c r="BD158" i="72"/>
  <c r="BF160" i="72"/>
  <c r="U173" i="72"/>
  <c r="U248" i="72" s="1"/>
  <c r="V255" i="72"/>
  <c r="V256" i="72"/>
  <c r="BF41" i="73"/>
  <c r="BJ58" i="73"/>
  <c r="BD116" i="73"/>
  <c r="S158" i="72"/>
  <c r="BJ155" i="72"/>
  <c r="BC14" i="73"/>
  <c r="BV14" i="72"/>
  <c r="AN14" i="105" s="1"/>
  <c r="BP16" i="72"/>
  <c r="E104" i="72"/>
  <c r="BC145" i="72"/>
  <c r="BK155" i="72"/>
  <c r="BJ156" i="72"/>
  <c r="N158" i="72"/>
  <c r="AD158" i="72"/>
  <c r="AL158" i="72"/>
  <c r="AT158" i="72"/>
  <c r="BE159" i="72"/>
  <c r="V257" i="72"/>
  <c r="BP56" i="72"/>
  <c r="T211" i="72"/>
  <c r="BR34" i="72"/>
  <c r="BP46" i="72"/>
  <c r="G114" i="72"/>
  <c r="T208" i="72"/>
  <c r="BG158" i="72"/>
  <c r="BF159" i="72"/>
  <c r="V272" i="72"/>
  <c r="BK41" i="73"/>
  <c r="BK52" i="73" s="1"/>
  <c r="BC43" i="73"/>
  <c r="BE58" i="73"/>
  <c r="BK58" i="73"/>
  <c r="AI158" i="72"/>
  <c r="BI156" i="72"/>
  <c r="H174" i="72"/>
  <c r="H186" i="72" s="1"/>
  <c r="BP17" i="72"/>
  <c r="I26" i="72"/>
  <c r="BK27" i="73"/>
  <c r="AI27" i="105"/>
  <c r="AT27" i="105" s="1"/>
  <c r="E110" i="72"/>
  <c r="E121" i="73" s="1"/>
  <c r="BE155" i="72"/>
  <c r="BD156" i="72"/>
  <c r="I172" i="72"/>
  <c r="I184" i="72" s="1"/>
  <c r="I259" i="72" s="1"/>
  <c r="BH158" i="72"/>
  <c r="BA160" i="72"/>
  <c r="U174" i="72"/>
  <c r="V271" i="72"/>
  <c r="Z45" i="73"/>
  <c r="AK121" i="73"/>
  <c r="AP121" i="73"/>
  <c r="AU120" i="73"/>
  <c r="D52" i="72"/>
  <c r="D116" i="73"/>
  <c r="D41" i="73"/>
  <c r="BG41" i="73"/>
  <c r="BC39" i="73"/>
  <c r="BK116" i="73"/>
  <c r="BK127" i="73" s="1"/>
  <c r="F133" i="73"/>
  <c r="BR43" i="73"/>
  <c r="BC46" i="73"/>
  <c r="BC57" i="73"/>
  <c r="BE116" i="73"/>
  <c r="BE127" i="73" s="1"/>
  <c r="BE133" i="73"/>
  <c r="BI133" i="73"/>
  <c r="BC40" i="73"/>
  <c r="BC47" i="73"/>
  <c r="BF58" i="73"/>
  <c r="BG58" i="73"/>
  <c r="H133" i="73"/>
  <c r="BG133" i="73"/>
  <c r="BK133" i="73"/>
  <c r="G8" i="80"/>
  <c r="I8" i="80" s="1"/>
  <c r="G14" i="80"/>
  <c r="I14" i="80" s="1"/>
  <c r="G12" i="80"/>
  <c r="I12" i="80" s="1"/>
  <c r="G16" i="80"/>
  <c r="I16" i="80" s="1"/>
  <c r="G79" i="72"/>
  <c r="E90" i="73"/>
  <c r="T244" i="72"/>
  <c r="T193" i="72"/>
  <c r="E73" i="72"/>
  <c r="E9" i="73"/>
  <c r="BP9" i="72"/>
  <c r="E21" i="72"/>
  <c r="BC158" i="72"/>
  <c r="U184" i="72"/>
  <c r="U259" i="72" s="1"/>
  <c r="U247" i="72"/>
  <c r="K2" i="73"/>
  <c r="Q120" i="73"/>
  <c r="Q45" i="73"/>
  <c r="AA2" i="73"/>
  <c r="AL121" i="73"/>
  <c r="AQ2" i="73"/>
  <c r="AW120" i="73"/>
  <c r="AW45" i="73"/>
  <c r="BA2" i="73"/>
  <c r="AL46" i="73"/>
  <c r="E48" i="73"/>
  <c r="BP48" i="72"/>
  <c r="E112" i="72"/>
  <c r="V120" i="73"/>
  <c r="BE156" i="72"/>
  <c r="M2" i="73"/>
  <c r="M120" i="73"/>
  <c r="M45" i="73"/>
  <c r="AC2" i="73"/>
  <c r="AC120" i="73"/>
  <c r="AC45" i="73"/>
  <c r="AM2" i="73"/>
  <c r="BK2" i="73"/>
  <c r="E72" i="72"/>
  <c r="E8" i="73"/>
  <c r="BP11" i="72"/>
  <c r="BP19" i="72"/>
  <c r="D30" i="72"/>
  <c r="E38" i="73"/>
  <c r="BP38" i="72"/>
  <c r="K45" i="73"/>
  <c r="O120" i="73"/>
  <c r="W120" i="73"/>
  <c r="AM120" i="73"/>
  <c r="P244" i="72"/>
  <c r="AY155" i="72"/>
  <c r="H260" i="72"/>
  <c r="AY2" i="73"/>
  <c r="BD2" i="73"/>
  <c r="BH2" i="73"/>
  <c r="D3" i="72"/>
  <c r="E7" i="73"/>
  <c r="E71" i="72"/>
  <c r="BP7" i="72"/>
  <c r="H11" i="72"/>
  <c r="E13" i="73"/>
  <c r="BP13" i="72"/>
  <c r="E16" i="73"/>
  <c r="V45" i="73"/>
  <c r="AP46" i="73"/>
  <c r="E47" i="73"/>
  <c r="E111" i="72"/>
  <c r="BP47" i="72"/>
  <c r="D50" i="73"/>
  <c r="D114" i="72"/>
  <c r="E55" i="73"/>
  <c r="BP55" i="72"/>
  <c r="E119" i="72"/>
  <c r="F69" i="72"/>
  <c r="G70" i="72"/>
  <c r="E87" i="73"/>
  <c r="G76" i="72"/>
  <c r="F80" i="72"/>
  <c r="F91" i="73" s="1"/>
  <c r="D82" i="72"/>
  <c r="D93" i="73" s="1"/>
  <c r="E83" i="72"/>
  <c r="Z120" i="73"/>
  <c r="BC122" i="73"/>
  <c r="BC150" i="72"/>
  <c r="BC160" i="72" s="1"/>
  <c r="BC146" i="72"/>
  <c r="BC156" i="72" s="1"/>
  <c r="BC130" i="73"/>
  <c r="H184" i="72"/>
  <c r="M158" i="72"/>
  <c r="Q158" i="72"/>
  <c r="U158" i="72"/>
  <c r="Y158" i="72"/>
  <c r="AC158" i="72"/>
  <c r="AG158" i="72"/>
  <c r="AK158" i="72"/>
  <c r="AO158" i="72"/>
  <c r="AS158" i="72"/>
  <c r="N184" i="72"/>
  <c r="N259" i="72" s="1"/>
  <c r="N247" i="72"/>
  <c r="BF155" i="72"/>
  <c r="BK158" i="72"/>
  <c r="BB160" i="72"/>
  <c r="U169" i="72"/>
  <c r="T172" i="72"/>
  <c r="T174" i="72"/>
  <c r="L184" i="72"/>
  <c r="L259" i="72" s="1"/>
  <c r="S249" i="72"/>
  <c r="BH41" i="73"/>
  <c r="E39" i="73"/>
  <c r="BR46" i="73"/>
  <c r="BC56" i="73"/>
  <c r="BD58" i="73"/>
  <c r="H127" i="73"/>
  <c r="AG120" i="73"/>
  <c r="AG45" i="73"/>
  <c r="BC10" i="73"/>
  <c r="E20" i="73"/>
  <c r="E85" i="73"/>
  <c r="G74" i="72"/>
  <c r="BC89" i="73"/>
  <c r="E92" i="73"/>
  <c r="G81" i="72"/>
  <c r="E102" i="73"/>
  <c r="G91" i="72"/>
  <c r="G125" i="73"/>
  <c r="BQ50" i="72"/>
  <c r="BR50" i="72" s="1"/>
  <c r="S169" i="72"/>
  <c r="BB155" i="72"/>
  <c r="U185" i="72"/>
  <c r="U260" i="72" s="1"/>
  <c r="V2" i="73"/>
  <c r="AL2" i="73"/>
  <c r="E11" i="73"/>
  <c r="R2" i="73"/>
  <c r="W2" i="73"/>
  <c r="AH2" i="73"/>
  <c r="AS2" i="73"/>
  <c r="AS120" i="73"/>
  <c r="AS45" i="73"/>
  <c r="AX2" i="73"/>
  <c r="BG2" i="73"/>
  <c r="BG127" i="73" s="1"/>
  <c r="E69" i="72"/>
  <c r="BP5" i="72"/>
  <c r="D9" i="73"/>
  <c r="D73" i="72"/>
  <c r="D84" i="73" s="1"/>
  <c r="D21" i="72"/>
  <c r="F21" i="72"/>
  <c r="F3" i="72" s="1"/>
  <c r="E28" i="73"/>
  <c r="E92" i="72"/>
  <c r="BP28" i="72"/>
  <c r="BC135" i="72"/>
  <c r="BC155" i="72" s="1"/>
  <c r="AA45" i="73"/>
  <c r="AQ45" i="73"/>
  <c r="BC85" i="73"/>
  <c r="E88" i="73"/>
  <c r="E91" i="73"/>
  <c r="E84" i="72"/>
  <c r="D90" i="72"/>
  <c r="E102" i="72"/>
  <c r="BC113" i="73"/>
  <c r="BC149" i="72"/>
  <c r="D105" i="72"/>
  <c r="E120" i="73"/>
  <c r="G109" i="72"/>
  <c r="AE120" i="73"/>
  <c r="M184" i="72"/>
  <c r="M259" i="72" s="1"/>
  <c r="M247" i="72"/>
  <c r="H261" i="72"/>
  <c r="J2" i="73"/>
  <c r="O2" i="73"/>
  <c r="U2" i="73"/>
  <c r="U120" i="73"/>
  <c r="U45" i="73"/>
  <c r="Z2" i="73"/>
  <c r="AE2" i="73"/>
  <c r="AK2" i="73"/>
  <c r="AP2" i="73"/>
  <c r="AU2" i="73"/>
  <c r="H8" i="72"/>
  <c r="Y7" i="105" s="1"/>
  <c r="BP8" i="72"/>
  <c r="F13" i="73"/>
  <c r="F21" i="73" s="1"/>
  <c r="F140" i="73" s="1"/>
  <c r="F77" i="72"/>
  <c r="F88" i="73" s="1"/>
  <c r="E15" i="73"/>
  <c r="D43" i="73"/>
  <c r="E43" i="72"/>
  <c r="E52" i="72" s="1"/>
  <c r="BP52" i="72" s="1"/>
  <c r="O45" i="73"/>
  <c r="W45" i="73"/>
  <c r="AE45" i="73"/>
  <c r="AM45" i="73"/>
  <c r="AU45" i="73"/>
  <c r="AK46" i="73"/>
  <c r="BP58" i="72"/>
  <c r="E75" i="72"/>
  <c r="E89" i="73"/>
  <c r="G78" i="72"/>
  <c r="E93" i="73"/>
  <c r="G82" i="72"/>
  <c r="D91" i="72"/>
  <c r="D102" i="73" s="1"/>
  <c r="E103" i="72"/>
  <c r="K120" i="73"/>
  <c r="AA120" i="73"/>
  <c r="AQ120" i="73"/>
  <c r="BC120" i="73"/>
  <c r="D122" i="72"/>
  <c r="J211" i="72"/>
  <c r="J247" i="72" s="1"/>
  <c r="H183" i="72"/>
  <c r="K247" i="72"/>
  <c r="K184" i="72"/>
  <c r="K259" i="72" s="1"/>
  <c r="U245" i="72"/>
  <c r="U193" i="72"/>
  <c r="T173" i="72"/>
  <c r="O184" i="72"/>
  <c r="O259" i="72" s="1"/>
  <c r="V226" i="72"/>
  <c r="H247" i="72"/>
  <c r="Q2" i="73"/>
  <c r="AG2" i="73"/>
  <c r="AW2" i="73"/>
  <c r="E19" i="73"/>
  <c r="BE41" i="73"/>
  <c r="BC38" i="73"/>
  <c r="I101" i="73"/>
  <c r="BL101" i="73" s="1"/>
  <c r="BC27" i="72"/>
  <c r="D70" i="72"/>
  <c r="F84" i="72"/>
  <c r="F95" i="73" s="1"/>
  <c r="E120" i="72"/>
  <c r="T209" i="72"/>
  <c r="T245" i="72" s="1"/>
  <c r="AZ155" i="72"/>
  <c r="BD155" i="72"/>
  <c r="BH155" i="72"/>
  <c r="H156" i="72"/>
  <c r="BG156" i="72"/>
  <c r="BK156" i="72"/>
  <c r="BE158" i="72"/>
  <c r="BI158" i="72"/>
  <c r="H159" i="72"/>
  <c r="AY160" i="72"/>
  <c r="BD160" i="72"/>
  <c r="BH160" i="72"/>
  <c r="H244" i="72"/>
  <c r="H245" i="72"/>
  <c r="H248" i="72"/>
  <c r="H249" i="72"/>
  <c r="P249" i="72"/>
  <c r="V237" i="72"/>
  <c r="V270" i="72"/>
  <c r="I26" i="73"/>
  <c r="I27" i="73"/>
  <c r="BR45" i="73"/>
  <c r="BC139" i="72"/>
  <c r="BC50" i="73"/>
  <c r="BC138" i="72"/>
  <c r="E121" i="72"/>
  <c r="E57" i="73"/>
  <c r="H155" i="72"/>
  <c r="BA155" i="72"/>
  <c r="J184" i="72"/>
  <c r="J259" i="72" s="1"/>
  <c r="BF158" i="72"/>
  <c r="BJ158" i="72"/>
  <c r="BD159" i="72"/>
  <c r="BH159" i="72"/>
  <c r="AZ160" i="72"/>
  <c r="L158" i="72"/>
  <c r="Q249" i="72"/>
  <c r="E30" i="73"/>
  <c r="BJ127" i="73"/>
  <c r="BF127" i="73"/>
  <c r="BD127" i="73"/>
  <c r="BC116" i="72"/>
  <c r="AW158" i="72"/>
  <c r="R169" i="72"/>
  <c r="H30" i="73"/>
  <c r="BR47" i="73"/>
  <c r="BC48" i="73"/>
  <c r="V158" i="72"/>
  <c r="AX158" i="72"/>
  <c r="BC45" i="73"/>
  <c r="H105" i="73"/>
  <c r="BH116" i="73"/>
  <c r="BI127" i="73"/>
  <c r="BF133" i="73"/>
  <c r="BC55" i="73"/>
  <c r="F105" i="73"/>
  <c r="F116" i="73"/>
  <c r="F127" i="73" s="1"/>
  <c r="G77" i="72" l="1"/>
  <c r="H11" i="73"/>
  <c r="Y10" i="105"/>
  <c r="Y29" i="105" s="1"/>
  <c r="G110" i="72"/>
  <c r="AD28" i="105"/>
  <c r="AT28" i="105" s="1"/>
  <c r="BL26" i="72"/>
  <c r="BM26" i="72" s="1"/>
  <c r="BC159" i="72"/>
  <c r="E115" i="73"/>
  <c r="G104" i="72"/>
  <c r="I247" i="72"/>
  <c r="U249" i="72"/>
  <c r="U186" i="72"/>
  <c r="U261" i="72" s="1"/>
  <c r="D21" i="73"/>
  <c r="D33" i="73" s="1"/>
  <c r="H16" i="73"/>
  <c r="Y17" i="105"/>
  <c r="R120" i="73"/>
  <c r="R45" i="73"/>
  <c r="AH120" i="73"/>
  <c r="AH45" i="73"/>
  <c r="AX120" i="73"/>
  <c r="AX45" i="73"/>
  <c r="J120" i="73"/>
  <c r="J45" i="73"/>
  <c r="E21" i="73"/>
  <c r="E33" i="73" s="1"/>
  <c r="BH127" i="73"/>
  <c r="E58" i="73"/>
  <c r="E132" i="73"/>
  <c r="G121" i="72"/>
  <c r="E114" i="73"/>
  <c r="G103" i="72"/>
  <c r="H8" i="73"/>
  <c r="H134" i="72"/>
  <c r="H21" i="72"/>
  <c r="E113" i="73"/>
  <c r="E105" i="72"/>
  <c r="G102" i="72"/>
  <c r="G88" i="73"/>
  <c r="BQ13" i="72"/>
  <c r="BR13" i="72" s="1"/>
  <c r="G102" i="73"/>
  <c r="BQ27" i="72"/>
  <c r="BR27" i="72" s="1"/>
  <c r="BK91" i="72"/>
  <c r="U244" i="72"/>
  <c r="U192" i="72"/>
  <c r="D52" i="73"/>
  <c r="AI2" i="73"/>
  <c r="AI120" i="73"/>
  <c r="AI45" i="73"/>
  <c r="N120" i="73"/>
  <c r="N2" i="73"/>
  <c r="N45" i="73"/>
  <c r="X2" i="73"/>
  <c r="X120" i="73"/>
  <c r="X45" i="73"/>
  <c r="AN2" i="73"/>
  <c r="AN121" i="73"/>
  <c r="AN46" i="73"/>
  <c r="E41" i="73"/>
  <c r="BC58" i="73"/>
  <c r="E131" i="73"/>
  <c r="G120" i="72"/>
  <c r="G94" i="72"/>
  <c r="BQ30" i="72" s="1"/>
  <c r="BR30" i="72" s="1"/>
  <c r="BM101" i="73"/>
  <c r="T248" i="72"/>
  <c r="T185" i="72"/>
  <c r="T260" i="72" s="1"/>
  <c r="G89" i="73"/>
  <c r="BQ14" i="72"/>
  <c r="BR14" i="72" s="1"/>
  <c r="E86" i="73"/>
  <c r="G75" i="72"/>
  <c r="D94" i="72"/>
  <c r="D101" i="73"/>
  <c r="D105" i="73" s="1"/>
  <c r="S244" i="72"/>
  <c r="G85" i="73"/>
  <c r="BQ10" i="72"/>
  <c r="BR10" i="72" s="1"/>
  <c r="G121" i="73"/>
  <c r="BQ46" i="72"/>
  <c r="BR46" i="72" s="1"/>
  <c r="BQ12" i="72"/>
  <c r="BR12" i="72" s="1"/>
  <c r="G87" i="73"/>
  <c r="E130" i="73"/>
  <c r="E122" i="72"/>
  <c r="G119" i="72"/>
  <c r="E82" i="73"/>
  <c r="G71" i="72"/>
  <c r="AD120" i="73"/>
  <c r="AD2" i="73"/>
  <c r="AD45" i="73"/>
  <c r="L2" i="73"/>
  <c r="L120" i="73"/>
  <c r="AB2" i="73"/>
  <c r="AB120" i="73"/>
  <c r="AB45" i="73"/>
  <c r="AR2" i="73"/>
  <c r="AR120" i="73"/>
  <c r="AR45" i="73"/>
  <c r="BL26" i="73"/>
  <c r="E83" i="73"/>
  <c r="G72" i="72"/>
  <c r="R244" i="72"/>
  <c r="BD52" i="73"/>
  <c r="D81" i="73"/>
  <c r="D96" i="73" s="1"/>
  <c r="D108" i="73" s="1"/>
  <c r="D85" i="72"/>
  <c r="BC27" i="73"/>
  <c r="BL27" i="72"/>
  <c r="BC41" i="73"/>
  <c r="BC52" i="73" s="1"/>
  <c r="U268" i="72"/>
  <c r="H258" i="72"/>
  <c r="H187" i="72"/>
  <c r="H262" i="72" s="1"/>
  <c r="G120" i="73"/>
  <c r="BQ45" i="72"/>
  <c r="BR45" i="72" s="1"/>
  <c r="E95" i="73"/>
  <c r="G84" i="72"/>
  <c r="G80" i="72"/>
  <c r="E103" i="73"/>
  <c r="E105" i="73" s="1"/>
  <c r="G92" i="72"/>
  <c r="T249" i="72"/>
  <c r="T186" i="72"/>
  <c r="T261" i="72" s="1"/>
  <c r="E94" i="73"/>
  <c r="G83" i="72"/>
  <c r="G81" i="73"/>
  <c r="BQ6" i="72"/>
  <c r="BR6" i="72" s="1"/>
  <c r="AT120" i="73"/>
  <c r="AT2" i="73"/>
  <c r="AT45" i="73"/>
  <c r="Y120" i="73"/>
  <c r="Y45" i="73"/>
  <c r="Y2" i="73"/>
  <c r="P2" i="73"/>
  <c r="P120" i="73"/>
  <c r="P45" i="73"/>
  <c r="AF2" i="73"/>
  <c r="AF46" i="73"/>
  <c r="AF121" i="73"/>
  <c r="AV2" i="73"/>
  <c r="AV120" i="73"/>
  <c r="AV45" i="73"/>
  <c r="E84" i="73"/>
  <c r="G73" i="72"/>
  <c r="T268" i="72"/>
  <c r="G93" i="73"/>
  <c r="BQ18" i="72"/>
  <c r="BR18" i="72" s="1"/>
  <c r="E43" i="73"/>
  <c r="E107" i="72"/>
  <c r="BP43" i="72"/>
  <c r="BC116" i="73"/>
  <c r="BC127" i="73" s="1"/>
  <c r="D33" i="72"/>
  <c r="D62" i="72" s="1"/>
  <c r="D64" i="72" s="1"/>
  <c r="E80" i="73"/>
  <c r="E85" i="72"/>
  <c r="G69" i="72"/>
  <c r="G92" i="73"/>
  <c r="BQ17" i="72"/>
  <c r="BR17" i="72" s="1"/>
  <c r="T247" i="72"/>
  <c r="T184" i="72"/>
  <c r="H259" i="72"/>
  <c r="BC133" i="73"/>
  <c r="F80" i="73"/>
  <c r="F96" i="73" s="1"/>
  <c r="F108" i="73" s="1"/>
  <c r="F137" i="73" s="1"/>
  <c r="F85" i="72"/>
  <c r="D125" i="73"/>
  <c r="D127" i="73" s="1"/>
  <c r="D137" i="73" s="1"/>
  <c r="D116" i="72"/>
  <c r="E122" i="73"/>
  <c r="G111" i="72"/>
  <c r="AO121" i="73"/>
  <c r="AO46" i="73"/>
  <c r="AO2" i="73"/>
  <c r="S2" i="73"/>
  <c r="S120" i="73"/>
  <c r="S45" i="73"/>
  <c r="T2" i="73"/>
  <c r="T120" i="73"/>
  <c r="T45" i="73"/>
  <c r="AJ2" i="73"/>
  <c r="AJ46" i="73"/>
  <c r="AJ121" i="73"/>
  <c r="D62" i="73"/>
  <c r="E123" i="73"/>
  <c r="G112" i="72"/>
  <c r="E33" i="72"/>
  <c r="BP21" i="72"/>
  <c r="E94" i="72"/>
  <c r="G90" i="73"/>
  <c r="BQ15" i="72"/>
  <c r="BR15" i="72" s="1"/>
  <c r="H21" i="73" l="1"/>
  <c r="G115" i="73"/>
  <c r="BQ40" i="72"/>
  <c r="BR40" i="72" s="1"/>
  <c r="E62" i="73"/>
  <c r="E64" i="73" s="1"/>
  <c r="BN10" i="73"/>
  <c r="F141" i="73"/>
  <c r="F143" i="73"/>
  <c r="G94" i="73"/>
  <c r="BQ19" i="72"/>
  <c r="BR19" i="72" s="1"/>
  <c r="G123" i="73"/>
  <c r="BQ48" i="72"/>
  <c r="BR48" i="72" s="1"/>
  <c r="T259" i="72"/>
  <c r="T192" i="72"/>
  <c r="G95" i="73"/>
  <c r="BQ20" i="72"/>
  <c r="BR20" i="72" s="1"/>
  <c r="BF52" i="73"/>
  <c r="AZ89" i="73"/>
  <c r="G82" i="73"/>
  <c r="BQ7" i="72"/>
  <c r="BR7" i="72" s="1"/>
  <c r="G86" i="73"/>
  <c r="H75" i="72"/>
  <c r="H86" i="73" s="1"/>
  <c r="BQ11" i="72"/>
  <c r="BR11" i="72" s="1"/>
  <c r="BA89" i="73"/>
  <c r="BK102" i="73"/>
  <c r="BC91" i="72"/>
  <c r="G105" i="72"/>
  <c r="BQ38" i="72"/>
  <c r="BR38" i="72" s="1"/>
  <c r="G113" i="73"/>
  <c r="H33" i="72"/>
  <c r="H62" i="72" s="1"/>
  <c r="H22" i="72"/>
  <c r="D68" i="73"/>
  <c r="D140" i="73"/>
  <c r="D64" i="73"/>
  <c r="D67" i="73"/>
  <c r="G80" i="73"/>
  <c r="G85" i="72"/>
  <c r="BQ5" i="72"/>
  <c r="BR5" i="72" s="1"/>
  <c r="G103" i="73"/>
  <c r="G105" i="73" s="1"/>
  <c r="BQ28" i="72"/>
  <c r="BR28" i="72" s="1"/>
  <c r="D97" i="72"/>
  <c r="D126" i="72" s="1"/>
  <c r="D129" i="72" s="1"/>
  <c r="BJ52" i="73"/>
  <c r="BI52" i="73"/>
  <c r="BB89" i="73"/>
  <c r="G83" i="73"/>
  <c r="H72" i="72"/>
  <c r="BQ8" i="72"/>
  <c r="BR8" i="72" s="1"/>
  <c r="E133" i="73"/>
  <c r="G131" i="73"/>
  <c r="BQ56" i="72"/>
  <c r="BR56" i="72" s="1"/>
  <c r="H141" i="72"/>
  <c r="H207" i="72"/>
  <c r="BQ57" i="72"/>
  <c r="BR57" i="72" s="1"/>
  <c r="G132" i="73"/>
  <c r="BP33" i="72"/>
  <c r="BP62" i="72" s="1"/>
  <c r="E62" i="72"/>
  <c r="D141" i="73"/>
  <c r="D143" i="73"/>
  <c r="E96" i="73"/>
  <c r="E108" i="73" s="1"/>
  <c r="BN89" i="73"/>
  <c r="H80" i="72"/>
  <c r="H91" i="73" s="1"/>
  <c r="BQ16" i="72"/>
  <c r="BR16" i="72" s="1"/>
  <c r="G91" i="73"/>
  <c r="BE52" i="73"/>
  <c r="BH52" i="73"/>
  <c r="E52" i="73"/>
  <c r="E116" i="73"/>
  <c r="H22" i="73"/>
  <c r="H33" i="73"/>
  <c r="BN26" i="73"/>
  <c r="G122" i="73"/>
  <c r="BQ47" i="72"/>
  <c r="BR47" i="72" s="1"/>
  <c r="E97" i="72"/>
  <c r="E126" i="72" s="1"/>
  <c r="E129" i="72" s="1"/>
  <c r="BN85" i="73"/>
  <c r="E118" i="73"/>
  <c r="G107" i="72"/>
  <c r="G84" i="73"/>
  <c r="BQ9" i="72"/>
  <c r="BR9" i="72" s="1"/>
  <c r="BN14" i="73"/>
  <c r="BL27" i="73"/>
  <c r="BM27" i="73" s="1"/>
  <c r="BN27" i="73"/>
  <c r="BN50" i="73"/>
  <c r="BG52" i="73"/>
  <c r="BM26" i="73"/>
  <c r="L45" i="73"/>
  <c r="BP45" i="73" s="1"/>
  <c r="G130" i="73"/>
  <c r="G122" i="72"/>
  <c r="BQ55" i="72"/>
  <c r="BR55" i="72" s="1"/>
  <c r="U267" i="72"/>
  <c r="E116" i="72"/>
  <c r="G114" i="73"/>
  <c r="BQ39" i="72"/>
  <c r="BR39" i="72" s="1"/>
  <c r="E140" i="73" l="1"/>
  <c r="G140" i="73" s="1"/>
  <c r="E68" i="73"/>
  <c r="E127" i="73"/>
  <c r="G133" i="73"/>
  <c r="AY14" i="73"/>
  <c r="AY24" i="72"/>
  <c r="I14" i="72"/>
  <c r="H83" i="73"/>
  <c r="H96" i="73" s="1"/>
  <c r="H144" i="72"/>
  <c r="H85" i="72"/>
  <c r="BB14" i="73"/>
  <c r="BB24" i="72"/>
  <c r="G96" i="73"/>
  <c r="G108" i="73" s="1"/>
  <c r="H129" i="72"/>
  <c r="BA14" i="73"/>
  <c r="BA24" i="72"/>
  <c r="T267" i="72"/>
  <c r="H62" i="73"/>
  <c r="BQ58" i="72"/>
  <c r="H214" i="72"/>
  <c r="E137" i="73"/>
  <c r="G116" i="73"/>
  <c r="BQ41" i="72"/>
  <c r="BR41" i="72" s="1"/>
  <c r="G116" i="72"/>
  <c r="BQ52" i="72" s="1"/>
  <c r="BR52" i="72" s="1"/>
  <c r="BC102" i="73"/>
  <c r="BL91" i="72"/>
  <c r="G118" i="73"/>
  <c r="BQ43" i="72"/>
  <c r="BR43" i="72" s="1"/>
  <c r="AY89" i="73"/>
  <c r="I78" i="72"/>
  <c r="G97" i="72"/>
  <c r="BQ33" i="72" s="1"/>
  <c r="BR33" i="72" s="1"/>
  <c r="BQ21" i="72"/>
  <c r="BR21" i="72" s="1"/>
  <c r="G86" i="72"/>
  <c r="BQ22" i="72" s="1"/>
  <c r="BR22" i="72" s="1"/>
  <c r="AZ14" i="73"/>
  <c r="AZ24" i="72"/>
  <c r="BL14" i="72" l="1"/>
  <c r="BM14" i="72" s="1"/>
  <c r="AD14" i="105"/>
  <c r="AT14" i="105" s="1"/>
  <c r="AY50" i="73"/>
  <c r="AY138" i="72"/>
  <c r="P211" i="72" s="1"/>
  <c r="I50" i="72"/>
  <c r="BB125" i="73"/>
  <c r="BB148" i="72"/>
  <c r="I89" i="73"/>
  <c r="BL89" i="73" s="1"/>
  <c r="BM89" i="73" s="1"/>
  <c r="BL78" i="72"/>
  <c r="G127" i="73"/>
  <c r="G137" i="73" s="1"/>
  <c r="E143" i="73"/>
  <c r="E141" i="73"/>
  <c r="AZ50" i="73"/>
  <c r="AZ138" i="72"/>
  <c r="Q211" i="72" s="1"/>
  <c r="H154" i="72"/>
  <c r="H161" i="72" s="1"/>
  <c r="H168" i="72"/>
  <c r="H151" i="72"/>
  <c r="BQ62" i="72"/>
  <c r="BR58" i="72"/>
  <c r="BR62" i="72" s="1"/>
  <c r="BA125" i="73"/>
  <c r="BA148" i="72"/>
  <c r="H108" i="73"/>
  <c r="H97" i="73"/>
  <c r="I14" i="73"/>
  <c r="BL14" i="73" s="1"/>
  <c r="BM14" i="73" s="1"/>
  <c r="BL102" i="73"/>
  <c r="AY125" i="73"/>
  <c r="AY148" i="72"/>
  <c r="I114" i="72"/>
  <c r="AZ125" i="73"/>
  <c r="AZ148" i="72"/>
  <c r="G126" i="72"/>
  <c r="E130" i="72" s="1"/>
  <c r="H68" i="73"/>
  <c r="H140" i="73"/>
  <c r="H64" i="73"/>
  <c r="H97" i="72"/>
  <c r="H126" i="72" s="1"/>
  <c r="BB50" i="73"/>
  <c r="BB138" i="72"/>
  <c r="S211" i="72" s="1"/>
  <c r="BA50" i="73"/>
  <c r="BA138" i="72"/>
  <c r="R211" i="72" s="1"/>
  <c r="H243" i="72" l="1"/>
  <c r="H191" i="72"/>
  <c r="H175" i="72"/>
  <c r="I138" i="72"/>
  <c r="BL50" i="72"/>
  <c r="H130" i="72"/>
  <c r="H163" i="72" s="1"/>
  <c r="I125" i="73"/>
  <c r="BL125" i="73" s="1"/>
  <c r="BM125" i="73" s="1"/>
  <c r="I148" i="72"/>
  <c r="I158" i="72" s="1"/>
  <c r="BL114" i="72"/>
  <c r="G141" i="73"/>
  <c r="G143" i="73"/>
  <c r="V211" i="72"/>
  <c r="P172" i="72"/>
  <c r="AY158" i="72"/>
  <c r="R172" i="72"/>
  <c r="BA158" i="72"/>
  <c r="S172" i="72"/>
  <c r="BB158" i="72"/>
  <c r="I50" i="73"/>
  <c r="Q172" i="72"/>
  <c r="AZ158" i="72"/>
  <c r="BM102" i="73"/>
  <c r="H137" i="73"/>
  <c r="H152" i="72"/>
  <c r="H162" i="72" l="1"/>
  <c r="BL148" i="72"/>
  <c r="BL138" i="72"/>
  <c r="BM50" i="72"/>
  <c r="Q184" i="72"/>
  <c r="Q247" i="72"/>
  <c r="S247" i="72"/>
  <c r="S184" i="72"/>
  <c r="BL50" i="73"/>
  <c r="R184" i="72"/>
  <c r="R247" i="72"/>
  <c r="H250" i="72"/>
  <c r="H143" i="73"/>
  <c r="H141" i="73"/>
  <c r="P184" i="72"/>
  <c r="P247" i="72"/>
  <c r="V172" i="72"/>
  <c r="H266" i="72"/>
  <c r="H198" i="72"/>
  <c r="H199" i="72" s="1"/>
  <c r="R259" i="72" l="1"/>
  <c r="S259" i="72"/>
  <c r="H273" i="72"/>
  <c r="W172" i="72"/>
  <c r="V247" i="72"/>
  <c r="BM50" i="73"/>
  <c r="BL158" i="72"/>
  <c r="P259" i="72"/>
  <c r="V184" i="72"/>
  <c r="V259" i="72" s="1"/>
  <c r="Q259" i="72"/>
  <c r="O121" i="73" l="1"/>
  <c r="O46" i="73"/>
  <c r="AE121" i="73"/>
  <c r="AE46" i="73"/>
  <c r="AJ120" i="73"/>
  <c r="AJ45" i="73"/>
  <c r="N121" i="73"/>
  <c r="N46" i="73"/>
  <c r="U121" i="73"/>
  <c r="U46" i="73"/>
  <c r="X121" i="73"/>
  <c r="X46" i="73"/>
  <c r="AV121" i="73"/>
  <c r="AV46" i="73"/>
  <c r="AQ46" i="73"/>
  <c r="AQ121" i="73"/>
  <c r="AK45" i="73"/>
  <c r="AK120" i="73"/>
  <c r="AU46" i="73"/>
  <c r="AU121" i="73"/>
  <c r="Y121" i="73"/>
  <c r="Y46" i="73"/>
  <c r="AO120" i="73"/>
  <c r="AO45" i="73"/>
  <c r="AC46" i="73"/>
  <c r="AC121" i="73"/>
  <c r="AL45" i="73"/>
  <c r="AL120" i="73"/>
  <c r="AX46" i="73"/>
  <c r="AX121" i="73"/>
  <c r="AI46" i="73"/>
  <c r="AI121" i="73"/>
  <c r="W46" i="73"/>
  <c r="W121" i="73"/>
  <c r="AP45" i="73"/>
  <c r="AP120" i="73"/>
  <c r="AN45" i="73"/>
  <c r="AN120" i="73"/>
  <c r="AT121" i="73" l="1"/>
  <c r="AT46" i="73"/>
  <c r="V121" i="73"/>
  <c r="V46" i="73"/>
  <c r="R121" i="73"/>
  <c r="R46" i="73"/>
  <c r="AH46" i="73"/>
  <c r="AH121" i="73"/>
  <c r="AS121" i="73"/>
  <c r="AS46" i="73"/>
  <c r="S46" i="73"/>
  <c r="S121" i="73"/>
  <c r="AF45" i="73"/>
  <c r="I45" i="72"/>
  <c r="BL45" i="72" s="1"/>
  <c r="BM45" i="72" s="1"/>
  <c r="Z121" i="73"/>
  <c r="Z46" i="73"/>
  <c r="AG121" i="73"/>
  <c r="AG46" i="73"/>
  <c r="BQ46" i="73" s="1"/>
  <c r="AR121" i="73"/>
  <c r="AR46" i="73"/>
  <c r="K121" i="73"/>
  <c r="K46" i="73"/>
  <c r="AM46" i="73"/>
  <c r="AM121" i="73"/>
  <c r="T121" i="73"/>
  <c r="T46" i="73"/>
  <c r="AD121" i="73"/>
  <c r="AD46" i="73"/>
  <c r="Q46" i="73"/>
  <c r="Q121" i="73"/>
  <c r="AW121" i="73"/>
  <c r="AW46" i="73"/>
  <c r="L46" i="73"/>
  <c r="L121" i="73"/>
  <c r="P46" i="73"/>
  <c r="P121" i="73"/>
  <c r="AA121" i="73"/>
  <c r="AA46" i="73"/>
  <c r="AB121" i="73"/>
  <c r="AB46" i="73"/>
  <c r="M121" i="73"/>
  <c r="M46" i="73"/>
  <c r="AF120" i="73"/>
  <c r="I109" i="72"/>
  <c r="M115" i="73" l="1"/>
  <c r="M40" i="73"/>
  <c r="M39" i="73"/>
  <c r="M114" i="73"/>
  <c r="L115" i="73"/>
  <c r="L40" i="73"/>
  <c r="L39" i="73"/>
  <c r="L114" i="73"/>
  <c r="AK115" i="73"/>
  <c r="AK39" i="73"/>
  <c r="AK40" i="73"/>
  <c r="AK114" i="73"/>
  <c r="AH10" i="73"/>
  <c r="AH56" i="73"/>
  <c r="AH48" i="73"/>
  <c r="AH131" i="73"/>
  <c r="AH85" i="73"/>
  <c r="AH123" i="73"/>
  <c r="Z56" i="73"/>
  <c r="Z10" i="73"/>
  <c r="Z48" i="73"/>
  <c r="Z131" i="73"/>
  <c r="Z123" i="73"/>
  <c r="Z85" i="73"/>
  <c r="AU10" i="73"/>
  <c r="AU131" i="73"/>
  <c r="AU48" i="73"/>
  <c r="AU56" i="73"/>
  <c r="AU123" i="73"/>
  <c r="AU85" i="73"/>
  <c r="BA85" i="73"/>
  <c r="BA48" i="73"/>
  <c r="BA10" i="73"/>
  <c r="BA123" i="73"/>
  <c r="AB57" i="73"/>
  <c r="AB132" i="73"/>
  <c r="W57" i="73"/>
  <c r="W132" i="73"/>
  <c r="AX57" i="73"/>
  <c r="AX132" i="73"/>
  <c r="S57" i="73"/>
  <c r="S132" i="73"/>
  <c r="I120" i="73"/>
  <c r="BL120" i="73" s="1"/>
  <c r="BM120" i="73" s="1"/>
  <c r="BL109" i="72"/>
  <c r="J57" i="73"/>
  <c r="J121" i="73"/>
  <c r="I110" i="72"/>
  <c r="P48" i="73"/>
  <c r="P85" i="73"/>
  <c r="P56" i="73"/>
  <c r="P131" i="73"/>
  <c r="P10" i="73"/>
  <c r="P123" i="73"/>
  <c r="W10" i="73"/>
  <c r="W48" i="73"/>
  <c r="W56" i="73"/>
  <c r="W85" i="73"/>
  <c r="W131" i="73"/>
  <c r="W123" i="73"/>
  <c r="R56" i="73"/>
  <c r="R10" i="73"/>
  <c r="R48" i="73"/>
  <c r="R85" i="73"/>
  <c r="R131" i="73"/>
  <c r="R123" i="73"/>
  <c r="AA48" i="73"/>
  <c r="AA56" i="73"/>
  <c r="AA10" i="73"/>
  <c r="AA85" i="73"/>
  <c r="AA123" i="73"/>
  <c r="AA131" i="73"/>
  <c r="X40" i="73"/>
  <c r="X115" i="73"/>
  <c r="X39" i="73"/>
  <c r="X114" i="73"/>
  <c r="AM10" i="73"/>
  <c r="AM48" i="73"/>
  <c r="AM56" i="73"/>
  <c r="AM131" i="73"/>
  <c r="AM123" i="73"/>
  <c r="AM85" i="73"/>
  <c r="R115" i="73"/>
  <c r="R40" i="73"/>
  <c r="R39" i="73"/>
  <c r="R114" i="73"/>
  <c r="AU39" i="73"/>
  <c r="AU115" i="73"/>
  <c r="AU40" i="73"/>
  <c r="AU114" i="73"/>
  <c r="AL10" i="73"/>
  <c r="AL48" i="73"/>
  <c r="AL56" i="73"/>
  <c r="AL131" i="73"/>
  <c r="AL123" i="73"/>
  <c r="AL85" i="73"/>
  <c r="AR131" i="73"/>
  <c r="AR123" i="73"/>
  <c r="AR85" i="73"/>
  <c r="AR56" i="73"/>
  <c r="AR10" i="73"/>
  <c r="AR48" i="73"/>
  <c r="U56" i="73"/>
  <c r="U48" i="73"/>
  <c r="U10" i="73"/>
  <c r="U123" i="73"/>
  <c r="U85" i="73"/>
  <c r="U131" i="73"/>
  <c r="L48" i="73"/>
  <c r="L131" i="73"/>
  <c r="L85" i="73"/>
  <c r="L56" i="73"/>
  <c r="L10" i="73"/>
  <c r="L123" i="73"/>
  <c r="AI56" i="73"/>
  <c r="AI131" i="73"/>
  <c r="AI10" i="73"/>
  <c r="AI85" i="73"/>
  <c r="AI48" i="73"/>
  <c r="AI123" i="73"/>
  <c r="AN48" i="73"/>
  <c r="AN131" i="73"/>
  <c r="AN123" i="73"/>
  <c r="AN56" i="73"/>
  <c r="AN10" i="73"/>
  <c r="AN85" i="73"/>
  <c r="BB85" i="73"/>
  <c r="BB48" i="73"/>
  <c r="BB10" i="73"/>
  <c r="BB123" i="73"/>
  <c r="AU57" i="73"/>
  <c r="AU132" i="73"/>
  <c r="U57" i="73"/>
  <c r="U132" i="73"/>
  <c r="N132" i="73"/>
  <c r="N57" i="73"/>
  <c r="AJ57" i="73"/>
  <c r="AJ132" i="73"/>
  <c r="T57" i="73"/>
  <c r="T132" i="73"/>
  <c r="R57" i="73"/>
  <c r="R132" i="73"/>
  <c r="X132" i="73"/>
  <c r="X57" i="73"/>
  <c r="AM57" i="73"/>
  <c r="AM132" i="73"/>
  <c r="P57" i="73"/>
  <c r="P132" i="73"/>
  <c r="AW57" i="73"/>
  <c r="AW132" i="73"/>
  <c r="J131" i="73"/>
  <c r="J10" i="73"/>
  <c r="J132" i="73"/>
  <c r="AV48" i="73"/>
  <c r="AV123" i="73"/>
  <c r="AV85" i="73"/>
  <c r="AV131" i="73"/>
  <c r="AV56" i="73"/>
  <c r="AV10" i="73"/>
  <c r="AD131" i="73"/>
  <c r="AD56" i="73"/>
  <c r="AD85" i="73"/>
  <c r="AD48" i="73"/>
  <c r="AD10" i="73"/>
  <c r="AD123" i="73"/>
  <c r="AT39" i="73"/>
  <c r="AT115" i="73"/>
  <c r="AT114" i="73"/>
  <c r="AT40" i="73"/>
  <c r="AF85" i="73"/>
  <c r="AF123" i="73"/>
  <c r="AF131" i="73"/>
  <c r="AF48" i="73"/>
  <c r="AF56" i="73"/>
  <c r="AF10" i="73"/>
  <c r="AI115" i="73"/>
  <c r="AI39" i="73"/>
  <c r="AI114" i="73"/>
  <c r="AI40" i="73"/>
  <c r="AF115" i="73"/>
  <c r="AF114" i="73"/>
  <c r="AF40" i="73"/>
  <c r="AF39" i="73"/>
  <c r="O10" i="73"/>
  <c r="O48" i="73"/>
  <c r="O56" i="73"/>
  <c r="O131" i="73"/>
  <c r="O85" i="73"/>
  <c r="O123" i="73"/>
  <c r="AH57" i="73"/>
  <c r="AH132" i="73"/>
  <c r="AN132" i="73"/>
  <c r="AN57" i="73"/>
  <c r="AR132" i="73"/>
  <c r="AR57" i="73"/>
  <c r="BQ45" i="73"/>
  <c r="I45" i="73"/>
  <c r="BL45" i="73" s="1"/>
  <c r="BM45" i="73" s="1"/>
  <c r="J48" i="73"/>
  <c r="J46" i="73"/>
  <c r="I46" i="73" s="1"/>
  <c r="BL46" i="73" s="1"/>
  <c r="BM46" i="73" s="1"/>
  <c r="I46" i="72"/>
  <c r="BL46" i="72" s="1"/>
  <c r="BM46" i="72" s="1"/>
  <c r="AT123" i="73"/>
  <c r="AT131" i="73"/>
  <c r="AT85" i="73"/>
  <c r="AT56" i="73"/>
  <c r="AT48" i="73"/>
  <c r="AT10" i="73"/>
  <c r="N39" i="73"/>
  <c r="N115" i="73"/>
  <c r="N114" i="73"/>
  <c r="N40" i="73"/>
  <c r="AM39" i="73"/>
  <c r="AM115" i="73"/>
  <c r="AM40" i="73"/>
  <c r="AM114" i="73"/>
  <c r="U115" i="73"/>
  <c r="U39" i="73"/>
  <c r="U40" i="73"/>
  <c r="U114" i="73"/>
  <c r="AD39" i="73"/>
  <c r="AD115" i="73"/>
  <c r="AD40" i="73"/>
  <c r="AD114" i="73"/>
  <c r="K56" i="73"/>
  <c r="K48" i="73"/>
  <c r="K10" i="73"/>
  <c r="K131" i="73"/>
  <c r="K123" i="73"/>
  <c r="K85" i="73"/>
  <c r="AC10" i="73"/>
  <c r="AC56" i="73"/>
  <c r="AC48" i="73"/>
  <c r="AC85" i="73"/>
  <c r="AC131" i="73"/>
  <c r="AC123" i="73"/>
  <c r="AV115" i="73"/>
  <c r="AV40" i="73"/>
  <c r="AV39" i="73"/>
  <c r="AV114" i="73"/>
  <c r="M10" i="73"/>
  <c r="M56" i="73"/>
  <c r="M48" i="73"/>
  <c r="M85" i="73"/>
  <c r="M123" i="73"/>
  <c r="M131" i="73"/>
  <c r="S10" i="73"/>
  <c r="S123" i="73"/>
  <c r="S85" i="73"/>
  <c r="S48" i="73"/>
  <c r="S56" i="73"/>
  <c r="S131" i="73"/>
  <c r="AG40" i="73"/>
  <c r="AG39" i="73"/>
  <c r="AG115" i="73"/>
  <c r="AG114" i="73"/>
  <c r="V48" i="73"/>
  <c r="V10" i="73"/>
  <c r="V56" i="73"/>
  <c r="V131" i="73"/>
  <c r="V123" i="73"/>
  <c r="V85" i="73"/>
  <c r="Y114" i="73"/>
  <c r="Y39" i="73"/>
  <c r="Y115" i="73"/>
  <c r="Y40" i="73"/>
  <c r="AL39" i="73"/>
  <c r="AL40" i="73"/>
  <c r="AL115" i="73"/>
  <c r="AL114" i="73"/>
  <c r="T85" i="73"/>
  <c r="T131" i="73"/>
  <c r="T123" i="73"/>
  <c r="T48" i="73"/>
  <c r="T56" i="73"/>
  <c r="T10" i="73"/>
  <c r="Z115" i="73"/>
  <c r="Z39" i="73"/>
  <c r="Z40" i="73"/>
  <c r="Z114" i="73"/>
  <c r="AW48" i="73"/>
  <c r="AW56" i="73"/>
  <c r="AW10" i="73"/>
  <c r="AW131" i="73"/>
  <c r="AW123" i="73"/>
  <c r="AW85" i="73"/>
  <c r="AZ10" i="73"/>
  <c r="AZ85" i="73"/>
  <c r="AZ48" i="73"/>
  <c r="AZ123" i="73"/>
  <c r="AC57" i="73"/>
  <c r="AC132" i="73"/>
  <c r="AD57" i="73"/>
  <c r="AD132" i="73"/>
  <c r="Y132" i="73"/>
  <c r="Y57" i="73"/>
  <c r="Z57" i="73"/>
  <c r="Z132" i="73"/>
  <c r="V57" i="73"/>
  <c r="V132" i="73"/>
  <c r="AO57" i="73"/>
  <c r="AO132" i="73"/>
  <c r="AV57" i="73"/>
  <c r="AV132" i="73"/>
  <c r="O57" i="73"/>
  <c r="O132" i="73"/>
  <c r="AL57" i="73"/>
  <c r="AL132" i="73"/>
  <c r="Q57" i="73"/>
  <c r="Q132" i="73"/>
  <c r="J85" i="73"/>
  <c r="J38" i="73"/>
  <c r="Y56" i="73"/>
  <c r="Y10" i="73"/>
  <c r="Y123" i="73"/>
  <c r="Y85" i="73"/>
  <c r="Y48" i="73"/>
  <c r="Y131" i="73"/>
  <c r="K39" i="73"/>
  <c r="K115" i="73"/>
  <c r="K40" i="73"/>
  <c r="K114" i="73"/>
  <c r="Q40" i="73"/>
  <c r="Q115" i="73"/>
  <c r="Q39" i="73"/>
  <c r="Q114" i="73"/>
  <c r="AQ115" i="73"/>
  <c r="AQ40" i="73"/>
  <c r="AQ39" i="73"/>
  <c r="AQ114" i="73"/>
  <c r="AR115" i="73"/>
  <c r="AR40" i="73"/>
  <c r="AR39" i="73"/>
  <c r="AR114" i="73"/>
  <c r="AO10" i="73"/>
  <c r="AO123" i="73"/>
  <c r="AO85" i="73"/>
  <c r="AO56" i="73"/>
  <c r="AO48" i="73"/>
  <c r="AO131" i="73"/>
  <c r="O39" i="73"/>
  <c r="O40" i="73"/>
  <c r="O115" i="73"/>
  <c r="O114" i="73"/>
  <c r="AI132" i="73"/>
  <c r="AI57" i="73"/>
  <c r="M57" i="73"/>
  <c r="M132" i="73"/>
  <c r="AE57" i="73"/>
  <c r="AE132" i="73"/>
  <c r="J123" i="73"/>
  <c r="AE10" i="73"/>
  <c r="AE48" i="73"/>
  <c r="AE56" i="73"/>
  <c r="AE85" i="73"/>
  <c r="AE131" i="73"/>
  <c r="AE123" i="73"/>
  <c r="AJ85" i="73"/>
  <c r="AJ56" i="73"/>
  <c r="AJ10" i="73"/>
  <c r="AJ123" i="73"/>
  <c r="AJ131" i="73"/>
  <c r="AJ48" i="73"/>
  <c r="AO40" i="73"/>
  <c r="AO114" i="73"/>
  <c r="AO39" i="73"/>
  <c r="AO115" i="73"/>
  <c r="AG48" i="73"/>
  <c r="AG56" i="73"/>
  <c r="AG131" i="73"/>
  <c r="AG10" i="73"/>
  <c r="AG123" i="73"/>
  <c r="AG85" i="73"/>
  <c r="X123" i="73"/>
  <c r="X56" i="73"/>
  <c r="X10" i="73"/>
  <c r="X48" i="73"/>
  <c r="X131" i="73"/>
  <c r="X85" i="73"/>
  <c r="AQ48" i="73"/>
  <c r="AQ10" i="73"/>
  <c r="AQ56" i="73"/>
  <c r="AQ123" i="73"/>
  <c r="AQ131" i="73"/>
  <c r="AQ85" i="73"/>
  <c r="AX56" i="73"/>
  <c r="AX10" i="73"/>
  <c r="AX48" i="73"/>
  <c r="AX85" i="73"/>
  <c r="AX123" i="73"/>
  <c r="AX131" i="73"/>
  <c r="AP56" i="73"/>
  <c r="AP48" i="73"/>
  <c r="AP10" i="73"/>
  <c r="AP131" i="73"/>
  <c r="AP85" i="73"/>
  <c r="AP123" i="73"/>
  <c r="AA40" i="73"/>
  <c r="AA39" i="73"/>
  <c r="AA115" i="73"/>
  <c r="AA114" i="73"/>
  <c r="AB123" i="73"/>
  <c r="AB48" i="73"/>
  <c r="AB85" i="73"/>
  <c r="AB56" i="73"/>
  <c r="AB10" i="73"/>
  <c r="AB131" i="73"/>
  <c r="V40" i="73"/>
  <c r="V115" i="73"/>
  <c r="V39" i="73"/>
  <c r="V114" i="73"/>
  <c r="Q10" i="73"/>
  <c r="Q48" i="73"/>
  <c r="Q56" i="73"/>
  <c r="Q123" i="73"/>
  <c r="Q131" i="73"/>
  <c r="Q85" i="73"/>
  <c r="AS10" i="73"/>
  <c r="AS56" i="73"/>
  <c r="AS48" i="73"/>
  <c r="AS85" i="73"/>
  <c r="AS123" i="73"/>
  <c r="AS131" i="73"/>
  <c r="AC115" i="73"/>
  <c r="AC40" i="73"/>
  <c r="AC39" i="73"/>
  <c r="AC114" i="73"/>
  <c r="N131" i="73"/>
  <c r="N56" i="73"/>
  <c r="N85" i="73"/>
  <c r="N10" i="73"/>
  <c r="N123" i="73"/>
  <c r="N48" i="73"/>
  <c r="AK48" i="73"/>
  <c r="AK10" i="73"/>
  <c r="AK56" i="73"/>
  <c r="AK131" i="73"/>
  <c r="AK123" i="73"/>
  <c r="AK85" i="73"/>
  <c r="AS115" i="73"/>
  <c r="AS40" i="73"/>
  <c r="AS39" i="73"/>
  <c r="AS114" i="73"/>
  <c r="P39" i="73"/>
  <c r="P115" i="73"/>
  <c r="P40" i="73"/>
  <c r="P114" i="73"/>
  <c r="AW40" i="73"/>
  <c r="AW39" i="73"/>
  <c r="AW115" i="73"/>
  <c r="AW114" i="73"/>
  <c r="AY10" i="73"/>
  <c r="AY48" i="73"/>
  <c r="AY85" i="73"/>
  <c r="AY123" i="73"/>
  <c r="AK57" i="73"/>
  <c r="AK132" i="73"/>
  <c r="AS57" i="73"/>
  <c r="AS132" i="73"/>
  <c r="AQ57" i="73"/>
  <c r="AQ132" i="73"/>
  <c r="AA57" i="73"/>
  <c r="AA132" i="73"/>
  <c r="AF57" i="73"/>
  <c r="AF132" i="73"/>
  <c r="AT57" i="73"/>
  <c r="AT132" i="73"/>
  <c r="AG57" i="73"/>
  <c r="AG132" i="73"/>
  <c r="L132" i="73"/>
  <c r="L57" i="73"/>
  <c r="AP57" i="73"/>
  <c r="AP132" i="73"/>
  <c r="K57" i="73"/>
  <c r="K132" i="73"/>
  <c r="J113" i="73"/>
  <c r="J56" i="73"/>
  <c r="BP46" i="73" l="1"/>
  <c r="BS46" i="73" s="1"/>
  <c r="I38" i="72"/>
  <c r="BL38" i="72" s="1"/>
  <c r="P55" i="73"/>
  <c r="P58" i="73" s="1"/>
  <c r="P136" i="72"/>
  <c r="P58" i="72"/>
  <c r="AB38" i="73"/>
  <c r="AP113" i="73"/>
  <c r="X113" i="73"/>
  <c r="X116" i="73" s="1"/>
  <c r="X149" i="72"/>
  <c r="X105" i="72"/>
  <c r="X116" i="72" s="1"/>
  <c r="AE38" i="73"/>
  <c r="O118" i="73"/>
  <c r="O145" i="72"/>
  <c r="O140" i="72"/>
  <c r="O47" i="73"/>
  <c r="AO38" i="73"/>
  <c r="AO41" i="73" s="1"/>
  <c r="AO139" i="72"/>
  <c r="AO41" i="72"/>
  <c r="AO52" i="72" s="1"/>
  <c r="AQ118" i="73"/>
  <c r="AQ145" i="72"/>
  <c r="Q122" i="73"/>
  <c r="Q150" i="72"/>
  <c r="AZ58" i="72"/>
  <c r="AZ136" i="72"/>
  <c r="Q209" i="72" s="1"/>
  <c r="AZ56" i="73"/>
  <c r="AZ58" i="73" s="1"/>
  <c r="AL43" i="73"/>
  <c r="AL135" i="72"/>
  <c r="Y130" i="73"/>
  <c r="Y133" i="73" s="1"/>
  <c r="Y122" i="72"/>
  <c r="Y146" i="72"/>
  <c r="AG118" i="73"/>
  <c r="AG145" i="72"/>
  <c r="U130" i="73"/>
  <c r="U133" i="73" s="1"/>
  <c r="U122" i="72"/>
  <c r="U146" i="72"/>
  <c r="AM55" i="73"/>
  <c r="AM58" i="73" s="1"/>
  <c r="AM136" i="72"/>
  <c r="AM58" i="72"/>
  <c r="AF150" i="72"/>
  <c r="AF122" i="73"/>
  <c r="AT130" i="73"/>
  <c r="AT133" i="73" s="1"/>
  <c r="AT122" i="72"/>
  <c r="AT146" i="72"/>
  <c r="I120" i="72"/>
  <c r="AU145" i="72"/>
  <c r="AU118" i="73"/>
  <c r="AM38" i="73"/>
  <c r="AM41" i="73" s="1"/>
  <c r="AM139" i="72"/>
  <c r="AM41" i="72"/>
  <c r="AM52" i="72" s="1"/>
  <c r="AP39" i="73"/>
  <c r="AP40" i="73"/>
  <c r="AP115" i="73"/>
  <c r="AP114" i="73"/>
  <c r="I57" i="73"/>
  <c r="BL57" i="73" s="1"/>
  <c r="BM57" i="73" s="1"/>
  <c r="AU113" i="73"/>
  <c r="AU116" i="73" s="1"/>
  <c r="AU105" i="72"/>
  <c r="AU116" i="72" s="1"/>
  <c r="AU149" i="72"/>
  <c r="AK136" i="72"/>
  <c r="AK58" i="72"/>
  <c r="AK55" i="73"/>
  <c r="AK58" i="73" s="1"/>
  <c r="BR48" i="73"/>
  <c r="AW118" i="73"/>
  <c r="AW145" i="72"/>
  <c r="AW43" i="73"/>
  <c r="AW135" i="72"/>
  <c r="N208" i="72" s="1"/>
  <c r="AW122" i="73"/>
  <c r="AW150" i="72"/>
  <c r="P140" i="72"/>
  <c r="P47" i="73"/>
  <c r="AS118" i="73"/>
  <c r="AS145" i="72"/>
  <c r="AS43" i="73"/>
  <c r="AS135" i="72"/>
  <c r="AS55" i="73"/>
  <c r="AS58" i="73" s="1"/>
  <c r="AS136" i="72"/>
  <c r="AS58" i="72"/>
  <c r="AC130" i="73"/>
  <c r="AC133" i="73" s="1"/>
  <c r="AC122" i="72"/>
  <c r="AC146" i="72"/>
  <c r="AC47" i="73"/>
  <c r="AC140" i="72"/>
  <c r="V118" i="73"/>
  <c r="V145" i="72"/>
  <c r="V136" i="72"/>
  <c r="K209" i="72" s="1"/>
  <c r="V55" i="73"/>
  <c r="V58" i="73" s="1"/>
  <c r="V58" i="72"/>
  <c r="AA130" i="73"/>
  <c r="AA133" i="73" s="1"/>
  <c r="AA146" i="72"/>
  <c r="AA156" i="72" s="1"/>
  <c r="AA122" i="72"/>
  <c r="AA55" i="73"/>
  <c r="AA58" i="73" s="1"/>
  <c r="AA136" i="72"/>
  <c r="AA58" i="72"/>
  <c r="AX113" i="73"/>
  <c r="AX38" i="73"/>
  <c r="AH40" i="73"/>
  <c r="AH115" i="73"/>
  <c r="AH39" i="73"/>
  <c r="AH114" i="73"/>
  <c r="AQ113" i="73"/>
  <c r="AQ116" i="73" s="1"/>
  <c r="AQ105" i="72"/>
  <c r="AQ116" i="72" s="1"/>
  <c r="AQ149" i="72"/>
  <c r="AO118" i="73"/>
  <c r="AO145" i="72"/>
  <c r="AO130" i="73"/>
  <c r="AO133" i="73" s="1"/>
  <c r="AO122" i="72"/>
  <c r="AO146" i="72"/>
  <c r="O130" i="73"/>
  <c r="O133" i="73" s="1"/>
  <c r="O146" i="72"/>
  <c r="O122" i="72"/>
  <c r="AO113" i="73"/>
  <c r="AO116" i="73" s="1"/>
  <c r="AO149" i="72"/>
  <c r="AO159" i="72" s="1"/>
  <c r="AO105" i="72"/>
  <c r="AO116" i="72" s="1"/>
  <c r="AR43" i="73"/>
  <c r="AR135" i="72"/>
  <c r="AQ55" i="73"/>
  <c r="AQ58" i="73" s="1"/>
  <c r="AQ136" i="72"/>
  <c r="AQ58" i="72"/>
  <c r="K122" i="73"/>
  <c r="K150" i="72"/>
  <c r="K160" i="72" s="1"/>
  <c r="K47" i="73"/>
  <c r="K140" i="72"/>
  <c r="Y113" i="73"/>
  <c r="Y116" i="73" s="1"/>
  <c r="Y149" i="72"/>
  <c r="Y105" i="72"/>
  <c r="Y116" i="72" s="1"/>
  <c r="Z118" i="73"/>
  <c r="Z145" i="72"/>
  <c r="Z130" i="73"/>
  <c r="Z133" i="73" s="1"/>
  <c r="Z122" i="72"/>
  <c r="Z146" i="72"/>
  <c r="Z136" i="72"/>
  <c r="Z55" i="73"/>
  <c r="Z58" i="73" s="1"/>
  <c r="Z58" i="72"/>
  <c r="AL130" i="73"/>
  <c r="AL133" i="73" s="1"/>
  <c r="AL122" i="72"/>
  <c r="AL146" i="72"/>
  <c r="AX39" i="73"/>
  <c r="AX40" i="73"/>
  <c r="AX115" i="73"/>
  <c r="AX114" i="73"/>
  <c r="Y122" i="73"/>
  <c r="Y150" i="72"/>
  <c r="Y47" i="73"/>
  <c r="Y140" i="72"/>
  <c r="AG130" i="73"/>
  <c r="AG133" i="73" s="1"/>
  <c r="AG122" i="72"/>
  <c r="AG146" i="72"/>
  <c r="M113" i="73"/>
  <c r="M116" i="73" s="1"/>
  <c r="M149" i="72"/>
  <c r="M105" i="72"/>
  <c r="M116" i="72" s="1"/>
  <c r="M38" i="73"/>
  <c r="M41" i="73" s="1"/>
  <c r="M41" i="72"/>
  <c r="M52" i="72" s="1"/>
  <c r="M139" i="72"/>
  <c r="AV47" i="73"/>
  <c r="AV140" i="72"/>
  <c r="AD55" i="73"/>
  <c r="AD58" i="73" s="1"/>
  <c r="AD136" i="72"/>
  <c r="AD58" i="72"/>
  <c r="AD47" i="73"/>
  <c r="AD140" i="72"/>
  <c r="U43" i="73"/>
  <c r="U135" i="72"/>
  <c r="AM118" i="73"/>
  <c r="AM145" i="72"/>
  <c r="AM47" i="73"/>
  <c r="AM140" i="72"/>
  <c r="AN114" i="73"/>
  <c r="AN40" i="73"/>
  <c r="AN39" i="73"/>
  <c r="AN115" i="73"/>
  <c r="I48" i="73"/>
  <c r="BL48" i="73" s="1"/>
  <c r="BM48" i="73" s="1"/>
  <c r="AF145" i="72"/>
  <c r="AF118" i="73"/>
  <c r="AF47" i="73"/>
  <c r="AF140" i="72"/>
  <c r="AI55" i="73"/>
  <c r="AI58" i="73" s="1"/>
  <c r="AI136" i="72"/>
  <c r="AI58" i="72"/>
  <c r="AI130" i="73"/>
  <c r="AI133" i="73" s="1"/>
  <c r="AI146" i="72"/>
  <c r="AI122" i="72"/>
  <c r="AT145" i="72"/>
  <c r="AT118" i="73"/>
  <c r="AT135" i="72"/>
  <c r="AT43" i="73"/>
  <c r="AD139" i="72"/>
  <c r="AD41" i="72"/>
  <c r="AD52" i="72" s="1"/>
  <c r="AD38" i="73"/>
  <c r="AD41" i="73" s="1"/>
  <c r="AV38" i="73"/>
  <c r="AV41" i="73" s="1"/>
  <c r="AV139" i="72"/>
  <c r="AV41" i="72"/>
  <c r="AV52" i="72" s="1"/>
  <c r="I10" i="73"/>
  <c r="BL10" i="73" s="1"/>
  <c r="BM10" i="73" s="1"/>
  <c r="BB113" i="73"/>
  <c r="BB116" i="73" s="1"/>
  <c r="BB127" i="73" s="1"/>
  <c r="BB105" i="72"/>
  <c r="BB116" i="72" s="1"/>
  <c r="BB149" i="72"/>
  <c r="AB115" i="73"/>
  <c r="AB114" i="73"/>
  <c r="AB40" i="73"/>
  <c r="AB39" i="73"/>
  <c r="AN113" i="73"/>
  <c r="AN105" i="72"/>
  <c r="AN38" i="73"/>
  <c r="AN139" i="72"/>
  <c r="AI113" i="73"/>
  <c r="AI116" i="73" s="1"/>
  <c r="AI105" i="72"/>
  <c r="AI116" i="72" s="1"/>
  <c r="AI149" i="72"/>
  <c r="U149" i="72"/>
  <c r="U113" i="73"/>
  <c r="U116" i="73" s="1"/>
  <c r="U105" i="72"/>
  <c r="U116" i="72" s="1"/>
  <c r="U38" i="73"/>
  <c r="U41" i="73" s="1"/>
  <c r="U41" i="72"/>
  <c r="U52" i="72" s="1"/>
  <c r="U139" i="72"/>
  <c r="AL38" i="73"/>
  <c r="AL41" i="73" s="1"/>
  <c r="AL139" i="72"/>
  <c r="AL41" i="72"/>
  <c r="AL52" i="72" s="1"/>
  <c r="AU130" i="73"/>
  <c r="AU133" i="73" s="1"/>
  <c r="AU146" i="72"/>
  <c r="AU122" i="72"/>
  <c r="AU135" i="72"/>
  <c r="AU43" i="73"/>
  <c r="AU55" i="73"/>
  <c r="AU58" i="73" s="1"/>
  <c r="AU58" i="72"/>
  <c r="AU136" i="72"/>
  <c r="R135" i="72"/>
  <c r="R43" i="73"/>
  <c r="R122" i="73"/>
  <c r="R150" i="72"/>
  <c r="AM113" i="73"/>
  <c r="AM116" i="73" s="1"/>
  <c r="AM105" i="72"/>
  <c r="AM116" i="72" s="1"/>
  <c r="AM149" i="72"/>
  <c r="X55" i="73"/>
  <c r="X58" i="73" s="1"/>
  <c r="X136" i="72"/>
  <c r="X58" i="72"/>
  <c r="X146" i="72"/>
  <c r="X130" i="73"/>
  <c r="X133" i="73" s="1"/>
  <c r="X122" i="72"/>
  <c r="R149" i="72"/>
  <c r="R113" i="73"/>
  <c r="R116" i="73" s="1"/>
  <c r="R105" i="72"/>
  <c r="R116" i="72" s="1"/>
  <c r="R38" i="73"/>
  <c r="R41" i="73" s="1"/>
  <c r="R139" i="72"/>
  <c r="R41" i="72"/>
  <c r="R52" i="72" s="1"/>
  <c r="W113" i="73"/>
  <c r="W38" i="73"/>
  <c r="P38" i="73"/>
  <c r="P41" i="73" s="1"/>
  <c r="P139" i="72"/>
  <c r="P41" i="72"/>
  <c r="P52" i="72" s="1"/>
  <c r="I121" i="73"/>
  <c r="BL121" i="73" s="1"/>
  <c r="BM121" i="73" s="1"/>
  <c r="BL110" i="72"/>
  <c r="AU139" i="72"/>
  <c r="AU41" i="72"/>
  <c r="AU52" i="72" s="1"/>
  <c r="AU38" i="73"/>
  <c r="AU41" i="73" s="1"/>
  <c r="Z113" i="73"/>
  <c r="Z116" i="73" s="1"/>
  <c r="Z149" i="72"/>
  <c r="Z105" i="72"/>
  <c r="Z116" i="72" s="1"/>
  <c r="AH149" i="72"/>
  <c r="AH105" i="72"/>
  <c r="AH116" i="72" s="1"/>
  <c r="AH113" i="73"/>
  <c r="AH116" i="73" s="1"/>
  <c r="L118" i="73"/>
  <c r="L145" i="72"/>
  <c r="L47" i="73"/>
  <c r="L140" i="72"/>
  <c r="M130" i="73"/>
  <c r="M133" i="73" s="1"/>
  <c r="M122" i="72"/>
  <c r="M146" i="72"/>
  <c r="M122" i="73"/>
  <c r="M150" i="72"/>
  <c r="AW55" i="73"/>
  <c r="AW58" i="73" s="1"/>
  <c r="AW136" i="72"/>
  <c r="N209" i="72" s="1"/>
  <c r="AW58" i="72"/>
  <c r="Q113" i="73"/>
  <c r="Q116" i="73" s="1"/>
  <c r="Q149" i="72"/>
  <c r="Q105" i="72"/>
  <c r="Q116" i="72" s="1"/>
  <c r="V43" i="73"/>
  <c r="V135" i="72"/>
  <c r="K208" i="72" s="1"/>
  <c r="AG149" i="72"/>
  <c r="AG113" i="73"/>
  <c r="AG116" i="73" s="1"/>
  <c r="AG105" i="72"/>
  <c r="AG116" i="72" s="1"/>
  <c r="I112" i="72"/>
  <c r="AQ140" i="72"/>
  <c r="AQ47" i="73"/>
  <c r="K118" i="73"/>
  <c r="K145" i="72"/>
  <c r="K55" i="73"/>
  <c r="K58" i="73" s="1"/>
  <c r="K136" i="72"/>
  <c r="K58" i="72"/>
  <c r="AZ38" i="73"/>
  <c r="AZ41" i="73" s="1"/>
  <c r="AZ52" i="73" s="1"/>
  <c r="AZ139" i="72"/>
  <c r="Q212" i="72" s="1"/>
  <c r="AZ41" i="72"/>
  <c r="AZ52" i="72" s="1"/>
  <c r="Z135" i="72"/>
  <c r="Z43" i="73"/>
  <c r="AG136" i="72"/>
  <c r="AG58" i="72"/>
  <c r="AG55" i="73"/>
  <c r="AG58" i="73" s="1"/>
  <c r="AV136" i="72"/>
  <c r="AV58" i="72"/>
  <c r="AV55" i="73"/>
  <c r="AV58" i="73" s="1"/>
  <c r="K113" i="73"/>
  <c r="K116" i="73" s="1"/>
  <c r="K105" i="72"/>
  <c r="K116" i="72" s="1"/>
  <c r="K149" i="72"/>
  <c r="N47" i="73"/>
  <c r="N140" i="72"/>
  <c r="AT113" i="73"/>
  <c r="AT116" i="73" s="1"/>
  <c r="AT105" i="72"/>
  <c r="AT116" i="72" s="1"/>
  <c r="AT149" i="72"/>
  <c r="I48" i="72"/>
  <c r="BL48" i="72" s="1"/>
  <c r="BM48" i="72" s="1"/>
  <c r="AF130" i="73"/>
  <c r="AF133" i="73" s="1"/>
  <c r="AF146" i="72"/>
  <c r="AF122" i="72"/>
  <c r="AI135" i="72"/>
  <c r="AI43" i="73"/>
  <c r="AF113" i="73"/>
  <c r="AF116" i="73" s="1"/>
  <c r="AF149" i="72"/>
  <c r="AF105" i="72"/>
  <c r="AF116" i="72" s="1"/>
  <c r="X118" i="73"/>
  <c r="X145" i="72"/>
  <c r="BP48" i="73"/>
  <c r="AK47" i="73"/>
  <c r="AK140" i="72"/>
  <c r="L130" i="73"/>
  <c r="L133" i="73" s="1"/>
  <c r="L146" i="72"/>
  <c r="L122" i="72"/>
  <c r="M135" i="72"/>
  <c r="M43" i="73"/>
  <c r="I56" i="72"/>
  <c r="BL56" i="72" s="1"/>
  <c r="BM56" i="72" s="1"/>
  <c r="AY131" i="73"/>
  <c r="AY133" i="73" s="1"/>
  <c r="AY146" i="72"/>
  <c r="AY122" i="72"/>
  <c r="AW130" i="73"/>
  <c r="AW133" i="73" s="1"/>
  <c r="AW122" i="72"/>
  <c r="AW146" i="72"/>
  <c r="AS47" i="73"/>
  <c r="AS140" i="72"/>
  <c r="AK113" i="73"/>
  <c r="AK116" i="73" s="1"/>
  <c r="AK149" i="72"/>
  <c r="AK105" i="72"/>
  <c r="AK116" i="72" s="1"/>
  <c r="AK41" i="72"/>
  <c r="AK52" i="72" s="1"/>
  <c r="AK38" i="73"/>
  <c r="AK41" i="73" s="1"/>
  <c r="AK139" i="72"/>
  <c r="AC55" i="73"/>
  <c r="AC58" i="73" s="1"/>
  <c r="AC136" i="72"/>
  <c r="AC58" i="72"/>
  <c r="Q38" i="73"/>
  <c r="Q41" i="73" s="1"/>
  <c r="Q139" i="72"/>
  <c r="Q41" i="72"/>
  <c r="Q52" i="72" s="1"/>
  <c r="V140" i="72"/>
  <c r="K213" i="72" s="1"/>
  <c r="V47" i="73"/>
  <c r="AA47" i="73"/>
  <c r="AA140" i="72"/>
  <c r="AP139" i="72"/>
  <c r="AP38" i="73"/>
  <c r="X38" i="73"/>
  <c r="X41" i="73" s="1"/>
  <c r="X139" i="72"/>
  <c r="X41" i="72"/>
  <c r="X52" i="72" s="1"/>
  <c r="AO135" i="72"/>
  <c r="AO43" i="73"/>
  <c r="AO122" i="73"/>
  <c r="AO150" i="72"/>
  <c r="AJ38" i="73"/>
  <c r="AE113" i="73"/>
  <c r="AR146" i="72"/>
  <c r="AR130" i="73"/>
  <c r="AR133" i="73" s="1"/>
  <c r="AR122" i="72"/>
  <c r="AR118" i="73"/>
  <c r="AR145" i="72"/>
  <c r="AR155" i="72" s="1"/>
  <c r="AR122" i="73"/>
  <c r="AR150" i="72"/>
  <c r="AQ130" i="73"/>
  <c r="AQ133" i="73" s="1"/>
  <c r="AQ146" i="72"/>
  <c r="AQ122" i="72"/>
  <c r="Q118" i="73"/>
  <c r="Q145" i="72"/>
  <c r="Q55" i="73"/>
  <c r="Q58" i="73" s="1"/>
  <c r="Q136" i="72"/>
  <c r="Q58" i="72"/>
  <c r="K146" i="72"/>
  <c r="K156" i="72" s="1"/>
  <c r="K122" i="72"/>
  <c r="K130" i="73"/>
  <c r="K133" i="73" s="1"/>
  <c r="K43" i="73"/>
  <c r="K135" i="72"/>
  <c r="Y139" i="72"/>
  <c r="Y41" i="72"/>
  <c r="Y52" i="72" s="1"/>
  <c r="Y38" i="73"/>
  <c r="Y41" i="73" s="1"/>
  <c r="I74" i="72"/>
  <c r="AZ146" i="72"/>
  <c r="AZ122" i="72"/>
  <c r="AZ131" i="73"/>
  <c r="AZ133" i="73" s="1"/>
  <c r="T113" i="73"/>
  <c r="AL122" i="73"/>
  <c r="AL150" i="72"/>
  <c r="V113" i="73"/>
  <c r="V116" i="73" s="1"/>
  <c r="V105" i="72"/>
  <c r="V116" i="72" s="1"/>
  <c r="V149" i="72"/>
  <c r="AG47" i="73"/>
  <c r="AG140" i="72"/>
  <c r="T114" i="73"/>
  <c r="T40" i="73"/>
  <c r="T115" i="73"/>
  <c r="T39" i="73"/>
  <c r="S113" i="73"/>
  <c r="AV118" i="73"/>
  <c r="AV145" i="72"/>
  <c r="AV43" i="73"/>
  <c r="AV135" i="72"/>
  <c r="AC113" i="73"/>
  <c r="AC116" i="73" s="1"/>
  <c r="AC149" i="72"/>
  <c r="AC105" i="72"/>
  <c r="AC116" i="72" s="1"/>
  <c r="AD43" i="73"/>
  <c r="AD135" i="72"/>
  <c r="U55" i="73"/>
  <c r="U58" i="73" s="1"/>
  <c r="U136" i="72"/>
  <c r="U58" i="72"/>
  <c r="AM146" i="72"/>
  <c r="AM122" i="72"/>
  <c r="AM130" i="73"/>
  <c r="AM133" i="73" s="1"/>
  <c r="AM122" i="73"/>
  <c r="AM150" i="72"/>
  <c r="N55" i="73"/>
  <c r="N58" i="73" s="1"/>
  <c r="N136" i="72"/>
  <c r="N58" i="72"/>
  <c r="AT139" i="72"/>
  <c r="AT41" i="72"/>
  <c r="AT52" i="72" s="1"/>
  <c r="AT38" i="73"/>
  <c r="AT41" i="73" s="1"/>
  <c r="O113" i="73"/>
  <c r="O116" i="73" s="1"/>
  <c r="O105" i="72"/>
  <c r="O116" i="72" s="1"/>
  <c r="O149" i="72"/>
  <c r="AF55" i="73"/>
  <c r="AF58" i="73" s="1"/>
  <c r="AF136" i="72"/>
  <c r="AF58" i="72"/>
  <c r="AI118" i="73"/>
  <c r="AI145" i="72"/>
  <c r="AF38" i="73"/>
  <c r="AF41" i="73" s="1"/>
  <c r="AF41" i="72"/>
  <c r="AF52" i="72" s="1"/>
  <c r="AF139" i="72"/>
  <c r="AT47" i="73"/>
  <c r="AT140" i="72"/>
  <c r="AT122" i="73"/>
  <c r="AT150" i="72"/>
  <c r="AD113" i="73"/>
  <c r="AD116" i="73" s="1"/>
  <c r="AD105" i="72"/>
  <c r="AD116" i="72" s="1"/>
  <c r="AD149" i="72"/>
  <c r="AD159" i="72" s="1"/>
  <c r="I10" i="72"/>
  <c r="BB131" i="73"/>
  <c r="BB133" i="73" s="1"/>
  <c r="BB122" i="72"/>
  <c r="BB146" i="72"/>
  <c r="BB38" i="73"/>
  <c r="BB41" i="73" s="1"/>
  <c r="BB52" i="73" s="1"/>
  <c r="BB139" i="72"/>
  <c r="S212" i="72" s="1"/>
  <c r="BB41" i="72"/>
  <c r="BB52" i="72" s="1"/>
  <c r="S115" i="73"/>
  <c r="S39" i="73"/>
  <c r="S114" i="73"/>
  <c r="S40" i="73"/>
  <c r="AL113" i="73"/>
  <c r="AL116" i="73" s="1"/>
  <c r="AL105" i="72"/>
  <c r="AL116" i="72" s="1"/>
  <c r="AL149" i="72"/>
  <c r="AU150" i="72"/>
  <c r="AU160" i="72" s="1"/>
  <c r="AU122" i="73"/>
  <c r="AU47" i="73"/>
  <c r="AU140" i="72"/>
  <c r="AJ40" i="73"/>
  <c r="AJ115" i="73"/>
  <c r="AJ39" i="73"/>
  <c r="AJ114" i="73"/>
  <c r="R130" i="73"/>
  <c r="R133" i="73" s="1"/>
  <c r="R122" i="72"/>
  <c r="R146" i="72"/>
  <c r="R55" i="73"/>
  <c r="R58" i="73" s="1"/>
  <c r="R136" i="72"/>
  <c r="R58" i="72"/>
  <c r="X47" i="73"/>
  <c r="X140" i="72"/>
  <c r="AA113" i="73"/>
  <c r="AA116" i="73" s="1"/>
  <c r="AA105" i="72"/>
  <c r="AA116" i="72" s="1"/>
  <c r="AA149" i="72"/>
  <c r="BA38" i="73"/>
  <c r="BA41" i="73" s="1"/>
  <c r="BA52" i="73" s="1"/>
  <c r="BA41" i="72"/>
  <c r="BA52" i="72" s="1"/>
  <c r="BA139" i="72"/>
  <c r="R212" i="72" s="1"/>
  <c r="BA56" i="73"/>
  <c r="BA58" i="73" s="1"/>
  <c r="BA136" i="72"/>
  <c r="R209" i="72" s="1"/>
  <c r="BA58" i="72"/>
  <c r="AK122" i="72"/>
  <c r="AK130" i="73"/>
  <c r="AK133" i="73" s="1"/>
  <c r="AK146" i="72"/>
  <c r="AK156" i="72" s="1"/>
  <c r="AK43" i="73"/>
  <c r="AK135" i="72"/>
  <c r="L58" i="72"/>
  <c r="L136" i="72"/>
  <c r="L55" i="73"/>
  <c r="L58" i="73" s="1"/>
  <c r="L43" i="73"/>
  <c r="L135" i="72"/>
  <c r="M47" i="73"/>
  <c r="M140" i="72"/>
  <c r="P146" i="72"/>
  <c r="P130" i="73"/>
  <c r="P133" i="73" s="1"/>
  <c r="P122" i="72"/>
  <c r="AC122" i="73"/>
  <c r="AC150" i="72"/>
  <c r="V122" i="73"/>
  <c r="V150" i="72"/>
  <c r="AB113" i="73"/>
  <c r="AB116" i="73" s="1"/>
  <c r="AB149" i="72"/>
  <c r="AB105" i="72"/>
  <c r="O55" i="73"/>
  <c r="O58" i="73" s="1"/>
  <c r="O58" i="72"/>
  <c r="O136" i="72"/>
  <c r="AQ122" i="73"/>
  <c r="AQ150" i="72"/>
  <c r="Q43" i="73"/>
  <c r="Q135" i="72"/>
  <c r="AW38" i="73"/>
  <c r="AW41" i="73" s="1"/>
  <c r="AW139" i="72"/>
  <c r="N212" i="72" s="1"/>
  <c r="AW41" i="72"/>
  <c r="AW52" i="72" s="1"/>
  <c r="Z140" i="72"/>
  <c r="Z47" i="73"/>
  <c r="AG122" i="73"/>
  <c r="AG150" i="72"/>
  <c r="AC38" i="73"/>
  <c r="AC41" i="73" s="1"/>
  <c r="AC41" i="72"/>
  <c r="AC52" i="72" s="1"/>
  <c r="AC139" i="72"/>
  <c r="AD130" i="73"/>
  <c r="AD133" i="73" s="1"/>
  <c r="AD122" i="72"/>
  <c r="AD146" i="72"/>
  <c r="AD156" i="72" s="1"/>
  <c r="U47" i="73"/>
  <c r="U140" i="72"/>
  <c r="N122" i="73"/>
  <c r="N150" i="72"/>
  <c r="O139" i="72"/>
  <c r="O38" i="73"/>
  <c r="O41" i="73" s="1"/>
  <c r="O41" i="72"/>
  <c r="O52" i="72" s="1"/>
  <c r="AT55" i="73"/>
  <c r="AT58" i="73" s="1"/>
  <c r="AT136" i="72"/>
  <c r="AT58" i="72"/>
  <c r="AV149" i="72"/>
  <c r="AV113" i="73"/>
  <c r="AV116" i="73" s="1"/>
  <c r="AV105" i="72"/>
  <c r="AV116" i="72" s="1"/>
  <c r="R118" i="73"/>
  <c r="R145" i="72"/>
  <c r="R140" i="72"/>
  <c r="R47" i="73"/>
  <c r="X122" i="73"/>
  <c r="X150" i="72"/>
  <c r="BA113" i="73"/>
  <c r="BA116" i="73" s="1"/>
  <c r="BA127" i="73" s="1"/>
  <c r="BA149" i="72"/>
  <c r="BA105" i="72"/>
  <c r="BA116" i="72" s="1"/>
  <c r="AK122" i="73"/>
  <c r="AK150" i="72"/>
  <c r="I102" i="72"/>
  <c r="AY139" i="72"/>
  <c r="P212" i="72" s="1"/>
  <c r="AY38" i="73"/>
  <c r="AY41" i="73" s="1"/>
  <c r="AY41" i="72"/>
  <c r="AY52" i="72" s="1"/>
  <c r="AW47" i="73"/>
  <c r="AW140" i="72"/>
  <c r="N213" i="72" s="1"/>
  <c r="AY113" i="73"/>
  <c r="AY116" i="73" s="1"/>
  <c r="AY127" i="73" s="1"/>
  <c r="AY105" i="72"/>
  <c r="AY116" i="72" s="1"/>
  <c r="AY149" i="72"/>
  <c r="AY56" i="73"/>
  <c r="AY58" i="73" s="1"/>
  <c r="AY136" i="72"/>
  <c r="P209" i="72" s="1"/>
  <c r="AY58" i="72"/>
  <c r="P145" i="72"/>
  <c r="P118" i="73"/>
  <c r="P122" i="73"/>
  <c r="P150" i="72"/>
  <c r="P160" i="72" s="1"/>
  <c r="P43" i="73"/>
  <c r="P135" i="72"/>
  <c r="AS130" i="73"/>
  <c r="AS133" i="73" s="1"/>
  <c r="AS122" i="72"/>
  <c r="AS146" i="72"/>
  <c r="AS156" i="72" s="1"/>
  <c r="AS122" i="73"/>
  <c r="AS150" i="72"/>
  <c r="AS160" i="72" s="1"/>
  <c r="N139" i="72"/>
  <c r="N41" i="72"/>
  <c r="N52" i="72" s="1"/>
  <c r="N38" i="73"/>
  <c r="N41" i="73" s="1"/>
  <c r="N113" i="73"/>
  <c r="N116" i="73" s="1"/>
  <c r="N105" i="72"/>
  <c r="N116" i="72" s="1"/>
  <c r="N149" i="72"/>
  <c r="AC118" i="73"/>
  <c r="AC145" i="72"/>
  <c r="AC43" i="73"/>
  <c r="AC135" i="72"/>
  <c r="AS113" i="73"/>
  <c r="AS116" i="73" s="1"/>
  <c r="AS149" i="72"/>
  <c r="AS105" i="72"/>
  <c r="AS116" i="72" s="1"/>
  <c r="AS38" i="73"/>
  <c r="AS41" i="73" s="1"/>
  <c r="AS41" i="72"/>
  <c r="AS52" i="72" s="1"/>
  <c r="AS139" i="72"/>
  <c r="V130" i="73"/>
  <c r="V133" i="73" s="1"/>
  <c r="V122" i="72"/>
  <c r="V146" i="72"/>
  <c r="AA118" i="73"/>
  <c r="AA145" i="72"/>
  <c r="AA43" i="73"/>
  <c r="AA135" i="72"/>
  <c r="AA122" i="73"/>
  <c r="AA150" i="72"/>
  <c r="AA160" i="72" s="1"/>
  <c r="AQ139" i="72"/>
  <c r="AQ38" i="73"/>
  <c r="AQ41" i="73" s="1"/>
  <c r="AQ41" i="72"/>
  <c r="AQ52" i="72" s="1"/>
  <c r="AG38" i="73"/>
  <c r="AG41" i="73" s="1"/>
  <c r="AG139" i="72"/>
  <c r="AG41" i="72"/>
  <c r="AG52" i="72" s="1"/>
  <c r="AO47" i="73"/>
  <c r="AO140" i="72"/>
  <c r="AO55" i="73"/>
  <c r="AO58" i="73" s="1"/>
  <c r="AO136" i="72"/>
  <c r="AO58" i="72"/>
  <c r="AJ113" i="73"/>
  <c r="AJ105" i="72"/>
  <c r="AJ116" i="72" s="1"/>
  <c r="O122" i="73"/>
  <c r="O150" i="72"/>
  <c r="O43" i="73"/>
  <c r="O135" i="72"/>
  <c r="AR55" i="73"/>
  <c r="AR58" i="73" s="1"/>
  <c r="AR58" i="72"/>
  <c r="AR136" i="72"/>
  <c r="AR140" i="72"/>
  <c r="AR47" i="73"/>
  <c r="AQ43" i="73"/>
  <c r="AQ135" i="72"/>
  <c r="Q130" i="73"/>
  <c r="Q133" i="73" s="1"/>
  <c r="Q122" i="72"/>
  <c r="Q146" i="72"/>
  <c r="Q47" i="73"/>
  <c r="Q140" i="72"/>
  <c r="AZ113" i="73"/>
  <c r="AZ116" i="73" s="1"/>
  <c r="AZ127" i="73" s="1"/>
  <c r="AZ149" i="72"/>
  <c r="AZ105" i="72"/>
  <c r="AZ116" i="72" s="1"/>
  <c r="AW149" i="72"/>
  <c r="AW113" i="73"/>
  <c r="AW116" i="73" s="1"/>
  <c r="AW105" i="72"/>
  <c r="AW116" i="72" s="1"/>
  <c r="Z122" i="73"/>
  <c r="Z150" i="72"/>
  <c r="T38" i="73"/>
  <c r="T139" i="72"/>
  <c r="T41" i="72"/>
  <c r="T52" i="72" s="1"/>
  <c r="AL118" i="73"/>
  <c r="AL145" i="72"/>
  <c r="AL155" i="72" s="1"/>
  <c r="AL136" i="72"/>
  <c r="AL55" i="73"/>
  <c r="AL58" i="73" s="1"/>
  <c r="AL58" i="72"/>
  <c r="AL140" i="72"/>
  <c r="AL47" i="73"/>
  <c r="Y118" i="73"/>
  <c r="Y145" i="72"/>
  <c r="Y43" i="73"/>
  <c r="Y135" i="72"/>
  <c r="Y55" i="73"/>
  <c r="Y58" i="73" s="1"/>
  <c r="Y136" i="72"/>
  <c r="Y58" i="72"/>
  <c r="V38" i="73"/>
  <c r="V41" i="73" s="1"/>
  <c r="V139" i="72"/>
  <c r="K212" i="72" s="1"/>
  <c r="V41" i="72"/>
  <c r="V52" i="72" s="1"/>
  <c r="AG43" i="73"/>
  <c r="AG135" i="72"/>
  <c r="S139" i="72"/>
  <c r="S38" i="73"/>
  <c r="S41" i="73" s="1"/>
  <c r="S41" i="72"/>
  <c r="AV130" i="73"/>
  <c r="AV133" i="73" s="1"/>
  <c r="AV146" i="72"/>
  <c r="AV122" i="72"/>
  <c r="AV150" i="72"/>
  <c r="AV122" i="73"/>
  <c r="K139" i="72"/>
  <c r="K38" i="73"/>
  <c r="K41" i="73" s="1"/>
  <c r="K52" i="73" s="1"/>
  <c r="K41" i="72"/>
  <c r="K52" i="72" s="1"/>
  <c r="AD122" i="73"/>
  <c r="AD150" i="72"/>
  <c r="AD118" i="73"/>
  <c r="AD145" i="72"/>
  <c r="AD155" i="72" s="1"/>
  <c r="U118" i="73"/>
  <c r="U145" i="72"/>
  <c r="U122" i="73"/>
  <c r="U150" i="72"/>
  <c r="AM135" i="72"/>
  <c r="AM43" i="73"/>
  <c r="N118" i="73"/>
  <c r="N145" i="72"/>
  <c r="N43" i="73"/>
  <c r="N135" i="72"/>
  <c r="N130" i="73"/>
  <c r="N133" i="73" s="1"/>
  <c r="N122" i="72"/>
  <c r="N146" i="72"/>
  <c r="N156" i="72" s="1"/>
  <c r="BS45" i="73"/>
  <c r="AF43" i="73"/>
  <c r="AF135" i="72"/>
  <c r="AI122" i="73"/>
  <c r="AI150" i="72"/>
  <c r="AI47" i="73"/>
  <c r="AI140" i="72"/>
  <c r="BQ48" i="73"/>
  <c r="I121" i="72"/>
  <c r="BB56" i="73"/>
  <c r="BB58" i="73" s="1"/>
  <c r="BB136" i="72"/>
  <c r="S209" i="72" s="1"/>
  <c r="BB58" i="72"/>
  <c r="AI139" i="72"/>
  <c r="AI38" i="73"/>
  <c r="AI41" i="73" s="1"/>
  <c r="AI52" i="73" s="1"/>
  <c r="AI41" i="72"/>
  <c r="AI52" i="72" s="1"/>
  <c r="L38" i="73"/>
  <c r="L41" i="73" s="1"/>
  <c r="L52" i="73" s="1"/>
  <c r="L139" i="72"/>
  <c r="L41" i="72"/>
  <c r="L52" i="72" s="1"/>
  <c r="L113" i="73"/>
  <c r="L116" i="73" s="1"/>
  <c r="L149" i="72"/>
  <c r="L105" i="72"/>
  <c r="L116" i="72" s="1"/>
  <c r="AR38" i="73"/>
  <c r="AR41" i="73" s="1"/>
  <c r="AR139" i="72"/>
  <c r="AR41" i="72"/>
  <c r="AR52" i="72" s="1"/>
  <c r="AR113" i="73"/>
  <c r="AR116" i="73" s="1"/>
  <c r="AR149" i="72"/>
  <c r="AR105" i="72"/>
  <c r="AR116" i="72" s="1"/>
  <c r="W39" i="73"/>
  <c r="W40" i="73"/>
  <c r="W115" i="73"/>
  <c r="W114" i="73"/>
  <c r="AE39" i="73"/>
  <c r="AE115" i="73"/>
  <c r="AE40" i="73"/>
  <c r="AE114" i="73"/>
  <c r="X43" i="73"/>
  <c r="X135" i="72"/>
  <c r="AA139" i="72"/>
  <c r="AA38" i="73"/>
  <c r="AA41" i="73" s="1"/>
  <c r="AA41" i="72"/>
  <c r="AA52" i="72" s="1"/>
  <c r="P113" i="73"/>
  <c r="P116" i="73" s="1"/>
  <c r="P149" i="72"/>
  <c r="P105" i="72"/>
  <c r="P116" i="72" s="1"/>
  <c r="I57" i="72"/>
  <c r="BL57" i="72" s="1"/>
  <c r="BM57" i="72" s="1"/>
  <c r="BA131" i="73"/>
  <c r="BA133" i="73" s="1"/>
  <c r="BA122" i="72"/>
  <c r="BA146" i="72"/>
  <c r="Z139" i="72"/>
  <c r="Z41" i="72"/>
  <c r="Z52" i="72" s="1"/>
  <c r="Z38" i="73"/>
  <c r="Z41" i="73" s="1"/>
  <c r="Z52" i="73" s="1"/>
  <c r="AH38" i="73"/>
  <c r="AH139" i="72"/>
  <c r="M212" i="72" s="1"/>
  <c r="AH41" i="72"/>
  <c r="AK118" i="73"/>
  <c r="AK145" i="72"/>
  <c r="AK155" i="72" s="1"/>
  <c r="L122" i="73"/>
  <c r="L150" i="72"/>
  <c r="M118" i="73"/>
  <c r="M145" i="72"/>
  <c r="M155" i="72" s="1"/>
  <c r="M55" i="73"/>
  <c r="M58" i="73" s="1"/>
  <c r="M136" i="72"/>
  <c r="M58" i="72"/>
  <c r="AV159" i="72" l="1"/>
  <c r="AH41" i="73"/>
  <c r="AS127" i="73"/>
  <c r="P159" i="72"/>
  <c r="AQ160" i="72"/>
  <c r="AD160" i="72"/>
  <c r="AV156" i="72"/>
  <c r="AK160" i="72"/>
  <c r="K127" i="73"/>
  <c r="Y160" i="72"/>
  <c r="R155" i="72"/>
  <c r="N155" i="72"/>
  <c r="U160" i="72"/>
  <c r="AV160" i="72"/>
  <c r="AC155" i="72"/>
  <c r="X160" i="72"/>
  <c r="AL159" i="72"/>
  <c r="AN41" i="72"/>
  <c r="AN52" i="72" s="1"/>
  <c r="AE41" i="73"/>
  <c r="Y156" i="72"/>
  <c r="Q160" i="72"/>
  <c r="AJ149" i="72"/>
  <c r="AJ159" i="72" s="1"/>
  <c r="P155" i="72"/>
  <c r="AI155" i="72"/>
  <c r="AQ156" i="72"/>
  <c r="AR156" i="72"/>
  <c r="AI156" i="72"/>
  <c r="AF155" i="72"/>
  <c r="AO155" i="72"/>
  <c r="AB41" i="72"/>
  <c r="AB52" i="72" s="1"/>
  <c r="Q156" i="72"/>
  <c r="O160" i="72"/>
  <c r="AA155" i="72"/>
  <c r="N160" i="72"/>
  <c r="AW52" i="73"/>
  <c r="R156" i="72"/>
  <c r="BL10" i="72"/>
  <c r="BM10" i="72" s="1"/>
  <c r="AD9" i="105"/>
  <c r="AT9" i="105" s="1"/>
  <c r="AT160" i="72"/>
  <c r="X155" i="72"/>
  <c r="AF156" i="72"/>
  <c r="K159" i="72"/>
  <c r="AG159" i="72"/>
  <c r="Q159" i="72"/>
  <c r="AN116" i="72"/>
  <c r="AA52" i="73"/>
  <c r="T41" i="73"/>
  <c r="AW127" i="73"/>
  <c r="AL127" i="73"/>
  <c r="X127" i="73"/>
  <c r="P127" i="73"/>
  <c r="AR127" i="73"/>
  <c r="AS52" i="73"/>
  <c r="I56" i="73"/>
  <c r="BL56" i="73" s="1"/>
  <c r="BM56" i="73" s="1"/>
  <c r="V127" i="73"/>
  <c r="AN41" i="73"/>
  <c r="AD52" i="73"/>
  <c r="AQ127" i="73"/>
  <c r="AX116" i="73"/>
  <c r="V52" i="73"/>
  <c r="AJ116" i="73"/>
  <c r="AG52" i="73"/>
  <c r="AK52" i="73"/>
  <c r="AF127" i="73"/>
  <c r="AU52" i="73"/>
  <c r="R52" i="73"/>
  <c r="AM127" i="73"/>
  <c r="K174" i="72"/>
  <c r="V160" i="72"/>
  <c r="S135" i="72"/>
  <c r="S43" i="73"/>
  <c r="T150" i="72"/>
  <c r="T122" i="73"/>
  <c r="T149" i="72"/>
  <c r="T159" i="72" s="1"/>
  <c r="P19" i="73"/>
  <c r="P88" i="73"/>
  <c r="P91" i="73"/>
  <c r="P90" i="73"/>
  <c r="P20" i="73"/>
  <c r="P92" i="73"/>
  <c r="P15" i="73"/>
  <c r="P12" i="73"/>
  <c r="P17" i="73"/>
  <c r="P83" i="73"/>
  <c r="P18" i="73"/>
  <c r="P93" i="73"/>
  <c r="P87" i="73"/>
  <c r="P9" i="73"/>
  <c r="P95" i="73"/>
  <c r="P94" i="73"/>
  <c r="P82" i="73"/>
  <c r="P7" i="73"/>
  <c r="P84" i="73"/>
  <c r="P16" i="73"/>
  <c r="P86" i="73"/>
  <c r="P8" i="73"/>
  <c r="P13" i="73"/>
  <c r="P11" i="73"/>
  <c r="BE137" i="72"/>
  <c r="BE30" i="72"/>
  <c r="W41" i="72"/>
  <c r="W52" i="72" s="1"/>
  <c r="U127" i="73"/>
  <c r="AB118" i="73"/>
  <c r="AB145" i="72"/>
  <c r="AN118" i="73"/>
  <c r="AN145" i="72"/>
  <c r="AH47" i="73"/>
  <c r="AH140" i="72"/>
  <c r="M213" i="72" s="1"/>
  <c r="J40" i="73"/>
  <c r="I40" i="73" s="1"/>
  <c r="BL40" i="73" s="1"/>
  <c r="BM40" i="73" s="1"/>
  <c r="I40" i="72"/>
  <c r="BL40" i="72" s="1"/>
  <c r="BM40" i="72" s="1"/>
  <c r="AE135" i="72"/>
  <c r="AE43" i="73"/>
  <c r="W122" i="73"/>
  <c r="W150" i="72"/>
  <c r="S52" i="72"/>
  <c r="AS159" i="72"/>
  <c r="N127" i="73"/>
  <c r="O52" i="73"/>
  <c r="AG160" i="72"/>
  <c r="AB116" i="72"/>
  <c r="AA159" i="72"/>
  <c r="AJ55" i="73"/>
  <c r="AJ58" i="73" s="1"/>
  <c r="AJ58" i="72"/>
  <c r="AJ136" i="72"/>
  <c r="AJ122" i="73"/>
  <c r="AJ150" i="72"/>
  <c r="S118" i="73"/>
  <c r="S145" i="72"/>
  <c r="S155" i="72" s="1"/>
  <c r="S130" i="73"/>
  <c r="S133" i="73" s="1"/>
  <c r="S146" i="72"/>
  <c r="S122" i="72"/>
  <c r="S122" i="73"/>
  <c r="S150" i="72"/>
  <c r="O159" i="72"/>
  <c r="AC159" i="72"/>
  <c r="AV155" i="72"/>
  <c r="S116" i="73"/>
  <c r="T118" i="73"/>
  <c r="T145" i="72"/>
  <c r="T130" i="73"/>
  <c r="T133" i="73" s="1"/>
  <c r="T146" i="72"/>
  <c r="T122" i="72"/>
  <c r="AL160" i="72"/>
  <c r="T116" i="73"/>
  <c r="I85" i="73"/>
  <c r="BL85" i="73" s="1"/>
  <c r="BM85" i="73" s="1"/>
  <c r="BL74" i="72"/>
  <c r="Q155" i="72"/>
  <c r="AE149" i="72"/>
  <c r="AJ139" i="72"/>
  <c r="X52" i="73"/>
  <c r="BA12" i="73"/>
  <c r="BA16" i="73"/>
  <c r="BA19" i="73"/>
  <c r="BA20" i="73"/>
  <c r="BA93" i="73"/>
  <c r="BA7" i="73"/>
  <c r="BA18" i="73"/>
  <c r="BA17" i="73"/>
  <c r="BA15" i="73"/>
  <c r="BA9" i="73"/>
  <c r="BA13" i="73"/>
  <c r="BA87" i="73"/>
  <c r="BA8" i="73"/>
  <c r="BA92" i="73"/>
  <c r="BA88" i="73"/>
  <c r="BA11" i="73"/>
  <c r="BA90" i="73"/>
  <c r="BA95" i="73"/>
  <c r="BA94" i="73"/>
  <c r="BA82" i="73"/>
  <c r="BA84" i="73"/>
  <c r="BA86" i="73"/>
  <c r="BA91" i="73"/>
  <c r="BA83" i="73"/>
  <c r="BF30" i="72"/>
  <c r="BB93" i="73"/>
  <c r="BB90" i="73"/>
  <c r="BB20" i="73"/>
  <c r="BB18" i="73"/>
  <c r="BB17" i="73"/>
  <c r="BB92" i="73"/>
  <c r="BB15" i="73"/>
  <c r="BB87" i="73"/>
  <c r="BB91" i="73"/>
  <c r="BB9" i="73"/>
  <c r="BB19" i="73"/>
  <c r="BB7" i="73"/>
  <c r="BB11" i="73"/>
  <c r="BB13" i="73"/>
  <c r="BB16" i="73"/>
  <c r="BB88" i="73"/>
  <c r="BB12" i="73"/>
  <c r="BB82" i="73"/>
  <c r="BB84" i="73"/>
  <c r="BB83" i="73"/>
  <c r="BB94" i="73"/>
  <c r="BB8" i="73"/>
  <c r="BB86" i="73"/>
  <c r="BB95" i="73"/>
  <c r="BK93" i="73"/>
  <c r="BK30" i="72"/>
  <c r="BK87" i="73"/>
  <c r="BK92" i="73"/>
  <c r="BK88" i="73"/>
  <c r="BK90" i="73"/>
  <c r="BK94" i="73"/>
  <c r="BK95" i="73"/>
  <c r="BK82" i="73"/>
  <c r="BK83" i="73"/>
  <c r="BK84" i="73"/>
  <c r="BK91" i="73"/>
  <c r="BK86" i="73"/>
  <c r="AT127" i="73"/>
  <c r="K155" i="72"/>
  <c r="I123" i="73"/>
  <c r="BL123" i="73" s="1"/>
  <c r="BM123" i="73" s="1"/>
  <c r="BL112" i="72"/>
  <c r="Q127" i="73"/>
  <c r="M160" i="72"/>
  <c r="W139" i="72"/>
  <c r="L212" i="72" s="1"/>
  <c r="W116" i="73"/>
  <c r="R160" i="72"/>
  <c r="U159" i="72"/>
  <c r="AN149" i="72"/>
  <c r="AN159" i="72" s="1"/>
  <c r="AB130" i="73"/>
  <c r="AB133" i="73" s="1"/>
  <c r="AB146" i="72"/>
  <c r="AB122" i="72"/>
  <c r="S173" i="72"/>
  <c r="BB159" i="72"/>
  <c r="AN47" i="73"/>
  <c r="AN140" i="72"/>
  <c r="AN43" i="73"/>
  <c r="AN135" i="72"/>
  <c r="I208" i="72" s="1"/>
  <c r="M159" i="72"/>
  <c r="Z155" i="72"/>
  <c r="Y127" i="73"/>
  <c r="AO127" i="73"/>
  <c r="AO156" i="72"/>
  <c r="AH118" i="73"/>
  <c r="AH145" i="72"/>
  <c r="AX41" i="73"/>
  <c r="J118" i="73"/>
  <c r="I107" i="72"/>
  <c r="J145" i="72"/>
  <c r="J140" i="72"/>
  <c r="J47" i="73"/>
  <c r="I47" i="72"/>
  <c r="J55" i="73"/>
  <c r="J136" i="72"/>
  <c r="I55" i="72"/>
  <c r="J58" i="72"/>
  <c r="AU127" i="73"/>
  <c r="AU155" i="72"/>
  <c r="O155" i="72"/>
  <c r="AE139" i="72"/>
  <c r="AP105" i="72"/>
  <c r="AP116" i="72" s="1"/>
  <c r="AB139" i="72"/>
  <c r="AB159" i="72" s="1"/>
  <c r="AE122" i="73"/>
  <c r="AE150" i="72"/>
  <c r="W43" i="73"/>
  <c r="W135" i="72"/>
  <c r="L208" i="72" s="1"/>
  <c r="BR41" i="73"/>
  <c r="AY52" i="73"/>
  <c r="I38" i="73"/>
  <c r="AJ43" i="73"/>
  <c r="AJ135" i="72"/>
  <c r="AT52" i="73"/>
  <c r="S105" i="72"/>
  <c r="S116" i="72" s="1"/>
  <c r="Q90" i="73"/>
  <c r="Q9" i="73"/>
  <c r="Q13" i="73"/>
  <c r="Q92" i="73"/>
  <c r="Q12" i="73"/>
  <c r="Q18" i="73"/>
  <c r="Q16" i="73"/>
  <c r="Q20" i="73"/>
  <c r="Q17" i="73"/>
  <c r="Q15" i="73"/>
  <c r="Q91" i="73"/>
  <c r="Q87" i="73"/>
  <c r="Q19" i="73"/>
  <c r="Q88" i="73"/>
  <c r="Q7" i="73"/>
  <c r="Q94" i="73"/>
  <c r="Q84" i="73"/>
  <c r="Q8" i="73"/>
  <c r="Q86" i="73"/>
  <c r="Q82" i="73"/>
  <c r="Q83" i="73"/>
  <c r="Q95" i="73"/>
  <c r="Q11" i="73"/>
  <c r="Q93" i="73"/>
  <c r="AL17" i="73"/>
  <c r="AL16" i="73"/>
  <c r="AL12" i="73"/>
  <c r="AL87" i="73"/>
  <c r="AL9" i="73"/>
  <c r="AL88" i="73"/>
  <c r="AL15" i="73"/>
  <c r="AL90" i="73"/>
  <c r="AL19" i="73"/>
  <c r="AL7" i="73"/>
  <c r="AL91" i="73"/>
  <c r="AL92" i="73"/>
  <c r="AL20" i="73"/>
  <c r="AL13" i="73"/>
  <c r="AL18" i="73"/>
  <c r="AL82" i="73"/>
  <c r="AL83" i="73"/>
  <c r="AL95" i="73"/>
  <c r="AL94" i="73"/>
  <c r="AL93" i="73"/>
  <c r="AL84" i="73"/>
  <c r="AL11" i="73"/>
  <c r="AL86" i="73"/>
  <c r="AL8" i="73"/>
  <c r="W105" i="72"/>
  <c r="W116" i="72" s="1"/>
  <c r="AI127" i="73"/>
  <c r="AB122" i="73"/>
  <c r="AB150" i="72"/>
  <c r="AX43" i="73"/>
  <c r="AX135" i="72"/>
  <c r="O208" i="72" s="1"/>
  <c r="AL156" i="72"/>
  <c r="Y159" i="72"/>
  <c r="J114" i="73"/>
  <c r="I103" i="72"/>
  <c r="J105" i="72"/>
  <c r="J116" i="72" s="1"/>
  <c r="J149" i="72"/>
  <c r="AP47" i="73"/>
  <c r="AP140" i="72"/>
  <c r="R170" i="72"/>
  <c r="BA156" i="72"/>
  <c r="AE118" i="73"/>
  <c r="AE145" i="72"/>
  <c r="W146" i="72"/>
  <c r="W122" i="72"/>
  <c r="W130" i="73"/>
  <c r="W133" i="73" s="1"/>
  <c r="L127" i="73"/>
  <c r="AE47" i="73"/>
  <c r="AE140" i="72"/>
  <c r="AE55" i="73"/>
  <c r="AE58" i="73" s="1"/>
  <c r="AE136" i="72"/>
  <c r="AE58" i="72"/>
  <c r="AR159" i="72"/>
  <c r="AR52" i="73"/>
  <c r="Y155" i="72"/>
  <c r="Z160" i="72"/>
  <c r="AW159" i="72"/>
  <c r="N173" i="72"/>
  <c r="AQ52" i="73"/>
  <c r="K170" i="72"/>
  <c r="V156" i="72"/>
  <c r="N52" i="73"/>
  <c r="BR58" i="73"/>
  <c r="I113" i="73"/>
  <c r="BL102" i="72"/>
  <c r="BA159" i="72"/>
  <c r="R173" i="72"/>
  <c r="AC160" i="72"/>
  <c r="P156" i="72"/>
  <c r="AJ47" i="73"/>
  <c r="AJ140" i="72"/>
  <c r="S170" i="72"/>
  <c r="BB156" i="72"/>
  <c r="AM160" i="72"/>
  <c r="AM156" i="72"/>
  <c r="AC127" i="73"/>
  <c r="T47" i="73"/>
  <c r="T140" i="72"/>
  <c r="K173" i="72"/>
  <c r="V159" i="72"/>
  <c r="Y52" i="73"/>
  <c r="AR160" i="72"/>
  <c r="AE105" i="72"/>
  <c r="AE116" i="72" s="1"/>
  <c r="AJ41" i="73"/>
  <c r="AP41" i="72"/>
  <c r="AP52" i="72" s="1"/>
  <c r="BG30" i="72"/>
  <c r="BG137" i="72"/>
  <c r="BI30" i="72"/>
  <c r="BI137" i="72"/>
  <c r="Z159" i="72"/>
  <c r="W41" i="73"/>
  <c r="R127" i="73"/>
  <c r="X156" i="72"/>
  <c r="AM159" i="72"/>
  <c r="U52" i="73"/>
  <c r="AI159" i="72"/>
  <c r="AN116" i="73"/>
  <c r="AT155" i="72"/>
  <c r="AN130" i="73"/>
  <c r="AN133" i="73" s="1"/>
  <c r="AN146" i="72"/>
  <c r="AN122" i="72"/>
  <c r="AM155" i="72"/>
  <c r="M127" i="73"/>
  <c r="AX118" i="73"/>
  <c r="AX127" i="73" s="1"/>
  <c r="AX145" i="72"/>
  <c r="AX122" i="73"/>
  <c r="AX150" i="72"/>
  <c r="Z156" i="72"/>
  <c r="AQ159" i="72"/>
  <c r="AH122" i="73"/>
  <c r="AH150" i="72"/>
  <c r="AX105" i="72"/>
  <c r="AX116" i="72" s="1"/>
  <c r="K169" i="72"/>
  <c r="V155" i="72"/>
  <c r="AC156" i="72"/>
  <c r="AS155" i="72"/>
  <c r="N174" i="72"/>
  <c r="AW160" i="72"/>
  <c r="AW155" i="72"/>
  <c r="N169" i="72"/>
  <c r="J135" i="72"/>
  <c r="J43" i="73"/>
  <c r="I43" i="72"/>
  <c r="J115" i="73"/>
  <c r="I104" i="72"/>
  <c r="J39" i="73"/>
  <c r="I39" i="72"/>
  <c r="J41" i="72"/>
  <c r="J52" i="72" s="1"/>
  <c r="J139" i="72"/>
  <c r="I212" i="72" s="1"/>
  <c r="AP43" i="73"/>
  <c r="AP135" i="72"/>
  <c r="AP55" i="73"/>
  <c r="AP58" i="73" s="1"/>
  <c r="AP136" i="72"/>
  <c r="AP58" i="72"/>
  <c r="I131" i="73"/>
  <c r="BL131" i="73" s="1"/>
  <c r="BM131" i="73" s="1"/>
  <c r="BL120" i="72"/>
  <c r="AG155" i="72"/>
  <c r="AQ155" i="72"/>
  <c r="AO52" i="73"/>
  <c r="AP149" i="72"/>
  <c r="AP159" i="72" s="1"/>
  <c r="AB41" i="73"/>
  <c r="BM38" i="72"/>
  <c r="L159" i="72"/>
  <c r="AZ159" i="72"/>
  <c r="Q173" i="72"/>
  <c r="AC52" i="73"/>
  <c r="AJ130" i="73"/>
  <c r="AJ133" i="73" s="1"/>
  <c r="AJ146" i="72"/>
  <c r="AJ156" i="72" s="1"/>
  <c r="AJ122" i="72"/>
  <c r="AD127" i="73"/>
  <c r="AZ156" i="72"/>
  <c r="Q170" i="72"/>
  <c r="AJ41" i="72"/>
  <c r="AJ52" i="72" s="1"/>
  <c r="AK127" i="73"/>
  <c r="U7" i="73"/>
  <c r="U19" i="73"/>
  <c r="U18" i="73"/>
  <c r="U13" i="73"/>
  <c r="U88" i="73"/>
  <c r="U17" i="73"/>
  <c r="U15" i="73"/>
  <c r="U16" i="73"/>
  <c r="U20" i="73"/>
  <c r="U92" i="73"/>
  <c r="U12" i="73"/>
  <c r="U87" i="73"/>
  <c r="U90" i="73"/>
  <c r="U9" i="73"/>
  <c r="U91" i="73"/>
  <c r="U82" i="73"/>
  <c r="U94" i="73"/>
  <c r="U93" i="73"/>
  <c r="U11" i="73"/>
  <c r="U83" i="73"/>
  <c r="U95" i="73"/>
  <c r="U86" i="73"/>
  <c r="U8" i="73"/>
  <c r="U84" i="73"/>
  <c r="O17" i="73"/>
  <c r="O13" i="73"/>
  <c r="O7" i="73"/>
  <c r="O16" i="73"/>
  <c r="O88" i="73"/>
  <c r="O18" i="73"/>
  <c r="O90" i="73"/>
  <c r="O19" i="73"/>
  <c r="O20" i="73"/>
  <c r="O92" i="73"/>
  <c r="O12" i="73"/>
  <c r="O9" i="73"/>
  <c r="O15" i="73"/>
  <c r="O87" i="73"/>
  <c r="O91" i="73"/>
  <c r="O83" i="73"/>
  <c r="O95" i="73"/>
  <c r="O94" i="73"/>
  <c r="O8" i="73"/>
  <c r="O86" i="73"/>
  <c r="O93" i="73"/>
  <c r="O82" i="73"/>
  <c r="O11" i="73"/>
  <c r="O84" i="73"/>
  <c r="T88" i="73"/>
  <c r="T91" i="73"/>
  <c r="T19" i="73"/>
  <c r="T90" i="73"/>
  <c r="T20" i="73"/>
  <c r="T92" i="73"/>
  <c r="T15" i="73"/>
  <c r="T9" i="73"/>
  <c r="T11" i="73"/>
  <c r="T87" i="73"/>
  <c r="T12" i="73"/>
  <c r="T17" i="73"/>
  <c r="T95" i="73"/>
  <c r="T94" i="73"/>
  <c r="T18" i="73"/>
  <c r="T8" i="73"/>
  <c r="T84" i="73"/>
  <c r="T16" i="73"/>
  <c r="T86" i="73"/>
  <c r="T82" i="73"/>
  <c r="T13" i="73"/>
  <c r="T83" i="73"/>
  <c r="T7" i="73"/>
  <c r="T93" i="73"/>
  <c r="AZ13" i="73"/>
  <c r="AZ7" i="73"/>
  <c r="AZ9" i="73"/>
  <c r="AZ18" i="73"/>
  <c r="AZ19" i="73"/>
  <c r="AZ20" i="73"/>
  <c r="AZ15" i="73"/>
  <c r="AZ16" i="73"/>
  <c r="AZ93" i="73"/>
  <c r="AZ12" i="73"/>
  <c r="AZ17" i="73"/>
  <c r="AZ8" i="73"/>
  <c r="AZ87" i="73"/>
  <c r="AZ92" i="73"/>
  <c r="AZ88" i="73"/>
  <c r="AZ90" i="73"/>
  <c r="AZ11" i="73"/>
  <c r="AZ84" i="73"/>
  <c r="AZ94" i="73"/>
  <c r="AZ95" i="73"/>
  <c r="AZ91" i="73"/>
  <c r="AZ82" i="73"/>
  <c r="AZ86" i="73"/>
  <c r="AZ83" i="73"/>
  <c r="L155" i="72"/>
  <c r="AH159" i="72"/>
  <c r="M173" i="72"/>
  <c r="AB55" i="73"/>
  <c r="AB58" i="73" s="1"/>
  <c r="AB58" i="72"/>
  <c r="AB136" i="72"/>
  <c r="AH135" i="72"/>
  <c r="M208" i="72" s="1"/>
  <c r="AH43" i="73"/>
  <c r="AX139" i="72"/>
  <c r="O212" i="72" s="1"/>
  <c r="BS48" i="73"/>
  <c r="AP130" i="73"/>
  <c r="AP133" i="73" s="1"/>
  <c r="AP122" i="72"/>
  <c r="AP146" i="72"/>
  <c r="AP156" i="72" s="1"/>
  <c r="L160" i="72"/>
  <c r="AH52" i="72"/>
  <c r="AE130" i="73"/>
  <c r="AE133" i="73" s="1"/>
  <c r="AE146" i="72"/>
  <c r="AE156" i="72" s="1"/>
  <c r="AE122" i="72"/>
  <c r="W118" i="73"/>
  <c r="W145" i="72"/>
  <c r="W55" i="73"/>
  <c r="W58" i="73" s="1"/>
  <c r="W136" i="72"/>
  <c r="L209" i="72" s="1"/>
  <c r="W58" i="72"/>
  <c r="W47" i="73"/>
  <c r="W140" i="72"/>
  <c r="L213" i="72" s="1"/>
  <c r="I132" i="73"/>
  <c r="BL132" i="73" s="1"/>
  <c r="BM132" i="73" s="1"/>
  <c r="BL121" i="72"/>
  <c r="AI160" i="72"/>
  <c r="U155" i="72"/>
  <c r="N159" i="72"/>
  <c r="AY159" i="72"/>
  <c r="P173" i="72"/>
  <c r="AV127" i="73"/>
  <c r="AA127" i="73"/>
  <c r="AJ118" i="73"/>
  <c r="AJ127" i="73" s="1"/>
  <c r="AJ145" i="72"/>
  <c r="AJ155" i="72" s="1"/>
  <c r="S55" i="73"/>
  <c r="S58" i="73" s="1"/>
  <c r="S136" i="72"/>
  <c r="S58" i="72"/>
  <c r="S47" i="73"/>
  <c r="S140" i="72"/>
  <c r="AF52" i="73"/>
  <c r="O127" i="73"/>
  <c r="S149" i="72"/>
  <c r="S159" i="72" s="1"/>
  <c r="T55" i="73"/>
  <c r="T58" i="73" s="1"/>
  <c r="T58" i="72"/>
  <c r="T136" i="72"/>
  <c r="T43" i="73"/>
  <c r="T52" i="73" s="1"/>
  <c r="T135" i="72"/>
  <c r="J208" i="72" s="1"/>
  <c r="T105" i="72"/>
  <c r="T116" i="72" s="1"/>
  <c r="AE116" i="73"/>
  <c r="AO160" i="72"/>
  <c r="AP41" i="73"/>
  <c r="Q52" i="73"/>
  <c r="AK159" i="72"/>
  <c r="N170" i="72"/>
  <c r="AW156" i="72"/>
  <c r="AY156" i="72"/>
  <c r="P170" i="72"/>
  <c r="AY17" i="73"/>
  <c r="AY13" i="73"/>
  <c r="AY7" i="73"/>
  <c r="AY15" i="73"/>
  <c r="AY12" i="73"/>
  <c r="AY19" i="73"/>
  <c r="AY9" i="73"/>
  <c r="AY18" i="73"/>
  <c r="AY16" i="73"/>
  <c r="AY11" i="73"/>
  <c r="AY20" i="73"/>
  <c r="AY93" i="73"/>
  <c r="AY88" i="73"/>
  <c r="AY8" i="73"/>
  <c r="AY90" i="73"/>
  <c r="AY87" i="73"/>
  <c r="AY92" i="73"/>
  <c r="AY91" i="73"/>
  <c r="AY94" i="73"/>
  <c r="AY95" i="73"/>
  <c r="AY82" i="73"/>
  <c r="AY84" i="73"/>
  <c r="AY83" i="73"/>
  <c r="AY86" i="73"/>
  <c r="BJ30" i="72"/>
  <c r="BH147" i="72"/>
  <c r="BH30" i="72"/>
  <c r="L156" i="72"/>
  <c r="AF159" i="72"/>
  <c r="AT159" i="72"/>
  <c r="AG127" i="73"/>
  <c r="M156" i="72"/>
  <c r="Z127" i="73"/>
  <c r="P52" i="73"/>
  <c r="W149" i="72"/>
  <c r="R159" i="72"/>
  <c r="AU156" i="72"/>
  <c r="AL52" i="73"/>
  <c r="AB47" i="73"/>
  <c r="AB140" i="72"/>
  <c r="AB43" i="73"/>
  <c r="AB135" i="72"/>
  <c r="AV52" i="73"/>
  <c r="AN55" i="73"/>
  <c r="AN58" i="73" s="1"/>
  <c r="AN136" i="72"/>
  <c r="AN58" i="72"/>
  <c r="AN122" i="73"/>
  <c r="AN150" i="72"/>
  <c r="AN160" i="72" s="1"/>
  <c r="M52" i="73"/>
  <c r="AG156" i="72"/>
  <c r="AX130" i="73"/>
  <c r="AX133" i="73" s="1"/>
  <c r="AX122" i="72"/>
  <c r="AX146" i="72"/>
  <c r="AX55" i="73"/>
  <c r="AX58" i="73" s="1"/>
  <c r="AX136" i="72"/>
  <c r="O209" i="72" s="1"/>
  <c r="AX58" i="72"/>
  <c r="AX140" i="72"/>
  <c r="O213" i="72" s="1"/>
  <c r="AX47" i="73"/>
  <c r="O156" i="72"/>
  <c r="AH130" i="73"/>
  <c r="AH133" i="73" s="1"/>
  <c r="AH122" i="72"/>
  <c r="AH146" i="72"/>
  <c r="AH55" i="73"/>
  <c r="AH58" i="73" s="1"/>
  <c r="AH136" i="72"/>
  <c r="M209" i="72" s="1"/>
  <c r="AH58" i="72"/>
  <c r="AX41" i="72"/>
  <c r="AX52" i="72" s="1"/>
  <c r="AX149" i="72"/>
  <c r="J130" i="73"/>
  <c r="J133" i="73" s="1"/>
  <c r="J122" i="72"/>
  <c r="I119" i="72"/>
  <c r="J146" i="72"/>
  <c r="J122" i="73"/>
  <c r="J150" i="72"/>
  <c r="I111" i="72"/>
  <c r="AU159" i="72"/>
  <c r="AP118" i="73"/>
  <c r="AP145" i="72"/>
  <c r="AP155" i="72" s="1"/>
  <c r="AP122" i="73"/>
  <c r="AP150" i="72"/>
  <c r="AP160" i="72" s="1"/>
  <c r="AM52" i="73"/>
  <c r="AT156" i="72"/>
  <c r="AF160" i="72"/>
  <c r="U156" i="72"/>
  <c r="AE41" i="72"/>
  <c r="AE52" i="72" s="1"/>
  <c r="X159" i="72"/>
  <c r="AP116" i="73"/>
  <c r="AB127" i="73" l="1"/>
  <c r="AE52" i="73"/>
  <c r="BK20" i="73"/>
  <c r="AI26" i="105"/>
  <c r="J213" i="72"/>
  <c r="I173" i="72"/>
  <c r="AN52" i="73"/>
  <c r="AB156" i="72"/>
  <c r="BK9" i="73"/>
  <c r="AI8" i="105"/>
  <c r="BK7" i="73"/>
  <c r="AI6" i="105"/>
  <c r="BE147" i="72"/>
  <c r="BK13" i="73"/>
  <c r="AI13" i="105"/>
  <c r="BK8" i="73"/>
  <c r="AI7" i="105"/>
  <c r="BK12" i="73"/>
  <c r="AI12" i="105"/>
  <c r="BK16" i="73"/>
  <c r="AI17" i="105"/>
  <c r="BK17" i="73"/>
  <c r="AI18" i="105"/>
  <c r="S160" i="72"/>
  <c r="V208" i="72"/>
  <c r="I209" i="72"/>
  <c r="J209" i="72"/>
  <c r="BQ43" i="73"/>
  <c r="J212" i="72"/>
  <c r="V212" i="72" s="1"/>
  <c r="I213" i="72"/>
  <c r="V213" i="72" s="1"/>
  <c r="BK11" i="73"/>
  <c r="AI10" i="105"/>
  <c r="BK19" i="73"/>
  <c r="AI20" i="105"/>
  <c r="BK15" i="73"/>
  <c r="AI15" i="105"/>
  <c r="BK18" i="73"/>
  <c r="AI19" i="105"/>
  <c r="BC79" i="72"/>
  <c r="BC90" i="73" s="1"/>
  <c r="BQ41" i="73"/>
  <c r="BQ47" i="73"/>
  <c r="AH127" i="73"/>
  <c r="AE127" i="73"/>
  <c r="S52" i="73"/>
  <c r="BP43" i="73"/>
  <c r="T127" i="73"/>
  <c r="V209" i="72"/>
  <c r="I130" i="73"/>
  <c r="I122" i="72"/>
  <c r="I146" i="72"/>
  <c r="BL119" i="72"/>
  <c r="AH156" i="72"/>
  <c r="M170" i="72"/>
  <c r="AY81" i="73"/>
  <c r="AY147" i="72"/>
  <c r="AO91" i="73"/>
  <c r="AO19" i="73"/>
  <c r="AO88" i="73"/>
  <c r="AO90" i="73"/>
  <c r="AO9" i="73"/>
  <c r="AO11" i="73"/>
  <c r="AO16" i="73"/>
  <c r="AO92" i="73"/>
  <c r="AO20" i="73"/>
  <c r="AO86" i="73"/>
  <c r="AO83" i="73"/>
  <c r="AO17" i="73"/>
  <c r="AO87" i="73"/>
  <c r="AO8" i="73"/>
  <c r="AO7" i="73"/>
  <c r="AO13" i="73"/>
  <c r="AO84" i="73"/>
  <c r="AO12" i="73"/>
  <c r="AO82" i="73"/>
  <c r="AO95" i="73"/>
  <c r="AO94" i="73"/>
  <c r="AO18" i="73"/>
  <c r="AO93" i="73"/>
  <c r="AO15" i="73"/>
  <c r="P245" i="72"/>
  <c r="P193" i="72"/>
  <c r="O6" i="73"/>
  <c r="O137" i="72"/>
  <c r="Q245" i="72"/>
  <c r="Q193" i="72"/>
  <c r="BI144" i="72"/>
  <c r="BI85" i="72"/>
  <c r="BL113" i="73"/>
  <c r="AL81" i="73"/>
  <c r="AL147" i="72"/>
  <c r="Q103" i="73"/>
  <c r="Q105" i="73" s="1"/>
  <c r="Q94" i="72"/>
  <c r="BK147" i="72"/>
  <c r="BK81" i="73"/>
  <c r="BA103" i="73"/>
  <c r="BA105" i="73" s="1"/>
  <c r="BA94" i="72"/>
  <c r="AD11" i="73"/>
  <c r="AD90" i="73"/>
  <c r="AD8" i="73"/>
  <c r="AD86" i="73"/>
  <c r="AD18" i="73"/>
  <c r="AD20" i="73"/>
  <c r="AD92" i="73"/>
  <c r="AD91" i="73"/>
  <c r="AD87" i="73"/>
  <c r="AD83" i="73"/>
  <c r="AD95" i="73"/>
  <c r="AD94" i="73"/>
  <c r="AD93" i="73"/>
  <c r="AD88" i="73"/>
  <c r="AD19" i="73"/>
  <c r="AD82" i="73"/>
  <c r="AD17" i="73"/>
  <c r="AD15" i="73"/>
  <c r="AD13" i="73"/>
  <c r="AD9" i="73"/>
  <c r="AD84" i="73"/>
  <c r="AD12" i="73"/>
  <c r="AD16" i="73"/>
  <c r="AD7" i="73"/>
  <c r="BC15" i="72"/>
  <c r="BV15" i="72" s="1"/>
  <c r="AN15" i="105" s="1"/>
  <c r="BE134" i="72"/>
  <c r="BE141" i="72" s="1"/>
  <c r="BE21" i="72"/>
  <c r="J170" i="72"/>
  <c r="BH103" i="73"/>
  <c r="BH105" i="73" s="1"/>
  <c r="BH94" i="72"/>
  <c r="BH134" i="72"/>
  <c r="BH21" i="72"/>
  <c r="AB13" i="73"/>
  <c r="AB88" i="73"/>
  <c r="AB91" i="73"/>
  <c r="AB90" i="73"/>
  <c r="AB9" i="73"/>
  <c r="AB11" i="73"/>
  <c r="AB20" i="73"/>
  <c r="AB92" i="73"/>
  <c r="AB15" i="73"/>
  <c r="AB86" i="73"/>
  <c r="AB17" i="73"/>
  <c r="AB16" i="73"/>
  <c r="AB82" i="73"/>
  <c r="AB83" i="73"/>
  <c r="AB93" i="73"/>
  <c r="AB95" i="73"/>
  <c r="AB94" i="73"/>
  <c r="AB87" i="73"/>
  <c r="AB19" i="73"/>
  <c r="AB8" i="73"/>
  <c r="AB18" i="73"/>
  <c r="AB12" i="73"/>
  <c r="AB84" i="73"/>
  <c r="AB7" i="73"/>
  <c r="AE17" i="73"/>
  <c r="AE13" i="73"/>
  <c r="AE7" i="73"/>
  <c r="AE9" i="73"/>
  <c r="AE12" i="73"/>
  <c r="AE88" i="73"/>
  <c r="AE16" i="73"/>
  <c r="AE19" i="73"/>
  <c r="AE92" i="73"/>
  <c r="AE20" i="73"/>
  <c r="AE15" i="73"/>
  <c r="AE90" i="73"/>
  <c r="AE87" i="73"/>
  <c r="AE91" i="73"/>
  <c r="AE18" i="73"/>
  <c r="AE95" i="73"/>
  <c r="AE94" i="73"/>
  <c r="AE11" i="73"/>
  <c r="AE86" i="73"/>
  <c r="AE84" i="73"/>
  <c r="AE8" i="73"/>
  <c r="AE82" i="73"/>
  <c r="AE93" i="73"/>
  <c r="AE83" i="73"/>
  <c r="P248" i="72"/>
  <c r="P185" i="72"/>
  <c r="J169" i="72"/>
  <c r="AZ6" i="73"/>
  <c r="AZ137" i="72"/>
  <c r="Q210" i="72" s="1"/>
  <c r="AZ28" i="73"/>
  <c r="AZ30" i="73" s="1"/>
  <c r="AZ30" i="72"/>
  <c r="T81" i="73"/>
  <c r="T147" i="72"/>
  <c r="O147" i="72"/>
  <c r="O81" i="73"/>
  <c r="U137" i="72"/>
  <c r="U6" i="73"/>
  <c r="AC88" i="73"/>
  <c r="AC15" i="73"/>
  <c r="AC12" i="73"/>
  <c r="AC19" i="73"/>
  <c r="AC91" i="73"/>
  <c r="AC13" i="73"/>
  <c r="AC90" i="73"/>
  <c r="AC9" i="73"/>
  <c r="AC17" i="73"/>
  <c r="AC92" i="73"/>
  <c r="AC7" i="73"/>
  <c r="AC16" i="73"/>
  <c r="AC20" i="73"/>
  <c r="AC18" i="73"/>
  <c r="AC87" i="73"/>
  <c r="AC8" i="73"/>
  <c r="AC11" i="73"/>
  <c r="AC84" i="73"/>
  <c r="AC86" i="73"/>
  <c r="AC82" i="73"/>
  <c r="AC95" i="73"/>
  <c r="AC83" i="73"/>
  <c r="AC93" i="73"/>
  <c r="AC94" i="73"/>
  <c r="I115" i="73"/>
  <c r="BL115" i="73" s="1"/>
  <c r="BM115" i="73" s="1"/>
  <c r="BL104" i="72"/>
  <c r="N186" i="72"/>
  <c r="N261" i="72" s="1"/>
  <c r="N249" i="72"/>
  <c r="K244" i="72"/>
  <c r="AN156" i="72"/>
  <c r="BI21" i="72"/>
  <c r="BI134" i="72"/>
  <c r="BI141" i="72" s="1"/>
  <c r="X88" i="73"/>
  <c r="X91" i="73"/>
  <c r="X7" i="73"/>
  <c r="X9" i="73"/>
  <c r="X11" i="73"/>
  <c r="X84" i="73"/>
  <c r="X20" i="73"/>
  <c r="X90" i="73"/>
  <c r="X86" i="73"/>
  <c r="X19" i="73"/>
  <c r="X17" i="73"/>
  <c r="X15" i="73"/>
  <c r="X82" i="73"/>
  <c r="X83" i="73"/>
  <c r="X93" i="73"/>
  <c r="X92" i="73"/>
  <c r="X95" i="73"/>
  <c r="X18" i="73"/>
  <c r="X13" i="73"/>
  <c r="X8" i="73"/>
  <c r="X87" i="73"/>
  <c r="X12" i="73"/>
  <c r="X16" i="73"/>
  <c r="X94" i="73"/>
  <c r="AM15" i="73"/>
  <c r="AM12" i="73"/>
  <c r="AM9" i="73"/>
  <c r="AM13" i="73"/>
  <c r="AM18" i="73"/>
  <c r="AM87" i="73"/>
  <c r="AM20" i="73"/>
  <c r="AM91" i="73"/>
  <c r="AM90" i="73"/>
  <c r="AM88" i="73"/>
  <c r="AM19" i="73"/>
  <c r="AM7" i="73"/>
  <c r="AM17" i="73"/>
  <c r="AM92" i="73"/>
  <c r="AM16" i="73"/>
  <c r="AM83" i="73"/>
  <c r="AM84" i="73"/>
  <c r="AM93" i="73"/>
  <c r="AM82" i="73"/>
  <c r="AM8" i="73"/>
  <c r="AM95" i="73"/>
  <c r="AM94" i="73"/>
  <c r="AM86" i="73"/>
  <c r="AM11" i="73"/>
  <c r="I174" i="72"/>
  <c r="N185" i="72"/>
  <c r="N260" i="72" s="1"/>
  <c r="N248" i="72"/>
  <c r="W156" i="72"/>
  <c r="L170" i="72"/>
  <c r="R245" i="72"/>
  <c r="R193" i="72"/>
  <c r="I114" i="73"/>
  <c r="BL114" i="73" s="1"/>
  <c r="BM114" i="73" s="1"/>
  <c r="BL103" i="72"/>
  <c r="AB160" i="72"/>
  <c r="AL80" i="73"/>
  <c r="AL96" i="73" s="1"/>
  <c r="AL144" i="72"/>
  <c r="AL85" i="72"/>
  <c r="AL97" i="72" s="1"/>
  <c r="AL126" i="72" s="1"/>
  <c r="AL103" i="73"/>
  <c r="AL105" i="73" s="1"/>
  <c r="AL94" i="72"/>
  <c r="Q80" i="73"/>
  <c r="Q144" i="72"/>
  <c r="Q85" i="72"/>
  <c r="Q97" i="72" s="1"/>
  <c r="Q126" i="72" s="1"/>
  <c r="Q30" i="72"/>
  <c r="Q28" i="73"/>
  <c r="Q30" i="73" s="1"/>
  <c r="Q134" i="72"/>
  <c r="Q21" i="72"/>
  <c r="Q33" i="72" s="1"/>
  <c r="Q62" i="72" s="1"/>
  <c r="Q129" i="72" s="1"/>
  <c r="Q5" i="73"/>
  <c r="I55" i="73"/>
  <c r="J58" i="73"/>
  <c r="J155" i="72"/>
  <c r="BK80" i="73"/>
  <c r="BK85" i="72"/>
  <c r="BK144" i="72"/>
  <c r="BK103" i="73"/>
  <c r="BK105" i="73" s="1"/>
  <c r="BK94" i="72"/>
  <c r="BB103" i="73"/>
  <c r="BB105" i="73" s="1"/>
  <c r="BB94" i="72"/>
  <c r="BB134" i="72"/>
  <c r="BB5" i="73"/>
  <c r="BB21" i="72"/>
  <c r="BF103" i="73"/>
  <c r="BF105" i="73" s="1"/>
  <c r="BF94" i="72"/>
  <c r="BF147" i="72"/>
  <c r="AW90" i="73"/>
  <c r="AW9" i="73"/>
  <c r="AW87" i="73"/>
  <c r="AW88" i="73"/>
  <c r="AW17" i="73"/>
  <c r="AW7" i="73"/>
  <c r="AW16" i="73"/>
  <c r="AW20" i="73"/>
  <c r="AW91" i="73"/>
  <c r="AW13" i="73"/>
  <c r="AW19" i="73"/>
  <c r="AW12" i="73"/>
  <c r="AW18" i="73"/>
  <c r="AW92" i="73"/>
  <c r="AW15" i="73"/>
  <c r="AW11" i="73"/>
  <c r="AW84" i="73"/>
  <c r="AW82" i="73"/>
  <c r="AW94" i="73"/>
  <c r="AW8" i="73"/>
  <c r="AW83" i="73"/>
  <c r="AW95" i="73"/>
  <c r="AW93" i="73"/>
  <c r="AW86" i="73"/>
  <c r="AH18" i="73"/>
  <c r="AH15" i="73"/>
  <c r="AH12" i="73"/>
  <c r="AH90" i="73"/>
  <c r="AH87" i="73"/>
  <c r="AH13" i="73"/>
  <c r="AH9" i="73"/>
  <c r="AH88" i="73"/>
  <c r="AH92" i="73"/>
  <c r="AH17" i="73"/>
  <c r="AH91" i="73"/>
  <c r="AH16" i="73"/>
  <c r="AH19" i="73"/>
  <c r="AH7" i="73"/>
  <c r="AH20" i="73"/>
  <c r="AH11" i="73"/>
  <c r="AH95" i="73"/>
  <c r="AH82" i="73"/>
  <c r="AH83" i="73"/>
  <c r="AH94" i="73"/>
  <c r="AH93" i="73"/>
  <c r="AH86" i="73"/>
  <c r="AH8" i="73"/>
  <c r="AH84" i="73"/>
  <c r="Z17" i="73"/>
  <c r="Z87" i="73"/>
  <c r="Z18" i="73"/>
  <c r="Z88" i="73"/>
  <c r="Z92" i="73"/>
  <c r="Z90" i="73"/>
  <c r="Z9" i="73"/>
  <c r="Z19" i="73"/>
  <c r="Z7" i="73"/>
  <c r="Z15" i="73"/>
  <c r="Z91" i="73"/>
  <c r="Z16" i="73"/>
  <c r="Z13" i="73"/>
  <c r="Z20" i="73"/>
  <c r="Z12" i="73"/>
  <c r="Z11" i="73"/>
  <c r="Z86" i="73"/>
  <c r="Z84" i="73"/>
  <c r="Z8" i="73"/>
  <c r="Z83" i="73"/>
  <c r="Z95" i="73"/>
  <c r="Z82" i="73"/>
  <c r="Z94" i="73"/>
  <c r="Z93" i="73"/>
  <c r="T155" i="72"/>
  <c r="W160" i="72"/>
  <c r="L174" i="72"/>
  <c r="BC80" i="72"/>
  <c r="BC72" i="72"/>
  <c r="BC81" i="72"/>
  <c r="BD103" i="73"/>
  <c r="BD105" i="73" s="1"/>
  <c r="BD94" i="72"/>
  <c r="BC92" i="72"/>
  <c r="BC82" i="72"/>
  <c r="BC28" i="72"/>
  <c r="BD30" i="72"/>
  <c r="BC20" i="72"/>
  <c r="BV20" i="72" s="1"/>
  <c r="AN26" i="105" s="1"/>
  <c r="BC7" i="72"/>
  <c r="BV7" i="72" s="1"/>
  <c r="AN6" i="105" s="1"/>
  <c r="BE103" i="73"/>
  <c r="BE105" i="73" s="1"/>
  <c r="BE94" i="72"/>
  <c r="P80" i="73"/>
  <c r="P144" i="72"/>
  <c r="P85" i="72"/>
  <c r="P97" i="72" s="1"/>
  <c r="P126" i="72" s="1"/>
  <c r="P130" i="72" s="1"/>
  <c r="P28" i="73"/>
  <c r="P30" i="73" s="1"/>
  <c r="P30" i="72"/>
  <c r="T160" i="72"/>
  <c r="I122" i="73"/>
  <c r="BL122" i="73" s="1"/>
  <c r="BM122" i="73" s="1"/>
  <c r="I150" i="72"/>
  <c r="BL111" i="72"/>
  <c r="BL150" i="72" s="1"/>
  <c r="O170" i="72"/>
  <c r="AX156" i="72"/>
  <c r="AY80" i="73"/>
  <c r="AY96" i="73" s="1"/>
  <c r="AY144" i="72"/>
  <c r="AY85" i="72"/>
  <c r="I39" i="73"/>
  <c r="BL39" i="73" s="1"/>
  <c r="BM39" i="73" s="1"/>
  <c r="J41" i="73"/>
  <c r="O174" i="72"/>
  <c r="AX160" i="72"/>
  <c r="AK13" i="73"/>
  <c r="AK88" i="73"/>
  <c r="AK17" i="73"/>
  <c r="AK18" i="73"/>
  <c r="AK7" i="73"/>
  <c r="AK19" i="73"/>
  <c r="AK16" i="73"/>
  <c r="AK87" i="73"/>
  <c r="AK20" i="73"/>
  <c r="AK12" i="73"/>
  <c r="AK91" i="73"/>
  <c r="AK92" i="73"/>
  <c r="AK90" i="73"/>
  <c r="AK9" i="73"/>
  <c r="AK15" i="73"/>
  <c r="AK8" i="73"/>
  <c r="AK82" i="73"/>
  <c r="AK95" i="73"/>
  <c r="AK86" i="73"/>
  <c r="AK83" i="73"/>
  <c r="AK11" i="73"/>
  <c r="AK94" i="73"/>
  <c r="AK93" i="73"/>
  <c r="AK84" i="73"/>
  <c r="Q137" i="72"/>
  <c r="Q6" i="73"/>
  <c r="BB81" i="73"/>
  <c r="BB147" i="72"/>
  <c r="BA147" i="72"/>
  <c r="BA81" i="73"/>
  <c r="BD144" i="72"/>
  <c r="BC69" i="72"/>
  <c r="BD85" i="72"/>
  <c r="BC18" i="72"/>
  <c r="BV18" i="72" s="1"/>
  <c r="AN19" i="105" s="1"/>
  <c r="BC9" i="72"/>
  <c r="BV9" i="72" s="1"/>
  <c r="AN8" i="105" s="1"/>
  <c r="J160" i="72"/>
  <c r="BJ144" i="72"/>
  <c r="BJ85" i="72"/>
  <c r="BJ137" i="72"/>
  <c r="BJ103" i="73"/>
  <c r="BJ105" i="73" s="1"/>
  <c r="BJ94" i="72"/>
  <c r="BJ134" i="72"/>
  <c r="BJ21" i="72"/>
  <c r="AY5" i="73"/>
  <c r="AY134" i="72"/>
  <c r="AY21" i="72"/>
  <c r="L7" i="73"/>
  <c r="L88" i="73"/>
  <c r="L91" i="73"/>
  <c r="L16" i="73"/>
  <c r="L90" i="73"/>
  <c r="L9" i="73"/>
  <c r="L13" i="73"/>
  <c r="L20" i="73"/>
  <c r="L92" i="73"/>
  <c r="L15" i="73"/>
  <c r="L19" i="73"/>
  <c r="L86" i="73"/>
  <c r="L18" i="73"/>
  <c r="L12" i="73"/>
  <c r="L8" i="73"/>
  <c r="L83" i="73"/>
  <c r="L17" i="73"/>
  <c r="L87" i="73"/>
  <c r="L93" i="73"/>
  <c r="L95" i="73"/>
  <c r="L94" i="73"/>
  <c r="L82" i="73"/>
  <c r="L11" i="73"/>
  <c r="L84" i="73"/>
  <c r="AJ88" i="73"/>
  <c r="AJ91" i="73"/>
  <c r="AJ90" i="73"/>
  <c r="AJ20" i="73"/>
  <c r="AJ92" i="73"/>
  <c r="AJ15" i="73"/>
  <c r="AJ16" i="73"/>
  <c r="AJ19" i="73"/>
  <c r="AJ9" i="73"/>
  <c r="AJ87" i="73"/>
  <c r="AJ12" i="73"/>
  <c r="AJ17" i="73"/>
  <c r="AJ82" i="73"/>
  <c r="AJ95" i="73"/>
  <c r="AJ94" i="73"/>
  <c r="AJ84" i="73"/>
  <c r="AJ13" i="73"/>
  <c r="AJ7" i="73"/>
  <c r="AJ86" i="73"/>
  <c r="AJ11" i="73"/>
  <c r="AJ8" i="73"/>
  <c r="AJ83" i="73"/>
  <c r="AJ93" i="73"/>
  <c r="AJ18" i="73"/>
  <c r="AA90" i="73"/>
  <c r="AA18" i="73"/>
  <c r="AA13" i="73"/>
  <c r="AA87" i="73"/>
  <c r="AA91" i="73"/>
  <c r="AA20" i="73"/>
  <c r="AA88" i="73"/>
  <c r="AA9" i="73"/>
  <c r="AA19" i="73"/>
  <c r="AA16" i="73"/>
  <c r="AA92" i="73"/>
  <c r="AA7" i="73"/>
  <c r="AA17" i="73"/>
  <c r="AA12" i="73"/>
  <c r="AA15" i="73"/>
  <c r="AA83" i="73"/>
  <c r="AA95" i="73"/>
  <c r="AA94" i="73"/>
  <c r="AA84" i="73"/>
  <c r="AA86" i="73"/>
  <c r="AA82" i="73"/>
  <c r="AA11" i="73"/>
  <c r="AA8" i="73"/>
  <c r="AA93" i="73"/>
  <c r="AP52" i="73"/>
  <c r="J174" i="72"/>
  <c r="M248" i="72"/>
  <c r="M185" i="72"/>
  <c r="M260" i="72" s="1"/>
  <c r="AZ80" i="73"/>
  <c r="AZ144" i="72"/>
  <c r="AZ85" i="72"/>
  <c r="AZ97" i="72" s="1"/>
  <c r="AZ126" i="72" s="1"/>
  <c r="AZ103" i="73"/>
  <c r="AZ105" i="73" s="1"/>
  <c r="AZ94" i="72"/>
  <c r="T103" i="73"/>
  <c r="T105" i="73" s="1"/>
  <c r="T94" i="72"/>
  <c r="T28" i="73"/>
  <c r="T30" i="73" s="1"/>
  <c r="T30" i="72"/>
  <c r="T5" i="73"/>
  <c r="T134" i="72"/>
  <c r="T21" i="72"/>
  <c r="O80" i="73"/>
  <c r="O85" i="72"/>
  <c r="O97" i="72" s="1"/>
  <c r="O126" i="72" s="1"/>
  <c r="O144" i="72"/>
  <c r="O103" i="73"/>
  <c r="O105" i="73" s="1"/>
  <c r="O94" i="72"/>
  <c r="J173" i="72"/>
  <c r="AB52" i="73"/>
  <c r="N244" i="72"/>
  <c r="O169" i="72"/>
  <c r="AX155" i="72"/>
  <c r="AN127" i="73"/>
  <c r="BG147" i="72"/>
  <c r="BG157" i="72" s="1"/>
  <c r="S92" i="73"/>
  <c r="S90" i="73"/>
  <c r="S16" i="73"/>
  <c r="S87" i="73"/>
  <c r="S91" i="73"/>
  <c r="S9" i="73"/>
  <c r="S88" i="73"/>
  <c r="S20" i="73"/>
  <c r="S86" i="73"/>
  <c r="S17" i="73"/>
  <c r="S93" i="73"/>
  <c r="S11" i="73"/>
  <c r="S18" i="73"/>
  <c r="S13" i="73"/>
  <c r="S15" i="73"/>
  <c r="S8" i="73"/>
  <c r="S83" i="73"/>
  <c r="S84" i="73"/>
  <c r="S7" i="73"/>
  <c r="S12" i="73"/>
  <c r="S95" i="73"/>
  <c r="S82" i="73"/>
  <c r="S94" i="73"/>
  <c r="S19" i="73"/>
  <c r="AG90" i="73"/>
  <c r="AG9" i="73"/>
  <c r="AG19" i="73"/>
  <c r="AG88" i="73"/>
  <c r="AG15" i="73"/>
  <c r="AG16" i="73"/>
  <c r="AG20" i="73"/>
  <c r="AG18" i="73"/>
  <c r="AG7" i="73"/>
  <c r="AG92" i="73"/>
  <c r="AG17" i="73"/>
  <c r="AG13" i="73"/>
  <c r="AG87" i="73"/>
  <c r="AG12" i="73"/>
  <c r="AG91" i="73"/>
  <c r="AG8" i="73"/>
  <c r="AG95" i="73"/>
  <c r="AG84" i="73"/>
  <c r="AG93" i="73"/>
  <c r="AG86" i="73"/>
  <c r="AG82" i="73"/>
  <c r="AG83" i="73"/>
  <c r="AG94" i="73"/>
  <c r="AG11" i="73"/>
  <c r="Y92" i="73"/>
  <c r="Y90" i="73"/>
  <c r="Y9" i="73"/>
  <c r="Y91" i="73"/>
  <c r="Y11" i="73"/>
  <c r="Y16" i="73"/>
  <c r="Y19" i="73"/>
  <c r="Y88" i="73"/>
  <c r="Y20" i="73"/>
  <c r="Y83" i="73"/>
  <c r="Y15" i="73"/>
  <c r="Y13" i="73"/>
  <c r="Y95" i="73"/>
  <c r="Y18" i="73"/>
  <c r="Y7" i="73"/>
  <c r="Y93" i="73"/>
  <c r="Y8" i="73"/>
  <c r="Y86" i="73"/>
  <c r="Y17" i="73"/>
  <c r="Y84" i="73"/>
  <c r="Y82" i="73"/>
  <c r="Y12" i="73"/>
  <c r="Y87" i="73"/>
  <c r="Y94" i="73"/>
  <c r="S245" i="72"/>
  <c r="S193" i="72"/>
  <c r="S268" i="72" s="1"/>
  <c r="I105" i="72"/>
  <c r="K245" i="72"/>
  <c r="K193" i="72"/>
  <c r="AE155" i="72"/>
  <c r="AH52" i="73"/>
  <c r="J116" i="73"/>
  <c r="J127" i="73" s="1"/>
  <c r="AL137" i="72"/>
  <c r="AL6" i="73"/>
  <c r="AL134" i="72"/>
  <c r="AL5" i="73"/>
  <c r="AL21" i="72"/>
  <c r="Q81" i="73"/>
  <c r="Q147" i="72"/>
  <c r="AP87" i="73"/>
  <c r="AP18" i="73"/>
  <c r="AP17" i="73"/>
  <c r="AP15" i="73"/>
  <c r="AP20" i="73"/>
  <c r="AP19" i="73"/>
  <c r="AP7" i="73"/>
  <c r="AP9" i="73"/>
  <c r="AP16" i="73"/>
  <c r="AP12" i="73"/>
  <c r="AP13" i="73"/>
  <c r="AP11" i="73"/>
  <c r="AP88" i="73"/>
  <c r="AP92" i="73"/>
  <c r="AP90" i="73"/>
  <c r="AP91" i="73"/>
  <c r="AP83" i="73"/>
  <c r="AP8" i="73"/>
  <c r="AP93" i="73"/>
  <c r="AP86" i="73"/>
  <c r="AP94" i="73"/>
  <c r="AP84" i="73"/>
  <c r="AP95" i="73"/>
  <c r="AP82" i="73"/>
  <c r="BR52" i="73"/>
  <c r="I140" i="72"/>
  <c r="BL47" i="72"/>
  <c r="I118" i="73"/>
  <c r="BL118" i="73" s="1"/>
  <c r="BM118" i="73" s="1"/>
  <c r="I145" i="72"/>
  <c r="BL107" i="72"/>
  <c r="BL145" i="72" s="1"/>
  <c r="AX52" i="73"/>
  <c r="S185" i="72"/>
  <c r="S248" i="72"/>
  <c r="BK5" i="73"/>
  <c r="BK134" i="72"/>
  <c r="BK21" i="72"/>
  <c r="BF21" i="72"/>
  <c r="BF134" i="72"/>
  <c r="BA80" i="73"/>
  <c r="BA96" i="73" s="1"/>
  <c r="BA108" i="73" s="1"/>
  <c r="BA137" i="73" s="1"/>
  <c r="BA144" i="72"/>
  <c r="BA85" i="72"/>
  <c r="BA21" i="72"/>
  <c r="BA134" i="72"/>
  <c r="BA5" i="73"/>
  <c r="BA137" i="72"/>
  <c r="R210" i="72" s="1"/>
  <c r="BA6" i="73"/>
  <c r="AU17" i="73"/>
  <c r="AU13" i="73"/>
  <c r="AU7" i="73"/>
  <c r="AU88" i="73"/>
  <c r="AU90" i="73"/>
  <c r="AU9" i="73"/>
  <c r="AU19" i="73"/>
  <c r="AU15" i="73"/>
  <c r="AU92" i="73"/>
  <c r="AU18" i="73"/>
  <c r="AU20" i="73"/>
  <c r="AU12" i="73"/>
  <c r="AU87" i="73"/>
  <c r="AU16" i="73"/>
  <c r="AU91" i="73"/>
  <c r="AU11" i="73"/>
  <c r="AU82" i="73"/>
  <c r="AU95" i="73"/>
  <c r="AU94" i="73"/>
  <c r="AU86" i="73"/>
  <c r="AU93" i="73"/>
  <c r="AU8" i="73"/>
  <c r="AU83" i="73"/>
  <c r="AU84" i="73"/>
  <c r="AV88" i="73"/>
  <c r="AV91" i="73"/>
  <c r="AV90" i="73"/>
  <c r="AV16" i="73"/>
  <c r="AV20" i="73"/>
  <c r="AV92" i="73"/>
  <c r="AV15" i="73"/>
  <c r="AV12" i="73"/>
  <c r="AV17" i="73"/>
  <c r="AV9" i="73"/>
  <c r="AV19" i="73"/>
  <c r="AV82" i="73"/>
  <c r="AV83" i="73"/>
  <c r="AV18" i="73"/>
  <c r="AV7" i="73"/>
  <c r="AV93" i="73"/>
  <c r="AV8" i="73"/>
  <c r="AV11" i="73"/>
  <c r="AV95" i="73"/>
  <c r="AV94" i="73"/>
  <c r="AV13" i="73"/>
  <c r="AV84" i="73"/>
  <c r="AV87" i="73"/>
  <c r="AV86" i="73"/>
  <c r="AS19" i="73"/>
  <c r="AS88" i="73"/>
  <c r="AS15" i="73"/>
  <c r="AS12" i="73"/>
  <c r="AS18" i="73"/>
  <c r="AS90" i="73"/>
  <c r="AS9" i="73"/>
  <c r="AS87" i="73"/>
  <c r="AS13" i="73"/>
  <c r="AS16" i="73"/>
  <c r="AS20" i="73"/>
  <c r="AS91" i="73"/>
  <c r="AS7" i="73"/>
  <c r="AS17" i="73"/>
  <c r="AS92" i="73"/>
  <c r="AS86" i="73"/>
  <c r="AS11" i="73"/>
  <c r="AS94" i="73"/>
  <c r="AS84" i="73"/>
  <c r="AS93" i="73"/>
  <c r="AS8" i="73"/>
  <c r="AS82" i="73"/>
  <c r="AS95" i="73"/>
  <c r="AS83" i="73"/>
  <c r="AB155" i="72"/>
  <c r="BC73" i="72"/>
  <c r="BC75" i="72"/>
  <c r="BC76" i="72"/>
  <c r="BC77" i="72"/>
  <c r="BC16" i="72"/>
  <c r="BV16" i="72" s="1"/>
  <c r="AN17" i="105" s="1"/>
  <c r="BC17" i="72"/>
  <c r="BV17" i="72" s="1"/>
  <c r="AN18" i="105" s="1"/>
  <c r="BD134" i="72"/>
  <c r="BD21" i="72"/>
  <c r="BC5" i="72"/>
  <c r="BC13" i="72"/>
  <c r="BV13" i="72" s="1"/>
  <c r="AN13" i="105" s="1"/>
  <c r="P5" i="73"/>
  <c r="P134" i="72"/>
  <c r="P21" i="72"/>
  <c r="P33" i="72" s="1"/>
  <c r="P62" i="72" s="1"/>
  <c r="P129" i="72" s="1"/>
  <c r="P6" i="73"/>
  <c r="P137" i="72"/>
  <c r="AQ9" i="73"/>
  <c r="AQ87" i="73"/>
  <c r="AQ91" i="73"/>
  <c r="AQ13" i="73"/>
  <c r="AQ16" i="73"/>
  <c r="AQ88" i="73"/>
  <c r="AQ12" i="73"/>
  <c r="AQ90" i="73"/>
  <c r="AQ18" i="73"/>
  <c r="AQ19" i="73"/>
  <c r="AQ92" i="73"/>
  <c r="AQ15" i="73"/>
  <c r="AQ20" i="73"/>
  <c r="AQ7" i="73"/>
  <c r="AQ17" i="73"/>
  <c r="AQ82" i="73"/>
  <c r="AQ11" i="73"/>
  <c r="AQ84" i="73"/>
  <c r="AQ95" i="73"/>
  <c r="AQ94" i="73"/>
  <c r="AQ86" i="73"/>
  <c r="AQ83" i="73"/>
  <c r="AQ8" i="73"/>
  <c r="AQ93" i="73"/>
  <c r="R18" i="73"/>
  <c r="R15" i="73"/>
  <c r="R12" i="73"/>
  <c r="R9" i="73"/>
  <c r="R13" i="73"/>
  <c r="R91" i="73"/>
  <c r="R20" i="73"/>
  <c r="R90" i="73"/>
  <c r="R87" i="73"/>
  <c r="R19" i="73"/>
  <c r="R7" i="73"/>
  <c r="R17" i="73"/>
  <c r="R16" i="73"/>
  <c r="R88" i="73"/>
  <c r="R92" i="73"/>
  <c r="R11" i="73"/>
  <c r="R93" i="73"/>
  <c r="R86" i="73"/>
  <c r="R82" i="73"/>
  <c r="R84" i="73"/>
  <c r="R83" i="73"/>
  <c r="R8" i="73"/>
  <c r="R95" i="73"/>
  <c r="R94" i="73"/>
  <c r="O5" i="73"/>
  <c r="O21" i="73" s="1"/>
  <c r="O134" i="72"/>
  <c r="O21" i="72"/>
  <c r="U103" i="73"/>
  <c r="U105" i="73" s="1"/>
  <c r="U94" i="72"/>
  <c r="U21" i="72"/>
  <c r="U134" i="72"/>
  <c r="U141" i="72" s="1"/>
  <c r="U5" i="73"/>
  <c r="U21" i="73" s="1"/>
  <c r="I43" i="73"/>
  <c r="BL43" i="73" s="1"/>
  <c r="BM43" i="73" s="1"/>
  <c r="AH160" i="72"/>
  <c r="M174" i="72"/>
  <c r="I185" i="72"/>
  <c r="I248" i="72"/>
  <c r="BG144" i="72"/>
  <c r="BG85" i="72"/>
  <c r="BG103" i="73"/>
  <c r="BG105" i="73" s="1"/>
  <c r="BG94" i="72"/>
  <c r="AI11" i="73"/>
  <c r="AI88" i="73"/>
  <c r="AI17" i="73"/>
  <c r="AI90" i="73"/>
  <c r="AI86" i="73"/>
  <c r="AI83" i="73"/>
  <c r="AI92" i="73"/>
  <c r="AI19" i="73"/>
  <c r="AI18" i="73"/>
  <c r="AI13" i="73"/>
  <c r="AI91" i="73"/>
  <c r="AI16" i="73"/>
  <c r="AI87" i="73"/>
  <c r="AI82" i="73"/>
  <c r="AI84" i="73"/>
  <c r="AI93" i="73"/>
  <c r="AI9" i="73"/>
  <c r="AI7" i="73"/>
  <c r="AI20" i="73"/>
  <c r="AI15" i="73"/>
  <c r="AI12" i="73"/>
  <c r="AI8" i="73"/>
  <c r="AI95" i="73"/>
  <c r="AI94" i="73"/>
  <c r="BL38" i="73"/>
  <c r="BM38" i="73" s="1"/>
  <c r="BK6" i="73"/>
  <c r="BK137" i="72"/>
  <c r="U210" i="72" s="1"/>
  <c r="BB28" i="73"/>
  <c r="BB30" i="73" s="1"/>
  <c r="BB30" i="72"/>
  <c r="V90" i="73"/>
  <c r="V91" i="73"/>
  <c r="V20" i="73"/>
  <c r="V92" i="73"/>
  <c r="V16" i="73"/>
  <c r="V12" i="73"/>
  <c r="V17" i="73"/>
  <c r="V19" i="73"/>
  <c r="V7" i="73"/>
  <c r="V18" i="73"/>
  <c r="V15" i="73"/>
  <c r="V9" i="73"/>
  <c r="V13" i="73"/>
  <c r="V88" i="73"/>
  <c r="V87" i="73"/>
  <c r="V86" i="73"/>
  <c r="V82" i="73"/>
  <c r="V84" i="73"/>
  <c r="V11" i="73"/>
  <c r="V83" i="73"/>
  <c r="V95" i="73"/>
  <c r="V94" i="73"/>
  <c r="V8" i="73"/>
  <c r="V93" i="73"/>
  <c r="AN155" i="72"/>
  <c r="BC83" i="72"/>
  <c r="BD137" i="72"/>
  <c r="BC6" i="72"/>
  <c r="P103" i="73"/>
  <c r="P105" i="73" s="1"/>
  <c r="P94" i="72"/>
  <c r="AP127" i="73"/>
  <c r="J156" i="72"/>
  <c r="O173" i="72"/>
  <c r="AX159" i="72"/>
  <c r="BP58" i="73"/>
  <c r="W159" i="72"/>
  <c r="L173" i="72"/>
  <c r="BH144" i="72"/>
  <c r="BH85" i="72"/>
  <c r="BH137" i="72"/>
  <c r="BH157" i="72" s="1"/>
  <c r="BJ147" i="72"/>
  <c r="AY94" i="72"/>
  <c r="AY103" i="73"/>
  <c r="AY105" i="73" s="1"/>
  <c r="AY28" i="73"/>
  <c r="AY30" i="73" s="1"/>
  <c r="AY30" i="72"/>
  <c r="AY6" i="73"/>
  <c r="AY137" i="72"/>
  <c r="P210" i="72" s="1"/>
  <c r="AF88" i="73"/>
  <c r="AF91" i="73"/>
  <c r="AF90" i="73"/>
  <c r="AF9" i="73"/>
  <c r="AF20" i="73"/>
  <c r="AF92" i="73"/>
  <c r="AF19" i="73"/>
  <c r="AF15" i="73"/>
  <c r="AF12" i="73"/>
  <c r="AF17" i="73"/>
  <c r="AF11" i="73"/>
  <c r="AF16" i="73"/>
  <c r="AF83" i="73"/>
  <c r="AF93" i="73"/>
  <c r="AF82" i="73"/>
  <c r="AF95" i="73"/>
  <c r="AF94" i="73"/>
  <c r="AF18" i="73"/>
  <c r="AF87" i="73"/>
  <c r="AF13" i="73"/>
  <c r="AF84" i="73"/>
  <c r="AF8" i="73"/>
  <c r="AF86" i="73"/>
  <c r="AF7" i="73"/>
  <c r="M88" i="73"/>
  <c r="M19" i="73"/>
  <c r="M18" i="73"/>
  <c r="M15" i="73"/>
  <c r="M12" i="73"/>
  <c r="M7" i="73"/>
  <c r="M90" i="73"/>
  <c r="M9" i="73"/>
  <c r="M87" i="73"/>
  <c r="M16" i="73"/>
  <c r="M17" i="73"/>
  <c r="M20" i="73"/>
  <c r="M91" i="73"/>
  <c r="M92" i="73"/>
  <c r="M13" i="73"/>
  <c r="M86" i="73"/>
  <c r="M8" i="73"/>
  <c r="M94" i="73"/>
  <c r="M84" i="73"/>
  <c r="M93" i="73"/>
  <c r="M82" i="73"/>
  <c r="M95" i="73"/>
  <c r="M83" i="73"/>
  <c r="M11" i="73"/>
  <c r="N245" i="72"/>
  <c r="N193" i="72"/>
  <c r="W155" i="72"/>
  <c r="L169" i="72"/>
  <c r="AZ5" i="73"/>
  <c r="AZ21" i="73" s="1"/>
  <c r="AZ134" i="72"/>
  <c r="AZ21" i="72"/>
  <c r="AZ81" i="73"/>
  <c r="AZ147" i="72"/>
  <c r="T6" i="73"/>
  <c r="T137" i="72"/>
  <c r="T80" i="73"/>
  <c r="T96" i="73" s="1"/>
  <c r="T108" i="73" s="1"/>
  <c r="T85" i="72"/>
  <c r="T144" i="72"/>
  <c r="O28" i="73"/>
  <c r="O30" i="73" s="1"/>
  <c r="O30" i="72"/>
  <c r="U81" i="73"/>
  <c r="U147" i="72"/>
  <c r="U157" i="72" s="1"/>
  <c r="U80" i="73"/>
  <c r="U144" i="72"/>
  <c r="U85" i="72"/>
  <c r="U30" i="72"/>
  <c r="U28" i="73"/>
  <c r="U30" i="73" s="1"/>
  <c r="BQ58" i="73"/>
  <c r="Q185" i="72"/>
  <c r="Q248" i="72"/>
  <c r="BL39" i="72"/>
  <c r="I41" i="72"/>
  <c r="I139" i="72"/>
  <c r="I135" i="72"/>
  <c r="BL43" i="72"/>
  <c r="I169" i="72"/>
  <c r="W52" i="73"/>
  <c r="BI103" i="73"/>
  <c r="BI105" i="73" s="1"/>
  <c r="BI94" i="72"/>
  <c r="BI147" i="72"/>
  <c r="BI157" i="72" s="1"/>
  <c r="BG134" i="72"/>
  <c r="BG141" i="72" s="1"/>
  <c r="BG21" i="72"/>
  <c r="AX15" i="73"/>
  <c r="AX18" i="73"/>
  <c r="AX12" i="73"/>
  <c r="AX13" i="73"/>
  <c r="AX17" i="73"/>
  <c r="AX91" i="73"/>
  <c r="AX20" i="73"/>
  <c r="AX16" i="73"/>
  <c r="AX9" i="73"/>
  <c r="AX90" i="73"/>
  <c r="AX19" i="73"/>
  <c r="AX7" i="73"/>
  <c r="AX87" i="73"/>
  <c r="AX8" i="73"/>
  <c r="AX88" i="73"/>
  <c r="AX92" i="73"/>
  <c r="AX83" i="73"/>
  <c r="AX94" i="73"/>
  <c r="AX93" i="73"/>
  <c r="AX86" i="73"/>
  <c r="AX82" i="73"/>
  <c r="AX84" i="73"/>
  <c r="AX95" i="73"/>
  <c r="AX11" i="73"/>
  <c r="K7" i="73"/>
  <c r="K87" i="73"/>
  <c r="K91" i="73"/>
  <c r="K15" i="73"/>
  <c r="K9" i="73"/>
  <c r="K17" i="73"/>
  <c r="K88" i="73"/>
  <c r="K90" i="73"/>
  <c r="K19" i="73"/>
  <c r="K92" i="73"/>
  <c r="K13" i="73"/>
  <c r="K20" i="73"/>
  <c r="K18" i="73"/>
  <c r="K11" i="73"/>
  <c r="K16" i="73"/>
  <c r="K12" i="73"/>
  <c r="K82" i="73"/>
  <c r="K95" i="73"/>
  <c r="K94" i="73"/>
  <c r="K8" i="73"/>
  <c r="K86" i="73"/>
  <c r="K84" i="73"/>
  <c r="K83" i="73"/>
  <c r="K93" i="73"/>
  <c r="AJ52" i="73"/>
  <c r="K185" i="72"/>
  <c r="K260" i="72" s="1"/>
  <c r="K248" i="72"/>
  <c r="I170" i="72"/>
  <c r="R185" i="72"/>
  <c r="R248" i="72"/>
  <c r="I149" i="72"/>
  <c r="J159" i="72"/>
  <c r="AL30" i="72"/>
  <c r="AL28" i="73"/>
  <c r="AL30" i="73" s="1"/>
  <c r="AT13" i="73"/>
  <c r="AT20" i="73"/>
  <c r="AT9" i="73"/>
  <c r="AT88" i="73"/>
  <c r="AT91" i="73"/>
  <c r="AT92" i="73"/>
  <c r="AT95" i="73"/>
  <c r="AT87" i="73"/>
  <c r="AT12" i="73"/>
  <c r="AT7" i="73"/>
  <c r="AT17" i="73"/>
  <c r="AT18" i="73"/>
  <c r="AT8" i="73"/>
  <c r="AT86" i="73"/>
  <c r="AT82" i="73"/>
  <c r="AT90" i="73"/>
  <c r="AT16" i="73"/>
  <c r="AT19" i="73"/>
  <c r="AT83" i="73"/>
  <c r="AT84" i="73"/>
  <c r="AT93" i="73"/>
  <c r="AT94" i="73"/>
  <c r="AT15" i="73"/>
  <c r="AT11" i="73"/>
  <c r="AE160" i="72"/>
  <c r="I136" i="72"/>
  <c r="I58" i="72"/>
  <c r="BL55" i="72"/>
  <c r="I47" i="73"/>
  <c r="BL47" i="73" s="1"/>
  <c r="BM47" i="73" s="1"/>
  <c r="M169" i="72"/>
  <c r="AH155" i="72"/>
  <c r="W127" i="73"/>
  <c r="BB80" i="73"/>
  <c r="BB96" i="73" s="1"/>
  <c r="BB108" i="73" s="1"/>
  <c r="BB144" i="72"/>
  <c r="BB85" i="72"/>
  <c r="BB137" i="72"/>
  <c r="S210" i="72" s="1"/>
  <c r="BB6" i="73"/>
  <c r="BF144" i="72"/>
  <c r="BF85" i="72"/>
  <c r="BF137" i="72"/>
  <c r="BA30" i="72"/>
  <c r="BA28" i="73"/>
  <c r="BA30" i="73" s="1"/>
  <c r="AR88" i="73"/>
  <c r="AR91" i="73"/>
  <c r="AR90" i="73"/>
  <c r="AR9" i="73"/>
  <c r="AR20" i="73"/>
  <c r="AR92" i="73"/>
  <c r="AR15" i="73"/>
  <c r="AR19" i="73"/>
  <c r="AR86" i="73"/>
  <c r="AR18" i="73"/>
  <c r="AR13" i="73"/>
  <c r="AR16" i="73"/>
  <c r="AR83" i="73"/>
  <c r="AR8" i="73"/>
  <c r="AR11" i="73"/>
  <c r="AR93" i="73"/>
  <c r="AR7" i="73"/>
  <c r="AR12" i="73"/>
  <c r="AR95" i="73"/>
  <c r="AR94" i="73"/>
  <c r="AR17" i="73"/>
  <c r="AR82" i="73"/>
  <c r="AR87" i="73"/>
  <c r="AR84" i="73"/>
  <c r="W15" i="73"/>
  <c r="W12" i="73"/>
  <c r="W90" i="73"/>
  <c r="W7" i="73"/>
  <c r="W17" i="73"/>
  <c r="W20" i="73"/>
  <c r="W16" i="73"/>
  <c r="W13" i="73"/>
  <c r="W87" i="73"/>
  <c r="W18" i="73"/>
  <c r="W91" i="73"/>
  <c r="W9" i="73"/>
  <c r="W11" i="73"/>
  <c r="W88" i="73"/>
  <c r="W19" i="73"/>
  <c r="W92" i="73"/>
  <c r="W8" i="73"/>
  <c r="W93" i="73"/>
  <c r="W83" i="73"/>
  <c r="W95" i="73"/>
  <c r="W94" i="73"/>
  <c r="W84" i="73"/>
  <c r="W86" i="73"/>
  <c r="W82" i="73"/>
  <c r="N11" i="73"/>
  <c r="N91" i="73"/>
  <c r="N16" i="73"/>
  <c r="N92" i="73"/>
  <c r="N87" i="73"/>
  <c r="N15" i="73"/>
  <c r="N19" i="73"/>
  <c r="N9" i="73"/>
  <c r="N17" i="73"/>
  <c r="N12" i="73"/>
  <c r="N86" i="73"/>
  <c r="N95" i="73"/>
  <c r="N13" i="73"/>
  <c r="N90" i="73"/>
  <c r="N18" i="73"/>
  <c r="N88" i="73"/>
  <c r="N82" i="73"/>
  <c r="N7" i="73"/>
  <c r="N8" i="73"/>
  <c r="N83" i="73"/>
  <c r="N20" i="73"/>
  <c r="N93" i="73"/>
  <c r="N94" i="73"/>
  <c r="N84" i="73"/>
  <c r="AE159" i="72"/>
  <c r="T156" i="72"/>
  <c r="S127" i="73"/>
  <c r="S156" i="72"/>
  <c r="AJ160" i="72"/>
  <c r="BP47" i="73"/>
  <c r="BC71" i="72"/>
  <c r="BC84" i="72"/>
  <c r="BC8" i="72"/>
  <c r="BV8" i="72" s="1"/>
  <c r="AN7" i="105" s="1"/>
  <c r="BC11" i="72"/>
  <c r="BV11" i="72" s="1"/>
  <c r="AN10" i="105" s="1"/>
  <c r="BD147" i="72"/>
  <c r="BC70" i="72"/>
  <c r="BC12" i="72"/>
  <c r="BV12" i="72" s="1"/>
  <c r="AN12" i="105" s="1"/>
  <c r="BC19" i="72"/>
  <c r="BV19" i="72" s="1"/>
  <c r="AN20" i="105" s="1"/>
  <c r="BE144" i="72"/>
  <c r="BE85" i="72"/>
  <c r="BE157" i="72"/>
  <c r="P81" i="73"/>
  <c r="P147" i="72"/>
  <c r="AN16" i="73"/>
  <c r="AN88" i="73"/>
  <c r="AN91" i="73"/>
  <c r="AN87" i="73"/>
  <c r="AN84" i="73"/>
  <c r="AN17" i="73"/>
  <c r="AN11" i="73"/>
  <c r="AN18" i="73"/>
  <c r="AN13" i="73"/>
  <c r="AN86" i="73"/>
  <c r="AN82" i="73"/>
  <c r="AN8" i="73"/>
  <c r="AN20" i="73"/>
  <c r="AN90" i="73"/>
  <c r="AN7" i="73"/>
  <c r="AN9" i="73"/>
  <c r="AN83" i="73"/>
  <c r="AN12" i="73"/>
  <c r="AN93" i="73"/>
  <c r="AN15" i="73"/>
  <c r="AN95" i="73"/>
  <c r="AN19" i="73"/>
  <c r="AN92" i="73"/>
  <c r="AN94" i="73"/>
  <c r="K186" i="72"/>
  <c r="K261" i="72" s="1"/>
  <c r="K249" i="72"/>
  <c r="N192" i="72" l="1"/>
  <c r="T33" i="72"/>
  <c r="T62" i="72" s="1"/>
  <c r="T129" i="72" s="1"/>
  <c r="T141" i="72"/>
  <c r="AI29" i="105"/>
  <c r="BL149" i="72"/>
  <c r="O33" i="72"/>
  <c r="O62" i="72" s="1"/>
  <c r="O129" i="72" s="1"/>
  <c r="BA97" i="72"/>
  <c r="BA126" i="72" s="1"/>
  <c r="U97" i="72"/>
  <c r="U126" i="72" s="1"/>
  <c r="Q157" i="72"/>
  <c r="O141" i="72"/>
  <c r="AL141" i="72"/>
  <c r="AN29" i="105"/>
  <c r="O157" i="72"/>
  <c r="AL157" i="72"/>
  <c r="I159" i="72"/>
  <c r="AZ33" i="72"/>
  <c r="AZ62" i="72" s="1"/>
  <c r="AZ129" i="72" s="1"/>
  <c r="O96" i="73"/>
  <c r="BS47" i="73"/>
  <c r="I41" i="73"/>
  <c r="I116" i="73"/>
  <c r="I127" i="73" s="1"/>
  <c r="BQ52" i="73"/>
  <c r="BQ59" i="73" s="1"/>
  <c r="T137" i="73"/>
  <c r="T143" i="73" s="1"/>
  <c r="P21" i="73"/>
  <c r="P33" i="73" s="1"/>
  <c r="P62" i="73" s="1"/>
  <c r="T171" i="72"/>
  <c r="BD157" i="72"/>
  <c r="N103" i="73"/>
  <c r="N105" i="73" s="1"/>
  <c r="N94" i="72"/>
  <c r="AR103" i="73"/>
  <c r="AR105" i="73" s="1"/>
  <c r="AR94" i="72"/>
  <c r="AR6" i="73"/>
  <c r="AR137" i="72"/>
  <c r="J86" i="73"/>
  <c r="I75" i="72"/>
  <c r="I86" i="73" s="1"/>
  <c r="J15" i="73"/>
  <c r="I15" i="73" s="1"/>
  <c r="I15" i="72"/>
  <c r="K81" i="73"/>
  <c r="K147" i="72"/>
  <c r="AX103" i="73"/>
  <c r="AX105" i="73" s="1"/>
  <c r="AX94" i="72"/>
  <c r="BG33" i="72"/>
  <c r="AZ141" i="72"/>
  <c r="Q207" i="72"/>
  <c r="Q214" i="72" s="1"/>
  <c r="N268" i="72"/>
  <c r="O185" i="72"/>
  <c r="O260" i="72" s="1"/>
  <c r="O248" i="72"/>
  <c r="BC6" i="73"/>
  <c r="BC137" i="72"/>
  <c r="V134" i="72"/>
  <c r="V5" i="73"/>
  <c r="V21" i="72"/>
  <c r="AQ103" i="73"/>
  <c r="AQ105" i="73" s="1"/>
  <c r="AQ94" i="72"/>
  <c r="AQ6" i="73"/>
  <c r="AQ137" i="72"/>
  <c r="BD141" i="72"/>
  <c r="T207" i="72"/>
  <c r="AU147" i="72"/>
  <c r="AU81" i="73"/>
  <c r="AU5" i="73"/>
  <c r="AU134" i="72"/>
  <c r="AU21" i="72"/>
  <c r="BK33" i="72"/>
  <c r="Y81" i="73"/>
  <c r="Y147" i="72"/>
  <c r="AG144" i="72"/>
  <c r="AG80" i="73"/>
  <c r="AG85" i="72"/>
  <c r="AG134" i="72"/>
  <c r="AG21" i="72"/>
  <c r="AG5" i="73"/>
  <c r="N267" i="72"/>
  <c r="J185" i="72"/>
  <c r="J260" i="72" s="1"/>
  <c r="J248" i="72"/>
  <c r="AA6" i="73"/>
  <c r="AA137" i="72"/>
  <c r="AJ94" i="72"/>
  <c r="AJ103" i="73"/>
  <c r="AJ105" i="73" s="1"/>
  <c r="L5" i="73"/>
  <c r="L134" i="72"/>
  <c r="L21" i="72"/>
  <c r="BJ33" i="72"/>
  <c r="BC28" i="73"/>
  <c r="BC30" i="72"/>
  <c r="L249" i="72"/>
  <c r="L186" i="72"/>
  <c r="L261" i="72" s="1"/>
  <c r="Z6" i="73"/>
  <c r="Z137" i="72"/>
  <c r="AW80" i="73"/>
  <c r="AW144" i="72"/>
  <c r="AW85" i="72"/>
  <c r="AW30" i="72"/>
  <c r="AW28" i="73"/>
  <c r="AW30" i="73" s="1"/>
  <c r="BK151" i="72"/>
  <c r="BK154" i="72"/>
  <c r="U168" i="72"/>
  <c r="AM6" i="73"/>
  <c r="AM137" i="72"/>
  <c r="X28" i="73"/>
  <c r="X30" i="73" s="1"/>
  <c r="X30" i="72"/>
  <c r="AB80" i="73"/>
  <c r="AB144" i="72"/>
  <c r="AB85" i="72"/>
  <c r="P268" i="72"/>
  <c r="AY157" i="72"/>
  <c r="P171" i="72"/>
  <c r="M245" i="72"/>
  <c r="M193" i="72"/>
  <c r="AN81" i="73"/>
  <c r="AN147" i="72"/>
  <c r="BC19" i="73"/>
  <c r="BC11" i="73"/>
  <c r="W85" i="72"/>
  <c r="W80" i="73"/>
  <c r="W144" i="72"/>
  <c r="W103" i="73"/>
  <c r="W105" i="73" s="1"/>
  <c r="W94" i="72"/>
  <c r="M244" i="72"/>
  <c r="AT147" i="72"/>
  <c r="AT81" i="73"/>
  <c r="AT28" i="73"/>
  <c r="AT30" i="73" s="1"/>
  <c r="AT30" i="72"/>
  <c r="AT134" i="72"/>
  <c r="AT5" i="73"/>
  <c r="AT21" i="72"/>
  <c r="R260" i="72"/>
  <c r="R192" i="72"/>
  <c r="J82" i="73"/>
  <c r="I71" i="72"/>
  <c r="I82" i="73" s="1"/>
  <c r="J80" i="73"/>
  <c r="J144" i="72"/>
  <c r="J85" i="72"/>
  <c r="I69" i="72"/>
  <c r="BL69" i="72" s="1"/>
  <c r="J94" i="73"/>
  <c r="I83" i="72"/>
  <c r="I94" i="73" s="1"/>
  <c r="J90" i="73"/>
  <c r="I79" i="72"/>
  <c r="J13" i="73"/>
  <c r="I13" i="73" s="1"/>
  <c r="I13" i="72"/>
  <c r="J12" i="73"/>
  <c r="I12" i="73" s="1"/>
  <c r="I12" i="72"/>
  <c r="AD12" i="105" s="1"/>
  <c r="AT12" i="105" s="1"/>
  <c r="I9" i="72"/>
  <c r="AD8" i="105" s="1"/>
  <c r="J9" i="73"/>
  <c r="I9" i="73" s="1"/>
  <c r="K103" i="73"/>
  <c r="K105" i="73" s="1"/>
  <c r="K94" i="72"/>
  <c r="K28" i="73"/>
  <c r="K30" i="73" s="1"/>
  <c r="K30" i="72"/>
  <c r="K5" i="73"/>
  <c r="K134" i="72"/>
  <c r="K21" i="72"/>
  <c r="Q260" i="72"/>
  <c r="Q192" i="72"/>
  <c r="T97" i="72"/>
  <c r="T126" i="72" s="1"/>
  <c r="T130" i="72" s="1"/>
  <c r="Q171" i="72"/>
  <c r="AZ157" i="72"/>
  <c r="AZ33" i="73"/>
  <c r="AZ62" i="73" s="1"/>
  <c r="L244" i="72"/>
  <c r="M28" i="73"/>
  <c r="M30" i="73" s="1"/>
  <c r="M30" i="72"/>
  <c r="AF5" i="73"/>
  <c r="AF134" i="72"/>
  <c r="AF21" i="72"/>
  <c r="BJ157" i="72"/>
  <c r="L248" i="72"/>
  <c r="L185" i="72"/>
  <c r="L260" i="72" s="1"/>
  <c r="T210" i="72"/>
  <c r="V80" i="73"/>
  <c r="V144" i="72"/>
  <c r="V85" i="72"/>
  <c r="V81" i="73"/>
  <c r="V147" i="72"/>
  <c r="AI28" i="73"/>
  <c r="AI30" i="73" s="1"/>
  <c r="AI30" i="72"/>
  <c r="AI6" i="73"/>
  <c r="AI137" i="72"/>
  <c r="V173" i="72"/>
  <c r="U33" i="72"/>
  <c r="U62" i="72" s="1"/>
  <c r="U129" i="72" s="1"/>
  <c r="U130" i="72" s="1"/>
  <c r="R81" i="73"/>
  <c r="R147" i="72"/>
  <c r="R28" i="73"/>
  <c r="R30" i="73" s="1"/>
  <c r="R30" i="72"/>
  <c r="R103" i="73"/>
  <c r="R105" i="73" s="1"/>
  <c r="R94" i="72"/>
  <c r="R6" i="73"/>
  <c r="R137" i="72"/>
  <c r="BC13" i="73"/>
  <c r="BC17" i="73"/>
  <c r="BC86" i="73"/>
  <c r="BL75" i="72"/>
  <c r="AS28" i="73"/>
  <c r="AS30" i="73" s="1"/>
  <c r="AS30" i="72"/>
  <c r="AV6" i="73"/>
  <c r="AV137" i="72"/>
  <c r="AU94" i="72"/>
  <c r="AU103" i="73"/>
  <c r="AU105" i="73" s="1"/>
  <c r="AU6" i="73"/>
  <c r="AU137" i="72"/>
  <c r="BA33" i="72"/>
  <c r="BA62" i="72" s="1"/>
  <c r="BA129" i="72" s="1"/>
  <c r="BF141" i="72"/>
  <c r="U207" i="72"/>
  <c r="U214" i="72" s="1"/>
  <c r="BK141" i="72"/>
  <c r="BL140" i="72"/>
  <c r="BL160" i="72" s="1"/>
  <c r="BM47" i="72"/>
  <c r="Y80" i="73"/>
  <c r="Y144" i="72"/>
  <c r="Y85" i="72"/>
  <c r="AG30" i="72"/>
  <c r="AG28" i="73"/>
  <c r="AG30" i="73" s="1"/>
  <c r="S6" i="73"/>
  <c r="S137" i="72"/>
  <c r="S103" i="73"/>
  <c r="S105" i="73" s="1"/>
  <c r="S94" i="72"/>
  <c r="S28" i="73"/>
  <c r="S30" i="73" s="1"/>
  <c r="S30" i="72"/>
  <c r="O130" i="72"/>
  <c r="T21" i="73"/>
  <c r="T33" i="73" s="1"/>
  <c r="T62" i="73" s="1"/>
  <c r="AZ130" i="72"/>
  <c r="AA28" i="73"/>
  <c r="AA30" i="73" s="1"/>
  <c r="AA30" i="72"/>
  <c r="AJ80" i="73"/>
  <c r="AJ85" i="72"/>
  <c r="AJ97" i="72" s="1"/>
  <c r="AJ126" i="72" s="1"/>
  <c r="AJ144" i="72"/>
  <c r="L103" i="73"/>
  <c r="L105" i="73" s="1"/>
  <c r="L94" i="72"/>
  <c r="AY33" i="72"/>
  <c r="AY62" i="72" s="1"/>
  <c r="AY129" i="72" s="1"/>
  <c r="BJ141" i="72"/>
  <c r="BJ97" i="72"/>
  <c r="BC80" i="73"/>
  <c r="BC85" i="72"/>
  <c r="BE86" i="72" s="1"/>
  <c r="BC144" i="72"/>
  <c r="AK103" i="73"/>
  <c r="AK105" i="73" s="1"/>
  <c r="AK94" i="72"/>
  <c r="AK80" i="73"/>
  <c r="AK144" i="72"/>
  <c r="AK85" i="72"/>
  <c r="AK137" i="72"/>
  <c r="AK6" i="73"/>
  <c r="AY151" i="72"/>
  <c r="P168" i="72"/>
  <c r="AY154" i="72"/>
  <c r="AY161" i="72" s="1"/>
  <c r="P154" i="72"/>
  <c r="P151" i="72"/>
  <c r="BC7" i="73"/>
  <c r="BC93" i="73"/>
  <c r="BC92" i="73"/>
  <c r="AH103" i="73"/>
  <c r="AH105" i="73" s="1"/>
  <c r="AH94" i="72"/>
  <c r="AH6" i="73"/>
  <c r="AH137" i="72"/>
  <c r="M210" i="72" s="1"/>
  <c r="AW81" i="73"/>
  <c r="AW147" i="72"/>
  <c r="AW134" i="72"/>
  <c r="AW21" i="72"/>
  <c r="AW5" i="73"/>
  <c r="BB33" i="72"/>
  <c r="BB62" i="72" s="1"/>
  <c r="BB129" i="72" s="1"/>
  <c r="BK97" i="72"/>
  <c r="Q141" i="72"/>
  <c r="Q154" i="72"/>
  <c r="Q161" i="72" s="1"/>
  <c r="Q151" i="72"/>
  <c r="L245" i="72"/>
  <c r="L193" i="72"/>
  <c r="BR59" i="73"/>
  <c r="AM5" i="73"/>
  <c r="AM21" i="73" s="1"/>
  <c r="AM134" i="72"/>
  <c r="AM21" i="72"/>
  <c r="X103" i="73"/>
  <c r="X105" i="73" s="1"/>
  <c r="X94" i="72"/>
  <c r="X6" i="73"/>
  <c r="X137" i="72"/>
  <c r="X5" i="73"/>
  <c r="X134" i="72"/>
  <c r="X21" i="72"/>
  <c r="K192" i="72"/>
  <c r="AC28" i="73"/>
  <c r="AC30" i="73" s="1"/>
  <c r="AC30" i="72"/>
  <c r="T157" i="72"/>
  <c r="P260" i="72"/>
  <c r="P192" i="72"/>
  <c r="AE147" i="72"/>
  <c r="AE81" i="73"/>
  <c r="AE5" i="73"/>
  <c r="AE134" i="72"/>
  <c r="AE21" i="72"/>
  <c r="AE30" i="72"/>
  <c r="AE28" i="73"/>
  <c r="AE30" i="73" s="1"/>
  <c r="AB81" i="73"/>
  <c r="AB147" i="72"/>
  <c r="BK157" i="72"/>
  <c r="U171" i="72"/>
  <c r="BI97" i="72"/>
  <c r="AO137" i="72"/>
  <c r="AO6" i="73"/>
  <c r="AO134" i="72"/>
  <c r="AO21" i="72"/>
  <c r="AO5" i="73"/>
  <c r="I133" i="73"/>
  <c r="BL130" i="73"/>
  <c r="BM130" i="73" s="1"/>
  <c r="AN5" i="73"/>
  <c r="AN134" i="72"/>
  <c r="AN21" i="72"/>
  <c r="BC82" i="73"/>
  <c r="BL71" i="72"/>
  <c r="N134" i="72"/>
  <c r="N5" i="73"/>
  <c r="N21" i="72"/>
  <c r="BB137" i="73"/>
  <c r="J8" i="73"/>
  <c r="I8" i="73" s="1"/>
  <c r="I8" i="72"/>
  <c r="AD7" i="105" s="1"/>
  <c r="AT7" i="105" s="1"/>
  <c r="J18" i="73"/>
  <c r="I18" i="73" s="1"/>
  <c r="I18" i="72"/>
  <c r="J20" i="73"/>
  <c r="I20" i="73" s="1"/>
  <c r="I20" i="72"/>
  <c r="AD26" i="105" s="1"/>
  <c r="AT26" i="105" s="1"/>
  <c r="K6" i="73"/>
  <c r="K137" i="72"/>
  <c r="V103" i="73"/>
  <c r="V105" i="73" s="1"/>
  <c r="V94" i="72"/>
  <c r="BL41" i="73"/>
  <c r="I52" i="73"/>
  <c r="AI5" i="73"/>
  <c r="AI134" i="72"/>
  <c r="AI141" i="72" s="1"/>
  <c r="AI21" i="72"/>
  <c r="BG151" i="72"/>
  <c r="BG154" i="72"/>
  <c r="BG161" i="72" s="1"/>
  <c r="M249" i="72"/>
  <c r="M186" i="72"/>
  <c r="M261" i="72" s="1"/>
  <c r="AQ5" i="73"/>
  <c r="AQ134" i="72"/>
  <c r="AQ141" i="72" s="1"/>
  <c r="AQ21" i="72"/>
  <c r="P140" i="73"/>
  <c r="P64" i="73"/>
  <c r="P68" i="73"/>
  <c r="BC87" i="73"/>
  <c r="AV103" i="73"/>
  <c r="AV105" i="73" s="1"/>
  <c r="AV94" i="72"/>
  <c r="BA143" i="73"/>
  <c r="AP80" i="73"/>
  <c r="AP144" i="72"/>
  <c r="AP85" i="72"/>
  <c r="Y103" i="73"/>
  <c r="Y105" i="73" s="1"/>
  <c r="Y94" i="72"/>
  <c r="AG81" i="73"/>
  <c r="AG147" i="72"/>
  <c r="S81" i="73"/>
  <c r="S147" i="72"/>
  <c r="S157" i="72" s="1"/>
  <c r="O151" i="72"/>
  <c r="O154" i="72"/>
  <c r="O161" i="72" s="1"/>
  <c r="O162" i="72" s="1"/>
  <c r="AA103" i="73"/>
  <c r="AA105" i="73" s="1"/>
  <c r="AA94" i="72"/>
  <c r="AJ5" i="73"/>
  <c r="AJ134" i="72"/>
  <c r="AJ21" i="72"/>
  <c r="AK81" i="73"/>
  <c r="AK147" i="72"/>
  <c r="AY97" i="72"/>
  <c r="AY126" i="72" s="1"/>
  <c r="Q130" i="72"/>
  <c r="AM80" i="73"/>
  <c r="AM85" i="72"/>
  <c r="AM144" i="72"/>
  <c r="AC21" i="72"/>
  <c r="AC5" i="73"/>
  <c r="AC134" i="72"/>
  <c r="BC15" i="73"/>
  <c r="AD81" i="73"/>
  <c r="AD147" i="72"/>
  <c r="AN80" i="73"/>
  <c r="AN144" i="72"/>
  <c r="AN85" i="72"/>
  <c r="AN6" i="73"/>
  <c r="AN137" i="72"/>
  <c r="P157" i="72"/>
  <c r="BE97" i="72"/>
  <c r="BC12" i="73"/>
  <c r="BC8" i="73"/>
  <c r="BL8" i="72"/>
  <c r="BM8" i="72" s="1"/>
  <c r="N137" i="72"/>
  <c r="N6" i="73"/>
  <c r="N28" i="73"/>
  <c r="N30" i="73" s="1"/>
  <c r="N30" i="72"/>
  <c r="W28" i="73"/>
  <c r="W30" i="73" s="1"/>
  <c r="W30" i="72"/>
  <c r="AR144" i="72"/>
  <c r="AR85" i="72"/>
  <c r="AR80" i="73"/>
  <c r="AR81" i="73"/>
  <c r="AR147" i="72"/>
  <c r="BF97" i="72"/>
  <c r="BB97" i="72"/>
  <c r="BB126" i="72" s="1"/>
  <c r="AT137" i="72"/>
  <c r="AT6" i="73"/>
  <c r="I245" i="72"/>
  <c r="I193" i="72"/>
  <c r="V170" i="72"/>
  <c r="J103" i="73"/>
  <c r="J105" i="73" s="1"/>
  <c r="J94" i="72"/>
  <c r="I92" i="72"/>
  <c r="J84" i="73"/>
  <c r="I73" i="72"/>
  <c r="I84" i="73" s="1"/>
  <c r="J11" i="73"/>
  <c r="I11" i="73" s="1"/>
  <c r="I11" i="72"/>
  <c r="AD10" i="105" s="1"/>
  <c r="AT10" i="105" s="1"/>
  <c r="J5" i="73"/>
  <c r="I5" i="72"/>
  <c r="J134" i="72"/>
  <c r="J21" i="72"/>
  <c r="J92" i="73"/>
  <c r="I81" i="72"/>
  <c r="I92" i="73" s="1"/>
  <c r="J6" i="73"/>
  <c r="J137" i="72"/>
  <c r="I6" i="72"/>
  <c r="J7" i="73"/>
  <c r="I7" i="73" s="1"/>
  <c r="I7" i="72"/>
  <c r="I17" i="72"/>
  <c r="AD18" i="105" s="1"/>
  <c r="AT18" i="105" s="1"/>
  <c r="J17" i="73"/>
  <c r="I17" i="73" s="1"/>
  <c r="AX80" i="73"/>
  <c r="AX144" i="72"/>
  <c r="AX85" i="72"/>
  <c r="AX81" i="73"/>
  <c r="AX147" i="72"/>
  <c r="AX6" i="73"/>
  <c r="AX137" i="72"/>
  <c r="O210" i="72" s="1"/>
  <c r="I244" i="72"/>
  <c r="V169" i="72"/>
  <c r="BL41" i="72"/>
  <c r="I52" i="72"/>
  <c r="U154" i="72"/>
  <c r="U161" i="72" s="1"/>
  <c r="U151" i="72"/>
  <c r="M144" i="72"/>
  <c r="M85" i="72"/>
  <c r="M80" i="73"/>
  <c r="M103" i="73"/>
  <c r="M105" i="73" s="1"/>
  <c r="M94" i="72"/>
  <c r="M81" i="73"/>
  <c r="M147" i="72"/>
  <c r="AF81" i="73"/>
  <c r="AF147" i="72"/>
  <c r="AF28" i="73"/>
  <c r="AF30" i="73" s="1"/>
  <c r="AF30" i="72"/>
  <c r="BC94" i="73"/>
  <c r="V137" i="72"/>
  <c r="K210" i="72" s="1"/>
  <c r="V6" i="73"/>
  <c r="AI147" i="72"/>
  <c r="AI157" i="72" s="1"/>
  <c r="AI81" i="73"/>
  <c r="O33" i="73"/>
  <c r="O62" i="73" s="1"/>
  <c r="AQ80" i="73"/>
  <c r="AQ144" i="72"/>
  <c r="AQ85" i="72"/>
  <c r="AQ28" i="73"/>
  <c r="AQ30" i="73" s="1"/>
  <c r="AQ30" i="72"/>
  <c r="BC5" i="73"/>
  <c r="BC134" i="72"/>
  <c r="BC21" i="72"/>
  <c r="BC16" i="73"/>
  <c r="BC84" i="73"/>
  <c r="AS103" i="73"/>
  <c r="AS105" i="73" s="1"/>
  <c r="AS94" i="72"/>
  <c r="AS21" i="72"/>
  <c r="AS33" i="72" s="1"/>
  <c r="AS62" i="72" s="1"/>
  <c r="AS129" i="72" s="1"/>
  <c r="AS134" i="72"/>
  <c r="AS5" i="73"/>
  <c r="AV80" i="73"/>
  <c r="AV144" i="72"/>
  <c r="AV85" i="72"/>
  <c r="AV97" i="72" s="1"/>
  <c r="AV126" i="72" s="1"/>
  <c r="AU28" i="73"/>
  <c r="AU30" i="73" s="1"/>
  <c r="AU30" i="72"/>
  <c r="BF33" i="72"/>
  <c r="BF22" i="72"/>
  <c r="BK21" i="73"/>
  <c r="AP147" i="72"/>
  <c r="AP81" i="73"/>
  <c r="AP103" i="73"/>
  <c r="AP105" i="73" s="1"/>
  <c r="AP94" i="72"/>
  <c r="AP5" i="73"/>
  <c r="AP134" i="72"/>
  <c r="AP21" i="72"/>
  <c r="AL33" i="72"/>
  <c r="AL62" i="72" s="1"/>
  <c r="AL129" i="72" s="1"/>
  <c r="AL130" i="72" s="1"/>
  <c r="BL105" i="72"/>
  <c r="BL116" i="72" s="1"/>
  <c r="I116" i="72"/>
  <c r="Y137" i="72"/>
  <c r="Y6" i="73"/>
  <c r="AG103" i="73"/>
  <c r="AG105" i="73" s="1"/>
  <c r="AG94" i="72"/>
  <c r="S5" i="73"/>
  <c r="S134" i="72"/>
  <c r="S141" i="72" s="1"/>
  <c r="S21" i="72"/>
  <c r="S33" i="72" s="1"/>
  <c r="S62" i="72" s="1"/>
  <c r="S129" i="72" s="1"/>
  <c r="O108" i="73"/>
  <c r="O137" i="73" s="1"/>
  <c r="Q168" i="72"/>
  <c r="AZ154" i="72"/>
  <c r="AZ161" i="72" s="1"/>
  <c r="AZ151" i="72"/>
  <c r="AA80" i="73"/>
  <c r="AA144" i="72"/>
  <c r="AA85" i="72"/>
  <c r="AA97" i="72" s="1"/>
  <c r="AA126" i="72" s="1"/>
  <c r="AA81" i="73"/>
  <c r="AA147" i="72"/>
  <c r="AA157" i="72" s="1"/>
  <c r="AA5" i="73"/>
  <c r="AA134" i="72"/>
  <c r="AA21" i="72"/>
  <c r="AA33" i="72" s="1"/>
  <c r="AA62" i="72" s="1"/>
  <c r="AA129" i="72" s="1"/>
  <c r="L28" i="73"/>
  <c r="L30" i="73" s="1"/>
  <c r="L30" i="72"/>
  <c r="P207" i="72"/>
  <c r="P214" i="72" s="1"/>
  <c r="AY141" i="72"/>
  <c r="BJ154" i="72"/>
  <c r="BJ161" i="72" s="1"/>
  <c r="BJ151" i="72"/>
  <c r="BC9" i="73"/>
  <c r="BD154" i="72"/>
  <c r="BD161" i="72" s="1"/>
  <c r="BD151" i="72"/>
  <c r="T168" i="72"/>
  <c r="R171" i="72"/>
  <c r="BA157" i="72"/>
  <c r="AY108" i="73"/>
  <c r="I160" i="72"/>
  <c r="P96" i="73"/>
  <c r="P108" i="73" s="1"/>
  <c r="P137" i="73" s="1"/>
  <c r="BC20" i="73"/>
  <c r="BL20" i="72"/>
  <c r="BM20" i="72" s="1"/>
  <c r="BC103" i="73"/>
  <c r="BL92" i="72"/>
  <c r="BL94" i="72" s="1"/>
  <c r="BC94" i="72"/>
  <c r="BC83" i="73"/>
  <c r="AH80" i="73"/>
  <c r="AH144" i="72"/>
  <c r="AH85" i="72"/>
  <c r="AH97" i="72" s="1"/>
  <c r="AH126" i="72" s="1"/>
  <c r="AH81" i="73"/>
  <c r="AH147" i="72"/>
  <c r="AW103" i="73"/>
  <c r="AW105" i="73" s="1"/>
  <c r="AW94" i="72"/>
  <c r="BF157" i="72"/>
  <c r="BB21" i="73"/>
  <c r="BB33" i="73" s="1"/>
  <c r="BK96" i="73"/>
  <c r="I58" i="73"/>
  <c r="BS58" i="73" s="1"/>
  <c r="BL55" i="73"/>
  <c r="Q96" i="73"/>
  <c r="Q108" i="73" s="1"/>
  <c r="Q137" i="73" s="1"/>
  <c r="AL154" i="72"/>
  <c r="AL151" i="72"/>
  <c r="AM81" i="73"/>
  <c r="AM147" i="72"/>
  <c r="AM28" i="73"/>
  <c r="AM30" i="73" s="1"/>
  <c r="AM30" i="72"/>
  <c r="AB6" i="73"/>
  <c r="AB137" i="72"/>
  <c r="AB103" i="73"/>
  <c r="AB105" i="73" s="1"/>
  <c r="AB94" i="72"/>
  <c r="AB28" i="73"/>
  <c r="AB30" i="73" s="1"/>
  <c r="AB30" i="72"/>
  <c r="BH33" i="72"/>
  <c r="BH22" i="72"/>
  <c r="J245" i="72"/>
  <c r="J193" i="72"/>
  <c r="BE22" i="72"/>
  <c r="BE33" i="72"/>
  <c r="AD28" i="73"/>
  <c r="AD30" i="73" s="1"/>
  <c r="AD30" i="72"/>
  <c r="BI154" i="72"/>
  <c r="BI161" i="72" s="1"/>
  <c r="BI151" i="72"/>
  <c r="AO103" i="73"/>
  <c r="AO105" i="73" s="1"/>
  <c r="AO94" i="72"/>
  <c r="AO80" i="73"/>
  <c r="AO144" i="72"/>
  <c r="AO85" i="72"/>
  <c r="AO28" i="73"/>
  <c r="AO30" i="73" s="1"/>
  <c r="AO30" i="72"/>
  <c r="BL146" i="72"/>
  <c r="BL122" i="72"/>
  <c r="W81" i="73"/>
  <c r="W147" i="72"/>
  <c r="W6" i="73"/>
  <c r="W137" i="72"/>
  <c r="L210" i="72" s="1"/>
  <c r="AT80" i="73"/>
  <c r="AT144" i="72"/>
  <c r="AT85" i="72"/>
  <c r="J95" i="73"/>
  <c r="I84" i="72"/>
  <c r="I95" i="73" s="1"/>
  <c r="I16" i="72"/>
  <c r="J16" i="73"/>
  <c r="I16" i="73" s="1"/>
  <c r="AX28" i="73"/>
  <c r="AX30" i="73" s="1"/>
  <c r="AX30" i="72"/>
  <c r="AX5" i="73"/>
  <c r="AX134" i="72"/>
  <c r="AX21" i="72"/>
  <c r="AX33" i="72" s="1"/>
  <c r="AX62" i="72" s="1"/>
  <c r="AX129" i="72" s="1"/>
  <c r="T154" i="72"/>
  <c r="T161" i="72" s="1"/>
  <c r="T162" i="72" s="1"/>
  <c r="T151" i="72"/>
  <c r="M21" i="72"/>
  <c r="M33" i="72" s="1"/>
  <c r="M62" i="72" s="1"/>
  <c r="M129" i="72" s="1"/>
  <c r="M134" i="72"/>
  <c r="M5" i="73"/>
  <c r="BH154" i="72"/>
  <c r="BH161" i="72" s="1"/>
  <c r="BH151" i="72"/>
  <c r="AI103" i="73"/>
  <c r="AI105" i="73" s="1"/>
  <c r="AI94" i="72"/>
  <c r="AV81" i="73"/>
  <c r="AV147" i="72"/>
  <c r="BA141" i="72"/>
  <c r="R207" i="72"/>
  <c r="R214" i="72" s="1"/>
  <c r="S260" i="72"/>
  <c r="S192" i="72"/>
  <c r="S267" i="72" s="1"/>
  <c r="AP6" i="73"/>
  <c r="AP137" i="72"/>
  <c r="AG137" i="72"/>
  <c r="AG6" i="73"/>
  <c r="L6" i="73"/>
  <c r="L137" i="72"/>
  <c r="BD97" i="72"/>
  <c r="J52" i="73"/>
  <c r="BP41" i="73"/>
  <c r="BS41" i="73" s="1"/>
  <c r="O245" i="72"/>
  <c r="O193" i="72"/>
  <c r="Z80" i="73"/>
  <c r="Z144" i="72"/>
  <c r="Z85" i="72"/>
  <c r="Z5" i="73"/>
  <c r="Z21" i="72"/>
  <c r="Z134" i="72"/>
  <c r="Z141" i="72" s="1"/>
  <c r="AH5" i="73"/>
  <c r="AH134" i="72"/>
  <c r="AH21" i="72"/>
  <c r="I249" i="72"/>
  <c r="I186" i="72"/>
  <c r="I192" i="72" s="1"/>
  <c r="V174" i="72"/>
  <c r="X80" i="73"/>
  <c r="X144" i="72"/>
  <c r="X85" i="72"/>
  <c r="AC103" i="73"/>
  <c r="AC105" i="73" s="1"/>
  <c r="AC94" i="72"/>
  <c r="AE103" i="73"/>
  <c r="AE105" i="73" s="1"/>
  <c r="AE94" i="72"/>
  <c r="AB5" i="73"/>
  <c r="AB134" i="72"/>
  <c r="AB21" i="72"/>
  <c r="AB33" i="72" s="1"/>
  <c r="AB62" i="72" s="1"/>
  <c r="AB129" i="72" s="1"/>
  <c r="AN28" i="73"/>
  <c r="AN30" i="73" s="1"/>
  <c r="AN30" i="72"/>
  <c r="AN103" i="73"/>
  <c r="AN105" i="73" s="1"/>
  <c r="AN94" i="72"/>
  <c r="BE154" i="72"/>
  <c r="BE161" i="72" s="1"/>
  <c r="BE151" i="72"/>
  <c r="BC81" i="73"/>
  <c r="BC147" i="72"/>
  <c r="BC95" i="73"/>
  <c r="N147" i="72"/>
  <c r="N81" i="73"/>
  <c r="N80" i="73"/>
  <c r="N144" i="72"/>
  <c r="N85" i="72"/>
  <c r="W5" i="73"/>
  <c r="W21" i="73" s="1"/>
  <c r="W134" i="72"/>
  <c r="W21" i="72"/>
  <c r="W33" i="72" s="1"/>
  <c r="W62" i="72" s="1"/>
  <c r="W129" i="72" s="1"/>
  <c r="AR5" i="73"/>
  <c r="AR21" i="73" s="1"/>
  <c r="AR134" i="72"/>
  <c r="AR21" i="72"/>
  <c r="AR28" i="73"/>
  <c r="AR30" i="73" s="1"/>
  <c r="AR30" i="72"/>
  <c r="BF154" i="72"/>
  <c r="BF161" i="72" s="1"/>
  <c r="BF151" i="72"/>
  <c r="S168" i="72"/>
  <c r="BB154" i="72"/>
  <c r="BB151" i="72"/>
  <c r="BL136" i="72"/>
  <c r="BL58" i="72"/>
  <c r="BM58" i="72" s="1"/>
  <c r="BM55" i="72"/>
  <c r="AT103" i="73"/>
  <c r="AT105" i="73" s="1"/>
  <c r="AT94" i="72"/>
  <c r="J147" i="72"/>
  <c r="J157" i="72" s="1"/>
  <c r="I70" i="72"/>
  <c r="J81" i="73"/>
  <c r="J83" i="73"/>
  <c r="I72" i="72"/>
  <c r="I83" i="73" s="1"/>
  <c r="J93" i="73"/>
  <c r="I82" i="72"/>
  <c r="I93" i="73" s="1"/>
  <c r="J91" i="73"/>
  <c r="I80" i="72"/>
  <c r="I91" i="73" s="1"/>
  <c r="J88" i="73"/>
  <c r="I77" i="72"/>
  <c r="I88" i="73" s="1"/>
  <c r="J28" i="73"/>
  <c r="J30" i="72"/>
  <c r="I28" i="72"/>
  <c r="I30" i="72" s="1"/>
  <c r="J19" i="73"/>
  <c r="I19" i="73" s="1"/>
  <c r="I19" i="72"/>
  <c r="J87" i="73"/>
  <c r="I76" i="72"/>
  <c r="I87" i="73" s="1"/>
  <c r="K80" i="73"/>
  <c r="K144" i="72"/>
  <c r="K85" i="72"/>
  <c r="K97" i="72" s="1"/>
  <c r="K126" i="72" s="1"/>
  <c r="BM43" i="72"/>
  <c r="BL135" i="72"/>
  <c r="BL155" i="72" s="1"/>
  <c r="BM39" i="72"/>
  <c r="BL139" i="72"/>
  <c r="BL159" i="72" s="1"/>
  <c r="U96" i="73"/>
  <c r="U108" i="73" s="1"/>
  <c r="U137" i="73" s="1"/>
  <c r="M137" i="72"/>
  <c r="M6" i="73"/>
  <c r="AF80" i="73"/>
  <c r="AF144" i="72"/>
  <c r="AF85" i="72"/>
  <c r="AF97" i="72" s="1"/>
  <c r="AF126" i="72" s="1"/>
  <c r="AF103" i="73"/>
  <c r="AF105" i="73" s="1"/>
  <c r="AF94" i="72"/>
  <c r="AF6" i="73"/>
  <c r="AF137" i="72"/>
  <c r="BH97" i="72"/>
  <c r="V28" i="73"/>
  <c r="V30" i="73" s="1"/>
  <c r="V30" i="72"/>
  <c r="AI144" i="72"/>
  <c r="AI85" i="72"/>
  <c r="AI80" i="73"/>
  <c r="BG97" i="72"/>
  <c r="I260" i="72"/>
  <c r="U33" i="73"/>
  <c r="U62" i="73" s="1"/>
  <c r="R80" i="73"/>
  <c r="R144" i="72"/>
  <c r="R85" i="72"/>
  <c r="R97" i="72" s="1"/>
  <c r="R126" i="72" s="1"/>
  <c r="R5" i="73"/>
  <c r="R21" i="73" s="1"/>
  <c r="R134" i="72"/>
  <c r="R21" i="72"/>
  <c r="AQ81" i="73"/>
  <c r="AQ147" i="72"/>
  <c r="AQ157" i="72" s="1"/>
  <c r="P141" i="72"/>
  <c r="BD33" i="72"/>
  <c r="BD22" i="72"/>
  <c r="BC88" i="73"/>
  <c r="AS144" i="72"/>
  <c r="AS80" i="73"/>
  <c r="AS85" i="72"/>
  <c r="AS97" i="72" s="1"/>
  <c r="AS126" i="72" s="1"/>
  <c r="AS81" i="73"/>
  <c r="AS147" i="72"/>
  <c r="AS137" i="72"/>
  <c r="AS6" i="73"/>
  <c r="AV5" i="73"/>
  <c r="AV21" i="73" s="1"/>
  <c r="AV134" i="72"/>
  <c r="AV21" i="72"/>
  <c r="AV28" i="73"/>
  <c r="AV30" i="73" s="1"/>
  <c r="AV30" i="72"/>
  <c r="AU80" i="73"/>
  <c r="AU96" i="73" s="1"/>
  <c r="AU85" i="72"/>
  <c r="AU97" i="72" s="1"/>
  <c r="AU126" i="72" s="1"/>
  <c r="AU144" i="72"/>
  <c r="BA21" i="73"/>
  <c r="BA33" i="73" s="1"/>
  <c r="BA62" i="73" s="1"/>
  <c r="R168" i="72"/>
  <c r="BA154" i="72"/>
  <c r="BA161" i="72" s="1"/>
  <c r="BA151" i="72"/>
  <c r="I155" i="72"/>
  <c r="AP28" i="73"/>
  <c r="AP30" i="73" s="1"/>
  <c r="AP30" i="72"/>
  <c r="AL21" i="73"/>
  <c r="AL33" i="73" s="1"/>
  <c r="AL62" i="73" s="1"/>
  <c r="K268" i="72"/>
  <c r="Y28" i="73"/>
  <c r="Y30" i="73" s="1"/>
  <c r="Y30" i="72"/>
  <c r="Y134" i="72"/>
  <c r="Y141" i="72" s="1"/>
  <c r="Y21" i="72"/>
  <c r="Y5" i="73"/>
  <c r="Y21" i="73" s="1"/>
  <c r="Y33" i="73" s="1"/>
  <c r="Y62" i="73" s="1"/>
  <c r="S80" i="73"/>
  <c r="S144" i="72"/>
  <c r="S85" i="72"/>
  <c r="O244" i="72"/>
  <c r="AZ96" i="73"/>
  <c r="AZ108" i="73" s="1"/>
  <c r="AZ137" i="73" s="1"/>
  <c r="J186" i="72"/>
  <c r="J261" i="72" s="1"/>
  <c r="J249" i="72"/>
  <c r="AJ81" i="73"/>
  <c r="AJ147" i="72"/>
  <c r="AJ6" i="73"/>
  <c r="AJ137" i="72"/>
  <c r="AJ28" i="73"/>
  <c r="AJ30" i="73" s="1"/>
  <c r="AJ30" i="72"/>
  <c r="L81" i="73"/>
  <c r="L147" i="72"/>
  <c r="L80" i="73"/>
  <c r="L144" i="72"/>
  <c r="L85" i="72"/>
  <c r="L97" i="72" s="1"/>
  <c r="L126" i="72" s="1"/>
  <c r="AY21" i="73"/>
  <c r="AY33" i="73" s="1"/>
  <c r="BC18" i="73"/>
  <c r="S171" i="72"/>
  <c r="BB157" i="72"/>
  <c r="AK21" i="72"/>
  <c r="AK134" i="72"/>
  <c r="AK5" i="73"/>
  <c r="AK21" i="73" s="1"/>
  <c r="AK33" i="73" s="1"/>
  <c r="AK62" i="73" s="1"/>
  <c r="AK28" i="73"/>
  <c r="AK30" i="73" s="1"/>
  <c r="AK30" i="72"/>
  <c r="O186" i="72"/>
  <c r="O261" i="72" s="1"/>
  <c r="O249" i="72"/>
  <c r="BC91" i="73"/>
  <c r="BL80" i="72"/>
  <c r="Z81" i="73"/>
  <c r="Z147" i="72"/>
  <c r="Z157" i="72" s="1"/>
  <c r="Z94" i="72"/>
  <c r="Z103" i="73"/>
  <c r="Z105" i="73" s="1"/>
  <c r="Z28" i="73"/>
  <c r="Z30" i="73" s="1"/>
  <c r="Z30" i="72"/>
  <c r="AH28" i="73"/>
  <c r="AH30" i="73" s="1"/>
  <c r="AH30" i="72"/>
  <c r="AW137" i="72"/>
  <c r="N210" i="72" s="1"/>
  <c r="AW6" i="73"/>
  <c r="S207" i="72"/>
  <c r="S214" i="72" s="1"/>
  <c r="BB141" i="72"/>
  <c r="S176" i="72" s="1"/>
  <c r="Q21" i="73"/>
  <c r="Q33" i="73" s="1"/>
  <c r="Q62" i="73" s="1"/>
  <c r="AL108" i="73"/>
  <c r="AL137" i="73" s="1"/>
  <c r="R268" i="72"/>
  <c r="AM103" i="73"/>
  <c r="AM105" i="73" s="1"/>
  <c r="AM94" i="72"/>
  <c r="X81" i="73"/>
  <c r="X147" i="72"/>
  <c r="X157" i="72" s="1"/>
  <c r="BI22" i="72"/>
  <c r="BI33" i="72"/>
  <c r="AC80" i="73"/>
  <c r="AC144" i="72"/>
  <c r="AC85" i="72"/>
  <c r="AC97" i="72" s="1"/>
  <c r="AC126" i="72" s="1"/>
  <c r="AC81" i="73"/>
  <c r="AC147" i="72"/>
  <c r="AC157" i="72" s="1"/>
  <c r="AC137" i="72"/>
  <c r="AC6" i="73"/>
  <c r="J244" i="72"/>
  <c r="AE80" i="73"/>
  <c r="AE96" i="73" s="1"/>
  <c r="AE85" i="72"/>
  <c r="AE97" i="72" s="1"/>
  <c r="AE126" i="72" s="1"/>
  <c r="AE144" i="72"/>
  <c r="AE6" i="73"/>
  <c r="AE137" i="72"/>
  <c r="BH141" i="72"/>
  <c r="AD103" i="73"/>
  <c r="AD105" i="73" s="1"/>
  <c r="AD94" i="72"/>
  <c r="AD80" i="73"/>
  <c r="AD144" i="72"/>
  <c r="AD85" i="72"/>
  <c r="AD137" i="72"/>
  <c r="AD6" i="73"/>
  <c r="AD134" i="72"/>
  <c r="AD5" i="73"/>
  <c r="AD21" i="72"/>
  <c r="AD33" i="72" s="1"/>
  <c r="AD62" i="72" s="1"/>
  <c r="AD129" i="72" s="1"/>
  <c r="BM113" i="73"/>
  <c r="BL116" i="73"/>
  <c r="Q268" i="72"/>
  <c r="AO81" i="73"/>
  <c r="AO147" i="72"/>
  <c r="AO157" i="72" s="1"/>
  <c r="I156" i="72"/>
  <c r="BS43" i="73"/>
  <c r="AK141" i="72" l="1"/>
  <c r="AF96" i="73"/>
  <c r="AB21" i="73"/>
  <c r="AB33" i="73" s="1"/>
  <c r="AB62" i="73" s="1"/>
  <c r="BD86" i="72"/>
  <c r="AC141" i="72"/>
  <c r="AK157" i="72"/>
  <c r="BI86" i="72"/>
  <c r="AE141" i="72"/>
  <c r="BL28" i="72"/>
  <c r="AB141" i="72"/>
  <c r="AD96" i="73"/>
  <c r="AV33" i="72"/>
  <c r="AV62" i="72" s="1"/>
  <c r="AV129" i="72" s="1"/>
  <c r="BG86" i="72"/>
  <c r="BL73" i="72"/>
  <c r="AR97" i="72"/>
  <c r="AR126" i="72" s="1"/>
  <c r="AC33" i="72"/>
  <c r="AC62" i="72" s="1"/>
  <c r="AC129" i="72" s="1"/>
  <c r="AC130" i="72" s="1"/>
  <c r="X33" i="72"/>
  <c r="X62" i="72" s="1"/>
  <c r="X129" i="72" s="1"/>
  <c r="AO97" i="72"/>
  <c r="AO126" i="72" s="1"/>
  <c r="AX96" i="73"/>
  <c r="AX108" i="73" s="1"/>
  <c r="AX137" i="73" s="1"/>
  <c r="AQ21" i="73"/>
  <c r="S97" i="72"/>
  <c r="S126" i="72" s="1"/>
  <c r="S130" i="72" s="1"/>
  <c r="R33" i="73"/>
  <c r="R62" i="73" s="1"/>
  <c r="AI96" i="73"/>
  <c r="AI108" i="73" s="1"/>
  <c r="AI137" i="73" s="1"/>
  <c r="AI143" i="73" s="1"/>
  <c r="BL84" i="72"/>
  <c r="M97" i="72"/>
  <c r="M126" i="72" s="1"/>
  <c r="BL12" i="72"/>
  <c r="BM12" i="72" s="1"/>
  <c r="X21" i="73"/>
  <c r="BK161" i="72"/>
  <c r="AI97" i="72"/>
  <c r="AI126" i="72" s="1"/>
  <c r="AL161" i="72"/>
  <c r="AW33" i="72"/>
  <c r="AW62" i="72" s="1"/>
  <c r="AW129" i="72" s="1"/>
  <c r="BA130" i="72"/>
  <c r="AM97" i="72"/>
  <c r="AM126" i="72" s="1"/>
  <c r="AT8" i="105"/>
  <c r="AJ157" i="72"/>
  <c r="AS130" i="72"/>
  <c r="BH86" i="72"/>
  <c r="AF108" i="73"/>
  <c r="AF137" i="73" s="1"/>
  <c r="BC141" i="72"/>
  <c r="AQ33" i="73"/>
  <c r="AQ62" i="73" s="1"/>
  <c r="BL18" i="72"/>
  <c r="BM18" i="72" s="1"/>
  <c r="AD19" i="105"/>
  <c r="AT19" i="105" s="1"/>
  <c r="X141" i="72"/>
  <c r="BK86" i="72"/>
  <c r="P161" i="72"/>
  <c r="P162" i="72" s="1"/>
  <c r="V96" i="73"/>
  <c r="V108" i="73" s="1"/>
  <c r="V137" i="73" s="1"/>
  <c r="BL13" i="72"/>
  <c r="BM13" i="72" s="1"/>
  <c r="AD13" i="105"/>
  <c r="AT13" i="105" s="1"/>
  <c r="AT141" i="72"/>
  <c r="AT157" i="72"/>
  <c r="AU141" i="72"/>
  <c r="T214" i="72"/>
  <c r="BL19" i="72"/>
  <c r="BM19" i="72" s="1"/>
  <c r="AD20" i="105"/>
  <c r="AT20" i="105" s="1"/>
  <c r="BL15" i="72"/>
  <c r="BM15" i="72" s="1"/>
  <c r="AD15" i="105"/>
  <c r="AT15" i="105" s="1"/>
  <c r="AV141" i="72"/>
  <c r="R96" i="73"/>
  <c r="R108" i="73" s="1"/>
  <c r="R137" i="73" s="1"/>
  <c r="AR141" i="72"/>
  <c r="W33" i="73"/>
  <c r="W62" i="73" s="1"/>
  <c r="W64" i="73" s="1"/>
  <c r="BC157" i="72"/>
  <c r="AV157" i="72"/>
  <c r="BL9" i="72"/>
  <c r="BM9" i="72" s="1"/>
  <c r="AP21" i="73"/>
  <c r="AP33" i="73" s="1"/>
  <c r="AP62" i="73" s="1"/>
  <c r="AP157" i="72"/>
  <c r="M130" i="72"/>
  <c r="BF86" i="72"/>
  <c r="AD157" i="72"/>
  <c r="AN33" i="72"/>
  <c r="AN62" i="72" s="1"/>
  <c r="AN129" i="72" s="1"/>
  <c r="V97" i="72"/>
  <c r="V126" i="72" s="1"/>
  <c r="AT33" i="72"/>
  <c r="AT62" i="72" s="1"/>
  <c r="AT129" i="72" s="1"/>
  <c r="AN157" i="72"/>
  <c r="O192" i="72"/>
  <c r="BL7" i="72"/>
  <c r="BM7" i="72" s="1"/>
  <c r="AD6" i="105"/>
  <c r="AB97" i="72"/>
  <c r="AB126" i="72" s="1"/>
  <c r="AB130" i="72" s="1"/>
  <c r="AD141" i="72"/>
  <c r="Y33" i="72"/>
  <c r="Y62" i="72" s="1"/>
  <c r="Y129" i="72" s="1"/>
  <c r="AV33" i="73"/>
  <c r="AV62" i="73" s="1"/>
  <c r="N157" i="72"/>
  <c r="BP52" i="73"/>
  <c r="BS52" i="73" s="1"/>
  <c r="AX21" i="73"/>
  <c r="AX33" i="73" s="1"/>
  <c r="AX62" i="73" s="1"/>
  <c r="BL16" i="72"/>
  <c r="BM16" i="72" s="1"/>
  <c r="AD17" i="105"/>
  <c r="AT17" i="105" s="1"/>
  <c r="AO96" i="73"/>
  <c r="AO108" i="73" s="1"/>
  <c r="AO137" i="73" s="1"/>
  <c r="AO143" i="73" s="1"/>
  <c r="AH96" i="73"/>
  <c r="AH108" i="73" s="1"/>
  <c r="AH137" i="73" s="1"/>
  <c r="AA141" i="72"/>
  <c r="AJ33" i="72"/>
  <c r="AJ62" i="72" s="1"/>
  <c r="AJ129" i="72" s="1"/>
  <c r="AI21" i="73"/>
  <c r="AI33" i="73" s="1"/>
  <c r="AI62" i="73" s="1"/>
  <c r="N141" i="72"/>
  <c r="BL17" i="72"/>
  <c r="BM17" i="72" s="1"/>
  <c r="BL11" i="72"/>
  <c r="BM11" i="72" s="1"/>
  <c r="AU108" i="73"/>
  <c r="AU137" i="73" s="1"/>
  <c r="AU143" i="73" s="1"/>
  <c r="K96" i="73"/>
  <c r="K108" i="73" s="1"/>
  <c r="K137" i="73" s="1"/>
  <c r="AN96" i="73"/>
  <c r="AN108" i="73" s="1"/>
  <c r="AN137" i="73" s="1"/>
  <c r="Y96" i="73"/>
  <c r="AT96" i="73"/>
  <c r="AG21" i="73"/>
  <c r="AG33" i="73" s="1"/>
  <c r="AG62" i="73" s="1"/>
  <c r="AG64" i="73" s="1"/>
  <c r="AG96" i="73"/>
  <c r="AG108" i="73" s="1"/>
  <c r="AG137" i="73" s="1"/>
  <c r="AD108" i="73"/>
  <c r="AD137" i="73" s="1"/>
  <c r="AC96" i="73"/>
  <c r="AC108" i="73" s="1"/>
  <c r="AC137" i="73" s="1"/>
  <c r="AC143" i="73" s="1"/>
  <c r="AS96" i="73"/>
  <c r="AS108" i="73" s="1"/>
  <c r="AS137" i="73" s="1"/>
  <c r="AS143" i="73" s="1"/>
  <c r="AA21" i="73"/>
  <c r="AA33" i="73" s="1"/>
  <c r="AA62" i="73" s="1"/>
  <c r="AA140" i="73" s="1"/>
  <c r="BL127" i="73"/>
  <c r="BM127" i="73" s="1"/>
  <c r="BM116" i="73"/>
  <c r="T163" i="72"/>
  <c r="T152" i="72"/>
  <c r="AT154" i="72"/>
  <c r="AT161" i="72" s="1"/>
  <c r="AT151" i="72"/>
  <c r="W157" i="72"/>
  <c r="L171" i="72"/>
  <c r="BC105" i="73"/>
  <c r="AZ163" i="72"/>
  <c r="AZ152" i="72"/>
  <c r="AS141" i="72"/>
  <c r="AQ151" i="72"/>
  <c r="AQ154" i="72"/>
  <c r="AQ161" i="72" s="1"/>
  <c r="BL94" i="73"/>
  <c r="BM94" i="73" s="1"/>
  <c r="O171" i="72"/>
  <c r="AX157" i="72"/>
  <c r="BB143" i="73"/>
  <c r="AM33" i="73"/>
  <c r="AM62" i="73" s="1"/>
  <c r="BL92" i="73"/>
  <c r="BM92" i="73" s="1"/>
  <c r="AY152" i="72"/>
  <c r="AF141" i="72"/>
  <c r="R267" i="72"/>
  <c r="AW97" i="72"/>
  <c r="AW126" i="72" s="1"/>
  <c r="K207" i="72"/>
  <c r="K214" i="72" s="1"/>
  <c r="V141" i="72"/>
  <c r="BL91" i="73"/>
  <c r="BM91" i="73" s="1"/>
  <c r="AK33" i="72"/>
  <c r="AK62" i="72" s="1"/>
  <c r="AK129" i="72" s="1"/>
  <c r="BL18" i="73"/>
  <c r="BM18" i="73" s="1"/>
  <c r="BN18" i="73"/>
  <c r="L96" i="73"/>
  <c r="L108" i="73" s="1"/>
  <c r="L137" i="73" s="1"/>
  <c r="O267" i="72"/>
  <c r="S96" i="73"/>
  <c r="S108" i="73" s="1"/>
  <c r="S137" i="73" s="1"/>
  <c r="BA140" i="73"/>
  <c r="BA141" i="73" s="1"/>
  <c r="BA64" i="73"/>
  <c r="BA68" i="73"/>
  <c r="AV64" i="73"/>
  <c r="AV68" i="73"/>
  <c r="AV140" i="73"/>
  <c r="BL77" i="72"/>
  <c r="BD62" i="72"/>
  <c r="R33" i="72"/>
  <c r="R62" i="72" s="1"/>
  <c r="R129" i="72" s="1"/>
  <c r="R130" i="72" s="1"/>
  <c r="R154" i="72"/>
  <c r="R151" i="72"/>
  <c r="S243" i="72"/>
  <c r="S175" i="72"/>
  <c r="S250" i="72" s="1"/>
  <c r="N154" i="72"/>
  <c r="N161" i="72" s="1"/>
  <c r="N151" i="72"/>
  <c r="AB140" i="73"/>
  <c r="AB64" i="73"/>
  <c r="AB68" i="73"/>
  <c r="W174" i="72"/>
  <c r="V249" i="72"/>
  <c r="M207" i="72"/>
  <c r="M214" i="72" s="1"/>
  <c r="AH141" i="72"/>
  <c r="Z21" i="73"/>
  <c r="Z33" i="73" s="1"/>
  <c r="Z62" i="73" s="1"/>
  <c r="O268" i="72"/>
  <c r="M141" i="72"/>
  <c r="Q143" i="73"/>
  <c r="BB62" i="73"/>
  <c r="AH157" i="72"/>
  <c r="M171" i="72"/>
  <c r="AH143" i="73"/>
  <c r="BL20" i="73"/>
  <c r="BM20" i="73" s="1"/>
  <c r="AA64" i="73"/>
  <c r="AA68" i="73"/>
  <c r="AA151" i="72"/>
  <c r="AA154" i="72"/>
  <c r="AA161" i="72" s="1"/>
  <c r="Q243" i="72"/>
  <c r="Q175" i="72"/>
  <c r="S21" i="73"/>
  <c r="S33" i="73" s="1"/>
  <c r="S62" i="73" s="1"/>
  <c r="AP33" i="72"/>
  <c r="AP62" i="72" s="1"/>
  <c r="AP129" i="72" s="1"/>
  <c r="AV96" i="73"/>
  <c r="AV108" i="73" s="1"/>
  <c r="AV137" i="73" s="1"/>
  <c r="BC33" i="72"/>
  <c r="BD34" i="72" s="1"/>
  <c r="BC22" i="72"/>
  <c r="O64" i="73"/>
  <c r="O68" i="73"/>
  <c r="O140" i="73"/>
  <c r="O141" i="73" s="1"/>
  <c r="BP59" i="73"/>
  <c r="U163" i="72"/>
  <c r="U152" i="72"/>
  <c r="BM41" i="72"/>
  <c r="BL52" i="72"/>
  <c r="AX97" i="72"/>
  <c r="AX126" i="72" s="1"/>
  <c r="AX130" i="72" s="1"/>
  <c r="J33" i="72"/>
  <c r="J62" i="72" s="1"/>
  <c r="I103" i="73"/>
  <c r="I105" i="73" s="1"/>
  <c r="I94" i="72"/>
  <c r="I268" i="72"/>
  <c r="V193" i="72"/>
  <c r="BB130" i="72"/>
  <c r="BB163" i="72" s="1"/>
  <c r="AN154" i="72"/>
  <c r="AN151" i="72"/>
  <c r="AJ21" i="73"/>
  <c r="AJ33" i="73" s="1"/>
  <c r="AJ62" i="73" s="1"/>
  <c r="O152" i="72"/>
  <c r="O163" i="72"/>
  <c r="AP154" i="72"/>
  <c r="AP161" i="72" s="1"/>
  <c r="AP151" i="72"/>
  <c r="BL76" i="72"/>
  <c r="AQ33" i="72"/>
  <c r="AQ62" i="72" s="1"/>
  <c r="AQ129" i="72" s="1"/>
  <c r="N33" i="72"/>
  <c r="N62" i="72" s="1"/>
  <c r="N129" i="72" s="1"/>
  <c r="BL82" i="73"/>
  <c r="BM82" i="73" s="1"/>
  <c r="AN21" i="73"/>
  <c r="AN33" i="73" s="1"/>
  <c r="AN62" i="73" s="1"/>
  <c r="AO33" i="72"/>
  <c r="AO62" i="72" s="1"/>
  <c r="AO129" i="72" s="1"/>
  <c r="AO130" i="72" s="1"/>
  <c r="BI126" i="72"/>
  <c r="AM33" i="72"/>
  <c r="AM62" i="72" s="1"/>
  <c r="AM129" i="72" s="1"/>
  <c r="L268" i="72"/>
  <c r="Q162" i="72"/>
  <c r="AW21" i="73"/>
  <c r="AW33" i="73" s="1"/>
  <c r="AW62" i="73" s="1"/>
  <c r="BL93" i="73"/>
  <c r="BM93" i="73" s="1"/>
  <c r="BL7" i="73"/>
  <c r="BM7" i="73" s="1"/>
  <c r="BC97" i="72"/>
  <c r="BD98" i="72" s="1"/>
  <c r="BJ86" i="72"/>
  <c r="BL86" i="73"/>
  <c r="BM86" i="73" s="1"/>
  <c r="R157" i="72"/>
  <c r="K171" i="72"/>
  <c r="V157" i="72"/>
  <c r="AZ68" i="73"/>
  <c r="AZ140" i="73"/>
  <c r="AZ64" i="73"/>
  <c r="K141" i="72"/>
  <c r="I90" i="73"/>
  <c r="BL90" i="73" s="1"/>
  <c r="BM90" i="73" s="1"/>
  <c r="BL79" i="72"/>
  <c r="I80" i="73"/>
  <c r="BL80" i="73" s="1"/>
  <c r="BM80" i="73" s="1"/>
  <c r="I144" i="72"/>
  <c r="I85" i="72"/>
  <c r="W96" i="73"/>
  <c r="W108" i="73" s="1"/>
  <c r="W137" i="73" s="1"/>
  <c r="M268" i="72"/>
  <c r="AB96" i="73"/>
  <c r="AB108" i="73" s="1"/>
  <c r="AB137" i="73" s="1"/>
  <c r="AW96" i="73"/>
  <c r="AW108" i="73" s="1"/>
  <c r="AW137" i="73" s="1"/>
  <c r="J207" i="72"/>
  <c r="L141" i="72"/>
  <c r="AG141" i="72"/>
  <c r="Y157" i="72"/>
  <c r="BK62" i="72"/>
  <c r="V33" i="72"/>
  <c r="V62" i="72" s="1"/>
  <c r="V129" i="72" s="1"/>
  <c r="V130" i="72" s="1"/>
  <c r="BG22" i="72"/>
  <c r="K157" i="72"/>
  <c r="Q140" i="73"/>
  <c r="Q141" i="73" s="1"/>
  <c r="Q64" i="73"/>
  <c r="Q68" i="73"/>
  <c r="BG126" i="72"/>
  <c r="BG152" i="72" s="1"/>
  <c r="K143" i="73"/>
  <c r="W140" i="73"/>
  <c r="X154" i="72"/>
  <c r="X161" i="72" s="1"/>
  <c r="X151" i="72"/>
  <c r="J210" i="72"/>
  <c r="BH34" i="72"/>
  <c r="BH62" i="72"/>
  <c r="AL163" i="72"/>
  <c r="AL152" i="72"/>
  <c r="BL83" i="73"/>
  <c r="BM83" i="73" s="1"/>
  <c r="R246" i="72"/>
  <c r="R183" i="72"/>
  <c r="BC21" i="73"/>
  <c r="AX143" i="73"/>
  <c r="BE126" i="72"/>
  <c r="AQ64" i="73"/>
  <c r="AQ140" i="73"/>
  <c r="AQ68" i="73"/>
  <c r="BL133" i="73"/>
  <c r="BM133" i="73" s="1"/>
  <c r="U246" i="72"/>
  <c r="U183" i="72"/>
  <c r="P267" i="72"/>
  <c r="AK154" i="72"/>
  <c r="AK151" i="72"/>
  <c r="Y154" i="72"/>
  <c r="Y151" i="72"/>
  <c r="J154" i="72"/>
  <c r="J161" i="72" s="1"/>
  <c r="J151" i="72"/>
  <c r="P183" i="72"/>
  <c r="P246" i="72"/>
  <c r="J192" i="72"/>
  <c r="AD21" i="73"/>
  <c r="AD33" i="73" s="1"/>
  <c r="AD62" i="73" s="1"/>
  <c r="AD97" i="72"/>
  <c r="AD126" i="72" s="1"/>
  <c r="AD130" i="72" s="1"/>
  <c r="AE151" i="72"/>
  <c r="AE154" i="72"/>
  <c r="BI62" i="72"/>
  <c r="AL143" i="73"/>
  <c r="BR33" i="73"/>
  <c r="AY62" i="73"/>
  <c r="J171" i="72"/>
  <c r="L157" i="72"/>
  <c r="Y140" i="73"/>
  <c r="Y64" i="73"/>
  <c r="AL140" i="73"/>
  <c r="AL141" i="73" s="1"/>
  <c r="AL68" i="73"/>
  <c r="AL64" i="73"/>
  <c r="BA163" i="72"/>
  <c r="BA152" i="72"/>
  <c r="AU151" i="72"/>
  <c r="AU154" i="72"/>
  <c r="BL88" i="73"/>
  <c r="BM88" i="73" s="1"/>
  <c r="R141" i="72"/>
  <c r="R143" i="73"/>
  <c r="AI151" i="72"/>
  <c r="AI154" i="72"/>
  <c r="AI161" i="72" s="1"/>
  <c r="BH126" i="72"/>
  <c r="K151" i="72"/>
  <c r="K154" i="72"/>
  <c r="I28" i="73"/>
  <c r="I30" i="73" s="1"/>
  <c r="J30" i="73"/>
  <c r="AR33" i="72"/>
  <c r="AR62" i="72" s="1"/>
  <c r="AR129" i="72" s="1"/>
  <c r="AR130" i="72" s="1"/>
  <c r="W141" i="72"/>
  <c r="L207" i="72"/>
  <c r="L214" i="72" s="1"/>
  <c r="N96" i="73"/>
  <c r="N108" i="73" s="1"/>
  <c r="N137" i="73" s="1"/>
  <c r="BL95" i="73"/>
  <c r="BM95" i="73" s="1"/>
  <c r="X97" i="72"/>
  <c r="X126" i="72" s="1"/>
  <c r="X130" i="72" s="1"/>
  <c r="I261" i="72"/>
  <c r="V186" i="72"/>
  <c r="AH21" i="73"/>
  <c r="AH33" i="73" s="1"/>
  <c r="Z97" i="72"/>
  <c r="Z126" i="72" s="1"/>
  <c r="BD126" i="72"/>
  <c r="BH152" i="72"/>
  <c r="O207" i="72"/>
  <c r="O214" i="72" s="1"/>
  <c r="AX141" i="72"/>
  <c r="AT97" i="72"/>
  <c r="AT126" i="72" s="1"/>
  <c r="AT130" i="72" s="1"/>
  <c r="BL156" i="72"/>
  <c r="AO154" i="72"/>
  <c r="AO161" i="72" s="1"/>
  <c r="AO151" i="72"/>
  <c r="BI152" i="72"/>
  <c r="BN90" i="73"/>
  <c r="BE62" i="72"/>
  <c r="BL58" i="73"/>
  <c r="BM58" i="73" s="1"/>
  <c r="BM55" i="73"/>
  <c r="BL72" i="72"/>
  <c r="P141" i="73"/>
  <c r="P143" i="73"/>
  <c r="AA96" i="73"/>
  <c r="AA108" i="73" s="1"/>
  <c r="AA137" i="73" s="1"/>
  <c r="O143" i="73"/>
  <c r="AP141" i="72"/>
  <c r="AS21" i="73"/>
  <c r="AS33" i="73" s="1"/>
  <c r="AS62" i="73" s="1"/>
  <c r="AQ97" i="72"/>
  <c r="AQ126" i="72" s="1"/>
  <c r="AQ130" i="72" s="1"/>
  <c r="BL83" i="72"/>
  <c r="M157" i="72"/>
  <c r="M96" i="73"/>
  <c r="M108" i="73" s="1"/>
  <c r="M137" i="73" s="1"/>
  <c r="U162" i="72"/>
  <c r="W169" i="72"/>
  <c r="V244" i="72"/>
  <c r="O168" i="72"/>
  <c r="AX154" i="72"/>
  <c r="AX161" i="72" s="1"/>
  <c r="AX162" i="72" s="1"/>
  <c r="AX151" i="72"/>
  <c r="I6" i="73"/>
  <c r="J141" i="72"/>
  <c r="BF126" i="72"/>
  <c r="AR96" i="73"/>
  <c r="AR108" i="73" s="1"/>
  <c r="AR137" i="73" s="1"/>
  <c r="BL12" i="73"/>
  <c r="BM12" i="73" s="1"/>
  <c r="BN12" i="73"/>
  <c r="BL15" i="73"/>
  <c r="BM15" i="73" s="1"/>
  <c r="AM151" i="72"/>
  <c r="I168" i="72"/>
  <c r="AM154" i="72"/>
  <c r="AY130" i="72"/>
  <c r="AY162" i="72" s="1"/>
  <c r="AP96" i="73"/>
  <c r="AP108" i="73" s="1"/>
  <c r="AP137" i="73" s="1"/>
  <c r="N21" i="73"/>
  <c r="N33" i="73" s="1"/>
  <c r="N62" i="73" s="1"/>
  <c r="AO141" i="72"/>
  <c r="AB157" i="72"/>
  <c r="AE33" i="72"/>
  <c r="AE62" i="72" s="1"/>
  <c r="AE129" i="72" s="1"/>
  <c r="AE130" i="72" s="1"/>
  <c r="AE157" i="72"/>
  <c r="I207" i="72"/>
  <c r="AM141" i="72"/>
  <c r="BK126" i="72"/>
  <c r="BL81" i="72"/>
  <c r="BL82" i="72"/>
  <c r="P163" i="72"/>
  <c r="P152" i="72"/>
  <c r="P243" i="72"/>
  <c r="P191" i="72"/>
  <c r="P175" i="72"/>
  <c r="AK97" i="72"/>
  <c r="AK126" i="72" s="1"/>
  <c r="BC96" i="73"/>
  <c r="AJ154" i="72"/>
  <c r="AJ161" i="72" s="1"/>
  <c r="AJ151" i="72"/>
  <c r="Y97" i="72"/>
  <c r="Y126" i="72" s="1"/>
  <c r="BL13" i="73"/>
  <c r="BM13" i="73" s="1"/>
  <c r="AF33" i="72"/>
  <c r="AF62" i="72" s="1"/>
  <c r="AF129" i="72" s="1"/>
  <c r="AF130" i="72" s="1"/>
  <c r="Q267" i="72"/>
  <c r="K21" i="73"/>
  <c r="K33" i="73" s="1"/>
  <c r="K62" i="73" s="1"/>
  <c r="J97" i="72"/>
  <c r="J126" i="72" s="1"/>
  <c r="AT21" i="73"/>
  <c r="AT33" i="73" s="1"/>
  <c r="AT62" i="73" s="1"/>
  <c r="W97" i="72"/>
  <c r="W126" i="72" s="1"/>
  <c r="W130" i="72" s="1"/>
  <c r="BL19" i="73"/>
  <c r="BM19" i="73" s="1"/>
  <c r="U175" i="72"/>
  <c r="U243" i="72"/>
  <c r="U191" i="72"/>
  <c r="BJ22" i="72"/>
  <c r="L21" i="73"/>
  <c r="L33" i="73" s="1"/>
  <c r="L62" i="73" s="1"/>
  <c r="AG97" i="72"/>
  <c r="AG126" i="72" s="1"/>
  <c r="AU33" i="72"/>
  <c r="AU62" i="72" s="1"/>
  <c r="AU129" i="72" s="1"/>
  <c r="AU157" i="72"/>
  <c r="V21" i="73"/>
  <c r="V33" i="73" s="1"/>
  <c r="V62" i="73" s="1"/>
  <c r="BL6" i="73"/>
  <c r="BM6" i="73" s="1"/>
  <c r="BG62" i="72"/>
  <c r="BG64" i="72"/>
  <c r="BG66" i="72" s="1"/>
  <c r="T246" i="72"/>
  <c r="T183" i="72"/>
  <c r="S183" i="72"/>
  <c r="S191" i="72" s="1"/>
  <c r="S246" i="72"/>
  <c r="BA162" i="72"/>
  <c r="U64" i="73"/>
  <c r="U140" i="73"/>
  <c r="U141" i="73" s="1"/>
  <c r="U68" i="73"/>
  <c r="BB152" i="72"/>
  <c r="Z154" i="72"/>
  <c r="Z161" i="72" s="1"/>
  <c r="Z151" i="72"/>
  <c r="AV130" i="72"/>
  <c r="I267" i="72"/>
  <c r="AJ130" i="72"/>
  <c r="BM28" i="72"/>
  <c r="BL30" i="72"/>
  <c r="BM30" i="72" s="1"/>
  <c r="AD154" i="72"/>
  <c r="AD151" i="72"/>
  <c r="AK140" i="73"/>
  <c r="AK64" i="73"/>
  <c r="AU130" i="72"/>
  <c r="R140" i="73"/>
  <c r="R141" i="73" s="1"/>
  <c r="R64" i="73"/>
  <c r="AX140" i="73"/>
  <c r="AX141" i="73" s="1"/>
  <c r="AX68" i="73"/>
  <c r="AX64" i="73"/>
  <c r="AP140" i="73"/>
  <c r="AP68" i="73"/>
  <c r="AP64" i="73"/>
  <c r="BF62" i="72"/>
  <c r="BF64" i="72"/>
  <c r="BF66" i="72" s="1"/>
  <c r="BL16" i="73"/>
  <c r="BM16" i="73" s="1"/>
  <c r="I134" i="72"/>
  <c r="I21" i="72"/>
  <c r="BL21" i="72" s="1"/>
  <c r="AW141" i="72"/>
  <c r="N207" i="72"/>
  <c r="N214" i="72" s="1"/>
  <c r="BC151" i="72"/>
  <c r="BC154" i="72"/>
  <c r="BC161" i="72" s="1"/>
  <c r="L192" i="72"/>
  <c r="Q246" i="72"/>
  <c r="Q183" i="72"/>
  <c r="Q191" i="72" s="1"/>
  <c r="BJ62" i="72"/>
  <c r="BJ64" i="72"/>
  <c r="BJ66" i="72" s="1"/>
  <c r="AD143" i="73"/>
  <c r="AE108" i="73"/>
  <c r="AE137" i="73" s="1"/>
  <c r="AC154" i="72"/>
  <c r="AC161" i="72" s="1"/>
  <c r="AC151" i="72"/>
  <c r="J168" i="72"/>
  <c r="L154" i="72"/>
  <c r="L151" i="72"/>
  <c r="AZ141" i="73"/>
  <c r="AZ143" i="73"/>
  <c r="S151" i="72"/>
  <c r="S154" i="72"/>
  <c r="S161" i="72" s="1"/>
  <c r="R243" i="72"/>
  <c r="R191" i="72"/>
  <c r="R175" i="72"/>
  <c r="AS157" i="72"/>
  <c r="AS154" i="72"/>
  <c r="AS151" i="72"/>
  <c r="V185" i="72"/>
  <c r="AF154" i="72"/>
  <c r="AF151" i="72"/>
  <c r="U143" i="73"/>
  <c r="I81" i="73"/>
  <c r="BL81" i="73" s="1"/>
  <c r="BM81" i="73" s="1"/>
  <c r="I147" i="72"/>
  <c r="BB161" i="72"/>
  <c r="AR33" i="73"/>
  <c r="AR62" i="73" s="1"/>
  <c r="N97" i="72"/>
  <c r="N126" i="72" s="1"/>
  <c r="BL70" i="72"/>
  <c r="BL147" i="72" s="1"/>
  <c r="X96" i="73"/>
  <c r="X108" i="73" s="1"/>
  <c r="X137" i="73" s="1"/>
  <c r="AH33" i="72"/>
  <c r="AH62" i="72" s="1"/>
  <c r="AH129" i="72" s="1"/>
  <c r="AH130" i="72" s="1"/>
  <c r="Z33" i="72"/>
  <c r="Z62" i="72" s="1"/>
  <c r="Z129" i="72" s="1"/>
  <c r="Z96" i="73"/>
  <c r="Z108" i="73" s="1"/>
  <c r="Z137" i="73" s="1"/>
  <c r="M21" i="73"/>
  <c r="M33" i="73" s="1"/>
  <c r="M62" i="73" s="1"/>
  <c r="AT108" i="73"/>
  <c r="AT137" i="73" s="1"/>
  <c r="J268" i="72"/>
  <c r="AM157" i="72"/>
  <c r="I171" i="72"/>
  <c r="AL162" i="72"/>
  <c r="BK108" i="73"/>
  <c r="BK137" i="73" s="1"/>
  <c r="BK97" i="73"/>
  <c r="AH154" i="72"/>
  <c r="AH161" i="72" s="1"/>
  <c r="AH151" i="72"/>
  <c r="M168" i="72"/>
  <c r="AY137" i="73"/>
  <c r="T243" i="72"/>
  <c r="T191" i="72"/>
  <c r="T175" i="72"/>
  <c r="BL9" i="73"/>
  <c r="BM9" i="73" s="1"/>
  <c r="AA130" i="72"/>
  <c r="AZ162" i="72"/>
  <c r="AV154" i="72"/>
  <c r="AV151" i="72"/>
  <c r="BL84" i="73"/>
  <c r="BM84" i="73" s="1"/>
  <c r="BL5" i="72"/>
  <c r="AQ96" i="73"/>
  <c r="AQ108" i="73" s="1"/>
  <c r="AQ137" i="73" s="1"/>
  <c r="AF157" i="72"/>
  <c r="M154" i="72"/>
  <c r="M161" i="72" s="1"/>
  <c r="M162" i="72" s="1"/>
  <c r="M151" i="72"/>
  <c r="I60" i="72"/>
  <c r="I137" i="72"/>
  <c r="J21" i="73"/>
  <c r="J33" i="73" s="1"/>
  <c r="I5" i="73"/>
  <c r="I21" i="73" s="1"/>
  <c r="W170" i="72"/>
  <c r="V245" i="72"/>
  <c r="AR157" i="72"/>
  <c r="AR154" i="72"/>
  <c r="AR151" i="72"/>
  <c r="BL8" i="73"/>
  <c r="BM8" i="73" s="1"/>
  <c r="AN97" i="72"/>
  <c r="AN126" i="72" s="1"/>
  <c r="AN130" i="72" s="1"/>
  <c r="AC21" i="73"/>
  <c r="AC33" i="73" s="1"/>
  <c r="AC62" i="73" s="1"/>
  <c r="AM96" i="73"/>
  <c r="AM108" i="73" s="1"/>
  <c r="AM137" i="73" s="1"/>
  <c r="AJ141" i="72"/>
  <c r="AG157" i="72"/>
  <c r="AP97" i="72"/>
  <c r="AP126" i="72" s="1"/>
  <c r="BL87" i="73"/>
  <c r="BM87" i="73" s="1"/>
  <c r="AI33" i="72"/>
  <c r="AI62" i="72" s="1"/>
  <c r="AI129" i="72" s="1"/>
  <c r="BM41" i="73"/>
  <c r="BL52" i="73"/>
  <c r="I60" i="73" s="1"/>
  <c r="AN141" i="72"/>
  <c r="AO21" i="73"/>
  <c r="AO33" i="73" s="1"/>
  <c r="AO62" i="73" s="1"/>
  <c r="AE21" i="73"/>
  <c r="AE33" i="73" s="1"/>
  <c r="AE62" i="73" s="1"/>
  <c r="K267" i="72"/>
  <c r="X33" i="73"/>
  <c r="X62" i="73" s="1"/>
  <c r="Q163" i="72"/>
  <c r="Q152" i="72"/>
  <c r="N171" i="72"/>
  <c r="AW157" i="72"/>
  <c r="AK96" i="73"/>
  <c r="AK108" i="73" s="1"/>
  <c r="AK137" i="73" s="1"/>
  <c r="BL144" i="72"/>
  <c r="BJ126" i="72"/>
  <c r="AJ96" i="73"/>
  <c r="AJ108" i="73" s="1"/>
  <c r="AJ137" i="73" s="1"/>
  <c r="T68" i="73"/>
  <c r="T64" i="73"/>
  <c r="T140" i="73"/>
  <c r="T141" i="73" s="1"/>
  <c r="Y108" i="73"/>
  <c r="Y137" i="73" s="1"/>
  <c r="BL17" i="73"/>
  <c r="BM17" i="73" s="1"/>
  <c r="W173" i="72"/>
  <c r="V248" i="72"/>
  <c r="K168" i="72"/>
  <c r="V154" i="72"/>
  <c r="V161" i="72" s="1"/>
  <c r="V151" i="72"/>
  <c r="AF21" i="73"/>
  <c r="AF33" i="73" s="1"/>
  <c r="K33" i="72"/>
  <c r="K62" i="72" s="1"/>
  <c r="K129" i="72" s="1"/>
  <c r="K130" i="72" s="1"/>
  <c r="J96" i="73"/>
  <c r="J108" i="73" s="1"/>
  <c r="M192" i="72"/>
  <c r="W151" i="72"/>
  <c r="W154" i="72"/>
  <c r="W161" i="72" s="1"/>
  <c r="L168" i="72"/>
  <c r="BL11" i="73"/>
  <c r="BM11" i="73" s="1"/>
  <c r="AB154" i="72"/>
  <c r="AB161" i="72" s="1"/>
  <c r="AB151" i="72"/>
  <c r="I210" i="72"/>
  <c r="V210" i="72" s="1"/>
  <c r="N168" i="72"/>
  <c r="AW154" i="72"/>
  <c r="AW151" i="72"/>
  <c r="BH30" i="73"/>
  <c r="BD30" i="73"/>
  <c r="BJ30" i="73"/>
  <c r="BE30" i="73"/>
  <c r="BI30" i="73"/>
  <c r="BF30" i="73"/>
  <c r="BK30" i="73"/>
  <c r="BK33" i="73" s="1"/>
  <c r="BK62" i="73" s="1"/>
  <c r="BG30" i="73"/>
  <c r="BC30" i="73"/>
  <c r="L33" i="72"/>
  <c r="L62" i="72" s="1"/>
  <c r="L129" i="72" s="1"/>
  <c r="L130" i="72" s="1"/>
  <c r="AG33" i="72"/>
  <c r="AG62" i="72" s="1"/>
  <c r="AG129" i="72" s="1"/>
  <c r="AG154" i="72"/>
  <c r="AG151" i="72"/>
  <c r="BK22" i="72"/>
  <c r="AU21" i="73"/>
  <c r="AU33" i="73" s="1"/>
  <c r="AU62" i="73" s="1"/>
  <c r="BL6" i="72"/>
  <c r="AK161" i="72" l="1"/>
  <c r="Y130" i="72"/>
  <c r="AD161" i="72"/>
  <c r="AW130" i="72"/>
  <c r="AI130" i="72"/>
  <c r="BE34" i="72"/>
  <c r="Y68" i="73"/>
  <c r="AN161" i="72"/>
  <c r="AN162" i="72" s="1"/>
  <c r="AG161" i="72"/>
  <c r="AV161" i="72"/>
  <c r="S162" i="72"/>
  <c r="AC162" i="72"/>
  <c r="W68" i="73"/>
  <c r="AW161" i="72"/>
  <c r="AW162" i="72" s="1"/>
  <c r="AP130" i="72"/>
  <c r="AP162" i="72" s="1"/>
  <c r="AI64" i="73"/>
  <c r="AI140" i="73"/>
  <c r="AI141" i="73" s="1"/>
  <c r="BN8" i="73"/>
  <c r="BI64" i="72"/>
  <c r="BI66" i="72" s="1"/>
  <c r="Y161" i="72"/>
  <c r="AD29" i="105"/>
  <c r="AT6" i="105"/>
  <c r="AT29" i="105" s="1"/>
  <c r="AT30" i="105" s="1"/>
  <c r="I157" i="72"/>
  <c r="BJ34" i="72"/>
  <c r="BF34" i="72"/>
  <c r="AK68" i="73"/>
  <c r="BG34" i="72"/>
  <c r="AK130" i="72"/>
  <c r="Z130" i="72"/>
  <c r="BI34" i="72"/>
  <c r="BH64" i="72"/>
  <c r="BH66" i="72" s="1"/>
  <c r="BK64" i="72"/>
  <c r="BK66" i="72" s="1"/>
  <c r="AY163" i="72"/>
  <c r="AT162" i="72"/>
  <c r="V162" i="72"/>
  <c r="BE64" i="72"/>
  <c r="BE66" i="72" s="1"/>
  <c r="BK34" i="72"/>
  <c r="AM130" i="72"/>
  <c r="AM163" i="72" s="1"/>
  <c r="BH96" i="73"/>
  <c r="BN15" i="73"/>
  <c r="BN11" i="73"/>
  <c r="BN17" i="73"/>
  <c r="BN9" i="73"/>
  <c r="AG140" i="73"/>
  <c r="BN20" i="73"/>
  <c r="BN16" i="73"/>
  <c r="BN6" i="73"/>
  <c r="BN13" i="73"/>
  <c r="BN19" i="73"/>
  <c r="BN5" i="73"/>
  <c r="BN7" i="73"/>
  <c r="BU108" i="73"/>
  <c r="BL33" i="72"/>
  <c r="BM33" i="72" s="1"/>
  <c r="BM21" i="72"/>
  <c r="BT108" i="73"/>
  <c r="J137" i="73"/>
  <c r="AQ141" i="73"/>
  <c r="AQ143" i="73"/>
  <c r="T198" i="72"/>
  <c r="T199" i="72" s="1"/>
  <c r="T266" i="72"/>
  <c r="T273" i="72" s="1"/>
  <c r="W185" i="72"/>
  <c r="V260" i="72"/>
  <c r="R198" i="72"/>
  <c r="R199" i="72" s="1"/>
  <c r="R266" i="72"/>
  <c r="R273" i="72" s="1"/>
  <c r="BJ69" i="73"/>
  <c r="BJ129" i="72"/>
  <c r="BK150" i="73"/>
  <c r="AS140" i="73"/>
  <c r="AS141" i="73" s="1"/>
  <c r="AS68" i="73"/>
  <c r="AS64" i="73"/>
  <c r="BN88" i="73"/>
  <c r="BI69" i="73"/>
  <c r="BI129" i="72"/>
  <c r="AK163" i="72"/>
  <c r="AK152" i="72"/>
  <c r="BG21" i="73"/>
  <c r="BG33" i="73" s="1"/>
  <c r="BG62" i="73" s="1"/>
  <c r="BK69" i="73"/>
  <c r="BK129" i="72"/>
  <c r="BK130" i="72" s="1"/>
  <c r="I86" i="72"/>
  <c r="I97" i="72"/>
  <c r="H86" i="72"/>
  <c r="BN93" i="73"/>
  <c r="BI98" i="72"/>
  <c r="BM52" i="72"/>
  <c r="BL60" i="72"/>
  <c r="BC60" i="72"/>
  <c r="BB140" i="73"/>
  <c r="BB141" i="73" s="1"/>
  <c r="BB68" i="73"/>
  <c r="BB64" i="73"/>
  <c r="S266" i="72"/>
  <c r="S273" i="72" s="1"/>
  <c r="S198" i="72"/>
  <c r="S199" i="72" s="1"/>
  <c r="L143" i="73"/>
  <c r="O183" i="72"/>
  <c r="O246" i="72"/>
  <c r="AU64" i="73"/>
  <c r="AU140" i="73"/>
  <c r="AU141" i="73" s="1"/>
  <c r="AU68" i="73"/>
  <c r="AW163" i="72"/>
  <c r="AW152" i="72"/>
  <c r="BK152" i="72"/>
  <c r="M267" i="72"/>
  <c r="V163" i="72"/>
  <c r="V152" i="72"/>
  <c r="BJ150" i="73"/>
  <c r="BJ130" i="72"/>
  <c r="N246" i="72"/>
  <c r="N183" i="72"/>
  <c r="AV162" i="72"/>
  <c r="T250" i="72"/>
  <c r="M68" i="73"/>
  <c r="M140" i="73"/>
  <c r="M141" i="73" s="1"/>
  <c r="M64" i="73"/>
  <c r="BB162" i="72"/>
  <c r="AS161" i="72"/>
  <c r="AS162" i="72" s="1"/>
  <c r="R250" i="72"/>
  <c r="S152" i="72"/>
  <c r="S163" i="72"/>
  <c r="L161" i="72"/>
  <c r="L162" i="72" s="1"/>
  <c r="AE143" i="73"/>
  <c r="I141" i="72"/>
  <c r="BF69" i="73"/>
  <c r="BF129" i="72"/>
  <c r="BF130" i="72" s="1"/>
  <c r="K64" i="73"/>
  <c r="K140" i="73"/>
  <c r="K141" i="73" s="1"/>
  <c r="K68" i="73"/>
  <c r="BD96" i="73"/>
  <c r="BN80" i="73"/>
  <c r="BC108" i="73"/>
  <c r="BC97" i="73"/>
  <c r="BJ96" i="73"/>
  <c r="I214" i="72"/>
  <c r="V207" i="72"/>
  <c r="V214" i="72" s="1"/>
  <c r="AM161" i="72"/>
  <c r="AN143" i="73"/>
  <c r="BF150" i="73"/>
  <c r="AO162" i="72"/>
  <c r="BD150" i="73"/>
  <c r="BC126" i="72"/>
  <c r="BH98" i="72"/>
  <c r="AU152" i="72"/>
  <c r="AU163" i="72"/>
  <c r="AE152" i="72"/>
  <c r="AE163" i="72"/>
  <c r="J152" i="72"/>
  <c r="BE98" i="72"/>
  <c r="BI21" i="73"/>
  <c r="BI33" i="73" s="1"/>
  <c r="BI62" i="73" s="1"/>
  <c r="BL5" i="73"/>
  <c r="BM5" i="73" s="1"/>
  <c r="X162" i="72"/>
  <c r="J214" i="72"/>
  <c r="W141" i="73"/>
  <c r="W143" i="73"/>
  <c r="K183" i="72"/>
  <c r="K246" i="72"/>
  <c r="BC86" i="72"/>
  <c r="AW140" i="73"/>
  <c r="AW141" i="73" s="1"/>
  <c r="AW64" i="73"/>
  <c r="AW68" i="73"/>
  <c r="AN140" i="73"/>
  <c r="AN141" i="73" s="1"/>
  <c r="AN68" i="73"/>
  <c r="AN64" i="73"/>
  <c r="BN82" i="73"/>
  <c r="AP163" i="72"/>
  <c r="AP152" i="72"/>
  <c r="AJ68" i="73"/>
  <c r="AJ64" i="73"/>
  <c r="AJ140" i="73"/>
  <c r="AJ141" i="73" s="1"/>
  <c r="V268" i="72"/>
  <c r="AV143" i="73"/>
  <c r="AV141" i="73"/>
  <c r="Q250" i="72"/>
  <c r="AA152" i="72"/>
  <c r="AA163" i="72"/>
  <c r="BJ152" i="72"/>
  <c r="AF143" i="73"/>
  <c r="R161" i="72"/>
  <c r="R162" i="72" s="1"/>
  <c r="BD64" i="72"/>
  <c r="BD66" i="72" s="1"/>
  <c r="BL103" i="73"/>
  <c r="AT163" i="72"/>
  <c r="AT152" i="72"/>
  <c r="AG152" i="72"/>
  <c r="BL151" i="72"/>
  <c r="AM143" i="73"/>
  <c r="AR163" i="72"/>
  <c r="AR152" i="72"/>
  <c r="BK143" i="73"/>
  <c r="BK149" i="73"/>
  <c r="L267" i="72"/>
  <c r="AD163" i="72"/>
  <c r="AD152" i="72"/>
  <c r="T187" i="72"/>
  <c r="T262" i="72" s="1"/>
  <c r="T258" i="72"/>
  <c r="U198" i="72"/>
  <c r="U199" i="72" s="1"/>
  <c r="U266" i="72"/>
  <c r="U273" i="72" s="1"/>
  <c r="BH97" i="73"/>
  <c r="BH108" i="73"/>
  <c r="BH137" i="73" s="1"/>
  <c r="I243" i="72"/>
  <c r="I175" i="72"/>
  <c r="V168" i="72"/>
  <c r="M143" i="73"/>
  <c r="U258" i="72"/>
  <c r="U187" i="72"/>
  <c r="U262" i="72" s="1"/>
  <c r="BE150" i="73"/>
  <c r="BC33" i="73"/>
  <c r="BL21" i="73"/>
  <c r="BC22" i="73"/>
  <c r="AW143" i="73"/>
  <c r="Q198" i="72"/>
  <c r="Q199" i="72" s="1"/>
  <c r="Q266" i="72"/>
  <c r="Q273" i="72" s="1"/>
  <c r="BL137" i="72"/>
  <c r="BL157" i="72" s="1"/>
  <c r="BM6" i="72"/>
  <c r="BN28" i="73"/>
  <c r="N243" i="72"/>
  <c r="N175" i="72"/>
  <c r="AB163" i="72"/>
  <c r="AB152" i="72"/>
  <c r="W162" i="72"/>
  <c r="K243" i="72"/>
  <c r="K191" i="72"/>
  <c r="K175" i="72"/>
  <c r="Y143" i="73"/>
  <c r="Y141" i="73"/>
  <c r="AJ143" i="73"/>
  <c r="AK143" i="73"/>
  <c r="AK141" i="73"/>
  <c r="AE64" i="73"/>
  <c r="AE68" i="73"/>
  <c r="AE140" i="73"/>
  <c r="AE141" i="73" s="1"/>
  <c r="AC68" i="73"/>
  <c r="AC140" i="73"/>
  <c r="AC141" i="73" s="1"/>
  <c r="AC64" i="73"/>
  <c r="AR161" i="72"/>
  <c r="AR162" i="72" s="1"/>
  <c r="I33" i="73"/>
  <c r="I22" i="73"/>
  <c r="M163" i="72"/>
  <c r="M152" i="72"/>
  <c r="BL134" i="72"/>
  <c r="BM5" i="72"/>
  <c r="BN84" i="73"/>
  <c r="AH163" i="72"/>
  <c r="AH152" i="72"/>
  <c r="X143" i="73"/>
  <c r="N130" i="72"/>
  <c r="AF161" i="72"/>
  <c r="AF162" i="72" s="1"/>
  <c r="AC163" i="72"/>
  <c r="AC152" i="72"/>
  <c r="AD162" i="72"/>
  <c r="V192" i="72"/>
  <c r="Z163" i="72"/>
  <c r="Z152" i="72"/>
  <c r="AG130" i="72"/>
  <c r="AG162" i="72" s="1"/>
  <c r="AT140" i="73"/>
  <c r="AT141" i="73" s="1"/>
  <c r="AT68" i="73"/>
  <c r="AT64" i="73"/>
  <c r="AJ163" i="72"/>
  <c r="AJ152" i="72"/>
  <c r="BI96" i="73"/>
  <c r="P250" i="72"/>
  <c r="BK98" i="72"/>
  <c r="AP143" i="73"/>
  <c r="AP141" i="73"/>
  <c r="AM152" i="72"/>
  <c r="AR143" i="73"/>
  <c r="BE69" i="73"/>
  <c r="BE129" i="72"/>
  <c r="BE130" i="72" s="1"/>
  <c r="BP33" i="73"/>
  <c r="AH62" i="73"/>
  <c r="N143" i="73"/>
  <c r="BF152" i="72"/>
  <c r="K161" i="72"/>
  <c r="K162" i="72" s="1"/>
  <c r="AI162" i="72"/>
  <c r="J246" i="72"/>
  <c r="J183" i="72"/>
  <c r="J191" i="72" s="1"/>
  <c r="AD140" i="73"/>
  <c r="AD141" i="73" s="1"/>
  <c r="AD68" i="73"/>
  <c r="AD64" i="73"/>
  <c r="AK162" i="72"/>
  <c r="BE21" i="73"/>
  <c r="BE33" i="73" s="1"/>
  <c r="BE62" i="73" s="1"/>
  <c r="BD21" i="73"/>
  <c r="BD33" i="73" s="1"/>
  <c r="R258" i="72"/>
  <c r="R187" i="72"/>
  <c r="R262" i="72" s="1"/>
  <c r="BH69" i="73"/>
  <c r="BH129" i="72"/>
  <c r="BH130" i="72" s="1"/>
  <c r="BG98" i="72"/>
  <c r="AB141" i="73"/>
  <c r="AB143" i="73"/>
  <c r="I154" i="72"/>
  <c r="I151" i="72"/>
  <c r="V143" i="73"/>
  <c r="BN86" i="73"/>
  <c r="BI150" i="73"/>
  <c r="BI130" i="72"/>
  <c r="BD152" i="72"/>
  <c r="N163" i="72"/>
  <c r="N152" i="72"/>
  <c r="S143" i="73"/>
  <c r="BN94" i="73"/>
  <c r="AQ162" i="72"/>
  <c r="L246" i="72"/>
  <c r="L183" i="72"/>
  <c r="L243" i="72"/>
  <c r="L175" i="72"/>
  <c r="M175" i="72"/>
  <c r="M243" i="72"/>
  <c r="AF163" i="72"/>
  <c r="AF152" i="72"/>
  <c r="J243" i="72"/>
  <c r="J175" i="72"/>
  <c r="BG69" i="73"/>
  <c r="BG129" i="72"/>
  <c r="BG96" i="73"/>
  <c r="N140" i="73"/>
  <c r="N141" i="73" s="1"/>
  <c r="N68" i="73"/>
  <c r="N64" i="73"/>
  <c r="O243" i="72"/>
  <c r="O191" i="72"/>
  <c r="O175" i="72"/>
  <c r="AA141" i="73"/>
  <c r="AA143" i="73"/>
  <c r="BH150" i="73"/>
  <c r="BJ21" i="73"/>
  <c r="BJ33" i="73" s="1"/>
  <c r="BJ62" i="73" s="1"/>
  <c r="BN83" i="73"/>
  <c r="BK64" i="73"/>
  <c r="BK68" i="73"/>
  <c r="BK140" i="73"/>
  <c r="BK141" i="73" s="1"/>
  <c r="Z140" i="73"/>
  <c r="Z141" i="73" s="1"/>
  <c r="Z68" i="73"/>
  <c r="Z64" i="73"/>
  <c r="BN91" i="73"/>
  <c r="AM140" i="73"/>
  <c r="AM141" i="73" s="1"/>
  <c r="AM64" i="73"/>
  <c r="AM68" i="73"/>
  <c r="BL28" i="73"/>
  <c r="AB162" i="72"/>
  <c r="W152" i="72"/>
  <c r="W163" i="72"/>
  <c r="BQ33" i="73"/>
  <c r="AF62" i="73"/>
  <c r="BJ98" i="72"/>
  <c r="X140" i="73"/>
  <c r="X141" i="73" s="1"/>
  <c r="X68" i="73"/>
  <c r="X64" i="73"/>
  <c r="AO68" i="73"/>
  <c r="AO140" i="73"/>
  <c r="AO141" i="73" s="1"/>
  <c r="AO64" i="73"/>
  <c r="BM52" i="73"/>
  <c r="BL60" i="73"/>
  <c r="BC60" i="73"/>
  <c r="BN87" i="73"/>
  <c r="J62" i="73"/>
  <c r="AV163" i="72"/>
  <c r="AV152" i="72"/>
  <c r="AY143" i="73"/>
  <c r="AH162" i="72"/>
  <c r="I246" i="72"/>
  <c r="I183" i="72"/>
  <c r="V171" i="72"/>
  <c r="AT143" i="73"/>
  <c r="Z143" i="73"/>
  <c r="BE152" i="72"/>
  <c r="AR140" i="73"/>
  <c r="AR141" i="73" s="1"/>
  <c r="AR64" i="73"/>
  <c r="AR68" i="73"/>
  <c r="AS163" i="72"/>
  <c r="AS152" i="72"/>
  <c r="L163" i="72"/>
  <c r="L152" i="72"/>
  <c r="Q258" i="72"/>
  <c r="Q187" i="72"/>
  <c r="Q262" i="72" s="1"/>
  <c r="BC152" i="72"/>
  <c r="I33" i="72"/>
  <c r="I22" i="72"/>
  <c r="I23" i="72" s="1"/>
  <c r="R68" i="73"/>
  <c r="Z162" i="72"/>
  <c r="S187" i="72"/>
  <c r="S262" i="72" s="1"/>
  <c r="S258" i="72"/>
  <c r="V140" i="73"/>
  <c r="V141" i="73" s="1"/>
  <c r="V68" i="73"/>
  <c r="V64" i="73"/>
  <c r="L140" i="73"/>
  <c r="L141" i="73" s="1"/>
  <c r="L64" i="73"/>
  <c r="L68" i="73"/>
  <c r="U250" i="72"/>
  <c r="I126" i="72"/>
  <c r="AJ162" i="72"/>
  <c r="BE96" i="73"/>
  <c r="BF96" i="73"/>
  <c r="P266" i="72"/>
  <c r="P273" i="72" s="1"/>
  <c r="P198" i="72"/>
  <c r="P199" i="72" s="1"/>
  <c r="AI68" i="73"/>
  <c r="BF98" i="72"/>
  <c r="AX163" i="72"/>
  <c r="AX152" i="72"/>
  <c r="AO163" i="72"/>
  <c r="AO152" i="72"/>
  <c r="W186" i="72"/>
  <c r="V261" i="72"/>
  <c r="BN81" i="73"/>
  <c r="BN95" i="73"/>
  <c r="K152" i="72"/>
  <c r="K163" i="72"/>
  <c r="AI152" i="72"/>
  <c r="AI163" i="72"/>
  <c r="AU161" i="72"/>
  <c r="AU162" i="72" s="1"/>
  <c r="AY64" i="73"/>
  <c r="AY68" i="73"/>
  <c r="BR62" i="73"/>
  <c r="AY140" i="73"/>
  <c r="AY141" i="73" s="1"/>
  <c r="AE161" i="72"/>
  <c r="AE162" i="72" s="1"/>
  <c r="J267" i="72"/>
  <c r="AG68" i="73"/>
  <c r="P258" i="72"/>
  <c r="P187" i="72"/>
  <c r="P262" i="72" s="1"/>
  <c r="Y163" i="72"/>
  <c r="Y152" i="72"/>
  <c r="BF21" i="73"/>
  <c r="BF33" i="73" s="1"/>
  <c r="BF62" i="73" s="1"/>
  <c r="BH21" i="73"/>
  <c r="BH33" i="73" s="1"/>
  <c r="BH62" i="73" s="1"/>
  <c r="X163" i="72"/>
  <c r="X152" i="72"/>
  <c r="BG150" i="73"/>
  <c r="BG130" i="72"/>
  <c r="I96" i="73"/>
  <c r="BL85" i="72"/>
  <c r="BL97" i="72" s="1"/>
  <c r="AN163" i="72"/>
  <c r="AN152" i="72"/>
  <c r="W193" i="72"/>
  <c r="J129" i="72"/>
  <c r="I129" i="72" s="1"/>
  <c r="I62" i="72"/>
  <c r="S64" i="73"/>
  <c r="S140" i="73"/>
  <c r="S141" i="73" s="1"/>
  <c r="S68" i="73"/>
  <c r="AA162" i="72"/>
  <c r="M246" i="72"/>
  <c r="M183" i="72"/>
  <c r="N162" i="72"/>
  <c r="R163" i="72"/>
  <c r="R152" i="72"/>
  <c r="BD69" i="73"/>
  <c r="BC62" i="72"/>
  <c r="BD129" i="72"/>
  <c r="AG143" i="73"/>
  <c r="AG141" i="73"/>
  <c r="BN92" i="73"/>
  <c r="AQ152" i="72"/>
  <c r="AQ163" i="72"/>
  <c r="Y162" i="72" l="1"/>
  <c r="V267" i="72"/>
  <c r="AM162" i="72"/>
  <c r="BC129" i="72"/>
  <c r="BL129" i="72" s="1"/>
  <c r="I161" i="72"/>
  <c r="BL69" i="73"/>
  <c r="BS33" i="73"/>
  <c r="I23" i="73"/>
  <c r="BE163" i="72"/>
  <c r="BE162" i="72"/>
  <c r="BF163" i="72"/>
  <c r="BF162" i="72"/>
  <c r="I127" i="72"/>
  <c r="I138" i="73" s="1"/>
  <c r="BL126" i="72"/>
  <c r="H127" i="72"/>
  <c r="BJ140" i="73"/>
  <c r="BJ68" i="73"/>
  <c r="BJ64" i="73"/>
  <c r="L187" i="72"/>
  <c r="L262" i="72" s="1"/>
  <c r="L258" i="72"/>
  <c r="BI162" i="72"/>
  <c r="BI163" i="72"/>
  <c r="K250" i="72"/>
  <c r="BC87" i="72"/>
  <c r="BL86" i="72"/>
  <c r="BL97" i="73" s="1"/>
  <c r="N258" i="72"/>
  <c r="N187" i="72"/>
  <c r="N262" i="72" s="1"/>
  <c r="I98" i="73"/>
  <c r="I97" i="73"/>
  <c r="I108" i="73"/>
  <c r="I137" i="73" s="1"/>
  <c r="BG162" i="72"/>
  <c r="BG163" i="72"/>
  <c r="BH140" i="73"/>
  <c r="BH64" i="73"/>
  <c r="BH68" i="73"/>
  <c r="J130" i="72"/>
  <c r="I258" i="72"/>
  <c r="I187" i="72"/>
  <c r="I262" i="72" s="1"/>
  <c r="V183" i="72"/>
  <c r="BQ62" i="73"/>
  <c r="AF140" i="73"/>
  <c r="AF141" i="73" s="1"/>
  <c r="AF64" i="73"/>
  <c r="AF68" i="73"/>
  <c r="BK72" i="73"/>
  <c r="BK70" i="73"/>
  <c r="BK71" i="73" s="1"/>
  <c r="BH163" i="72"/>
  <c r="BH162" i="72"/>
  <c r="O250" i="72"/>
  <c r="BE68" i="73"/>
  <c r="BE64" i="73"/>
  <c r="BE140" i="73"/>
  <c r="BI108" i="73"/>
  <c r="BI137" i="73" s="1"/>
  <c r="BI97" i="73"/>
  <c r="N191" i="72"/>
  <c r="BM21" i="73"/>
  <c r="AG163" i="72"/>
  <c r="BD130" i="72"/>
  <c r="BL96" i="73"/>
  <c r="BM96" i="73" s="1"/>
  <c r="BD108" i="73"/>
  <c r="BD137" i="73" s="1"/>
  <c r="BD97" i="73"/>
  <c r="O187" i="72"/>
  <c r="O262" i="72" s="1"/>
  <c r="O258" i="72"/>
  <c r="BC23" i="72"/>
  <c r="BL23" i="72" s="1"/>
  <c r="BM23" i="72" s="1"/>
  <c r="BF140" i="73"/>
  <c r="BF68" i="73"/>
  <c r="BF64" i="73"/>
  <c r="BF97" i="73"/>
  <c r="BF108" i="73"/>
  <c r="BF137" i="73" s="1"/>
  <c r="BM28" i="73"/>
  <c r="BL30" i="73"/>
  <c r="BM30" i="73" s="1"/>
  <c r="M250" i="72"/>
  <c r="W192" i="72"/>
  <c r="BH141" i="73"/>
  <c r="BH149" i="73"/>
  <c r="BH143" i="73"/>
  <c r="BI140" i="73"/>
  <c r="BI68" i="73"/>
  <c r="BI64" i="73"/>
  <c r="BL22" i="72"/>
  <c r="BM22" i="72" s="1"/>
  <c r="BK163" i="72"/>
  <c r="BK162" i="72"/>
  <c r="J143" i="73"/>
  <c r="BE97" i="73"/>
  <c r="BE108" i="73"/>
  <c r="BE137" i="73" s="1"/>
  <c r="BG108" i="73"/>
  <c r="BG137" i="73" s="1"/>
  <c r="BG97" i="73"/>
  <c r="J250" i="72"/>
  <c r="L250" i="72"/>
  <c r="AH140" i="73"/>
  <c r="AH141" i="73" s="1"/>
  <c r="AH68" i="73"/>
  <c r="AH64" i="73"/>
  <c r="BP62" i="73"/>
  <c r="BL141" i="72"/>
  <c r="K266" i="72"/>
  <c r="K273" i="72" s="1"/>
  <c r="K198" i="72"/>
  <c r="K199" i="72" s="1"/>
  <c r="I250" i="72"/>
  <c r="BK151" i="73"/>
  <c r="BK152" i="73" s="1"/>
  <c r="BK153" i="73"/>
  <c r="BL154" i="72"/>
  <c r="BL161" i="72" s="1"/>
  <c r="BJ108" i="73"/>
  <c r="BJ137" i="73" s="1"/>
  <c r="BJ97" i="73"/>
  <c r="BC137" i="73"/>
  <c r="BL62" i="72"/>
  <c r="BC63" i="72" s="1"/>
  <c r="O266" i="72"/>
  <c r="O273" i="72" s="1"/>
  <c r="O198" i="72"/>
  <c r="O199" i="72" s="1"/>
  <c r="BN21" i="73"/>
  <c r="W168" i="72"/>
  <c r="V243" i="72"/>
  <c r="V175" i="72"/>
  <c r="BL152" i="72"/>
  <c r="BL150" i="73"/>
  <c r="I87" i="72"/>
  <c r="M258" i="72"/>
  <c r="M187" i="72"/>
  <c r="M262" i="72" s="1"/>
  <c r="V246" i="72"/>
  <c r="W171" i="72"/>
  <c r="J140" i="73"/>
  <c r="J141" i="73" s="1"/>
  <c r="J68" i="73"/>
  <c r="J64" i="73"/>
  <c r="I62" i="73"/>
  <c r="J198" i="72"/>
  <c r="J199" i="72" s="1"/>
  <c r="J266" i="72"/>
  <c r="J273" i="72" s="1"/>
  <c r="M191" i="72"/>
  <c r="L191" i="72"/>
  <c r="BD62" i="73"/>
  <c r="J258" i="72"/>
  <c r="J187" i="72"/>
  <c r="J262" i="72" s="1"/>
  <c r="N250" i="72"/>
  <c r="BL22" i="73"/>
  <c r="BM22" i="73" s="1"/>
  <c r="BC23" i="73"/>
  <c r="I191" i="72"/>
  <c r="BM103" i="73"/>
  <c r="BL105" i="73"/>
  <c r="BM105" i="73" s="1"/>
  <c r="K187" i="72"/>
  <c r="K262" i="72" s="1"/>
  <c r="K258" i="72"/>
  <c r="BC127" i="72"/>
  <c r="BC138" i="73" s="1"/>
  <c r="BC98" i="73"/>
  <c r="BJ163" i="72"/>
  <c r="BJ162" i="72"/>
  <c r="BG64" i="73"/>
  <c r="BG140" i="73"/>
  <c r="BG68" i="73"/>
  <c r="I63" i="72" l="1"/>
  <c r="BL23" i="73"/>
  <c r="BM23" i="73" s="1"/>
  <c r="BS62" i="73"/>
  <c r="BL87" i="72"/>
  <c r="BL98" i="73" s="1"/>
  <c r="BL33" i="73"/>
  <c r="BM33" i="73" s="1"/>
  <c r="L198" i="72"/>
  <c r="L199" i="72" s="1"/>
  <c r="L266" i="72"/>
  <c r="L273" i="72" s="1"/>
  <c r="I198" i="72"/>
  <c r="I199" i="72" s="1"/>
  <c r="I266" i="72"/>
  <c r="V191" i="72"/>
  <c r="V250" i="72"/>
  <c r="W175" i="72"/>
  <c r="V176" i="72"/>
  <c r="I143" i="73"/>
  <c r="BH153" i="73"/>
  <c r="BH151" i="73"/>
  <c r="BH152" i="73" s="1"/>
  <c r="BF141" i="73"/>
  <c r="BF149" i="73"/>
  <c r="BF143" i="73"/>
  <c r="BF72" i="73"/>
  <c r="BF70" i="73"/>
  <c r="BF71" i="73" s="1"/>
  <c r="BJ70" i="73"/>
  <c r="BJ71" i="73" s="1"/>
  <c r="BJ72" i="73"/>
  <c r="BE149" i="73"/>
  <c r="BE143" i="73"/>
  <c r="BE141" i="73"/>
  <c r="BD143" i="73"/>
  <c r="BD149" i="73"/>
  <c r="N198" i="72"/>
  <c r="N199" i="72" s="1"/>
  <c r="N266" i="72"/>
  <c r="N273" i="72" s="1"/>
  <c r="BC62" i="73"/>
  <c r="BI74" i="73" s="1"/>
  <c r="BI76" i="73" s="1"/>
  <c r="BD68" i="73"/>
  <c r="BD140" i="73"/>
  <c r="BD141" i="73" s="1"/>
  <c r="BD64" i="73"/>
  <c r="BC64" i="73" s="1"/>
  <c r="M198" i="72"/>
  <c r="M199" i="72" s="1"/>
  <c r="M266" i="72"/>
  <c r="M273" i="72" s="1"/>
  <c r="I68" i="73"/>
  <c r="BL62" i="73"/>
  <c r="I140" i="73"/>
  <c r="BL137" i="73"/>
  <c r="BM137" i="73" s="1"/>
  <c r="BJ143" i="73"/>
  <c r="BJ149" i="73"/>
  <c r="BJ141" i="73"/>
  <c r="BG141" i="73"/>
  <c r="BG149" i="73"/>
  <c r="BG143" i="73"/>
  <c r="BE72" i="73"/>
  <c r="BE70" i="73"/>
  <c r="BE71" i="73" s="1"/>
  <c r="I130" i="72"/>
  <c r="J162" i="72"/>
  <c r="J163" i="72"/>
  <c r="V258" i="72"/>
  <c r="W183" i="72"/>
  <c r="V187" i="72"/>
  <c r="I141" i="73"/>
  <c r="H138" i="73"/>
  <c r="BL127" i="72"/>
  <c r="BL138" i="73" s="1"/>
  <c r="BG72" i="73"/>
  <c r="BG70" i="73"/>
  <c r="BG71" i="73" s="1"/>
  <c r="I64" i="73"/>
  <c r="BM62" i="72"/>
  <c r="H63" i="72"/>
  <c r="BL63" i="72" s="1"/>
  <c r="BL108" i="73"/>
  <c r="BM108" i="73" s="1"/>
  <c r="BM141" i="72"/>
  <c r="BL142" i="72"/>
  <c r="BI70" i="73"/>
  <c r="BI71" i="73" s="1"/>
  <c r="BI72" i="73"/>
  <c r="BC130" i="72"/>
  <c r="BD163" i="72"/>
  <c r="BD162" i="72"/>
  <c r="BI149" i="73"/>
  <c r="BI143" i="73"/>
  <c r="BI141" i="73"/>
  <c r="BH70" i="73"/>
  <c r="BH71" i="73" s="1"/>
  <c r="BH72" i="73"/>
  <c r="BH74" i="73"/>
  <c r="BH76" i="73" s="1"/>
  <c r="BG74" i="73" l="1"/>
  <c r="BG76" i="73" s="1"/>
  <c r="BL64" i="73"/>
  <c r="BM64" i="73" s="1"/>
  <c r="BE74" i="73"/>
  <c r="BE76" i="73" s="1"/>
  <c r="V198" i="72"/>
  <c r="W191" i="72"/>
  <c r="BJ153" i="73"/>
  <c r="BJ151" i="73"/>
  <c r="BJ152" i="73" s="1"/>
  <c r="BE151" i="73"/>
  <c r="BE152" i="73" s="1"/>
  <c r="BE153" i="73"/>
  <c r="BL68" i="73"/>
  <c r="BM62" i="73"/>
  <c r="H63" i="73"/>
  <c r="BD70" i="73"/>
  <c r="BD74" i="73"/>
  <c r="BD76" i="73" s="1"/>
  <c r="BD72" i="73"/>
  <c r="BG151" i="73"/>
  <c r="BG152" i="73" s="1"/>
  <c r="BG153" i="73"/>
  <c r="BD153" i="73"/>
  <c r="BD151" i="73"/>
  <c r="BF153" i="73"/>
  <c r="BF151" i="73"/>
  <c r="BF152" i="73" s="1"/>
  <c r="I273" i="72"/>
  <c r="V266" i="72"/>
  <c r="V273" i="72" s="1"/>
  <c r="BI153" i="73"/>
  <c r="BI151" i="73"/>
  <c r="BI152" i="73" s="1"/>
  <c r="BC162" i="72"/>
  <c r="BC163" i="72"/>
  <c r="V262" i="72"/>
  <c r="BL130" i="72"/>
  <c r="I163" i="72"/>
  <c r="I63" i="73"/>
  <c r="BC140" i="73"/>
  <c r="BC63" i="73"/>
  <c r="BC68" i="73"/>
  <c r="BC143" i="73"/>
  <c r="BJ74" i="73"/>
  <c r="BJ76" i="73" s="1"/>
  <c r="BF74" i="73"/>
  <c r="BF76" i="73" s="1"/>
  <c r="BE155" i="73" l="1"/>
  <c r="BE157" i="73" s="1"/>
  <c r="BD155" i="73"/>
  <c r="BD157" i="73" s="1"/>
  <c r="BG155" i="73"/>
  <c r="BG157" i="73" s="1"/>
  <c r="BL63" i="73"/>
  <c r="BL151" i="73"/>
  <c r="BD152" i="73"/>
  <c r="BJ155" i="73"/>
  <c r="BJ157" i="73" s="1"/>
  <c r="BF155" i="73"/>
  <c r="BF157" i="73" s="1"/>
  <c r="BK155" i="73"/>
  <c r="BK157" i="73" s="1"/>
  <c r="BH155" i="73"/>
  <c r="BH157" i="73" s="1"/>
  <c r="BI155" i="73"/>
  <c r="BI157" i="73" s="1"/>
  <c r="BL140" i="73"/>
  <c r="BM140" i="73" s="1"/>
  <c r="BC141" i="73"/>
  <c r="BL141" i="73"/>
  <c r="BM141" i="73" s="1"/>
  <c r="BL163" i="72"/>
  <c r="BL162" i="72"/>
  <c r="BL70" i="73"/>
  <c r="BD71" i="73"/>
  <c r="V199" i="72"/>
  <c r="W198" i="72"/>
  <c r="B358" i="67" l="1"/>
  <c r="B404" i="67" s="1"/>
  <c r="B357" i="67"/>
  <c r="B403" i="67" s="1"/>
  <c r="B356" i="67"/>
  <c r="B402" i="67" s="1"/>
  <c r="B355" i="67"/>
  <c r="B401" i="67" s="1"/>
  <c r="B354" i="67"/>
  <c r="B400" i="67" s="1"/>
  <c r="B353" i="67"/>
  <c r="B399" i="67" s="1"/>
  <c r="B352" i="67"/>
  <c r="B398" i="67" s="1"/>
  <c r="B351" i="67"/>
  <c r="B397" i="67" s="1"/>
  <c r="B350" i="67"/>
  <c r="B396" i="67" s="1"/>
  <c r="B349" i="67"/>
  <c r="B395" i="67" s="1"/>
  <c r="B348" i="67"/>
  <c r="B394" i="67" s="1"/>
  <c r="B347" i="67"/>
  <c r="B393" i="67" s="1"/>
  <c r="B346" i="67"/>
  <c r="B392" i="67" s="1"/>
  <c r="B345" i="67"/>
  <c r="B391" i="67" s="1"/>
  <c r="B344" i="67"/>
  <c r="B390" i="67" s="1"/>
  <c r="B343" i="67"/>
  <c r="B389" i="67" s="1"/>
  <c r="B342" i="67"/>
  <c r="B388" i="67" s="1"/>
  <c r="B341" i="67"/>
  <c r="B387" i="67" s="1"/>
  <c r="B340" i="67"/>
  <c r="B386" i="67" s="1"/>
  <c r="B339" i="67"/>
  <c r="B385" i="67" s="1"/>
  <c r="B338" i="67"/>
  <c r="B384" i="67" s="1"/>
  <c r="B337" i="67"/>
  <c r="B383" i="67" s="1"/>
  <c r="B336" i="67"/>
  <c r="B382" i="67" s="1"/>
  <c r="B335" i="67"/>
  <c r="B381" i="67" s="1"/>
  <c r="B334" i="67"/>
  <c r="B380" i="67" s="1"/>
  <c r="B333" i="67"/>
  <c r="B379" i="67" s="1"/>
  <c r="B332" i="67"/>
  <c r="B378" i="67" s="1"/>
  <c r="B331" i="67"/>
  <c r="B377" i="67" s="1"/>
  <c r="B330" i="67"/>
  <c r="B376" i="67" s="1"/>
  <c r="B329" i="67"/>
  <c r="B375" i="67" s="1"/>
  <c r="B328" i="67"/>
  <c r="B374" i="67" s="1"/>
  <c r="B327" i="67"/>
  <c r="B373" i="67" s="1"/>
  <c r="B326" i="67"/>
  <c r="B372" i="67" s="1"/>
  <c r="B325" i="67"/>
  <c r="B371" i="67" s="1"/>
  <c r="B324" i="67"/>
  <c r="B370" i="67" s="1"/>
  <c r="B323" i="67"/>
  <c r="B369" i="67" s="1"/>
  <c r="B322" i="67"/>
  <c r="B368" i="67" s="1"/>
  <c r="B321" i="67"/>
  <c r="B367" i="67" s="1"/>
  <c r="B320" i="67"/>
  <c r="B366" i="67" s="1"/>
  <c r="B319" i="67"/>
  <c r="B365" i="67" s="1"/>
  <c r="B318" i="67"/>
  <c r="B364" i="67" s="1"/>
  <c r="H314" i="67"/>
  <c r="G314" i="67"/>
  <c r="E314" i="67"/>
  <c r="B314" i="67"/>
  <c r="H313" i="67"/>
  <c r="G313" i="67"/>
  <c r="G315" i="67" s="1"/>
  <c r="E313" i="67"/>
  <c r="B313" i="67"/>
  <c r="H312" i="67"/>
  <c r="G312" i="67"/>
  <c r="E312" i="67"/>
  <c r="B312" i="67"/>
  <c r="H290" i="67"/>
  <c r="G290" i="67"/>
  <c r="E290" i="67"/>
  <c r="B290" i="67"/>
  <c r="B303" i="67" s="1"/>
  <c r="H289" i="67"/>
  <c r="G289" i="67"/>
  <c r="E289" i="67"/>
  <c r="B289" i="67"/>
  <c r="B302" i="67" s="1"/>
  <c r="H288" i="67"/>
  <c r="G288" i="67"/>
  <c r="E288" i="67"/>
  <c r="B288" i="67"/>
  <c r="B301" i="67" s="1"/>
  <c r="H287" i="67"/>
  <c r="G287" i="67"/>
  <c r="E287" i="67"/>
  <c r="B287" i="67"/>
  <c r="B300" i="67" s="1"/>
  <c r="H286" i="67"/>
  <c r="G286" i="67"/>
  <c r="E286" i="67"/>
  <c r="B286" i="67"/>
  <c r="B299" i="67" s="1"/>
  <c r="H285" i="67"/>
  <c r="G285" i="67"/>
  <c r="E285" i="67"/>
  <c r="B285" i="67"/>
  <c r="B298" i="67" s="1"/>
  <c r="H284" i="67"/>
  <c r="G284" i="67"/>
  <c r="E284" i="67"/>
  <c r="B284" i="67"/>
  <c r="B297" i="67" s="1"/>
  <c r="H283" i="67"/>
  <c r="E283" i="67"/>
  <c r="B283" i="67"/>
  <c r="B296" i="67" s="1"/>
  <c r="H281" i="67"/>
  <c r="G281" i="67"/>
  <c r="E281" i="67"/>
  <c r="B274" i="67"/>
  <c r="B272" i="67"/>
  <c r="H234" i="67"/>
  <c r="G234" i="67"/>
  <c r="E234" i="67"/>
  <c r="B234" i="67"/>
  <c r="B273" i="67" s="1"/>
  <c r="H233" i="67"/>
  <c r="G233" i="67"/>
  <c r="E233" i="67"/>
  <c r="B233" i="67"/>
  <c r="B232" i="67"/>
  <c r="B271" i="67" s="1"/>
  <c r="B231" i="67"/>
  <c r="B270" i="67" s="1"/>
  <c r="H230" i="67"/>
  <c r="G230" i="67"/>
  <c r="E230" i="67"/>
  <c r="B230" i="67"/>
  <c r="B269" i="67" s="1"/>
  <c r="H229" i="67"/>
  <c r="G229" i="67"/>
  <c r="E229" i="67"/>
  <c r="B229" i="67"/>
  <c r="B268" i="67" s="1"/>
  <c r="H228" i="67"/>
  <c r="G228" i="67"/>
  <c r="E228" i="67"/>
  <c r="B228" i="67"/>
  <c r="B267" i="67" s="1"/>
  <c r="H227" i="67"/>
  <c r="G227" i="67"/>
  <c r="E227" i="67"/>
  <c r="B227" i="67"/>
  <c r="B266" i="67" s="1"/>
  <c r="H226" i="67"/>
  <c r="G226" i="67"/>
  <c r="E226" i="67"/>
  <c r="B226" i="67"/>
  <c r="B265" i="67" s="1"/>
  <c r="H225" i="67"/>
  <c r="G225" i="67"/>
  <c r="E225" i="67"/>
  <c r="B225" i="67"/>
  <c r="B264" i="67" s="1"/>
  <c r="H224" i="67"/>
  <c r="E224" i="67"/>
  <c r="B224" i="67"/>
  <c r="B263" i="67" s="1"/>
  <c r="H223" i="67"/>
  <c r="G223" i="67"/>
  <c r="E223" i="67"/>
  <c r="B223" i="67"/>
  <c r="B262" i="67" s="1"/>
  <c r="H222" i="67"/>
  <c r="G222" i="67"/>
  <c r="E222" i="67"/>
  <c r="B222" i="67"/>
  <c r="B261" i="67" s="1"/>
  <c r="H221" i="67"/>
  <c r="G221" i="67"/>
  <c r="E221" i="67"/>
  <c r="B221" i="67"/>
  <c r="B260" i="67" s="1"/>
  <c r="H220" i="67"/>
  <c r="G220" i="67"/>
  <c r="E220" i="67"/>
  <c r="B220" i="67"/>
  <c r="B259" i="67" s="1"/>
  <c r="H219" i="67"/>
  <c r="G219" i="67"/>
  <c r="E219" i="67"/>
  <c r="B219" i="67"/>
  <c r="B258" i="67" s="1"/>
  <c r="H218" i="67"/>
  <c r="G218" i="67"/>
  <c r="E218" i="67"/>
  <c r="B218" i="67"/>
  <c r="B257" i="67" s="1"/>
  <c r="H217" i="67"/>
  <c r="G217" i="67"/>
  <c r="E217" i="67"/>
  <c r="B217" i="67"/>
  <c r="B256" i="67" s="1"/>
  <c r="H216" i="67"/>
  <c r="G216" i="67"/>
  <c r="E216" i="67"/>
  <c r="B216" i="67"/>
  <c r="B255" i="67" s="1"/>
  <c r="H215" i="67"/>
  <c r="G215" i="67"/>
  <c r="E215" i="67"/>
  <c r="B215" i="67"/>
  <c r="B254" i="67" s="1"/>
  <c r="H214" i="67"/>
  <c r="G214" i="67"/>
  <c r="E214" i="67"/>
  <c r="B214" i="67"/>
  <c r="B253" i="67" s="1"/>
  <c r="H200" i="67"/>
  <c r="G200" i="67"/>
  <c r="E200" i="67"/>
  <c r="B200" i="67"/>
  <c r="B184" i="67"/>
  <c r="H179" i="67"/>
  <c r="G179" i="67"/>
  <c r="G180" i="67" s="1"/>
  <c r="I178" i="67" s="1"/>
  <c r="E179" i="67"/>
  <c r="B179" i="67"/>
  <c r="H178" i="67"/>
  <c r="G178" i="67"/>
  <c r="E178" i="67"/>
  <c r="B178" i="67"/>
  <c r="B183" i="67" s="1"/>
  <c r="H176" i="67"/>
  <c r="G176" i="67"/>
  <c r="E176" i="67"/>
  <c r="H158" i="67"/>
  <c r="G158" i="67"/>
  <c r="E158" i="67"/>
  <c r="C158" i="67"/>
  <c r="C168" i="67" s="1"/>
  <c r="B158" i="67"/>
  <c r="B168" i="67" s="1"/>
  <c r="B213" i="67" s="1"/>
  <c r="B252" i="67" s="1"/>
  <c r="H157" i="67"/>
  <c r="G157" i="67"/>
  <c r="E157" i="67"/>
  <c r="C157" i="67"/>
  <c r="C167" i="67" s="1"/>
  <c r="B157" i="67"/>
  <c r="B167" i="67" s="1"/>
  <c r="B212" i="67" s="1"/>
  <c r="B251" i="67" s="1"/>
  <c r="H156" i="67"/>
  <c r="G156" i="67"/>
  <c r="E156" i="67"/>
  <c r="C156" i="67"/>
  <c r="C166" i="67" s="1"/>
  <c r="B156" i="67"/>
  <c r="B166" i="67" s="1"/>
  <c r="B211" i="67" s="1"/>
  <c r="B250" i="67" s="1"/>
  <c r="H155" i="67"/>
  <c r="G155" i="67"/>
  <c r="E155" i="67"/>
  <c r="C155" i="67"/>
  <c r="C165" i="67" s="1"/>
  <c r="B155" i="67"/>
  <c r="B165" i="67" s="1"/>
  <c r="B210" i="67" s="1"/>
  <c r="B249" i="67" s="1"/>
  <c r="H154" i="67"/>
  <c r="G154" i="67"/>
  <c r="E154" i="67"/>
  <c r="C154" i="67"/>
  <c r="C164" i="67" s="1"/>
  <c r="B154" i="67"/>
  <c r="B164" i="67" s="1"/>
  <c r="B209" i="67" s="1"/>
  <c r="B248" i="67" s="1"/>
  <c r="H153" i="67"/>
  <c r="G153" i="67"/>
  <c r="E153" i="67"/>
  <c r="C153" i="67"/>
  <c r="C163" i="67" s="1"/>
  <c r="B153" i="67"/>
  <c r="B163" i="67" s="1"/>
  <c r="B208" i="67" s="1"/>
  <c r="B247" i="67" s="1"/>
  <c r="H152" i="67"/>
  <c r="H159" i="67" s="1"/>
  <c r="G152" i="67"/>
  <c r="E152" i="67"/>
  <c r="C152" i="67"/>
  <c r="C162" i="67" s="1"/>
  <c r="B152" i="67"/>
  <c r="B162" i="67" s="1"/>
  <c r="B207" i="67" s="1"/>
  <c r="B246" i="67" s="1"/>
  <c r="H150" i="67"/>
  <c r="G150" i="67"/>
  <c r="E150" i="67"/>
  <c r="C150" i="67"/>
  <c r="H135" i="67"/>
  <c r="G135" i="67"/>
  <c r="E135" i="67"/>
  <c r="C135" i="67"/>
  <c r="C142" i="67" s="1"/>
  <c r="B135" i="67"/>
  <c r="H134" i="67"/>
  <c r="E134" i="67"/>
  <c r="C134" i="67"/>
  <c r="C141" i="67" s="1"/>
  <c r="B134" i="67"/>
  <c r="B205" i="67" s="1"/>
  <c r="B244" i="67" s="1"/>
  <c r="H133" i="67"/>
  <c r="G133" i="67"/>
  <c r="E133" i="67"/>
  <c r="C133" i="67"/>
  <c r="C140" i="67" s="1"/>
  <c r="B133" i="67"/>
  <c r="B204" i="67" s="1"/>
  <c r="B243" i="67" s="1"/>
  <c r="H132" i="67"/>
  <c r="G132" i="67"/>
  <c r="E132" i="67"/>
  <c r="C132" i="67"/>
  <c r="C139" i="67" s="1"/>
  <c r="B132" i="67"/>
  <c r="B203" i="67" s="1"/>
  <c r="B242" i="67" s="1"/>
  <c r="H131" i="67"/>
  <c r="G131" i="67"/>
  <c r="E131" i="67"/>
  <c r="C131" i="67"/>
  <c r="C138" i="67" s="1"/>
  <c r="B131" i="67"/>
  <c r="B202" i="67" s="1"/>
  <c r="B241" i="67" s="1"/>
  <c r="H129" i="67"/>
  <c r="G129" i="67"/>
  <c r="E129" i="67"/>
  <c r="C129" i="67"/>
  <c r="I125" i="67"/>
  <c r="C118" i="67"/>
  <c r="C117" i="67"/>
  <c r="C119" i="67" s="1"/>
  <c r="L104" i="67"/>
  <c r="K104" i="67"/>
  <c r="J104" i="67"/>
  <c r="H104" i="67"/>
  <c r="G104" i="67"/>
  <c r="F104" i="67"/>
  <c r="E104" i="67"/>
  <c r="M102" i="67"/>
  <c r="J313" i="67" s="1"/>
  <c r="M101" i="67"/>
  <c r="J281" i="67" s="1"/>
  <c r="M100" i="67"/>
  <c r="J312" i="67" s="1"/>
  <c r="M99" i="67"/>
  <c r="J234" i="67" s="1"/>
  <c r="M98" i="67"/>
  <c r="J233" i="67" s="1"/>
  <c r="M97" i="67"/>
  <c r="J314" i="67" s="1"/>
  <c r="M96" i="67"/>
  <c r="J176" i="67" s="1"/>
  <c r="M95" i="67"/>
  <c r="J179" i="67" s="1"/>
  <c r="M94" i="67"/>
  <c r="J178" i="67" s="1"/>
  <c r="M93" i="67"/>
  <c r="J200" i="67" s="1"/>
  <c r="M92" i="67"/>
  <c r="J230" i="67" s="1"/>
  <c r="M91" i="67"/>
  <c r="J229" i="67" s="1"/>
  <c r="M90" i="67"/>
  <c r="J228" i="67" s="1"/>
  <c r="M89" i="67"/>
  <c r="J227" i="67" s="1"/>
  <c r="M88" i="67"/>
  <c r="J290" i="67" s="1"/>
  <c r="M87" i="67"/>
  <c r="J289" i="67" s="1"/>
  <c r="M86" i="67"/>
  <c r="J288" i="67" s="1"/>
  <c r="M85" i="67"/>
  <c r="J226" i="67" s="1"/>
  <c r="M84" i="67"/>
  <c r="J287" i="67" s="1"/>
  <c r="M83" i="67"/>
  <c r="J286" i="67" s="1"/>
  <c r="M82" i="67"/>
  <c r="J285" i="67" s="1"/>
  <c r="M81" i="67"/>
  <c r="J225" i="67" s="1"/>
  <c r="M80" i="67"/>
  <c r="J224" i="67" s="1"/>
  <c r="I80" i="67"/>
  <c r="G224" i="67" s="1"/>
  <c r="M79" i="67"/>
  <c r="J284" i="67" s="1"/>
  <c r="M78" i="67"/>
  <c r="J283" i="67" s="1"/>
  <c r="I78" i="67"/>
  <c r="G283" i="67" s="1"/>
  <c r="M77" i="67"/>
  <c r="J223" i="67" s="1"/>
  <c r="M76" i="67"/>
  <c r="J222" i="67" s="1"/>
  <c r="M75" i="67"/>
  <c r="J221" i="67" s="1"/>
  <c r="M74" i="67"/>
  <c r="J220" i="67" s="1"/>
  <c r="M73" i="67"/>
  <c r="J219" i="67" s="1"/>
  <c r="M72" i="67"/>
  <c r="J218" i="67" s="1"/>
  <c r="M71" i="67"/>
  <c r="J217" i="67" s="1"/>
  <c r="M70" i="67"/>
  <c r="J216" i="67" s="1"/>
  <c r="M69" i="67"/>
  <c r="J215" i="67" s="1"/>
  <c r="M68" i="67"/>
  <c r="J214" i="67" s="1"/>
  <c r="M67" i="67"/>
  <c r="J158" i="67" s="1"/>
  <c r="M66" i="67"/>
  <c r="J157" i="67" s="1"/>
  <c r="M65" i="67"/>
  <c r="J156" i="67" s="1"/>
  <c r="M64" i="67"/>
  <c r="J155" i="67" s="1"/>
  <c r="M63" i="67"/>
  <c r="J154" i="67" s="1"/>
  <c r="M62" i="67"/>
  <c r="J153" i="67" s="1"/>
  <c r="M61" i="67"/>
  <c r="J152" i="67" s="1"/>
  <c r="M60" i="67"/>
  <c r="J150" i="67" s="1"/>
  <c r="M59" i="67"/>
  <c r="J129" i="67" s="1"/>
  <c r="M58" i="67"/>
  <c r="J135" i="67" s="1"/>
  <c r="M57" i="67"/>
  <c r="J134" i="67" s="1"/>
  <c r="I57" i="67"/>
  <c r="G134" i="67" s="1"/>
  <c r="M56" i="67"/>
  <c r="J133" i="67" s="1"/>
  <c r="M55" i="67"/>
  <c r="M54" i="67"/>
  <c r="J131" i="67" s="1"/>
  <c r="L48" i="67"/>
  <c r="K48" i="67"/>
  <c r="Q29" i="66"/>
  <c r="R27" i="66" s="1"/>
  <c r="O29" i="66"/>
  <c r="P27" i="66" s="1"/>
  <c r="M29" i="66"/>
  <c r="N25" i="66" s="1"/>
  <c r="S25" i="66" s="1"/>
  <c r="K29" i="66"/>
  <c r="I29" i="66"/>
  <c r="J27" i="66" s="1"/>
  <c r="G29" i="66"/>
  <c r="H25" i="66" s="1"/>
  <c r="E29" i="66"/>
  <c r="F26" i="66" s="1"/>
  <c r="C29" i="66"/>
  <c r="S27" i="66"/>
  <c r="N27" i="66"/>
  <c r="L27" i="66"/>
  <c r="F27" i="66"/>
  <c r="D27" i="66"/>
  <c r="R26" i="66"/>
  <c r="N26" i="66"/>
  <c r="S26" i="66" s="1"/>
  <c r="L26" i="66"/>
  <c r="J26" i="66"/>
  <c r="H26" i="66"/>
  <c r="D26" i="66"/>
  <c r="R25" i="66"/>
  <c r="P25" i="66"/>
  <c r="L25" i="66"/>
  <c r="J25" i="66"/>
  <c r="D25" i="66"/>
  <c r="R24" i="66"/>
  <c r="N24" i="66"/>
  <c r="S24" i="66" s="1"/>
  <c r="L24" i="66"/>
  <c r="J24" i="66"/>
  <c r="H24" i="66"/>
  <c r="F24" i="66"/>
  <c r="D24" i="66"/>
  <c r="S23" i="66"/>
  <c r="N23" i="66"/>
  <c r="L23" i="66"/>
  <c r="H23" i="66"/>
  <c r="F23" i="66"/>
  <c r="D23" i="66"/>
  <c r="R22" i="66"/>
  <c r="N22" i="66"/>
  <c r="S22" i="66" s="1"/>
  <c r="L22" i="66"/>
  <c r="L29" i="66" s="1"/>
  <c r="J22" i="66"/>
  <c r="H22" i="66"/>
  <c r="F22" i="66"/>
  <c r="D22" i="66"/>
  <c r="R21" i="66"/>
  <c r="N21" i="66"/>
  <c r="S21" i="66" s="1"/>
  <c r="L21" i="66"/>
  <c r="J21" i="66"/>
  <c r="H21" i="66"/>
  <c r="D21" i="66"/>
  <c r="N19" i="66"/>
  <c r="D19" i="66"/>
  <c r="Q14" i="66"/>
  <c r="O14" i="66"/>
  <c r="P12" i="66" s="1"/>
  <c r="M14" i="66"/>
  <c r="K14" i="66"/>
  <c r="L10" i="66" s="1"/>
  <c r="I14" i="66"/>
  <c r="J8" i="66" s="1"/>
  <c r="G14" i="66"/>
  <c r="H12" i="66" s="1"/>
  <c r="E14" i="66"/>
  <c r="C14" i="66"/>
  <c r="D10" i="66" s="1"/>
  <c r="J12" i="66"/>
  <c r="D12" i="66"/>
  <c r="H11" i="66"/>
  <c r="D11" i="66"/>
  <c r="H10" i="66"/>
  <c r="P9" i="66"/>
  <c r="H9" i="66"/>
  <c r="D9" i="66"/>
  <c r="R8" i="66"/>
  <c r="D8" i="66"/>
  <c r="L7" i="66"/>
  <c r="H7" i="66"/>
  <c r="D7" i="66"/>
  <c r="H6" i="66"/>
  <c r="F6" i="66"/>
  <c r="D6" i="66"/>
  <c r="A6" i="66"/>
  <c r="A7" i="66" s="1"/>
  <c r="A8" i="66" s="1"/>
  <c r="A9" i="66" s="1"/>
  <c r="A10" i="66" s="1"/>
  <c r="A11" i="66" s="1"/>
  <c r="A12" i="66" s="1"/>
  <c r="H5" i="66"/>
  <c r="D5" i="66"/>
  <c r="N3" i="66"/>
  <c r="D3" i="66"/>
  <c r="H12" i="65"/>
  <c r="F12" i="65"/>
  <c r="E80" i="62" s="1"/>
  <c r="D12" i="65"/>
  <c r="B12" i="65"/>
  <c r="H11" i="65"/>
  <c r="F11" i="65"/>
  <c r="D11" i="65"/>
  <c r="B11" i="65"/>
  <c r="B79" i="62" s="1"/>
  <c r="H10" i="65"/>
  <c r="F10" i="65"/>
  <c r="E78" i="62" s="1"/>
  <c r="D10" i="65"/>
  <c r="B10" i="65"/>
  <c r="L9" i="65"/>
  <c r="H9" i="65"/>
  <c r="F9" i="65"/>
  <c r="D9" i="65"/>
  <c r="C77" i="62" s="1"/>
  <c r="B9" i="65"/>
  <c r="L8" i="65"/>
  <c r="H8" i="65"/>
  <c r="F8" i="65"/>
  <c r="D8" i="65"/>
  <c r="B8" i="65"/>
  <c r="H7" i="65"/>
  <c r="G75" i="62" s="1"/>
  <c r="F7" i="65"/>
  <c r="D7" i="65"/>
  <c r="C75" i="62" s="1"/>
  <c r="B7" i="65"/>
  <c r="H6" i="65"/>
  <c r="F6" i="65"/>
  <c r="D6" i="65"/>
  <c r="B6" i="65"/>
  <c r="A6" i="65"/>
  <c r="A7" i="65" s="1"/>
  <c r="A8" i="65" s="1"/>
  <c r="A9" i="65" s="1"/>
  <c r="A10" i="65" s="1"/>
  <c r="A11" i="65" s="1"/>
  <c r="A12" i="65" s="1"/>
  <c r="L5" i="65"/>
  <c r="H5" i="65"/>
  <c r="G73" i="62" s="1"/>
  <c r="F5" i="65"/>
  <c r="D5" i="65"/>
  <c r="B5" i="65"/>
  <c r="I2" i="65"/>
  <c r="G2" i="65"/>
  <c r="E2" i="65"/>
  <c r="H55" i="64"/>
  <c r="F55" i="64"/>
  <c r="E67" i="62" s="1"/>
  <c r="D55" i="64"/>
  <c r="F54" i="64"/>
  <c r="H53" i="64"/>
  <c r="H52" i="64"/>
  <c r="F52" i="64"/>
  <c r="K45" i="64"/>
  <c r="B45" i="64"/>
  <c r="K44" i="64"/>
  <c r="B44" i="64"/>
  <c r="K43" i="64"/>
  <c r="B43" i="64"/>
  <c r="K42" i="64"/>
  <c r="B42" i="64"/>
  <c r="K41" i="64"/>
  <c r="B41" i="64"/>
  <c r="K40" i="64"/>
  <c r="B40" i="64"/>
  <c r="K39" i="64"/>
  <c r="B39" i="64"/>
  <c r="K38" i="64"/>
  <c r="B38" i="64"/>
  <c r="L37" i="64"/>
  <c r="B37" i="64"/>
  <c r="L36" i="64"/>
  <c r="B36" i="64"/>
  <c r="L35" i="64"/>
  <c r="B35" i="64"/>
  <c r="K34" i="64"/>
  <c r="B34" i="64"/>
  <c r="L33" i="64"/>
  <c r="B33" i="64"/>
  <c r="L32" i="64"/>
  <c r="B32" i="64"/>
  <c r="L31" i="64"/>
  <c r="B31" i="64"/>
  <c r="K30" i="64"/>
  <c r="B30" i="64"/>
  <c r="K29" i="64"/>
  <c r="B29" i="64"/>
  <c r="K28" i="64"/>
  <c r="B28" i="64"/>
  <c r="L27" i="64"/>
  <c r="B27" i="64"/>
  <c r="K26" i="64"/>
  <c r="B26" i="64"/>
  <c r="K25" i="64"/>
  <c r="B25" i="64"/>
  <c r="K24" i="64"/>
  <c r="B24" i="64"/>
  <c r="K23" i="64"/>
  <c r="B23" i="64"/>
  <c r="K22" i="64"/>
  <c r="B22" i="64"/>
  <c r="K21" i="64"/>
  <c r="B21" i="64"/>
  <c r="K20" i="64"/>
  <c r="B20" i="64"/>
  <c r="K19" i="64"/>
  <c r="B19" i="64"/>
  <c r="K18" i="64"/>
  <c r="B18" i="64"/>
  <c r="K17" i="64"/>
  <c r="B17" i="64"/>
  <c r="K16" i="64"/>
  <c r="B16" i="64"/>
  <c r="K15" i="64"/>
  <c r="B15" i="64"/>
  <c r="K14" i="64"/>
  <c r="B14" i="64"/>
  <c r="K13" i="64"/>
  <c r="B13" i="64"/>
  <c r="K12" i="64"/>
  <c r="B12" i="64"/>
  <c r="K11" i="64"/>
  <c r="B11" i="64"/>
  <c r="K10" i="64"/>
  <c r="B10" i="64"/>
  <c r="K9" i="64"/>
  <c r="B9" i="64"/>
  <c r="K8" i="64"/>
  <c r="B8" i="64"/>
  <c r="K7" i="64"/>
  <c r="B7" i="64"/>
  <c r="K6" i="64"/>
  <c r="B6" i="64"/>
  <c r="A6" i="64"/>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K5" i="64"/>
  <c r="B5" i="64"/>
  <c r="I2" i="64"/>
  <c r="G2" i="64"/>
  <c r="E2" i="64"/>
  <c r="E8" i="63"/>
  <c r="C8" i="63"/>
  <c r="G6" i="63"/>
  <c r="G8" i="63" s="1"/>
  <c r="B6" i="63"/>
  <c r="P81" i="62"/>
  <c r="G80" i="62"/>
  <c r="C80" i="62"/>
  <c r="B80" i="62"/>
  <c r="G79" i="62"/>
  <c r="E79" i="62"/>
  <c r="C79" i="62"/>
  <c r="G78" i="62"/>
  <c r="C78" i="62"/>
  <c r="B78" i="62"/>
  <c r="G77" i="62"/>
  <c r="E77" i="62"/>
  <c r="B77" i="62"/>
  <c r="G76" i="62"/>
  <c r="E76" i="62"/>
  <c r="C76" i="62"/>
  <c r="B76" i="62"/>
  <c r="E75" i="62"/>
  <c r="B75" i="62"/>
  <c r="G74" i="62"/>
  <c r="E74" i="62"/>
  <c r="C74" i="62"/>
  <c r="B74" i="62"/>
  <c r="E73" i="62"/>
  <c r="C73" i="62"/>
  <c r="B73" i="62"/>
  <c r="G67" i="62"/>
  <c r="C67" i="62"/>
  <c r="B67" i="62"/>
  <c r="G66" i="62"/>
  <c r="E66" i="62"/>
  <c r="C66" i="62"/>
  <c r="B66" i="62"/>
  <c r="E65" i="62"/>
  <c r="C65" i="62"/>
  <c r="B65" i="62"/>
  <c r="G64" i="62"/>
  <c r="E64" i="62"/>
  <c r="C64" i="62"/>
  <c r="B64" i="62"/>
  <c r="B59" i="62"/>
  <c r="B58" i="62"/>
  <c r="B57" i="62"/>
  <c r="B56" i="62"/>
  <c r="B55" i="62"/>
  <c r="B54" i="62"/>
  <c r="B53" i="62"/>
  <c r="B52" i="62"/>
  <c r="B51" i="62"/>
  <c r="B50" i="62"/>
  <c r="B49" i="62"/>
  <c r="B48" i="62"/>
  <c r="B47" i="62"/>
  <c r="B46" i="62"/>
  <c r="B45" i="62"/>
  <c r="B44" i="62"/>
  <c r="B43" i="62"/>
  <c r="B42" i="62"/>
  <c r="B41" i="62"/>
  <c r="B40" i="62"/>
  <c r="B39" i="62"/>
  <c r="B38" i="62"/>
  <c r="B37" i="62"/>
  <c r="B36" i="62"/>
  <c r="B35" i="62"/>
  <c r="B34" i="62"/>
  <c r="B33" i="62"/>
  <c r="B32" i="62"/>
  <c r="B31" i="62"/>
  <c r="B30" i="62"/>
  <c r="B29" i="62"/>
  <c r="B28" i="62"/>
  <c r="B27" i="62"/>
  <c r="B26" i="62"/>
  <c r="B20" i="62"/>
  <c r="B19" i="62"/>
  <c r="B18" i="62"/>
  <c r="B17" i="62"/>
  <c r="B16" i="62"/>
  <c r="B15" i="62"/>
  <c r="B14" i="62"/>
  <c r="G8" i="62"/>
  <c r="E8" i="62"/>
  <c r="C8" i="62"/>
  <c r="G7" i="62"/>
  <c r="E7" i="62"/>
  <c r="C7" i="62"/>
  <c r="D4" i="62"/>
  <c r="D3" i="62"/>
  <c r="BL149" i="61"/>
  <c r="A141" i="61"/>
  <c r="A140" i="61"/>
  <c r="BM138" i="61"/>
  <c r="A137" i="61"/>
  <c r="A133" i="61"/>
  <c r="BK132" i="61"/>
  <c r="BJ132" i="61"/>
  <c r="BI132" i="61"/>
  <c r="BH132" i="61"/>
  <c r="BG132" i="61"/>
  <c r="BF132" i="61"/>
  <c r="BE132" i="61"/>
  <c r="BD132" i="61"/>
  <c r="BB132" i="61"/>
  <c r="BA132" i="61"/>
  <c r="AZ132" i="61"/>
  <c r="AY132" i="61"/>
  <c r="H132" i="61"/>
  <c r="C132" i="61"/>
  <c r="B132" i="61"/>
  <c r="A132" i="61"/>
  <c r="BK131" i="61"/>
  <c r="BJ131" i="61"/>
  <c r="BI131" i="61"/>
  <c r="BH131" i="61"/>
  <c r="BG131" i="61"/>
  <c r="BF131" i="61"/>
  <c r="BE131" i="61"/>
  <c r="BD131" i="61"/>
  <c r="H131" i="61"/>
  <c r="C131" i="61"/>
  <c r="B131" i="61"/>
  <c r="A131" i="61"/>
  <c r="BK130" i="61"/>
  <c r="BK133" i="61" s="1"/>
  <c r="BJ130" i="61"/>
  <c r="BI130" i="61"/>
  <c r="BH130" i="61"/>
  <c r="BH133" i="61" s="1"/>
  <c r="BG130" i="61"/>
  <c r="BG133" i="61" s="1"/>
  <c r="BF130" i="61"/>
  <c r="BF133" i="61" s="1"/>
  <c r="BE130" i="61"/>
  <c r="BD130" i="61"/>
  <c r="BB130" i="61"/>
  <c r="BA130" i="61"/>
  <c r="AZ130" i="61"/>
  <c r="AY130" i="61"/>
  <c r="H130" i="61"/>
  <c r="H133" i="61" s="1"/>
  <c r="C130" i="61"/>
  <c r="B130" i="61"/>
  <c r="A130" i="61"/>
  <c r="A129" i="61"/>
  <c r="A127" i="61"/>
  <c r="BK125" i="61"/>
  <c r="AX125" i="61"/>
  <c r="AW125" i="61"/>
  <c r="AV125" i="61"/>
  <c r="AU125" i="61"/>
  <c r="AT125" i="61"/>
  <c r="AS125" i="61"/>
  <c r="AR125" i="61"/>
  <c r="AQ125" i="61"/>
  <c r="AP125" i="61"/>
  <c r="AO125" i="61"/>
  <c r="AN125" i="61"/>
  <c r="AM125" i="61"/>
  <c r="AL125" i="61"/>
  <c r="AK125" i="61"/>
  <c r="AJ125" i="61"/>
  <c r="AI125" i="61"/>
  <c r="AH125" i="61"/>
  <c r="AG125" i="61"/>
  <c r="AF125" i="61"/>
  <c r="AE125" i="61"/>
  <c r="AD125" i="61"/>
  <c r="AC125" i="61"/>
  <c r="AB125" i="61"/>
  <c r="AA125" i="61"/>
  <c r="Z125" i="61"/>
  <c r="Y125" i="61"/>
  <c r="X125" i="61"/>
  <c r="W125" i="61"/>
  <c r="V125" i="61"/>
  <c r="U125" i="61"/>
  <c r="T125" i="61"/>
  <c r="S125" i="61"/>
  <c r="R125" i="61"/>
  <c r="Q125" i="61"/>
  <c r="P125" i="61"/>
  <c r="O125" i="61"/>
  <c r="N125" i="61"/>
  <c r="M125" i="61"/>
  <c r="L125" i="61"/>
  <c r="K125" i="61"/>
  <c r="J125" i="61"/>
  <c r="H125" i="61"/>
  <c r="F125" i="61"/>
  <c r="C125" i="61"/>
  <c r="B125" i="61"/>
  <c r="A125" i="61"/>
  <c r="BL124" i="61"/>
  <c r="BK123" i="61"/>
  <c r="BJ123" i="61"/>
  <c r="BI123" i="61"/>
  <c r="BH123" i="61"/>
  <c r="BG123" i="61"/>
  <c r="BF123" i="61"/>
  <c r="BE123" i="61"/>
  <c r="BD123" i="61"/>
  <c r="H123" i="61"/>
  <c r="F123" i="61"/>
  <c r="C123" i="61"/>
  <c r="B123" i="61"/>
  <c r="A123" i="61"/>
  <c r="BK122" i="61"/>
  <c r="BJ122" i="61"/>
  <c r="BI122" i="61"/>
  <c r="BH122" i="61"/>
  <c r="BG122" i="61"/>
  <c r="BF122" i="61"/>
  <c r="BE122" i="61"/>
  <c r="BD122" i="61"/>
  <c r="BB122" i="61"/>
  <c r="BA122" i="61"/>
  <c r="AZ122" i="61"/>
  <c r="AY122" i="61"/>
  <c r="H122" i="61"/>
  <c r="F122" i="61"/>
  <c r="C122" i="61"/>
  <c r="B122" i="61"/>
  <c r="A122" i="61"/>
  <c r="BK121" i="61"/>
  <c r="BJ121" i="61"/>
  <c r="BI121" i="61"/>
  <c r="BH121" i="61"/>
  <c r="BG121" i="61"/>
  <c r="BF121" i="61"/>
  <c r="BE121" i="61"/>
  <c r="BD121" i="61"/>
  <c r="BB121" i="61"/>
  <c r="BA121" i="61"/>
  <c r="AZ121" i="61"/>
  <c r="AY121" i="61"/>
  <c r="H121" i="61"/>
  <c r="F121" i="61"/>
  <c r="C121" i="61"/>
  <c r="B121" i="61"/>
  <c r="A121" i="61"/>
  <c r="BK120" i="61"/>
  <c r="BJ120" i="61"/>
  <c r="BI120" i="61"/>
  <c r="BH120" i="61"/>
  <c r="BG120" i="61"/>
  <c r="BF120" i="61"/>
  <c r="BE120" i="61"/>
  <c r="BD120" i="61"/>
  <c r="BB120" i="61"/>
  <c r="BA120" i="61"/>
  <c r="AZ120" i="61"/>
  <c r="AY120" i="61"/>
  <c r="H120" i="61"/>
  <c r="F120" i="61"/>
  <c r="C120" i="61"/>
  <c r="B120" i="61"/>
  <c r="A120" i="61"/>
  <c r="BK118" i="61"/>
  <c r="BJ118" i="61"/>
  <c r="BI118" i="61"/>
  <c r="BH118" i="61"/>
  <c r="BG118" i="61"/>
  <c r="BF118" i="61"/>
  <c r="BE118" i="61"/>
  <c r="BD118" i="61"/>
  <c r="BB118" i="61"/>
  <c r="BA118" i="61"/>
  <c r="AZ118" i="61"/>
  <c r="AY118" i="61"/>
  <c r="H118" i="61"/>
  <c r="F118" i="61"/>
  <c r="C118" i="61"/>
  <c r="B118" i="61"/>
  <c r="A118" i="61"/>
  <c r="A116" i="61"/>
  <c r="BK115" i="61"/>
  <c r="BJ115" i="61"/>
  <c r="BI115" i="61"/>
  <c r="BH115" i="61"/>
  <c r="BG115" i="61"/>
  <c r="BF115" i="61"/>
  <c r="BE115" i="61"/>
  <c r="BD115" i="61"/>
  <c r="BB115" i="61"/>
  <c r="BA115" i="61"/>
  <c r="AZ115" i="61"/>
  <c r="AY115" i="61"/>
  <c r="H115" i="61"/>
  <c r="F115" i="61"/>
  <c r="C115" i="61"/>
  <c r="B115" i="61"/>
  <c r="A115" i="61"/>
  <c r="BK114" i="61"/>
  <c r="BJ114" i="61"/>
  <c r="BI114" i="61"/>
  <c r="BH114" i="61"/>
  <c r="BG114" i="61"/>
  <c r="BF114" i="61"/>
  <c r="BE114" i="61"/>
  <c r="BD114" i="61"/>
  <c r="BB114" i="61"/>
  <c r="BA114" i="61"/>
  <c r="AZ114" i="61"/>
  <c r="AY114" i="61"/>
  <c r="H114" i="61"/>
  <c r="F114" i="61"/>
  <c r="C114" i="61"/>
  <c r="B114" i="61"/>
  <c r="A114" i="61"/>
  <c r="BK113" i="61"/>
  <c r="BJ113" i="61"/>
  <c r="BI113" i="61"/>
  <c r="BI116" i="61" s="1"/>
  <c r="BH113" i="61"/>
  <c r="BH116" i="61" s="1"/>
  <c r="BG113" i="61"/>
  <c r="BG116" i="61" s="1"/>
  <c r="BF113" i="61"/>
  <c r="BE113" i="61"/>
  <c r="BD113" i="61"/>
  <c r="H113" i="61"/>
  <c r="F113" i="61"/>
  <c r="C113" i="61"/>
  <c r="B113" i="61"/>
  <c r="A113" i="61"/>
  <c r="A112" i="61"/>
  <c r="A110" i="61"/>
  <c r="A108" i="61"/>
  <c r="A105" i="61"/>
  <c r="H103" i="61"/>
  <c r="F103" i="61"/>
  <c r="C103" i="61"/>
  <c r="B103" i="61"/>
  <c r="A103" i="61"/>
  <c r="BJ102" i="61"/>
  <c r="BI102" i="61"/>
  <c r="BH102" i="61"/>
  <c r="BG102" i="61"/>
  <c r="BF102" i="61"/>
  <c r="BE102" i="61"/>
  <c r="BD102" i="61"/>
  <c r="BB102" i="61"/>
  <c r="BA102" i="61"/>
  <c r="AZ102" i="61"/>
  <c r="AY102" i="61"/>
  <c r="AX102" i="61"/>
  <c r="AW102" i="61"/>
  <c r="AV102" i="61"/>
  <c r="AU102" i="61"/>
  <c r="AT102" i="61"/>
  <c r="AS102" i="61"/>
  <c r="AR102" i="61"/>
  <c r="AQ102" i="61"/>
  <c r="AP102" i="61"/>
  <c r="AO102" i="61"/>
  <c r="AN102" i="61"/>
  <c r="AM102" i="61"/>
  <c r="AL102" i="61"/>
  <c r="AK102" i="61"/>
  <c r="AJ102" i="61"/>
  <c r="AI102" i="61"/>
  <c r="AH102" i="61"/>
  <c r="AG102" i="61"/>
  <c r="AF102" i="61"/>
  <c r="AE102" i="61"/>
  <c r="AD102" i="61"/>
  <c r="AC102" i="61"/>
  <c r="AB102" i="61"/>
  <c r="AA102" i="61"/>
  <c r="Z102" i="61"/>
  <c r="Y102" i="61"/>
  <c r="X102" i="61"/>
  <c r="W102" i="61"/>
  <c r="V102" i="61"/>
  <c r="U102" i="61"/>
  <c r="T102" i="61"/>
  <c r="S102" i="61"/>
  <c r="R102" i="61"/>
  <c r="Q102" i="61"/>
  <c r="P102" i="61"/>
  <c r="O102" i="61"/>
  <c r="N102" i="61"/>
  <c r="M102" i="61"/>
  <c r="L102" i="61"/>
  <c r="K102" i="61"/>
  <c r="J102" i="61"/>
  <c r="I102" i="61"/>
  <c r="H102" i="61"/>
  <c r="F102" i="61"/>
  <c r="C102" i="61"/>
  <c r="B102" i="61"/>
  <c r="A102" i="61"/>
  <c r="BK101" i="61"/>
  <c r="BJ101" i="61"/>
  <c r="BI101" i="61"/>
  <c r="BH101" i="61"/>
  <c r="BG101" i="61"/>
  <c r="BF101" i="61"/>
  <c r="BE101" i="61"/>
  <c r="BD101" i="61"/>
  <c r="BA101" i="61"/>
  <c r="AZ101" i="61"/>
  <c r="AY101" i="61"/>
  <c r="AX101" i="61"/>
  <c r="AW101" i="61"/>
  <c r="AV101" i="61"/>
  <c r="AU101" i="61"/>
  <c r="AT101" i="61"/>
  <c r="AS101" i="61"/>
  <c r="AR101" i="61"/>
  <c r="AQ101" i="61"/>
  <c r="AP101" i="61"/>
  <c r="AO101" i="61"/>
  <c r="AN101" i="61"/>
  <c r="AM101" i="61"/>
  <c r="AL101" i="61"/>
  <c r="AK101" i="61"/>
  <c r="AJ101" i="61"/>
  <c r="AI101" i="61"/>
  <c r="AH101" i="61"/>
  <c r="AG101" i="61"/>
  <c r="AF101" i="61"/>
  <c r="AE101" i="61"/>
  <c r="AD101" i="61"/>
  <c r="AC101" i="61"/>
  <c r="AB101" i="61"/>
  <c r="AA101" i="61"/>
  <c r="Z101" i="61"/>
  <c r="Y101" i="61"/>
  <c r="X101" i="61"/>
  <c r="W101" i="61"/>
  <c r="V101" i="61"/>
  <c r="U101" i="61"/>
  <c r="T101" i="61"/>
  <c r="S101" i="61"/>
  <c r="R101" i="61"/>
  <c r="Q101" i="61"/>
  <c r="P101" i="61"/>
  <c r="O101" i="61"/>
  <c r="N101" i="61"/>
  <c r="M101" i="61"/>
  <c r="L101" i="61"/>
  <c r="K101" i="61"/>
  <c r="J101" i="61"/>
  <c r="H101" i="61"/>
  <c r="F101" i="61"/>
  <c r="C101" i="61"/>
  <c r="B101" i="61"/>
  <c r="A101" i="61"/>
  <c r="A99" i="61"/>
  <c r="BM98" i="61"/>
  <c r="BB98" i="61"/>
  <c r="H98" i="61"/>
  <c r="BM97" i="61"/>
  <c r="A96" i="61"/>
  <c r="H95" i="61"/>
  <c r="C95" i="61"/>
  <c r="B95" i="61"/>
  <c r="A95" i="61"/>
  <c r="H94" i="61"/>
  <c r="C94" i="61"/>
  <c r="B94" i="61"/>
  <c r="A94" i="61"/>
  <c r="H93" i="61"/>
  <c r="C93" i="61"/>
  <c r="B93" i="61"/>
  <c r="A93" i="61"/>
  <c r="H92" i="61"/>
  <c r="C92" i="61"/>
  <c r="B92" i="61"/>
  <c r="A92" i="61"/>
  <c r="C91" i="61"/>
  <c r="B91" i="61"/>
  <c r="A91" i="61"/>
  <c r="H90" i="61"/>
  <c r="C90" i="61"/>
  <c r="B90" i="61"/>
  <c r="A90" i="61"/>
  <c r="BK89" i="61"/>
  <c r="AX89" i="61"/>
  <c r="AW89" i="61"/>
  <c r="AV89" i="61"/>
  <c r="AU89" i="61"/>
  <c r="AT89" i="61"/>
  <c r="AS89" i="61"/>
  <c r="AR89" i="61"/>
  <c r="AQ89" i="61"/>
  <c r="AP89" i="61"/>
  <c r="AO89" i="61"/>
  <c r="AN89" i="61"/>
  <c r="AM89" i="61"/>
  <c r="AL89" i="61"/>
  <c r="AK89" i="61"/>
  <c r="AJ89" i="61"/>
  <c r="AI89" i="61"/>
  <c r="AH89" i="61"/>
  <c r="AG89" i="61"/>
  <c r="AF89" i="61"/>
  <c r="AE89" i="61"/>
  <c r="AD89" i="61"/>
  <c r="AC89" i="61"/>
  <c r="AB89" i="61"/>
  <c r="AA89" i="61"/>
  <c r="Z89" i="61"/>
  <c r="Y89" i="61"/>
  <c r="X89" i="61"/>
  <c r="W89" i="61"/>
  <c r="V89" i="61"/>
  <c r="U89" i="61"/>
  <c r="T89" i="61"/>
  <c r="S89" i="61"/>
  <c r="R89" i="61"/>
  <c r="Q89" i="61"/>
  <c r="P89" i="61"/>
  <c r="O89" i="61"/>
  <c r="N89" i="61"/>
  <c r="M89" i="61"/>
  <c r="L89" i="61"/>
  <c r="K89" i="61"/>
  <c r="J89" i="61"/>
  <c r="H89" i="61"/>
  <c r="C89" i="61"/>
  <c r="B89" i="61"/>
  <c r="A89" i="61"/>
  <c r="H88" i="61"/>
  <c r="C88" i="61"/>
  <c r="B88" i="61"/>
  <c r="A88" i="61"/>
  <c r="H87" i="61"/>
  <c r="C87" i="61"/>
  <c r="B87" i="61"/>
  <c r="A87" i="61"/>
  <c r="C86" i="61"/>
  <c r="B86" i="61"/>
  <c r="A86" i="61"/>
  <c r="BK85" i="61"/>
  <c r="H85" i="61"/>
  <c r="C85" i="61"/>
  <c r="B85" i="61"/>
  <c r="A85" i="61"/>
  <c r="H84" i="61"/>
  <c r="C84" i="61"/>
  <c r="B84" i="61"/>
  <c r="A84" i="61"/>
  <c r="C83" i="61"/>
  <c r="B83" i="61"/>
  <c r="A83" i="61"/>
  <c r="H82" i="61"/>
  <c r="C82" i="61"/>
  <c r="B82" i="61"/>
  <c r="A82" i="61"/>
  <c r="H81" i="61"/>
  <c r="C81" i="61"/>
  <c r="B81" i="61"/>
  <c r="A81" i="61"/>
  <c r="H80" i="61"/>
  <c r="C80" i="61"/>
  <c r="B80" i="61"/>
  <c r="A80" i="61"/>
  <c r="A78" i="61"/>
  <c r="A58" i="61"/>
  <c r="BK57" i="61"/>
  <c r="BJ57" i="61"/>
  <c r="BI57" i="61"/>
  <c r="BH57" i="61"/>
  <c r="BG57" i="61"/>
  <c r="BF57" i="61"/>
  <c r="BE57" i="61"/>
  <c r="BD57" i="61"/>
  <c r="BB57" i="61"/>
  <c r="BA57" i="61"/>
  <c r="AZ57" i="61"/>
  <c r="AY57" i="61"/>
  <c r="D57" i="61"/>
  <c r="B57" i="61"/>
  <c r="A57" i="61"/>
  <c r="BK56" i="61"/>
  <c r="BJ56" i="61"/>
  <c r="BI56" i="61"/>
  <c r="BH56" i="61"/>
  <c r="BG56" i="61"/>
  <c r="BF56" i="61"/>
  <c r="BE56" i="61"/>
  <c r="BD56" i="61"/>
  <c r="D56" i="61"/>
  <c r="B56" i="61"/>
  <c r="A56" i="61"/>
  <c r="BK55" i="61"/>
  <c r="BJ55" i="61"/>
  <c r="BI55" i="61"/>
  <c r="BH55" i="61"/>
  <c r="BG55" i="61"/>
  <c r="BF55" i="61"/>
  <c r="BE55" i="61"/>
  <c r="BD55" i="61"/>
  <c r="BB55" i="61"/>
  <c r="BA55" i="61"/>
  <c r="AZ55" i="61"/>
  <c r="AY55" i="61"/>
  <c r="D55" i="61"/>
  <c r="D58" i="61" s="1"/>
  <c r="B55" i="61"/>
  <c r="A55" i="61"/>
  <c r="A54" i="61"/>
  <c r="H52" i="61"/>
  <c r="A52" i="61"/>
  <c r="BK50" i="61"/>
  <c r="AX50" i="61"/>
  <c r="AW50" i="61"/>
  <c r="AV50" i="61"/>
  <c r="AU50" i="61"/>
  <c r="AT50" i="61"/>
  <c r="AS50" i="61"/>
  <c r="AR50" i="61"/>
  <c r="AQ50" i="61"/>
  <c r="AP50" i="61"/>
  <c r="AO50" i="61"/>
  <c r="AN50" i="61"/>
  <c r="AM50" i="61"/>
  <c r="AL50" i="61"/>
  <c r="AK50" i="61"/>
  <c r="AJ50" i="61"/>
  <c r="AI50" i="61"/>
  <c r="AH50" i="61"/>
  <c r="AG50" i="61"/>
  <c r="AF50" i="61"/>
  <c r="AE50" i="61"/>
  <c r="AD50" i="61"/>
  <c r="AC50" i="61"/>
  <c r="AB50" i="61"/>
  <c r="AA50" i="61"/>
  <c r="Z50" i="61"/>
  <c r="Y50" i="61"/>
  <c r="X50" i="61"/>
  <c r="W50" i="61"/>
  <c r="V50" i="61"/>
  <c r="U50" i="61"/>
  <c r="T50" i="61"/>
  <c r="S50" i="61"/>
  <c r="R50" i="61"/>
  <c r="Q50" i="61"/>
  <c r="P50" i="61"/>
  <c r="O50" i="61"/>
  <c r="N50" i="61"/>
  <c r="M50" i="61"/>
  <c r="L50" i="61"/>
  <c r="K50" i="61"/>
  <c r="J50" i="61"/>
  <c r="E50" i="61"/>
  <c r="B50" i="61"/>
  <c r="A50" i="61"/>
  <c r="BK48" i="61"/>
  <c r="BJ48" i="61"/>
  <c r="BI48" i="61"/>
  <c r="BH48" i="61"/>
  <c r="BG48" i="61"/>
  <c r="BF48" i="61"/>
  <c r="BE48" i="61"/>
  <c r="BD48" i="61"/>
  <c r="D48" i="61"/>
  <c r="B48" i="61"/>
  <c r="A48" i="61"/>
  <c r="BK47" i="61"/>
  <c r="BJ47" i="61"/>
  <c r="BI47" i="61"/>
  <c r="BH47" i="61"/>
  <c r="BG47" i="61"/>
  <c r="BF47" i="61"/>
  <c r="BE47" i="61"/>
  <c r="BD47" i="61"/>
  <c r="BC47" i="61" s="1"/>
  <c r="BB47" i="61"/>
  <c r="BA47" i="61"/>
  <c r="AZ47" i="61"/>
  <c r="AY47" i="61"/>
  <c r="D47" i="61"/>
  <c r="B47" i="61"/>
  <c r="A47" i="61"/>
  <c r="BK46" i="61"/>
  <c r="BJ46" i="61"/>
  <c r="BI46" i="61"/>
  <c r="BH46" i="61"/>
  <c r="BG46" i="61"/>
  <c r="BF46" i="61"/>
  <c r="BE46" i="61"/>
  <c r="BD46" i="61"/>
  <c r="BB46" i="61"/>
  <c r="BA46" i="61"/>
  <c r="AZ46" i="61"/>
  <c r="AY46" i="61"/>
  <c r="D46" i="61"/>
  <c r="B46" i="61"/>
  <c r="A46" i="61"/>
  <c r="BK45" i="61"/>
  <c r="BJ45" i="61"/>
  <c r="BI45" i="61"/>
  <c r="BH45" i="61"/>
  <c r="BG45" i="61"/>
  <c r="BF45" i="61"/>
  <c r="BE45" i="61"/>
  <c r="BD45" i="61"/>
  <c r="BB45" i="61"/>
  <c r="BA45" i="61"/>
  <c r="AZ45" i="61"/>
  <c r="AY45" i="61"/>
  <c r="D45" i="61"/>
  <c r="B45" i="61"/>
  <c r="A45" i="61"/>
  <c r="BK43" i="61"/>
  <c r="BJ43" i="61"/>
  <c r="BI43" i="61"/>
  <c r="BH43" i="61"/>
  <c r="BG43" i="61"/>
  <c r="BF43" i="61"/>
  <c r="BE43" i="61"/>
  <c r="BD43" i="61"/>
  <c r="BB43" i="61"/>
  <c r="BA43" i="61"/>
  <c r="AZ43" i="61"/>
  <c r="AY43" i="61"/>
  <c r="B43" i="61"/>
  <c r="A43" i="61"/>
  <c r="A41" i="61"/>
  <c r="BK40" i="61"/>
  <c r="BJ40" i="61"/>
  <c r="BI40" i="61"/>
  <c r="BH40" i="61"/>
  <c r="BG40" i="61"/>
  <c r="BF40" i="61"/>
  <c r="BE40" i="61"/>
  <c r="BD40" i="61"/>
  <c r="BB40" i="61"/>
  <c r="BA40" i="61"/>
  <c r="AZ40" i="61"/>
  <c r="AY40" i="61"/>
  <c r="D40" i="61"/>
  <c r="B40" i="61"/>
  <c r="A40" i="61"/>
  <c r="BK39" i="61"/>
  <c r="BJ39" i="61"/>
  <c r="BI39" i="61"/>
  <c r="BH39" i="61"/>
  <c r="BG39" i="61"/>
  <c r="BF39" i="61"/>
  <c r="BE39" i="61"/>
  <c r="BD39" i="61"/>
  <c r="BB39" i="61"/>
  <c r="BA39" i="61"/>
  <c r="AZ39" i="61"/>
  <c r="AY39" i="61"/>
  <c r="D39" i="61"/>
  <c r="B39" i="61"/>
  <c r="A39" i="61"/>
  <c r="BK38" i="61"/>
  <c r="BJ38" i="61"/>
  <c r="BJ41" i="61" s="1"/>
  <c r="BI38" i="61"/>
  <c r="BI41" i="61" s="1"/>
  <c r="BH38" i="61"/>
  <c r="BG38" i="61"/>
  <c r="BF38" i="61"/>
  <c r="BF41" i="61" s="1"/>
  <c r="BE38" i="61"/>
  <c r="BE41" i="61" s="1"/>
  <c r="BD38" i="61"/>
  <c r="D38" i="61"/>
  <c r="B38" i="61"/>
  <c r="A38" i="61"/>
  <c r="A37" i="61"/>
  <c r="A35" i="61"/>
  <c r="A33" i="61"/>
  <c r="A30" i="61"/>
  <c r="BL29" i="61"/>
  <c r="BM29" i="61" s="1"/>
  <c r="H28" i="61"/>
  <c r="D28" i="61"/>
  <c r="B28" i="61"/>
  <c r="A28" i="61"/>
  <c r="BJ27" i="61"/>
  <c r="BI27" i="61"/>
  <c r="BH27" i="61"/>
  <c r="BG27" i="61"/>
  <c r="BF27" i="61"/>
  <c r="BE27" i="61"/>
  <c r="BD27" i="61"/>
  <c r="BB27" i="61"/>
  <c r="BA27" i="61"/>
  <c r="AZ27" i="61"/>
  <c r="AY27" i="61"/>
  <c r="AX27" i="61"/>
  <c r="AW27" i="61"/>
  <c r="AV27" i="61"/>
  <c r="AU27" i="61"/>
  <c r="AT27" i="61"/>
  <c r="AS27" i="61"/>
  <c r="AR27" i="61"/>
  <c r="AQ27" i="61"/>
  <c r="AP27" i="61"/>
  <c r="AO27" i="61"/>
  <c r="AN27" i="61"/>
  <c r="AM27" i="61"/>
  <c r="AL27" i="61"/>
  <c r="AK27" i="61"/>
  <c r="AJ27" i="61"/>
  <c r="AI27" i="61"/>
  <c r="AH27" i="61"/>
  <c r="AG27" i="61"/>
  <c r="AF27" i="61"/>
  <c r="AE27" i="61"/>
  <c r="AD27" i="61"/>
  <c r="AC27" i="61"/>
  <c r="AB27" i="61"/>
  <c r="AA27" i="61"/>
  <c r="Z27" i="61"/>
  <c r="Y27" i="61"/>
  <c r="X27" i="61"/>
  <c r="W27" i="61"/>
  <c r="V27" i="61"/>
  <c r="U27" i="61"/>
  <c r="T27" i="61"/>
  <c r="S27" i="61"/>
  <c r="R27" i="61"/>
  <c r="Q27" i="61"/>
  <c r="P27" i="61"/>
  <c r="O27" i="61"/>
  <c r="N27" i="61"/>
  <c r="M27" i="61"/>
  <c r="L27" i="61"/>
  <c r="K27" i="61"/>
  <c r="J27" i="61"/>
  <c r="H27" i="61"/>
  <c r="E27" i="61"/>
  <c r="D27" i="61"/>
  <c r="B27" i="61"/>
  <c r="A27" i="61"/>
  <c r="BA26" i="61"/>
  <c r="AZ26" i="61"/>
  <c r="AY26" i="61"/>
  <c r="AX26" i="61"/>
  <c r="AW26" i="61"/>
  <c r="AV26" i="61"/>
  <c r="AU26" i="61"/>
  <c r="AT26" i="61"/>
  <c r="AS26" i="61"/>
  <c r="AR26" i="61"/>
  <c r="AQ26" i="61"/>
  <c r="AP26" i="61"/>
  <c r="AO26" i="61"/>
  <c r="AN26" i="61"/>
  <c r="AM26" i="61"/>
  <c r="AL26" i="61"/>
  <c r="AK26" i="61"/>
  <c r="AJ26" i="61"/>
  <c r="AI26" i="61"/>
  <c r="AH26" i="61"/>
  <c r="AG26" i="61"/>
  <c r="AF26" i="61"/>
  <c r="AE26" i="61"/>
  <c r="AD26" i="61"/>
  <c r="AC26" i="61"/>
  <c r="AB26" i="61"/>
  <c r="AA26" i="61"/>
  <c r="Z26" i="61"/>
  <c r="Y26" i="61"/>
  <c r="X26" i="61"/>
  <c r="W26" i="61"/>
  <c r="V26" i="61"/>
  <c r="U26" i="61"/>
  <c r="T26" i="61"/>
  <c r="S26" i="61"/>
  <c r="R26" i="61"/>
  <c r="Q26" i="61"/>
  <c r="P26" i="61"/>
  <c r="O26" i="61"/>
  <c r="N26" i="61"/>
  <c r="M26" i="61"/>
  <c r="L26" i="61"/>
  <c r="K26" i="61"/>
  <c r="J26" i="61"/>
  <c r="H26" i="61"/>
  <c r="E26" i="61"/>
  <c r="D26" i="61"/>
  <c r="D30" i="61" s="1"/>
  <c r="B26" i="61"/>
  <c r="A26" i="61"/>
  <c r="A24" i="61"/>
  <c r="A21" i="61"/>
  <c r="H20" i="61"/>
  <c r="D20" i="61"/>
  <c r="B20" i="61"/>
  <c r="A20" i="61"/>
  <c r="H19" i="61"/>
  <c r="F19" i="61"/>
  <c r="D19" i="61"/>
  <c r="B19" i="61"/>
  <c r="A19" i="61"/>
  <c r="H18" i="61"/>
  <c r="F18" i="61"/>
  <c r="E18" i="61"/>
  <c r="B18" i="61"/>
  <c r="A18" i="61"/>
  <c r="H17" i="61"/>
  <c r="D17" i="61"/>
  <c r="B17" i="61"/>
  <c r="A17" i="61"/>
  <c r="D16" i="61"/>
  <c r="B16" i="61"/>
  <c r="A16" i="61"/>
  <c r="H15" i="61"/>
  <c r="D15" i="61"/>
  <c r="B15" i="61"/>
  <c r="A15" i="61"/>
  <c r="BK14" i="61"/>
  <c r="AX14" i="61"/>
  <c r="AW14" i="61"/>
  <c r="AV14" i="61"/>
  <c r="AU14" i="61"/>
  <c r="AT14" i="61"/>
  <c r="AS14" i="61"/>
  <c r="AR14" i="61"/>
  <c r="AQ14" i="61"/>
  <c r="AP14" i="61"/>
  <c r="AO14" i="61"/>
  <c r="AN14" i="61"/>
  <c r="AM14" i="61"/>
  <c r="AL14" i="61"/>
  <c r="AK14" i="61"/>
  <c r="AJ14" i="61"/>
  <c r="AI14" i="61"/>
  <c r="AH14" i="61"/>
  <c r="AG14" i="61"/>
  <c r="AF14" i="61"/>
  <c r="AE14" i="61"/>
  <c r="AD14" i="61"/>
  <c r="AC14" i="61"/>
  <c r="AB14" i="61"/>
  <c r="AA14" i="61"/>
  <c r="Z14" i="61"/>
  <c r="Y14" i="61"/>
  <c r="X14" i="61"/>
  <c r="W14" i="61"/>
  <c r="V14" i="61"/>
  <c r="U14" i="61"/>
  <c r="T14" i="61"/>
  <c r="S14" i="61"/>
  <c r="R14" i="61"/>
  <c r="Q14" i="61"/>
  <c r="P14" i="61"/>
  <c r="O14" i="61"/>
  <c r="N14" i="61"/>
  <c r="M14" i="61"/>
  <c r="L14" i="61"/>
  <c r="K14" i="61"/>
  <c r="J14" i="61"/>
  <c r="H14" i="61"/>
  <c r="F14" i="61"/>
  <c r="E14" i="61"/>
  <c r="B14" i="61"/>
  <c r="A14" i="61"/>
  <c r="H13" i="61"/>
  <c r="D13" i="61"/>
  <c r="B13" i="61"/>
  <c r="A13" i="61"/>
  <c r="H12" i="61"/>
  <c r="D12" i="61"/>
  <c r="B12" i="61"/>
  <c r="A12" i="61"/>
  <c r="D11" i="61"/>
  <c r="B11" i="61"/>
  <c r="A11" i="61"/>
  <c r="BK10" i="61"/>
  <c r="H10" i="61"/>
  <c r="F10" i="61"/>
  <c r="E10" i="61"/>
  <c r="B10" i="61"/>
  <c r="A10" i="61"/>
  <c r="H9" i="61"/>
  <c r="Z8" i="105" s="1"/>
  <c r="F9" i="61"/>
  <c r="B9" i="61"/>
  <c r="A9" i="61"/>
  <c r="D8" i="61"/>
  <c r="B8" i="61"/>
  <c r="A8" i="61"/>
  <c r="H7" i="61"/>
  <c r="D7" i="61"/>
  <c r="B7" i="61"/>
  <c r="A7" i="61"/>
  <c r="H6" i="61"/>
  <c r="F6" i="61"/>
  <c r="E6" i="61"/>
  <c r="B6" i="61"/>
  <c r="A6" i="61"/>
  <c r="H5" i="61"/>
  <c r="D5" i="61"/>
  <c r="B5" i="61"/>
  <c r="A5" i="61"/>
  <c r="A3" i="61"/>
  <c r="BM2" i="61"/>
  <c r="BL2" i="61"/>
  <c r="BC2" i="61"/>
  <c r="I2" i="61"/>
  <c r="H2" i="61"/>
  <c r="F2" i="61"/>
  <c r="E2" i="61"/>
  <c r="D2" i="61"/>
  <c r="B2" i="61"/>
  <c r="A2" i="61"/>
  <c r="D1" i="61"/>
  <c r="A1" i="61"/>
  <c r="U272" i="60"/>
  <c r="T272" i="60"/>
  <c r="S272" i="60"/>
  <c r="R272" i="60"/>
  <c r="Q272" i="60"/>
  <c r="P272" i="60"/>
  <c r="O272" i="60"/>
  <c r="N272" i="60"/>
  <c r="M272" i="60"/>
  <c r="L272" i="60"/>
  <c r="K272" i="60"/>
  <c r="J272" i="60"/>
  <c r="I272" i="60"/>
  <c r="H272" i="60"/>
  <c r="U271" i="60"/>
  <c r="T271" i="60"/>
  <c r="S271" i="60"/>
  <c r="R271" i="60"/>
  <c r="Q271" i="60"/>
  <c r="P271" i="60"/>
  <c r="O271" i="60"/>
  <c r="N271" i="60"/>
  <c r="M271" i="60"/>
  <c r="L271" i="60"/>
  <c r="K271" i="60"/>
  <c r="J271" i="60"/>
  <c r="I271" i="60"/>
  <c r="H271" i="60"/>
  <c r="U270" i="60"/>
  <c r="T270" i="60"/>
  <c r="S270" i="60"/>
  <c r="R270" i="60"/>
  <c r="Q270" i="60"/>
  <c r="P270" i="60"/>
  <c r="O270" i="60"/>
  <c r="N270" i="60"/>
  <c r="M270" i="60"/>
  <c r="L270" i="60"/>
  <c r="K270" i="60"/>
  <c r="J270" i="60"/>
  <c r="I270" i="60"/>
  <c r="H270" i="60"/>
  <c r="U269" i="60"/>
  <c r="T269" i="60"/>
  <c r="S269" i="60"/>
  <c r="R269" i="60"/>
  <c r="Q269" i="60"/>
  <c r="P269" i="60"/>
  <c r="O269" i="60"/>
  <c r="N269" i="60"/>
  <c r="M269" i="60"/>
  <c r="L269" i="60"/>
  <c r="K269" i="60"/>
  <c r="J269" i="60"/>
  <c r="I269" i="60"/>
  <c r="H269" i="60"/>
  <c r="H268" i="60"/>
  <c r="H267" i="60"/>
  <c r="U257" i="60"/>
  <c r="T257" i="60"/>
  <c r="S257" i="60"/>
  <c r="R257" i="60"/>
  <c r="Q257" i="60"/>
  <c r="P257" i="60"/>
  <c r="O257" i="60"/>
  <c r="N257" i="60"/>
  <c r="M257" i="60"/>
  <c r="L257" i="60"/>
  <c r="K257" i="60"/>
  <c r="J257" i="60"/>
  <c r="I257" i="60"/>
  <c r="H257" i="60"/>
  <c r="U256" i="60"/>
  <c r="T256" i="60"/>
  <c r="S256" i="60"/>
  <c r="R256" i="60"/>
  <c r="Q256" i="60"/>
  <c r="P256" i="60"/>
  <c r="O256" i="60"/>
  <c r="N256" i="60"/>
  <c r="M256" i="60"/>
  <c r="L256" i="60"/>
  <c r="K256" i="60"/>
  <c r="J256" i="60"/>
  <c r="I256" i="60"/>
  <c r="H256" i="60"/>
  <c r="U255" i="60"/>
  <c r="T255" i="60"/>
  <c r="S255" i="60"/>
  <c r="R255" i="60"/>
  <c r="Q255" i="60"/>
  <c r="P255" i="60"/>
  <c r="O255" i="60"/>
  <c r="N255" i="60"/>
  <c r="M255" i="60"/>
  <c r="L255" i="60"/>
  <c r="K255" i="60"/>
  <c r="J255" i="60"/>
  <c r="I255" i="60"/>
  <c r="H255" i="60"/>
  <c r="U237" i="60"/>
  <c r="T237" i="60"/>
  <c r="S237" i="60"/>
  <c r="R237" i="60"/>
  <c r="Q237" i="60"/>
  <c r="P237" i="60"/>
  <c r="O237" i="60"/>
  <c r="N237" i="60"/>
  <c r="M237" i="60"/>
  <c r="L237" i="60"/>
  <c r="K237" i="60"/>
  <c r="J237" i="60"/>
  <c r="I237" i="60"/>
  <c r="H237" i="60"/>
  <c r="V236" i="60"/>
  <c r="V235" i="60"/>
  <c r="V234" i="60"/>
  <c r="V233" i="60"/>
  <c r="V232" i="60"/>
  <c r="V231" i="60"/>
  <c r="V230" i="60"/>
  <c r="U226" i="60"/>
  <c r="T226" i="60"/>
  <c r="S226" i="60"/>
  <c r="R226" i="60"/>
  <c r="Q226" i="60"/>
  <c r="P226" i="60"/>
  <c r="O226" i="60"/>
  <c r="N226" i="60"/>
  <c r="M226" i="60"/>
  <c r="L226" i="60"/>
  <c r="K226" i="60"/>
  <c r="J226" i="60"/>
  <c r="I226" i="60"/>
  <c r="H226" i="60"/>
  <c r="V225" i="60"/>
  <c r="V224" i="60"/>
  <c r="V223" i="60"/>
  <c r="V222" i="60"/>
  <c r="V221" i="60"/>
  <c r="V220" i="60"/>
  <c r="V219" i="60"/>
  <c r="W197" i="60"/>
  <c r="V197" i="60"/>
  <c r="V196" i="60"/>
  <c r="W196" i="60" s="1"/>
  <c r="V195" i="60"/>
  <c r="V194" i="60"/>
  <c r="W194" i="60" s="1"/>
  <c r="V190" i="60"/>
  <c r="U190" i="60"/>
  <c r="V182" i="60"/>
  <c r="V181" i="60"/>
  <c r="V180" i="60"/>
  <c r="U179" i="60"/>
  <c r="T179" i="60"/>
  <c r="T190" i="60" s="1"/>
  <c r="S179" i="60"/>
  <c r="S190" i="60" s="1"/>
  <c r="R179" i="60"/>
  <c r="R190" i="60" s="1"/>
  <c r="Q179" i="60"/>
  <c r="Q190" i="60" s="1"/>
  <c r="P179" i="60"/>
  <c r="P190" i="60" s="1"/>
  <c r="O179" i="60"/>
  <c r="O190" i="60" s="1"/>
  <c r="N179" i="60"/>
  <c r="N190" i="60" s="1"/>
  <c r="J179" i="60"/>
  <c r="J190" i="60" s="1"/>
  <c r="I179" i="60"/>
  <c r="I190" i="60" s="1"/>
  <c r="P174" i="60"/>
  <c r="P186" i="60" s="1"/>
  <c r="P261" i="60" s="1"/>
  <c r="M167" i="60"/>
  <c r="M179" i="60" s="1"/>
  <c r="M190" i="60" s="1"/>
  <c r="H167" i="60"/>
  <c r="H179" i="60" s="1"/>
  <c r="H190" i="60" s="1"/>
  <c r="BK150" i="60"/>
  <c r="BJ150" i="60"/>
  <c r="BI150" i="60"/>
  <c r="BH150" i="60"/>
  <c r="BG150" i="60"/>
  <c r="BF150" i="60"/>
  <c r="BF160" i="60" s="1"/>
  <c r="BE150" i="60"/>
  <c r="BD150" i="60"/>
  <c r="BB150" i="60"/>
  <c r="BA150" i="60"/>
  <c r="R174" i="60" s="1"/>
  <c r="AZ150" i="60"/>
  <c r="Q174" i="60" s="1"/>
  <c r="AY150" i="60"/>
  <c r="H150" i="60"/>
  <c r="BK149" i="60"/>
  <c r="U173" i="60" s="1"/>
  <c r="BJ149" i="60"/>
  <c r="BI149" i="60"/>
  <c r="BH149" i="60"/>
  <c r="BG149" i="60"/>
  <c r="BF149" i="60"/>
  <c r="BE149" i="60"/>
  <c r="BD149" i="60"/>
  <c r="H149" i="60"/>
  <c r="H173" i="60" s="1"/>
  <c r="BK148" i="60"/>
  <c r="U172" i="60" s="1"/>
  <c r="BJ148" i="60"/>
  <c r="BI148" i="60"/>
  <c r="BH148" i="60"/>
  <c r="BG148" i="60"/>
  <c r="BF148" i="60"/>
  <c r="BE148" i="60"/>
  <c r="BD148" i="60"/>
  <c r="BD158" i="60" s="1"/>
  <c r="AX148" i="60"/>
  <c r="O172" i="60" s="1"/>
  <c r="O184" i="60" s="1"/>
  <c r="O259" i="60" s="1"/>
  <c r="AW148" i="60"/>
  <c r="N172" i="60" s="1"/>
  <c r="AV148" i="60"/>
  <c r="AU148" i="60"/>
  <c r="AT148" i="60"/>
  <c r="AS148" i="60"/>
  <c r="AR148" i="60"/>
  <c r="AQ148" i="60"/>
  <c r="AQ158" i="60" s="1"/>
  <c r="AP148" i="60"/>
  <c r="AO148" i="60"/>
  <c r="AN148" i="60"/>
  <c r="AM148" i="60"/>
  <c r="AL148" i="60"/>
  <c r="AK148" i="60"/>
  <c r="AJ148" i="60"/>
  <c r="AI148" i="60"/>
  <c r="AI158" i="60" s="1"/>
  <c r="AH148" i="60"/>
  <c r="M172" i="60" s="1"/>
  <c r="AG148" i="60"/>
  <c r="AF148" i="60"/>
  <c r="AE148" i="60"/>
  <c r="AD148" i="60"/>
  <c r="AC148" i="60"/>
  <c r="AB148" i="60"/>
  <c r="AA148" i="60"/>
  <c r="AA158" i="60" s="1"/>
  <c r="Z148" i="60"/>
  <c r="Y148" i="60"/>
  <c r="X148" i="60"/>
  <c r="W148" i="60"/>
  <c r="L172" i="60" s="1"/>
  <c r="V148" i="60"/>
  <c r="K172" i="60" s="1"/>
  <c r="U148" i="60"/>
  <c r="T148" i="60"/>
  <c r="S148" i="60"/>
  <c r="S158" i="60" s="1"/>
  <c r="R148" i="60"/>
  <c r="Q148" i="60"/>
  <c r="P148" i="60"/>
  <c r="O148" i="60"/>
  <c r="N148" i="60"/>
  <c r="M148" i="60"/>
  <c r="L148" i="60"/>
  <c r="K148" i="60"/>
  <c r="K158" i="60" s="1"/>
  <c r="J148" i="60"/>
  <c r="H148" i="60"/>
  <c r="H147" i="60"/>
  <c r="BK146" i="60"/>
  <c r="BJ146" i="60"/>
  <c r="BI146" i="60"/>
  <c r="BH146" i="60"/>
  <c r="BG146" i="60"/>
  <c r="BF146" i="60"/>
  <c r="BE146" i="60"/>
  <c r="BD146" i="60"/>
  <c r="H146" i="60"/>
  <c r="BK145" i="60"/>
  <c r="U169" i="60" s="1"/>
  <c r="BJ145" i="60"/>
  <c r="BI145" i="60"/>
  <c r="BH145" i="60"/>
  <c r="BG145" i="60"/>
  <c r="BF145" i="60"/>
  <c r="BE145" i="60"/>
  <c r="BD145" i="60"/>
  <c r="BB145" i="60"/>
  <c r="S169" i="60" s="1"/>
  <c r="BA145" i="60"/>
  <c r="R169" i="60" s="1"/>
  <c r="AZ145" i="60"/>
  <c r="AY145" i="60"/>
  <c r="AY155" i="60" s="1"/>
  <c r="H145" i="60"/>
  <c r="H169" i="60" s="1"/>
  <c r="BK140" i="60"/>
  <c r="U213" i="60" s="1"/>
  <c r="BJ140" i="60"/>
  <c r="BI140" i="60"/>
  <c r="BH140" i="60"/>
  <c r="BG140" i="60"/>
  <c r="BF140" i="60"/>
  <c r="BE140" i="60"/>
  <c r="BD140" i="60"/>
  <c r="BB140" i="60"/>
  <c r="S213" i="60" s="1"/>
  <c r="BA140" i="60"/>
  <c r="R213" i="60" s="1"/>
  <c r="AZ140" i="60"/>
  <c r="Q213" i="60" s="1"/>
  <c r="AY140" i="60"/>
  <c r="P213" i="60" s="1"/>
  <c r="H140" i="60"/>
  <c r="H213" i="60" s="1"/>
  <c r="BK139" i="60"/>
  <c r="U212" i="60" s="1"/>
  <c r="BJ139" i="60"/>
  <c r="BJ159" i="60" s="1"/>
  <c r="BI139" i="60"/>
  <c r="BH139" i="60"/>
  <c r="BG139" i="60"/>
  <c r="BF139" i="60"/>
  <c r="BE139" i="60"/>
  <c r="BD139" i="60"/>
  <c r="H139" i="60"/>
  <c r="H212" i="60" s="1"/>
  <c r="BK138" i="60"/>
  <c r="U211" i="60" s="1"/>
  <c r="BJ138" i="60"/>
  <c r="BI138" i="60"/>
  <c r="BH138" i="60"/>
  <c r="BG138" i="60"/>
  <c r="BF138" i="60"/>
  <c r="BE138" i="60"/>
  <c r="BD138" i="60"/>
  <c r="AX138" i="60"/>
  <c r="O211" i="60" s="1"/>
  <c r="AW138" i="60"/>
  <c r="N211" i="60" s="1"/>
  <c r="AV138" i="60"/>
  <c r="AU138" i="60"/>
  <c r="AT138" i="60"/>
  <c r="AS138" i="60"/>
  <c r="AR138" i="60"/>
  <c r="AQ138" i="60"/>
  <c r="AP138" i="60"/>
  <c r="AO138" i="60"/>
  <c r="AN138" i="60"/>
  <c r="AM138" i="60"/>
  <c r="AL138" i="60"/>
  <c r="AK138" i="60"/>
  <c r="AJ138" i="60"/>
  <c r="AI138" i="60"/>
  <c r="AH138" i="60"/>
  <c r="M211" i="60" s="1"/>
  <c r="AG138" i="60"/>
  <c r="AF138" i="60"/>
  <c r="AE138" i="60"/>
  <c r="AD138" i="60"/>
  <c r="AC138" i="60"/>
  <c r="AB138" i="60"/>
  <c r="AA138" i="60"/>
  <c r="Z138" i="60"/>
  <c r="Y138" i="60"/>
  <c r="X138" i="60"/>
  <c r="W138" i="60"/>
  <c r="L211" i="60" s="1"/>
  <c r="V138" i="60"/>
  <c r="K211" i="60" s="1"/>
  <c r="U138" i="60"/>
  <c r="T138" i="60"/>
  <c r="S138" i="60"/>
  <c r="R138" i="60"/>
  <c r="Q138" i="60"/>
  <c r="P138" i="60"/>
  <c r="O138" i="60"/>
  <c r="N138" i="60"/>
  <c r="M138" i="60"/>
  <c r="L138" i="60"/>
  <c r="K138" i="60"/>
  <c r="J138" i="60"/>
  <c r="H138" i="60"/>
  <c r="H211" i="60" s="1"/>
  <c r="H137" i="60"/>
  <c r="H210" i="60" s="1"/>
  <c r="BK136" i="60"/>
  <c r="U209" i="60" s="1"/>
  <c r="BJ136" i="60"/>
  <c r="BI136" i="60"/>
  <c r="BH136" i="60"/>
  <c r="BG136" i="60"/>
  <c r="BF136" i="60"/>
  <c r="BE136" i="60"/>
  <c r="BD136" i="60"/>
  <c r="H136" i="60"/>
  <c r="H209" i="60" s="1"/>
  <c r="BK135" i="60"/>
  <c r="U208" i="60" s="1"/>
  <c r="BJ135" i="60"/>
  <c r="BI135" i="60"/>
  <c r="BH135" i="60"/>
  <c r="BG135" i="60"/>
  <c r="BF135" i="60"/>
  <c r="BE135" i="60"/>
  <c r="BD135" i="60"/>
  <c r="BB135" i="60"/>
  <c r="S208" i="60" s="1"/>
  <c r="BA135" i="60"/>
  <c r="R208" i="60" s="1"/>
  <c r="AZ135" i="60"/>
  <c r="Q208" i="60" s="1"/>
  <c r="AY135" i="60"/>
  <c r="P208" i="60" s="1"/>
  <c r="H135" i="60"/>
  <c r="H208" i="60" s="1"/>
  <c r="BC122" i="60"/>
  <c r="H122" i="60"/>
  <c r="BC121" i="60"/>
  <c r="BC132" i="61" s="1"/>
  <c r="D121" i="60"/>
  <c r="D132" i="61" s="1"/>
  <c r="BC120" i="60"/>
  <c r="BC131" i="61" s="1"/>
  <c r="D120" i="60"/>
  <c r="D131" i="61" s="1"/>
  <c r="BC119" i="60"/>
  <c r="F119" i="60"/>
  <c r="D119" i="60"/>
  <c r="D130" i="61" s="1"/>
  <c r="BK116" i="60"/>
  <c r="BJ116" i="60"/>
  <c r="BI116" i="60"/>
  <c r="BH116" i="60"/>
  <c r="BG116" i="60"/>
  <c r="BF116" i="60"/>
  <c r="BE116" i="60"/>
  <c r="BD116" i="60"/>
  <c r="BC114" i="60"/>
  <c r="BC125" i="61" s="1"/>
  <c r="G114" i="60"/>
  <c r="G125" i="61" s="1"/>
  <c r="E114" i="60"/>
  <c r="E125" i="61" s="1"/>
  <c r="BC112" i="60"/>
  <c r="BC123" i="61" s="1"/>
  <c r="D112" i="60"/>
  <c r="D123" i="61" s="1"/>
  <c r="BC111" i="60"/>
  <c r="D111" i="60"/>
  <c r="D122" i="61" s="1"/>
  <c r="BC110" i="60"/>
  <c r="BC121" i="61" s="1"/>
  <c r="D110" i="60"/>
  <c r="D121" i="61" s="1"/>
  <c r="BC109" i="60"/>
  <c r="BC120" i="61" s="1"/>
  <c r="D109" i="60"/>
  <c r="D120" i="61" s="1"/>
  <c r="BC107" i="60"/>
  <c r="BC105" i="60"/>
  <c r="H105" i="60"/>
  <c r="H116" i="60" s="1"/>
  <c r="BC104" i="60"/>
  <c r="D104" i="60"/>
  <c r="D115" i="61" s="1"/>
  <c r="BC103" i="60"/>
  <c r="BC114" i="61" s="1"/>
  <c r="D103" i="60"/>
  <c r="D114" i="61" s="1"/>
  <c r="BC102" i="60"/>
  <c r="D102" i="60"/>
  <c r="D113" i="61" s="1"/>
  <c r="H94" i="60"/>
  <c r="BC93" i="60"/>
  <c r="BL93" i="60" s="1"/>
  <c r="I93" i="60"/>
  <c r="D92" i="60"/>
  <c r="D103" i="61" s="1"/>
  <c r="E91" i="60"/>
  <c r="E102" i="61" s="1"/>
  <c r="D91" i="60"/>
  <c r="D102" i="61" s="1"/>
  <c r="BC90" i="60"/>
  <c r="BC101" i="61" s="1"/>
  <c r="E90" i="60"/>
  <c r="E101" i="61" s="1"/>
  <c r="D90" i="60"/>
  <c r="D101" i="61" s="1"/>
  <c r="D84" i="60"/>
  <c r="D95" i="61" s="1"/>
  <c r="F83" i="60"/>
  <c r="F94" i="61" s="1"/>
  <c r="D83" i="60"/>
  <c r="D94" i="61" s="1"/>
  <c r="G82" i="60"/>
  <c r="BQ18" i="60" s="1"/>
  <c r="F82" i="60"/>
  <c r="F93" i="61" s="1"/>
  <c r="E82" i="60"/>
  <c r="E93" i="61" s="1"/>
  <c r="D81" i="60"/>
  <c r="D92" i="61" s="1"/>
  <c r="D80" i="60"/>
  <c r="D91" i="61" s="1"/>
  <c r="D79" i="60"/>
  <c r="D90" i="61" s="1"/>
  <c r="BC78" i="60"/>
  <c r="F78" i="60"/>
  <c r="F89" i="61" s="1"/>
  <c r="E78" i="60"/>
  <c r="E89" i="61" s="1"/>
  <c r="D77" i="60"/>
  <c r="D88" i="61" s="1"/>
  <c r="D76" i="60"/>
  <c r="D87" i="61" s="1"/>
  <c r="D75" i="60"/>
  <c r="D86" i="61" s="1"/>
  <c r="BC74" i="60"/>
  <c r="F74" i="60"/>
  <c r="F85" i="61" s="1"/>
  <c r="E74" i="60"/>
  <c r="F73" i="60"/>
  <c r="F84" i="61" s="1"/>
  <c r="D72" i="60"/>
  <c r="D83" i="61" s="1"/>
  <c r="D71" i="60"/>
  <c r="D82" i="61" s="1"/>
  <c r="F70" i="60"/>
  <c r="F81" i="61" s="1"/>
  <c r="E70" i="60"/>
  <c r="D69" i="60"/>
  <c r="BC58" i="60"/>
  <c r="H58" i="60"/>
  <c r="D58" i="60"/>
  <c r="BP57" i="60"/>
  <c r="BC57" i="60"/>
  <c r="F57" i="60"/>
  <c r="F121" i="60" s="1"/>
  <c r="F132" i="61" s="1"/>
  <c r="E57" i="60"/>
  <c r="BC56" i="60"/>
  <c r="F56" i="60"/>
  <c r="F120" i="60" s="1"/>
  <c r="F131" i="61" s="1"/>
  <c r="E56" i="60"/>
  <c r="E56" i="61" s="1"/>
  <c r="BC55" i="60"/>
  <c r="E55" i="60"/>
  <c r="BQ54" i="60"/>
  <c r="BP54" i="60"/>
  <c r="BQ53" i="60"/>
  <c r="BP53" i="60"/>
  <c r="BK52" i="60"/>
  <c r="BJ52" i="60"/>
  <c r="BI52" i="60"/>
  <c r="BH52" i="60"/>
  <c r="BG52" i="60"/>
  <c r="BF52" i="60"/>
  <c r="BE52" i="60"/>
  <c r="BD52" i="60"/>
  <c r="BQ51" i="60"/>
  <c r="BR51" i="60" s="1"/>
  <c r="BP51" i="60"/>
  <c r="BP50" i="60"/>
  <c r="BC50" i="60"/>
  <c r="BC50" i="61" s="1"/>
  <c r="D50" i="60"/>
  <c r="BQ49" i="60"/>
  <c r="BP49" i="60"/>
  <c r="BC48" i="60"/>
  <c r="E48" i="60"/>
  <c r="BP48" i="60" s="1"/>
  <c r="BC47" i="60"/>
  <c r="BC140" i="60" s="1"/>
  <c r="E47" i="60"/>
  <c r="BP47" i="60" s="1"/>
  <c r="BC46" i="60"/>
  <c r="E46" i="60"/>
  <c r="BC45" i="60"/>
  <c r="E45" i="60"/>
  <c r="BQ44" i="60"/>
  <c r="BP44" i="60"/>
  <c r="BC43" i="60"/>
  <c r="BC135" i="60" s="1"/>
  <c r="BQ42" i="60"/>
  <c r="BR42" i="60" s="1"/>
  <c r="BP42" i="60"/>
  <c r="BC41" i="60"/>
  <c r="H41" i="60"/>
  <c r="H52" i="60" s="1"/>
  <c r="D41" i="60"/>
  <c r="BC40" i="60"/>
  <c r="E40" i="60"/>
  <c r="BC39" i="60"/>
  <c r="E39" i="60"/>
  <c r="E103" i="60" s="1"/>
  <c r="BC38" i="60"/>
  <c r="E38" i="60"/>
  <c r="BP38" i="60" s="1"/>
  <c r="BQ37" i="60"/>
  <c r="BP37" i="60"/>
  <c r="BQ36" i="60"/>
  <c r="BR36" i="60" s="1"/>
  <c r="BP36" i="60"/>
  <c r="BQ35" i="60"/>
  <c r="BP35" i="60"/>
  <c r="BQ34" i="60"/>
  <c r="BR34" i="60" s="1"/>
  <c r="BP34" i="60"/>
  <c r="BQ32" i="60"/>
  <c r="BR32" i="60" s="1"/>
  <c r="BP32" i="60"/>
  <c r="BQ31" i="60"/>
  <c r="BP31" i="60"/>
  <c r="BR31" i="60" s="1"/>
  <c r="H30" i="60"/>
  <c r="D30" i="60"/>
  <c r="BQ29" i="60"/>
  <c r="BP29" i="60"/>
  <c r="BC29" i="60"/>
  <c r="BL29" i="60" s="1"/>
  <c r="BM29" i="60" s="1"/>
  <c r="I29" i="60"/>
  <c r="BP28" i="60"/>
  <c r="E28" i="60"/>
  <c r="E30" i="60" s="1"/>
  <c r="BP30" i="60" s="1"/>
  <c r="BP27" i="60"/>
  <c r="BK27" i="60"/>
  <c r="AH27" i="105" s="1"/>
  <c r="AS27" i="105" s="1"/>
  <c r="BP26" i="60"/>
  <c r="BC26" i="60"/>
  <c r="BC26" i="61" s="1"/>
  <c r="BB26" i="60"/>
  <c r="G48" i="57" s="1"/>
  <c r="BQ25" i="60"/>
  <c r="BP25" i="60"/>
  <c r="BR25" i="60" s="1"/>
  <c r="BQ24" i="60"/>
  <c r="BR24" i="60" s="1"/>
  <c r="BP24" i="60"/>
  <c r="BQ23" i="60"/>
  <c r="BR23" i="60" s="1"/>
  <c r="BP23" i="60"/>
  <c r="BP22" i="60"/>
  <c r="F20" i="60"/>
  <c r="E20" i="60"/>
  <c r="E19" i="60"/>
  <c r="BP18" i="60"/>
  <c r="D18" i="60"/>
  <c r="F17" i="60"/>
  <c r="E17" i="60"/>
  <c r="B44" i="57" s="1"/>
  <c r="F16" i="60"/>
  <c r="E16" i="60"/>
  <c r="H16" i="60" s="1"/>
  <c r="F15" i="60"/>
  <c r="E15" i="60"/>
  <c r="B42" i="57" s="1"/>
  <c r="BP14" i="60"/>
  <c r="BC14" i="60"/>
  <c r="D14" i="60"/>
  <c r="D14" i="61" s="1"/>
  <c r="F13" i="60"/>
  <c r="E13" i="60"/>
  <c r="BP13" i="60" s="1"/>
  <c r="F12" i="60"/>
  <c r="E12" i="60"/>
  <c r="F11" i="60"/>
  <c r="E11" i="60"/>
  <c r="BP10" i="60"/>
  <c r="BC10" i="60"/>
  <c r="D10" i="60"/>
  <c r="D10" i="61" s="1"/>
  <c r="F8" i="60"/>
  <c r="F8" i="61" s="1"/>
  <c r="E8" i="60"/>
  <c r="E8" i="61" s="1"/>
  <c r="F7" i="60"/>
  <c r="F7" i="61" s="1"/>
  <c r="E7" i="60"/>
  <c r="BP6" i="60"/>
  <c r="D6" i="60"/>
  <c r="D6" i="61" s="1"/>
  <c r="F5" i="60"/>
  <c r="F5" i="61" s="1"/>
  <c r="E5" i="60"/>
  <c r="E5" i="61" s="1"/>
  <c r="E3" i="60"/>
  <c r="BK2" i="60"/>
  <c r="BJ2" i="60"/>
  <c r="BI2" i="60"/>
  <c r="BH2" i="60"/>
  <c r="BH2" i="61" s="1"/>
  <c r="BG2" i="60"/>
  <c r="BF2" i="60"/>
  <c r="BE2" i="60"/>
  <c r="BD2" i="60"/>
  <c r="BD2" i="61" s="1"/>
  <c r="BB2" i="60"/>
  <c r="BA2" i="60"/>
  <c r="AZ2" i="60"/>
  <c r="AY2" i="60"/>
  <c r="J2" i="60" a="1"/>
  <c r="B54" i="57"/>
  <c r="H49" i="57"/>
  <c r="H25" i="57" s="1"/>
  <c r="G49" i="57"/>
  <c r="E49" i="57"/>
  <c r="D49" i="57"/>
  <c r="F49" i="57" s="1"/>
  <c r="C49" i="57"/>
  <c r="B49" i="57"/>
  <c r="H48" i="57"/>
  <c r="H24" i="57" s="1"/>
  <c r="E48" i="57"/>
  <c r="F48" i="57" s="1"/>
  <c r="D48" i="57"/>
  <c r="C48" i="57"/>
  <c r="B48" i="57"/>
  <c r="H47" i="57"/>
  <c r="B47" i="57"/>
  <c r="H46" i="57"/>
  <c r="H22" i="57" s="1"/>
  <c r="B46" i="57"/>
  <c r="H45" i="57"/>
  <c r="H21" i="57" s="1"/>
  <c r="B45" i="57"/>
  <c r="H44" i="57"/>
  <c r="H20" i="57" s="1"/>
  <c r="B43" i="57"/>
  <c r="H42" i="57"/>
  <c r="H18" i="57" s="1"/>
  <c r="H41" i="57"/>
  <c r="H17" i="57" s="1"/>
  <c r="E41" i="57"/>
  <c r="E17" i="57" s="1"/>
  <c r="D41" i="57"/>
  <c r="B41" i="57"/>
  <c r="H40" i="57"/>
  <c r="B40" i="57"/>
  <c r="H39" i="57"/>
  <c r="B39" i="57"/>
  <c r="B38" i="57"/>
  <c r="H37" i="57"/>
  <c r="E37" i="57"/>
  <c r="E13" i="57" s="1"/>
  <c r="D37" i="57"/>
  <c r="B37" i="57"/>
  <c r="H36" i="57"/>
  <c r="B35" i="57"/>
  <c r="H34" i="57"/>
  <c r="H10" i="57" s="1"/>
  <c r="B34" i="57"/>
  <c r="H33" i="57"/>
  <c r="H9" i="57" s="1"/>
  <c r="B33" i="57"/>
  <c r="H32" i="57"/>
  <c r="B29" i="57"/>
  <c r="G25" i="57"/>
  <c r="E25" i="57"/>
  <c r="D25" i="57"/>
  <c r="C25" i="57"/>
  <c r="B25" i="57"/>
  <c r="G24" i="57"/>
  <c r="D24" i="57"/>
  <c r="B24" i="57"/>
  <c r="H23" i="57"/>
  <c r="B23" i="57"/>
  <c r="B22" i="57"/>
  <c r="B21" i="57"/>
  <c r="B20" i="57"/>
  <c r="B19" i="57"/>
  <c r="B18" i="57"/>
  <c r="H16" i="57"/>
  <c r="B16" i="57"/>
  <c r="H15" i="57"/>
  <c r="B15" i="57"/>
  <c r="B14" i="57"/>
  <c r="H13" i="57"/>
  <c r="D13" i="57"/>
  <c r="H12" i="57"/>
  <c r="B11" i="57"/>
  <c r="B10" i="57"/>
  <c r="H8" i="57"/>
  <c r="B8" i="57"/>
  <c r="B12" i="56"/>
  <c r="H16" i="61" l="1"/>
  <c r="X17" i="105"/>
  <c r="BC14" i="61"/>
  <c r="BV14" i="60"/>
  <c r="AM14" i="105" s="1"/>
  <c r="B13" i="57"/>
  <c r="J13" i="57" s="1"/>
  <c r="BR29" i="60"/>
  <c r="BR37" i="60"/>
  <c r="BG41" i="61"/>
  <c r="L12" i="66"/>
  <c r="P21" i="66"/>
  <c r="P29" i="66" s="1"/>
  <c r="E82" i="62"/>
  <c r="I49" i="57"/>
  <c r="K49" i="57" s="1"/>
  <c r="BJ155" i="60"/>
  <c r="L6" i="66"/>
  <c r="L8" i="66"/>
  <c r="P10" i="66"/>
  <c r="P22" i="66"/>
  <c r="P23" i="66"/>
  <c r="P24" i="66"/>
  <c r="BC139" i="60"/>
  <c r="BF159" i="60"/>
  <c r="V237" i="60"/>
  <c r="P6" i="66"/>
  <c r="P8" i="66"/>
  <c r="E315" i="67"/>
  <c r="BR35" i="60"/>
  <c r="T169" i="60"/>
  <c r="H156" i="60"/>
  <c r="O158" i="60"/>
  <c r="AE158" i="60"/>
  <c r="AU158" i="60"/>
  <c r="BH158" i="60"/>
  <c r="BG159" i="60"/>
  <c r="BJ160" i="60"/>
  <c r="V256" i="60"/>
  <c r="BC40" i="61"/>
  <c r="BC55" i="61"/>
  <c r="BD133" i="61"/>
  <c r="D14" i="65"/>
  <c r="L5" i="66"/>
  <c r="H27" i="66"/>
  <c r="H29" i="66" s="1"/>
  <c r="H136" i="67"/>
  <c r="BC39" i="61"/>
  <c r="BG58" i="61"/>
  <c r="G82" i="62"/>
  <c r="P5" i="66"/>
  <c r="L11" i="66"/>
  <c r="T24" i="66"/>
  <c r="V24" i="66" s="1"/>
  <c r="H315" i="67"/>
  <c r="B9" i="57"/>
  <c r="E58" i="60"/>
  <c r="BP58" i="60" s="1"/>
  <c r="V257" i="60"/>
  <c r="BC10" i="61"/>
  <c r="BV10" i="60"/>
  <c r="AM9" i="105" s="1"/>
  <c r="BP39" i="60"/>
  <c r="V269" i="60"/>
  <c r="BR46" i="61"/>
  <c r="BD116" i="61"/>
  <c r="BK116" i="61"/>
  <c r="BK127" i="61" s="1"/>
  <c r="P11" i="66"/>
  <c r="BR44" i="60"/>
  <c r="BR43" i="61"/>
  <c r="BR45" i="61"/>
  <c r="BE116" i="61"/>
  <c r="P7" i="66"/>
  <c r="L9" i="66"/>
  <c r="P26" i="66"/>
  <c r="I105" i="67"/>
  <c r="U244" i="60"/>
  <c r="BR18" i="60"/>
  <c r="H170" i="60"/>
  <c r="T174" i="60"/>
  <c r="B32" i="57"/>
  <c r="H8" i="60"/>
  <c r="BP55" i="60"/>
  <c r="G78" i="60"/>
  <c r="T208" i="60"/>
  <c r="AZ155" i="60"/>
  <c r="BE155" i="60"/>
  <c r="BI155" i="60"/>
  <c r="BD156" i="60"/>
  <c r="BH156" i="60"/>
  <c r="P158" i="60"/>
  <c r="T158" i="60"/>
  <c r="X158" i="60"/>
  <c r="AB158" i="60"/>
  <c r="AF158" i="60"/>
  <c r="AJ158" i="60"/>
  <c r="AN158" i="60"/>
  <c r="AR158" i="60"/>
  <c r="AV158" i="60"/>
  <c r="BE158" i="60"/>
  <c r="BI158" i="60"/>
  <c r="BD159" i="60"/>
  <c r="BH159" i="60"/>
  <c r="H160" i="60"/>
  <c r="BB160" i="60"/>
  <c r="T170" i="60"/>
  <c r="T173" i="60"/>
  <c r="T185" i="60" s="1"/>
  <c r="T260" i="60" s="1"/>
  <c r="BC38" i="61"/>
  <c r="BH41" i="61"/>
  <c r="BK58" i="61"/>
  <c r="BC57" i="61"/>
  <c r="BI58" i="61"/>
  <c r="BJ133" i="61"/>
  <c r="H43" i="57"/>
  <c r="H19" i="57" s="1"/>
  <c r="BP5" i="60"/>
  <c r="BR49" i="60"/>
  <c r="BQ50" i="60"/>
  <c r="BR50" i="60" s="1"/>
  <c r="BR54" i="60"/>
  <c r="F69" i="60"/>
  <c r="G90" i="60"/>
  <c r="BQ26" i="60" s="1"/>
  <c r="BR26" i="60" s="1"/>
  <c r="G91" i="60"/>
  <c r="D133" i="61"/>
  <c r="E120" i="60"/>
  <c r="T212" i="60"/>
  <c r="BF155" i="60"/>
  <c r="BE156" i="60"/>
  <c r="BI156" i="60"/>
  <c r="H158" i="60"/>
  <c r="BF158" i="60"/>
  <c r="BJ158" i="60"/>
  <c r="BE159" i="60"/>
  <c r="BI159" i="60"/>
  <c r="BD160" i="60"/>
  <c r="BH160" i="60"/>
  <c r="BA160" i="60"/>
  <c r="P169" i="60"/>
  <c r="H172" i="60"/>
  <c r="H174" i="60"/>
  <c r="V271" i="60"/>
  <c r="H30" i="61"/>
  <c r="Z28" i="105"/>
  <c r="D41" i="61"/>
  <c r="BC46" i="61"/>
  <c r="BD58" i="61"/>
  <c r="BH58" i="61"/>
  <c r="H105" i="61"/>
  <c r="F116" i="61"/>
  <c r="F127" i="61" s="1"/>
  <c r="BF116" i="61"/>
  <c r="BJ116" i="61"/>
  <c r="F21" i="60"/>
  <c r="F3" i="60" s="1"/>
  <c r="B17" i="57"/>
  <c r="E24" i="57"/>
  <c r="F24" i="57" s="1"/>
  <c r="BR53" i="60"/>
  <c r="E72" i="60"/>
  <c r="BG155" i="60"/>
  <c r="BF156" i="60"/>
  <c r="BJ156" i="60"/>
  <c r="J158" i="60"/>
  <c r="N158" i="60"/>
  <c r="R158" i="60"/>
  <c r="Z158" i="60"/>
  <c r="AD158" i="60"/>
  <c r="AL158" i="60"/>
  <c r="AP158" i="60"/>
  <c r="AT158" i="60"/>
  <c r="O247" i="60"/>
  <c r="BE160" i="60"/>
  <c r="BI160" i="60"/>
  <c r="T172" i="60"/>
  <c r="V226" i="60"/>
  <c r="BK41" i="61"/>
  <c r="BC48" i="61"/>
  <c r="BJ58" i="61"/>
  <c r="F105" i="61"/>
  <c r="H116" i="61"/>
  <c r="H127" i="61" s="1"/>
  <c r="J41" i="57"/>
  <c r="F41" i="57"/>
  <c r="F25" i="57"/>
  <c r="I25" i="57" s="1"/>
  <c r="K25" i="57" s="1"/>
  <c r="J37" i="57"/>
  <c r="F37" i="57"/>
  <c r="I48" i="57"/>
  <c r="K48" i="57" s="1"/>
  <c r="C24" i="57"/>
  <c r="D17" i="57"/>
  <c r="J17" i="57" s="1"/>
  <c r="F13" i="57"/>
  <c r="AU2" i="60"/>
  <c r="AX2" i="60"/>
  <c r="AV2" i="60"/>
  <c r="M2" i="60"/>
  <c r="Q2" i="60"/>
  <c r="U2" i="60"/>
  <c r="Y2" i="60"/>
  <c r="AC2" i="60"/>
  <c r="AG2" i="60"/>
  <c r="AK2" i="60"/>
  <c r="AO2" i="60"/>
  <c r="AS2" i="60"/>
  <c r="J2" i="60"/>
  <c r="N2" i="60"/>
  <c r="R2" i="60"/>
  <c r="V2" i="60"/>
  <c r="Z2" i="60"/>
  <c r="AD2" i="60"/>
  <c r="AH2" i="60"/>
  <c r="AL2" i="60"/>
  <c r="AP2" i="60"/>
  <c r="AT2" i="60"/>
  <c r="BA2" i="61"/>
  <c r="BF2" i="61"/>
  <c r="BJ2" i="61"/>
  <c r="E11" i="61"/>
  <c r="H11" i="60"/>
  <c r="X10" i="105" s="1"/>
  <c r="E75" i="60"/>
  <c r="BP11" i="60"/>
  <c r="E17" i="61"/>
  <c r="E81" i="60"/>
  <c r="BP17" i="60"/>
  <c r="K2" i="60"/>
  <c r="O2" i="60"/>
  <c r="S2" i="60"/>
  <c r="W2" i="60"/>
  <c r="AA2" i="60"/>
  <c r="AE2" i="60"/>
  <c r="AI2" i="60"/>
  <c r="AM2" i="60"/>
  <c r="AQ2" i="60"/>
  <c r="AW2" i="60"/>
  <c r="H8" i="61"/>
  <c r="H134" i="60"/>
  <c r="H21" i="60"/>
  <c r="L2" i="60"/>
  <c r="P2" i="60"/>
  <c r="T2" i="60"/>
  <c r="X2" i="60"/>
  <c r="AB2" i="60"/>
  <c r="AF2" i="60"/>
  <c r="AJ2" i="60"/>
  <c r="AN2" i="60"/>
  <c r="AR2" i="60"/>
  <c r="E7" i="61"/>
  <c r="E71" i="60"/>
  <c r="BP7" i="60"/>
  <c r="F12" i="61"/>
  <c r="F76" i="60"/>
  <c r="F87" i="61" s="1"/>
  <c r="F15" i="61"/>
  <c r="F79" i="60"/>
  <c r="F90" i="61" s="1"/>
  <c r="E20" i="61"/>
  <c r="E84" i="60"/>
  <c r="BP20" i="60"/>
  <c r="BB26" i="61"/>
  <c r="I26" i="60"/>
  <c r="AC28" i="105" s="1"/>
  <c r="AS28" i="105" s="1"/>
  <c r="BK27" i="61"/>
  <c r="BC27" i="60"/>
  <c r="AZ2" i="61"/>
  <c r="BE2" i="61"/>
  <c r="BI2" i="61"/>
  <c r="E12" i="61"/>
  <c r="E76" i="60"/>
  <c r="E15" i="61"/>
  <c r="E79" i="60"/>
  <c r="E19" i="61"/>
  <c r="E83" i="60"/>
  <c r="E40" i="61"/>
  <c r="E104" i="60"/>
  <c r="E45" i="61"/>
  <c r="E109" i="60"/>
  <c r="E69" i="60"/>
  <c r="F71" i="60"/>
  <c r="F82" i="61" s="1"/>
  <c r="E85" i="61"/>
  <c r="G74" i="60"/>
  <c r="G101" i="61"/>
  <c r="BB90" i="60"/>
  <c r="BC41" i="61"/>
  <c r="E39" i="61"/>
  <c r="E46" i="61"/>
  <c r="E110" i="60"/>
  <c r="BD50" i="61"/>
  <c r="BH50" i="61"/>
  <c r="BH52" i="61" s="1"/>
  <c r="F80" i="61"/>
  <c r="E83" i="61"/>
  <c r="E131" i="61"/>
  <c r="G120" i="60"/>
  <c r="BC138" i="60"/>
  <c r="H247" i="60"/>
  <c r="BB2" i="61"/>
  <c r="BG2" i="61"/>
  <c r="BG50" i="61" s="1"/>
  <c r="BK2" i="61"/>
  <c r="BK156" i="61" s="1"/>
  <c r="F75" i="60"/>
  <c r="F86" i="61" s="1"/>
  <c r="F11" i="61"/>
  <c r="E13" i="61"/>
  <c r="E77" i="60"/>
  <c r="BH14" i="61"/>
  <c r="BD14" i="61"/>
  <c r="E16" i="61"/>
  <c r="E80" i="60"/>
  <c r="BP16" i="60"/>
  <c r="F17" i="61"/>
  <c r="F81" i="60"/>
  <c r="F92" i="61" s="1"/>
  <c r="BP19" i="60"/>
  <c r="F20" i="61"/>
  <c r="F84" i="60"/>
  <c r="F95" i="61" s="1"/>
  <c r="BH26" i="61"/>
  <c r="BD26" i="61"/>
  <c r="E28" i="61"/>
  <c r="E92" i="60"/>
  <c r="E38" i="61"/>
  <c r="E102" i="60"/>
  <c r="BP40" i="60"/>
  <c r="E41" i="60"/>
  <c r="BP45" i="60"/>
  <c r="E47" i="61"/>
  <c r="E111" i="60"/>
  <c r="BC136" i="60"/>
  <c r="E57" i="61"/>
  <c r="E121" i="60"/>
  <c r="F58" i="60"/>
  <c r="F72" i="60"/>
  <c r="F83" i="61" s="1"/>
  <c r="BC115" i="61"/>
  <c r="T186" i="60"/>
  <c r="T261" i="60" s="1"/>
  <c r="AY2" i="61"/>
  <c r="BP8" i="60"/>
  <c r="BH10" i="61"/>
  <c r="BD10" i="61"/>
  <c r="BP12" i="60"/>
  <c r="F13" i="61"/>
  <c r="F77" i="60"/>
  <c r="F88" i="61" s="1"/>
  <c r="BP15" i="60"/>
  <c r="F16" i="61"/>
  <c r="F80" i="60"/>
  <c r="F91" i="61" s="1"/>
  <c r="D18" i="61"/>
  <c r="D82" i="60"/>
  <c r="D93" i="61" s="1"/>
  <c r="E114" i="61"/>
  <c r="G103" i="60"/>
  <c r="BP46" i="60"/>
  <c r="E48" i="61"/>
  <c r="E112" i="60"/>
  <c r="D50" i="61"/>
  <c r="D114" i="60"/>
  <c r="BC52" i="60"/>
  <c r="E55" i="61"/>
  <c r="E58" i="61" s="1"/>
  <c r="E119" i="60"/>
  <c r="BP56" i="60"/>
  <c r="D80" i="61"/>
  <c r="D70" i="60"/>
  <c r="D81" i="61" s="1"/>
  <c r="D74" i="60"/>
  <c r="D85" i="61" s="1"/>
  <c r="D78" i="60"/>
  <c r="D89" i="61" s="1"/>
  <c r="G93" i="61"/>
  <c r="H171" i="60"/>
  <c r="H157" i="60"/>
  <c r="T193" i="60"/>
  <c r="K247" i="60"/>
  <c r="K184" i="60"/>
  <c r="K259" i="60" s="1"/>
  <c r="M184" i="60"/>
  <c r="M259" i="60" s="1"/>
  <c r="M247" i="60"/>
  <c r="BG158" i="60"/>
  <c r="AY160" i="60"/>
  <c r="G83" i="62"/>
  <c r="BC122" i="61"/>
  <c r="BC150" i="60"/>
  <c r="BC160" i="60" s="1"/>
  <c r="T211" i="60"/>
  <c r="T247" i="60" s="1"/>
  <c r="L184" i="60"/>
  <c r="L259" i="60" s="1"/>
  <c r="L247" i="60"/>
  <c r="T244" i="60"/>
  <c r="E81" i="61"/>
  <c r="G70" i="60"/>
  <c r="T184" i="60"/>
  <c r="T259" i="60" s="1"/>
  <c r="T248" i="60"/>
  <c r="BC118" i="61"/>
  <c r="BC145" i="60"/>
  <c r="BC155" i="60" s="1"/>
  <c r="D122" i="60"/>
  <c r="J211" i="60"/>
  <c r="H155" i="60"/>
  <c r="BD155" i="60"/>
  <c r="BH155" i="60"/>
  <c r="BG156" i="60"/>
  <c r="BK156" i="60"/>
  <c r="M158" i="60"/>
  <c r="Q158" i="60"/>
  <c r="U158" i="60"/>
  <c r="Y158" i="60"/>
  <c r="AC158" i="60"/>
  <c r="AG158" i="60"/>
  <c r="AK158" i="60"/>
  <c r="AO158" i="60"/>
  <c r="AS158" i="60"/>
  <c r="N247" i="60"/>
  <c r="N184" i="60"/>
  <c r="N259" i="60" s="1"/>
  <c r="H159" i="60"/>
  <c r="U248" i="60"/>
  <c r="U185" i="60"/>
  <c r="U260" i="60" s="1"/>
  <c r="BG160" i="60"/>
  <c r="BK160" i="60"/>
  <c r="BK158" i="60"/>
  <c r="P244" i="60"/>
  <c r="P249" i="60"/>
  <c r="D94" i="60"/>
  <c r="D116" i="61"/>
  <c r="BH125" i="61"/>
  <c r="BH127" i="61" s="1"/>
  <c r="BD125" i="61"/>
  <c r="BD127" i="61" s="1"/>
  <c r="BC116" i="60"/>
  <c r="F130" i="61"/>
  <c r="F133" i="61" s="1"/>
  <c r="F122" i="60"/>
  <c r="BC130" i="61"/>
  <c r="BC146" i="60"/>
  <c r="BC156" i="60" s="1"/>
  <c r="T213" i="60"/>
  <c r="T249" i="60" s="1"/>
  <c r="R244" i="60"/>
  <c r="I172" i="60"/>
  <c r="Q186" i="60"/>
  <c r="Q261" i="60" s="1"/>
  <c r="Q249" i="60"/>
  <c r="W158" i="60"/>
  <c r="AM158" i="60"/>
  <c r="H244" i="60"/>
  <c r="H245" i="60"/>
  <c r="H184" i="60"/>
  <c r="H248" i="60"/>
  <c r="H249" i="60"/>
  <c r="BC85" i="61"/>
  <c r="BC89" i="61"/>
  <c r="D105" i="61"/>
  <c r="E94" i="60"/>
  <c r="BC113" i="61"/>
  <c r="BC149" i="60"/>
  <c r="BC159" i="60" s="1"/>
  <c r="D105" i="60"/>
  <c r="T209" i="60"/>
  <c r="T245" i="60" s="1"/>
  <c r="I211" i="60"/>
  <c r="S244" i="60"/>
  <c r="J172" i="60"/>
  <c r="BC148" i="60"/>
  <c r="BC158" i="60" s="1"/>
  <c r="U247" i="60"/>
  <c r="U184" i="60"/>
  <c r="U259" i="60" s="1"/>
  <c r="R249" i="60"/>
  <c r="R186" i="60"/>
  <c r="R261" i="60" s="1"/>
  <c r="BB155" i="60"/>
  <c r="H185" i="60"/>
  <c r="H186" i="60"/>
  <c r="I26" i="61"/>
  <c r="BL26" i="61" s="1"/>
  <c r="BA155" i="60"/>
  <c r="V158" i="60"/>
  <c r="AH158" i="60"/>
  <c r="AX158" i="60"/>
  <c r="AZ160" i="60"/>
  <c r="S174" i="60"/>
  <c r="BC45" i="61"/>
  <c r="BR47" i="61"/>
  <c r="BK52" i="61"/>
  <c r="BK155" i="60"/>
  <c r="L158" i="60"/>
  <c r="BK159" i="60"/>
  <c r="Q169" i="60"/>
  <c r="U170" i="60"/>
  <c r="U174" i="60"/>
  <c r="V270" i="60"/>
  <c r="V272" i="60"/>
  <c r="I27" i="61"/>
  <c r="BC43" i="61"/>
  <c r="BE58" i="61"/>
  <c r="AW158" i="60"/>
  <c r="V255" i="60"/>
  <c r="E30" i="61"/>
  <c r="BC56" i="61"/>
  <c r="BF58" i="61"/>
  <c r="BD41" i="61"/>
  <c r="L11" i="65"/>
  <c r="BJ125" i="61" s="1"/>
  <c r="BJ127" i="61" s="1"/>
  <c r="E10" i="65"/>
  <c r="E6" i="65"/>
  <c r="E8" i="65"/>
  <c r="BE133" i="61"/>
  <c r="BI133" i="61"/>
  <c r="E12" i="65"/>
  <c r="C82" i="62"/>
  <c r="O74" i="62" s="1"/>
  <c r="P74" i="62" s="1"/>
  <c r="L10" i="65"/>
  <c r="BI10" i="61" s="1"/>
  <c r="F179" i="67"/>
  <c r="E180" i="67"/>
  <c r="F178" i="67" s="1"/>
  <c r="B8" i="63"/>
  <c r="D8" i="63" s="1"/>
  <c r="D6" i="63"/>
  <c r="G65" i="62"/>
  <c r="F12" i="66"/>
  <c r="F8" i="66"/>
  <c r="F9" i="66"/>
  <c r="F5" i="66"/>
  <c r="F11" i="66"/>
  <c r="F7" i="66"/>
  <c r="F10" i="66"/>
  <c r="N12" i="66"/>
  <c r="S12" i="66" s="1"/>
  <c r="N8" i="66"/>
  <c r="S8" i="66" s="1"/>
  <c r="N9" i="66"/>
  <c r="S9" i="66" s="1"/>
  <c r="N5" i="66"/>
  <c r="N11" i="66"/>
  <c r="S11" i="66" s="1"/>
  <c r="N7" i="66"/>
  <c r="S7" i="66" s="1"/>
  <c r="N10" i="66"/>
  <c r="S10" i="66" s="1"/>
  <c r="N6" i="66"/>
  <c r="S6" i="66" s="1"/>
  <c r="S29" i="66"/>
  <c r="H57" i="64"/>
  <c r="I53" i="64" s="1"/>
  <c r="M105" i="67"/>
  <c r="J132" i="67"/>
  <c r="G292" i="67"/>
  <c r="I286" i="67" s="1"/>
  <c r="J315" i="67"/>
  <c r="F135" i="67"/>
  <c r="F14" i="65"/>
  <c r="G11" i="65" s="1"/>
  <c r="E7" i="65"/>
  <c r="D14" i="66"/>
  <c r="N29" i="66"/>
  <c r="L6" i="65"/>
  <c r="BE14" i="61" s="1"/>
  <c r="J180" i="67"/>
  <c r="K178" i="67"/>
  <c r="G136" i="67"/>
  <c r="G52" i="64"/>
  <c r="F57" i="64"/>
  <c r="G55" i="64" s="1"/>
  <c r="H14" i="65"/>
  <c r="E9" i="65"/>
  <c r="E11" i="65"/>
  <c r="J10" i="66"/>
  <c r="J6" i="66"/>
  <c r="J11" i="66"/>
  <c r="J7" i="66"/>
  <c r="J9" i="66"/>
  <c r="J5" i="66"/>
  <c r="R10" i="66"/>
  <c r="R6" i="66"/>
  <c r="R11" i="66"/>
  <c r="R7" i="66"/>
  <c r="R9" i="66"/>
  <c r="R5" i="66"/>
  <c r="T22" i="66"/>
  <c r="V22" i="66" s="1"/>
  <c r="T26" i="66"/>
  <c r="V26" i="66" s="1"/>
  <c r="T27" i="66"/>
  <c r="V27" i="66" s="1"/>
  <c r="D29" i="66"/>
  <c r="J136" i="67"/>
  <c r="I132" i="67"/>
  <c r="F134" i="67"/>
  <c r="E136" i="67"/>
  <c r="F133" i="67" s="1"/>
  <c r="B139" i="67"/>
  <c r="D57" i="64"/>
  <c r="E5" i="65"/>
  <c r="H8" i="66"/>
  <c r="H14" i="66" s="1"/>
  <c r="F21" i="66"/>
  <c r="T21" i="66" s="1"/>
  <c r="J23" i="66"/>
  <c r="J29" i="66" s="1"/>
  <c r="R23" i="66"/>
  <c r="F25" i="66"/>
  <c r="T25" i="66" s="1"/>
  <c r="V25" i="66" s="1"/>
  <c r="J159" i="67"/>
  <c r="K179" i="67"/>
  <c r="I104" i="67"/>
  <c r="M104" i="67"/>
  <c r="F132" i="67"/>
  <c r="L132" i="67" s="1"/>
  <c r="E139" i="67" s="1"/>
  <c r="B206" i="67"/>
  <c r="B245" i="67" s="1"/>
  <c r="B142" i="67"/>
  <c r="B138" i="67"/>
  <c r="B140" i="67"/>
  <c r="I179" i="67"/>
  <c r="I180" i="67" s="1"/>
  <c r="K283" i="67"/>
  <c r="J292" i="67"/>
  <c r="K290" i="67" s="1"/>
  <c r="E159" i="67"/>
  <c r="F152" i="67" s="1"/>
  <c r="B141" i="67"/>
  <c r="G159" i="67"/>
  <c r="I153" i="67" s="1"/>
  <c r="F154" i="67"/>
  <c r="F158" i="67"/>
  <c r="H180" i="67"/>
  <c r="I285" i="67"/>
  <c r="E292" i="67"/>
  <c r="F289" i="67" s="1"/>
  <c r="F284" i="67"/>
  <c r="F287" i="67"/>
  <c r="H292" i="67"/>
  <c r="F285" i="67"/>
  <c r="BG10" i="61" l="1"/>
  <c r="BG14" i="61"/>
  <c r="T10" i="66"/>
  <c r="H35" i="57"/>
  <c r="H11" i="57" s="1"/>
  <c r="X7" i="105"/>
  <c r="F283" i="67"/>
  <c r="K285" i="67"/>
  <c r="L285" i="67" s="1"/>
  <c r="T11" i="66"/>
  <c r="O79" i="62"/>
  <c r="P79" i="62" s="1"/>
  <c r="F156" i="67"/>
  <c r="O75" i="62"/>
  <c r="P75" i="62" s="1"/>
  <c r="BG125" i="61"/>
  <c r="BG127" i="61" s="1"/>
  <c r="K289" i="67"/>
  <c r="G7" i="65"/>
  <c r="K287" i="67"/>
  <c r="T9" i="66"/>
  <c r="BG26" i="61"/>
  <c r="BG156" i="61"/>
  <c r="BG75" i="61"/>
  <c r="L14" i="66"/>
  <c r="H139" i="67"/>
  <c r="H203" i="67" s="1"/>
  <c r="T6" i="66"/>
  <c r="T8" i="66"/>
  <c r="T12" i="66"/>
  <c r="G8" i="65"/>
  <c r="I24" i="57"/>
  <c r="K24" i="57" s="1"/>
  <c r="P14" i="66"/>
  <c r="F21" i="61"/>
  <c r="F140" i="61" s="1"/>
  <c r="BC52" i="61"/>
  <c r="G89" i="61"/>
  <c r="BQ14" i="60"/>
  <c r="BR14" i="60" s="1"/>
  <c r="G102" i="61"/>
  <c r="BK91" i="60"/>
  <c r="BQ27" i="60"/>
  <c r="BR27" i="60" s="1"/>
  <c r="E41" i="61"/>
  <c r="BK26" i="61"/>
  <c r="BE156" i="61"/>
  <c r="BE75" i="61"/>
  <c r="AZ78" i="60"/>
  <c r="AZ89" i="61" s="1"/>
  <c r="AZ14" i="60"/>
  <c r="E203" i="67"/>
  <c r="BI156" i="61"/>
  <c r="BI75" i="61"/>
  <c r="BH156" i="61"/>
  <c r="BH75" i="61"/>
  <c r="BJ156" i="61"/>
  <c r="BJ75" i="61"/>
  <c r="BM26" i="61"/>
  <c r="L7" i="65"/>
  <c r="BF85" i="61" s="1"/>
  <c r="BI125" i="61"/>
  <c r="BI127" i="61" s="1"/>
  <c r="I155" i="67"/>
  <c r="I156" i="67"/>
  <c r="I152" i="67"/>
  <c r="I154" i="67"/>
  <c r="L154" i="67" s="1"/>
  <c r="K286" i="67"/>
  <c r="J14" i="66"/>
  <c r="I10" i="65"/>
  <c r="I6" i="65"/>
  <c r="I5" i="65"/>
  <c r="I8" i="65"/>
  <c r="J8" i="65" s="1"/>
  <c r="I12" i="65"/>
  <c r="I135" i="67"/>
  <c r="L135" i="67" s="1"/>
  <c r="I131" i="67"/>
  <c r="I134" i="67"/>
  <c r="G12" i="65"/>
  <c r="J12" i="65" s="1"/>
  <c r="I283" i="67"/>
  <c r="I7" i="65"/>
  <c r="J7" i="65" s="1"/>
  <c r="I11" i="65"/>
  <c r="L178" i="67"/>
  <c r="F180" i="67"/>
  <c r="O77" i="62"/>
  <c r="P77" i="62" s="1"/>
  <c r="O73" i="62"/>
  <c r="E83" i="62"/>
  <c r="Q244" i="60"/>
  <c r="S249" i="60"/>
  <c r="S186" i="60"/>
  <c r="S261" i="60" s="1"/>
  <c r="H260" i="60"/>
  <c r="BJ85" i="61"/>
  <c r="BI85" i="61"/>
  <c r="BE85" i="61"/>
  <c r="BG85" i="61"/>
  <c r="BD85" i="61"/>
  <c r="BH85" i="61"/>
  <c r="BC133" i="61"/>
  <c r="BE125" i="61"/>
  <c r="BE127" i="61" s="1"/>
  <c r="T192" i="60"/>
  <c r="E130" i="61"/>
  <c r="G119" i="60"/>
  <c r="E122" i="60"/>
  <c r="BP41" i="60"/>
  <c r="E113" i="61"/>
  <c r="E105" i="60"/>
  <c r="G102" i="60"/>
  <c r="BJ26" i="61"/>
  <c r="BI14" i="61"/>
  <c r="BJ50" i="61"/>
  <c r="E120" i="61"/>
  <c r="G109" i="60"/>
  <c r="E94" i="61"/>
  <c r="G83" i="60"/>
  <c r="E95" i="61"/>
  <c r="G84" i="60"/>
  <c r="E82" i="61"/>
  <c r="G71" i="60"/>
  <c r="AR2" i="61"/>
  <c r="AR109" i="60"/>
  <c r="AR120" i="61" s="1"/>
  <c r="AR45" i="60"/>
  <c r="AR45" i="61" s="1"/>
  <c r="AB2" i="61"/>
  <c r="AB109" i="60"/>
  <c r="AB120" i="61" s="1"/>
  <c r="AB45" i="60"/>
  <c r="AB45" i="61" s="1"/>
  <c r="L2" i="61"/>
  <c r="L109" i="60"/>
  <c r="L120" i="61" s="1"/>
  <c r="L45" i="60"/>
  <c r="L45" i="61" s="1"/>
  <c r="H33" i="60"/>
  <c r="H62" i="60" s="1"/>
  <c r="AW2" i="61"/>
  <c r="AW109" i="60"/>
  <c r="AW120" i="61" s="1"/>
  <c r="AW45" i="60"/>
  <c r="AW45" i="61" s="1"/>
  <c r="AE2" i="61"/>
  <c r="AE109" i="60"/>
  <c r="AE120" i="61" s="1"/>
  <c r="AE45" i="60"/>
  <c r="AE45" i="61" s="1"/>
  <c r="O2" i="61"/>
  <c r="O109" i="60"/>
  <c r="O120" i="61" s="1"/>
  <c r="O45" i="60"/>
  <c r="O45" i="61" s="1"/>
  <c r="H11" i="61"/>
  <c r="X29" i="105" s="1"/>
  <c r="H38" i="57"/>
  <c r="AH2" i="61"/>
  <c r="AH109" i="60"/>
  <c r="AH120" i="61" s="1"/>
  <c r="AH45" i="60"/>
  <c r="AH45" i="61" s="1"/>
  <c r="R2" i="61"/>
  <c r="R109" i="60"/>
  <c r="R120" i="61" s="1"/>
  <c r="R45" i="60"/>
  <c r="R45" i="61" s="1"/>
  <c r="AK2" i="61"/>
  <c r="AK110" i="60"/>
  <c r="AK121" i="61" s="1"/>
  <c r="AK46" i="60"/>
  <c r="AK46" i="61" s="1"/>
  <c r="U2" i="61"/>
  <c r="U109" i="60"/>
  <c r="U120" i="61" s="1"/>
  <c r="U45" i="60"/>
  <c r="U45" i="61" s="1"/>
  <c r="AX2" i="61"/>
  <c r="AX109" i="60"/>
  <c r="AX120" i="61" s="1"/>
  <c r="AX45" i="60"/>
  <c r="AX45" i="61" s="1"/>
  <c r="BJ10" i="61"/>
  <c r="E132" i="61"/>
  <c r="G121" i="60"/>
  <c r="E122" i="61"/>
  <c r="G111" i="60"/>
  <c r="BE26" i="61"/>
  <c r="E91" i="61"/>
  <c r="G80" i="60"/>
  <c r="BG52" i="61"/>
  <c r="BD52" i="61"/>
  <c r="BB101" i="61"/>
  <c r="I90" i="60"/>
  <c r="G85" i="61"/>
  <c r="BQ10" i="60"/>
  <c r="BR10" i="60" s="1"/>
  <c r="BL26" i="60"/>
  <c r="AN2" i="61"/>
  <c r="AN110" i="60"/>
  <c r="AN121" i="61" s="1"/>
  <c r="AN46" i="60"/>
  <c r="AN46" i="61" s="1"/>
  <c r="X2" i="61"/>
  <c r="X109" i="60"/>
  <c r="X120" i="61" s="1"/>
  <c r="X45" i="60"/>
  <c r="X45" i="61" s="1"/>
  <c r="H207" i="60"/>
  <c r="H141" i="60"/>
  <c r="AQ109" i="60"/>
  <c r="AQ120" i="61" s="1"/>
  <c r="AQ45" i="60"/>
  <c r="AQ45" i="61" s="1"/>
  <c r="AQ2" i="61"/>
  <c r="AA109" i="60"/>
  <c r="AA120" i="61" s="1"/>
  <c r="AA2" i="61"/>
  <c r="AA45" i="60"/>
  <c r="AA45" i="61" s="1"/>
  <c r="K2" i="61"/>
  <c r="K109" i="60"/>
  <c r="K120" i="61" s="1"/>
  <c r="K45" i="60"/>
  <c r="K45" i="61" s="1"/>
  <c r="E92" i="61"/>
  <c r="G81" i="60"/>
  <c r="AT2" i="61"/>
  <c r="AT109" i="60"/>
  <c r="AT120" i="61" s="1"/>
  <c r="AT45" i="60"/>
  <c r="AT45" i="61" s="1"/>
  <c r="AD2" i="61"/>
  <c r="AD109" i="60"/>
  <c r="AD120" i="61" s="1"/>
  <c r="AD45" i="60"/>
  <c r="AD45" i="61" s="1"/>
  <c r="N2" i="61"/>
  <c r="N109" i="60"/>
  <c r="N120" i="61" s="1"/>
  <c r="N45" i="60"/>
  <c r="N45" i="61" s="1"/>
  <c r="AG2" i="61"/>
  <c r="AG109" i="60"/>
  <c r="AG120" i="61" s="1"/>
  <c r="AG45" i="60"/>
  <c r="AG45" i="61" s="1"/>
  <c r="Q2" i="61"/>
  <c r="Q109" i="60"/>
  <c r="Q120" i="61" s="1"/>
  <c r="Q45" i="60"/>
  <c r="Q45" i="61" s="1"/>
  <c r="AU2" i="61"/>
  <c r="AU109" i="60"/>
  <c r="AU120" i="61" s="1"/>
  <c r="AU45" i="60"/>
  <c r="AU45" i="61" s="1"/>
  <c r="L156" i="67"/>
  <c r="L134" i="67"/>
  <c r="J11" i="65"/>
  <c r="V21" i="66"/>
  <c r="L179" i="67"/>
  <c r="C83" i="62"/>
  <c r="I184" i="60"/>
  <c r="I259" i="60" s="1"/>
  <c r="I247" i="60"/>
  <c r="F288" i="67"/>
  <c r="F290" i="67"/>
  <c r="F286" i="67"/>
  <c r="L286" i="67" s="1"/>
  <c r="I157" i="67"/>
  <c r="K288" i="67"/>
  <c r="K284" i="67"/>
  <c r="E54" i="64"/>
  <c r="E53" i="64"/>
  <c r="E55" i="64"/>
  <c r="E52" i="64"/>
  <c r="R14" i="66"/>
  <c r="J9" i="65"/>
  <c r="G54" i="64"/>
  <c r="G53" i="64"/>
  <c r="I133" i="67"/>
  <c r="L133" i="67" s="1"/>
  <c r="G5" i="65"/>
  <c r="J139" i="67"/>
  <c r="R29" i="66"/>
  <c r="F14" i="66"/>
  <c r="O80" i="62"/>
  <c r="P80" i="62" s="1"/>
  <c r="O76" i="62"/>
  <c r="P76" i="62" s="1"/>
  <c r="F6" i="63"/>
  <c r="F8" i="63" s="1"/>
  <c r="D9" i="60" s="1"/>
  <c r="H6" i="63"/>
  <c r="H8" i="63" s="1"/>
  <c r="D43" i="60" s="1"/>
  <c r="O78" i="62"/>
  <c r="P78" i="62" s="1"/>
  <c r="U186" i="60"/>
  <c r="U249" i="60"/>
  <c r="BC58" i="61"/>
  <c r="BC116" i="61"/>
  <c r="BC127" i="61" s="1"/>
  <c r="H246" i="60"/>
  <c r="H183" i="60"/>
  <c r="E123" i="61"/>
  <c r="G112" i="60"/>
  <c r="BE10" i="61"/>
  <c r="BI26" i="61"/>
  <c r="BJ14" i="61"/>
  <c r="G72" i="60"/>
  <c r="F85" i="60"/>
  <c r="BE50" i="61"/>
  <c r="BE52" i="61" s="1"/>
  <c r="BI50" i="61"/>
  <c r="E121" i="61"/>
  <c r="G110" i="60"/>
  <c r="E80" i="61"/>
  <c r="G69" i="60"/>
  <c r="E115" i="61"/>
  <c r="G104" i="60"/>
  <c r="E90" i="61"/>
  <c r="G79" i="60"/>
  <c r="BC27" i="61"/>
  <c r="BL27" i="60"/>
  <c r="AJ2" i="61"/>
  <c r="AJ110" i="60"/>
  <c r="AJ121" i="61" s="1"/>
  <c r="AJ46" i="60"/>
  <c r="AJ46" i="61" s="1"/>
  <c r="T2" i="61"/>
  <c r="T109" i="60"/>
  <c r="T120" i="61" s="1"/>
  <c r="T45" i="60"/>
  <c r="T45" i="61" s="1"/>
  <c r="H21" i="61"/>
  <c r="AM2" i="61"/>
  <c r="AM109" i="60"/>
  <c r="AM120" i="61" s="1"/>
  <c r="AM45" i="60"/>
  <c r="AM45" i="61" s="1"/>
  <c r="W2" i="61"/>
  <c r="W109" i="60"/>
  <c r="W120" i="61" s="1"/>
  <c r="W45" i="60"/>
  <c r="W45" i="61" s="1"/>
  <c r="AP2" i="61"/>
  <c r="AP46" i="60"/>
  <c r="AP46" i="61" s="1"/>
  <c r="AP110" i="60"/>
  <c r="AP121" i="61" s="1"/>
  <c r="Z2" i="61"/>
  <c r="Z109" i="60"/>
  <c r="Z120" i="61" s="1"/>
  <c r="Z45" i="60"/>
  <c r="Z45" i="61" s="1"/>
  <c r="J2" i="61"/>
  <c r="J109" i="60"/>
  <c r="J45" i="60"/>
  <c r="AS2" i="61"/>
  <c r="AS109" i="60"/>
  <c r="AS120" i="61" s="1"/>
  <c r="AS45" i="60"/>
  <c r="AS45" i="61" s="1"/>
  <c r="AC2" i="61"/>
  <c r="AC109" i="60"/>
  <c r="AC120" i="61" s="1"/>
  <c r="AC45" i="60"/>
  <c r="AC45" i="61" s="1"/>
  <c r="M2" i="61"/>
  <c r="M109" i="60"/>
  <c r="M120" i="61" s="1"/>
  <c r="M45" i="60"/>
  <c r="M45" i="61" s="1"/>
  <c r="J5" i="65"/>
  <c r="E14" i="65"/>
  <c r="I288" i="67"/>
  <c r="I284" i="67"/>
  <c r="L284" i="67" s="1"/>
  <c r="I290" i="67"/>
  <c r="I287" i="67"/>
  <c r="L287" i="67" s="1"/>
  <c r="T23" i="66"/>
  <c r="V23" i="66" s="1"/>
  <c r="I54" i="64"/>
  <c r="I52" i="64"/>
  <c r="I55" i="64"/>
  <c r="BJ89" i="61"/>
  <c r="BF89" i="61"/>
  <c r="BI89" i="61"/>
  <c r="BE89" i="61"/>
  <c r="BG89" i="61"/>
  <c r="BD89" i="61"/>
  <c r="BH89" i="61"/>
  <c r="G81" i="61"/>
  <c r="BQ6" i="60"/>
  <c r="BR6" i="60" s="1"/>
  <c r="G114" i="61"/>
  <c r="BQ39" i="60"/>
  <c r="BR39" i="60" s="1"/>
  <c r="L283" i="67"/>
  <c r="L158" i="67"/>
  <c r="I158" i="67"/>
  <c r="F157" i="67"/>
  <c r="L157" i="67" s="1"/>
  <c r="F153" i="67"/>
  <c r="L153" i="67" s="1"/>
  <c r="F155" i="67"/>
  <c r="L155" i="67" s="1"/>
  <c r="I289" i="67"/>
  <c r="L289" i="67" s="1"/>
  <c r="F29" i="66"/>
  <c r="G139" i="67"/>
  <c r="T7" i="66"/>
  <c r="G57" i="64"/>
  <c r="T5" i="66"/>
  <c r="G10" i="65"/>
  <c r="J10" i="65" s="1"/>
  <c r="G6" i="65"/>
  <c r="J6" i="65" s="1"/>
  <c r="G9" i="65"/>
  <c r="N14" i="66"/>
  <c r="S5" i="66"/>
  <c r="S14" i="66" s="1"/>
  <c r="F131" i="67"/>
  <c r="I9" i="65"/>
  <c r="U245" i="60"/>
  <c r="U193" i="60"/>
  <c r="H261" i="60"/>
  <c r="J247" i="60"/>
  <c r="J184" i="60"/>
  <c r="J259" i="60" s="1"/>
  <c r="H259" i="60"/>
  <c r="T268" i="60"/>
  <c r="D125" i="61"/>
  <c r="E103" i="61"/>
  <c r="E105" i="61" s="1"/>
  <c r="G92" i="60"/>
  <c r="E88" i="61"/>
  <c r="G77" i="60"/>
  <c r="G131" i="61"/>
  <c r="BQ56" i="60"/>
  <c r="BR56" i="60" s="1"/>
  <c r="F96" i="61"/>
  <c r="F108" i="61" s="1"/>
  <c r="F137" i="61" s="1"/>
  <c r="E87" i="61"/>
  <c r="G76" i="60"/>
  <c r="AF2" i="61"/>
  <c r="AF110" i="60"/>
  <c r="AF121" i="61" s="1"/>
  <c r="AF46" i="60"/>
  <c r="AF46" i="61" s="1"/>
  <c r="P2" i="61"/>
  <c r="P109" i="60"/>
  <c r="P120" i="61" s="1"/>
  <c r="P45" i="60"/>
  <c r="P45" i="61" s="1"/>
  <c r="AI2" i="61"/>
  <c r="AI109" i="60"/>
  <c r="AI120" i="61" s="1"/>
  <c r="AI45" i="60"/>
  <c r="AI45" i="61" s="1"/>
  <c r="S2" i="61"/>
  <c r="S109" i="60"/>
  <c r="S120" i="61" s="1"/>
  <c r="S45" i="60"/>
  <c r="S45" i="61" s="1"/>
  <c r="E86" i="61"/>
  <c r="G75" i="60"/>
  <c r="AL2" i="61"/>
  <c r="AL110" i="60"/>
  <c r="AL121" i="61" s="1"/>
  <c r="AL46" i="60"/>
  <c r="AL46" i="61" s="1"/>
  <c r="V2" i="61"/>
  <c r="V109" i="60"/>
  <c r="V120" i="61" s="1"/>
  <c r="V45" i="60"/>
  <c r="V45" i="61" s="1"/>
  <c r="AO2" i="61"/>
  <c r="AO110" i="60"/>
  <c r="AO121" i="61" s="1"/>
  <c r="AO46" i="60"/>
  <c r="AO46" i="61" s="1"/>
  <c r="Y2" i="61"/>
  <c r="Y109" i="60"/>
  <c r="Y120" i="61" s="1"/>
  <c r="Y45" i="60"/>
  <c r="Y45" i="61" s="1"/>
  <c r="AV2" i="61"/>
  <c r="AV109" i="60"/>
  <c r="AV120" i="61" s="1"/>
  <c r="AV45" i="60"/>
  <c r="AV45" i="61" s="1"/>
  <c r="F17" i="57"/>
  <c r="T29" i="66" l="1"/>
  <c r="J53" i="64"/>
  <c r="K292" i="67"/>
  <c r="BN89" i="61"/>
  <c r="BK102" i="61"/>
  <c r="BC91" i="60"/>
  <c r="K10" i="65"/>
  <c r="BI65" i="60"/>
  <c r="F141" i="61"/>
  <c r="F143" i="61"/>
  <c r="J302" i="67"/>
  <c r="G302" i="67"/>
  <c r="H302" i="67"/>
  <c r="H349" i="67" s="1"/>
  <c r="E302" i="67"/>
  <c r="K12" i="65"/>
  <c r="BK65" i="60"/>
  <c r="K6" i="65"/>
  <c r="BE65" i="60"/>
  <c r="K7" i="65"/>
  <c r="BF65" i="60"/>
  <c r="J297" i="67"/>
  <c r="E297" i="67"/>
  <c r="G297" i="67"/>
  <c r="H297" i="67"/>
  <c r="H341" i="67" s="1"/>
  <c r="BF156" i="61"/>
  <c r="BF75" i="61"/>
  <c r="E140" i="67"/>
  <c r="G140" i="67"/>
  <c r="J140" i="67"/>
  <c r="H140" i="67"/>
  <c r="H204" i="67" s="1"/>
  <c r="E164" i="67"/>
  <c r="G164" i="67"/>
  <c r="H164" i="67"/>
  <c r="H209" i="67" s="1"/>
  <c r="J164" i="67"/>
  <c r="G298" i="67"/>
  <c r="H298" i="67"/>
  <c r="H344" i="67" s="1"/>
  <c r="E298" i="67"/>
  <c r="J298" i="67"/>
  <c r="H33" i="61"/>
  <c r="G86" i="61"/>
  <c r="H75" i="60"/>
  <c r="H86" i="61" s="1"/>
  <c r="BQ11" i="60"/>
  <c r="BR11" i="60" s="1"/>
  <c r="F136" i="67"/>
  <c r="L131" i="67"/>
  <c r="E300" i="67"/>
  <c r="H300" i="67"/>
  <c r="H346" i="67" s="1"/>
  <c r="G300" i="67"/>
  <c r="J300" i="67"/>
  <c r="BA78" i="60"/>
  <c r="BA89" i="61" s="1"/>
  <c r="BA14" i="60"/>
  <c r="J45" i="61"/>
  <c r="G83" i="61"/>
  <c r="H72" i="60"/>
  <c r="BQ8" i="60"/>
  <c r="BR8" i="60" s="1"/>
  <c r="G123" i="61"/>
  <c r="BQ48" i="60"/>
  <c r="BR48" i="60" s="1"/>
  <c r="H258" i="60"/>
  <c r="H187" i="60"/>
  <c r="H262" i="60" s="1"/>
  <c r="G14" i="65"/>
  <c r="J55" i="64"/>
  <c r="L290" i="67"/>
  <c r="BD156" i="61"/>
  <c r="BD75" i="61"/>
  <c r="G166" i="67"/>
  <c r="H166" i="67"/>
  <c r="H211" i="67" s="1"/>
  <c r="E166" i="67"/>
  <c r="J166" i="67"/>
  <c r="BM26" i="60"/>
  <c r="I101" i="61"/>
  <c r="BL90" i="60"/>
  <c r="G91" i="61"/>
  <c r="BQ16" i="60"/>
  <c r="BR16" i="60" s="1"/>
  <c r="H80" i="60"/>
  <c r="H91" i="61" s="1"/>
  <c r="G82" i="61"/>
  <c r="BQ7" i="60"/>
  <c r="BR7" i="60" s="1"/>
  <c r="G120" i="61"/>
  <c r="BQ45" i="60"/>
  <c r="BR45" i="60" s="1"/>
  <c r="E133" i="61"/>
  <c r="BN85" i="61"/>
  <c r="P73" i="62"/>
  <c r="O82" i="62"/>
  <c r="P82" i="62" s="1"/>
  <c r="G183" i="67"/>
  <c r="L180" i="67"/>
  <c r="E183" i="67"/>
  <c r="J183" i="67"/>
  <c r="H183" i="67"/>
  <c r="AZ14" i="61"/>
  <c r="BI52" i="61"/>
  <c r="D43" i="61"/>
  <c r="D52" i="61" s="1"/>
  <c r="D107" i="60"/>
  <c r="E43" i="60"/>
  <c r="D52" i="60"/>
  <c r="K9" i="65"/>
  <c r="BH65" i="60"/>
  <c r="AZ50" i="60"/>
  <c r="AZ114" i="60"/>
  <c r="L288" i="67"/>
  <c r="H214" i="60"/>
  <c r="G132" i="61"/>
  <c r="BQ57" i="60"/>
  <c r="BR57" i="60" s="1"/>
  <c r="H129" i="60"/>
  <c r="G95" i="61"/>
  <c r="BQ20" i="60"/>
  <c r="BR20" i="60" s="1"/>
  <c r="G94" i="61"/>
  <c r="BQ19" i="60"/>
  <c r="BR19" i="60" s="1"/>
  <c r="E116" i="61"/>
  <c r="G130" i="61"/>
  <c r="G133" i="61" s="1"/>
  <c r="G122" i="60"/>
  <c r="BQ55" i="60"/>
  <c r="BR55" i="60" s="1"/>
  <c r="T267" i="60"/>
  <c r="K8" i="65"/>
  <c r="BG65" i="60"/>
  <c r="BF50" i="61"/>
  <c r="BN50" i="61" s="1"/>
  <c r="BF26" i="61"/>
  <c r="BN26" i="61" s="1"/>
  <c r="BF125" i="61"/>
  <c r="BF127" i="61" s="1"/>
  <c r="BF14" i="61"/>
  <c r="BN14" i="61" s="1"/>
  <c r="BF10" i="61"/>
  <c r="BN10" i="61" s="1"/>
  <c r="E165" i="67"/>
  <c r="H165" i="67"/>
  <c r="H210" i="67" s="1"/>
  <c r="G165" i="67"/>
  <c r="J165" i="67"/>
  <c r="J14" i="65"/>
  <c r="K5" i="65"/>
  <c r="BD65" i="60"/>
  <c r="G103" i="61"/>
  <c r="G105" i="61" s="1"/>
  <c r="BQ28" i="60"/>
  <c r="BR28" i="60" s="1"/>
  <c r="G94" i="60"/>
  <c r="BQ30" i="60" s="1"/>
  <c r="BR30" i="60" s="1"/>
  <c r="U268" i="60"/>
  <c r="G203" i="67"/>
  <c r="E163" i="67"/>
  <c r="H163" i="67"/>
  <c r="H208" i="67" s="1"/>
  <c r="G163" i="67"/>
  <c r="J163" i="67"/>
  <c r="F292" i="67"/>
  <c r="BB14" i="60"/>
  <c r="BB78" i="60"/>
  <c r="BB89" i="61" s="1"/>
  <c r="J120" i="61"/>
  <c r="BN27" i="61"/>
  <c r="BL27" i="61"/>
  <c r="G80" i="61"/>
  <c r="BQ5" i="60"/>
  <c r="BR5" i="60" s="1"/>
  <c r="U261" i="60"/>
  <c r="U192" i="60"/>
  <c r="D9" i="61"/>
  <c r="D21" i="61" s="1"/>
  <c r="D33" i="61" s="1"/>
  <c r="D62" i="61" s="1"/>
  <c r="E9" i="60"/>
  <c r="D3" i="60"/>
  <c r="D73" i="60"/>
  <c r="B12" i="57"/>
  <c r="B26" i="57" s="1"/>
  <c r="L26" i="57" s="1"/>
  <c r="D21" i="60"/>
  <c r="D33" i="60" s="1"/>
  <c r="D62" i="60" s="1"/>
  <c r="D64" i="60" s="1"/>
  <c r="J54" i="64"/>
  <c r="K11" i="65"/>
  <c r="BJ65" i="60"/>
  <c r="G92" i="61"/>
  <c r="BQ17" i="60"/>
  <c r="BR17" i="60" s="1"/>
  <c r="BP45" i="61"/>
  <c r="BJ52" i="61"/>
  <c r="L14" i="65"/>
  <c r="I136" i="67"/>
  <c r="I14" i="65"/>
  <c r="I159" i="67"/>
  <c r="L152" i="67"/>
  <c r="E168" i="67"/>
  <c r="G168" i="67"/>
  <c r="H168" i="67"/>
  <c r="H213" i="67" s="1"/>
  <c r="J168" i="67"/>
  <c r="G90" i="61"/>
  <c r="BQ15" i="60"/>
  <c r="BR15" i="60" s="1"/>
  <c r="G87" i="61"/>
  <c r="BQ12" i="60"/>
  <c r="BR12" i="60" s="1"/>
  <c r="G88" i="61"/>
  <c r="BQ13" i="60"/>
  <c r="BR13" i="60" s="1"/>
  <c r="T14" i="66"/>
  <c r="E167" i="67"/>
  <c r="J167" i="67"/>
  <c r="G167" i="67"/>
  <c r="H167" i="67"/>
  <c r="H212" i="67" s="1"/>
  <c r="L292" i="67"/>
  <c r="G296" i="67"/>
  <c r="E296" i="67"/>
  <c r="J296" i="67"/>
  <c r="H296" i="67"/>
  <c r="I57" i="64"/>
  <c r="AY78" i="60"/>
  <c r="AY14" i="60"/>
  <c r="G142" i="67"/>
  <c r="J142" i="67"/>
  <c r="H142" i="67"/>
  <c r="H206" i="67" s="1"/>
  <c r="E142" i="67"/>
  <c r="G115" i="61"/>
  <c r="BQ40" i="60"/>
  <c r="BR40" i="60" s="1"/>
  <c r="G121" i="61"/>
  <c r="BQ46" i="60"/>
  <c r="BR46" i="60" s="1"/>
  <c r="J203" i="67"/>
  <c r="E57" i="64"/>
  <c r="J52" i="64"/>
  <c r="J299" i="67"/>
  <c r="H299" i="67"/>
  <c r="H345" i="67" s="1"/>
  <c r="E299" i="67"/>
  <c r="G299" i="67"/>
  <c r="H184" i="67"/>
  <c r="H232" i="67" s="1"/>
  <c r="J184" i="67"/>
  <c r="E184" i="67"/>
  <c r="G184" i="67"/>
  <c r="J141" i="67"/>
  <c r="G141" i="67"/>
  <c r="E141" i="67"/>
  <c r="H141" i="67"/>
  <c r="H205" i="67" s="1"/>
  <c r="G122" i="61"/>
  <c r="BQ47" i="60"/>
  <c r="BR47" i="60" s="1"/>
  <c r="H14" i="57"/>
  <c r="H26" i="57" s="1"/>
  <c r="H50" i="57"/>
  <c r="G113" i="61"/>
  <c r="G105" i="60"/>
  <c r="BQ38" i="60"/>
  <c r="BR38" i="60" s="1"/>
  <c r="I292" i="67"/>
  <c r="F159" i="67"/>
  <c r="AZ24" i="60" l="1"/>
  <c r="BC102" i="61"/>
  <c r="BL102" i="61" s="1"/>
  <c r="BM102" i="61" s="1"/>
  <c r="BL91" i="60"/>
  <c r="J205" i="67"/>
  <c r="G345" i="67"/>
  <c r="H340" i="67"/>
  <c r="BQ41" i="60"/>
  <c r="BR41" i="60" s="1"/>
  <c r="G205" i="67"/>
  <c r="J232" i="67"/>
  <c r="AY89" i="61"/>
  <c r="I78" i="60"/>
  <c r="E340" i="67"/>
  <c r="G212" i="67"/>
  <c r="L159" i="67"/>
  <c r="G162" i="67"/>
  <c r="H162" i="67"/>
  <c r="J162" i="67"/>
  <c r="E162" i="67"/>
  <c r="E9" i="61"/>
  <c r="E21" i="61" s="1"/>
  <c r="E73" i="60"/>
  <c r="BP9" i="60"/>
  <c r="B36" i="57"/>
  <c r="B50" i="57" s="1"/>
  <c r="E21" i="60"/>
  <c r="J208" i="67"/>
  <c r="D118" i="61"/>
  <c r="D127" i="61" s="1"/>
  <c r="D116" i="60"/>
  <c r="H231" i="67"/>
  <c r="H185" i="67"/>
  <c r="H187" i="67" s="1"/>
  <c r="G231" i="67"/>
  <c r="G185" i="67"/>
  <c r="G187" i="67" s="1"/>
  <c r="I183" i="67"/>
  <c r="BL101" i="61"/>
  <c r="E211" i="67"/>
  <c r="BA14" i="61"/>
  <c r="BA24" i="60"/>
  <c r="J344" i="67"/>
  <c r="J209" i="67"/>
  <c r="E341" i="67"/>
  <c r="E349" i="67"/>
  <c r="G213" i="67"/>
  <c r="D140" i="61"/>
  <c r="D67" i="61"/>
  <c r="D64" i="61"/>
  <c r="D68" i="61"/>
  <c r="BM27" i="61"/>
  <c r="G208" i="67"/>
  <c r="E210" i="67"/>
  <c r="BQ58" i="60"/>
  <c r="J301" i="67"/>
  <c r="G301" i="67"/>
  <c r="H301" i="67"/>
  <c r="H348" i="67" s="1"/>
  <c r="E301" i="67"/>
  <c r="J185" i="67"/>
  <c r="J187" i="67" s="1"/>
  <c r="K183" i="67"/>
  <c r="J231" i="67"/>
  <c r="E303" i="67"/>
  <c r="J303" i="67"/>
  <c r="H303" i="67"/>
  <c r="H350" i="67" s="1"/>
  <c r="G303" i="67"/>
  <c r="E346" i="67"/>
  <c r="E344" i="67"/>
  <c r="J204" i="67"/>
  <c r="J341" i="67"/>
  <c r="J57" i="64"/>
  <c r="AY50" i="60"/>
  <c r="AY114" i="60"/>
  <c r="G206" i="67"/>
  <c r="D84" i="61"/>
  <c r="D96" i="61" s="1"/>
  <c r="D108" i="61" s="1"/>
  <c r="D85" i="60"/>
  <c r="D97" i="60" s="1"/>
  <c r="D126" i="60" s="1"/>
  <c r="D129" i="60" s="1"/>
  <c r="U267" i="60"/>
  <c r="BB14" i="61"/>
  <c r="G41" i="57"/>
  <c r="G17" i="57" s="1"/>
  <c r="BB24" i="60"/>
  <c r="J210" i="67"/>
  <c r="AZ125" i="61"/>
  <c r="AZ148" i="60"/>
  <c r="E185" i="67"/>
  <c r="E187" i="67" s="1"/>
  <c r="E231" i="67"/>
  <c r="G211" i="67"/>
  <c r="BB50" i="60"/>
  <c r="BB114" i="60"/>
  <c r="H83" i="61"/>
  <c r="H96" i="61" s="1"/>
  <c r="H144" i="60"/>
  <c r="H85" i="60"/>
  <c r="J346" i="67"/>
  <c r="L136" i="67"/>
  <c r="E138" i="67"/>
  <c r="J138" i="67"/>
  <c r="G138" i="67"/>
  <c r="H138" i="67"/>
  <c r="H62" i="61"/>
  <c r="G209" i="67"/>
  <c r="G204" i="67"/>
  <c r="G349" i="67"/>
  <c r="J345" i="67"/>
  <c r="J206" i="67"/>
  <c r="G340" i="67"/>
  <c r="G304" i="67"/>
  <c r="G306" i="67" s="1"/>
  <c r="I296" i="67"/>
  <c r="J212" i="67"/>
  <c r="I184" i="67"/>
  <c r="G232" i="67"/>
  <c r="E212" i="67"/>
  <c r="E213" i="67"/>
  <c r="G116" i="61"/>
  <c r="E205" i="67"/>
  <c r="F184" i="67"/>
  <c r="E232" i="67"/>
  <c r="E345" i="67"/>
  <c r="E206" i="67"/>
  <c r="AY14" i="61"/>
  <c r="AY24" i="60"/>
  <c r="C41" i="57"/>
  <c r="I14" i="60"/>
  <c r="J340" i="67"/>
  <c r="J304" i="67"/>
  <c r="J306" i="67" s="1"/>
  <c r="J213" i="67"/>
  <c r="BA50" i="60"/>
  <c r="BA114" i="60"/>
  <c r="E208" i="67"/>
  <c r="G210" i="67"/>
  <c r="BF52" i="61"/>
  <c r="AZ50" i="61"/>
  <c r="AZ138" i="60"/>
  <c r="Q211" i="60" s="1"/>
  <c r="E43" i="61"/>
  <c r="E52" i="61" s="1"/>
  <c r="E107" i="60"/>
  <c r="BP43" i="60"/>
  <c r="E52" i="60"/>
  <c r="BP52" i="60" s="1"/>
  <c r="J211" i="67"/>
  <c r="G346" i="67"/>
  <c r="I300" i="67"/>
  <c r="G344" i="67"/>
  <c r="I298" i="67"/>
  <c r="E209" i="67"/>
  <c r="E204" i="67"/>
  <c r="G341" i="67"/>
  <c r="I297" i="67"/>
  <c r="J349" i="67"/>
  <c r="BL14" i="60" l="1"/>
  <c r="BM14" i="60" s="1"/>
  <c r="AC14" i="105"/>
  <c r="AS14" i="105" s="1"/>
  <c r="K302" i="67"/>
  <c r="E118" i="61"/>
  <c r="E127" i="61" s="1"/>
  <c r="G107" i="60"/>
  <c r="E116" i="60"/>
  <c r="K299" i="67"/>
  <c r="H140" i="61"/>
  <c r="H68" i="61"/>
  <c r="H64" i="61"/>
  <c r="J143" i="67"/>
  <c r="K138" i="67" s="1"/>
  <c r="J202" i="67"/>
  <c r="H108" i="61"/>
  <c r="AY125" i="61"/>
  <c r="AY148" i="60"/>
  <c r="I114" i="60"/>
  <c r="K297" i="67"/>
  <c r="E350" i="67"/>
  <c r="J348" i="67"/>
  <c r="K301" i="67"/>
  <c r="K298" i="67"/>
  <c r="J207" i="67"/>
  <c r="J169" i="67"/>
  <c r="K162" i="67" s="1"/>
  <c r="H304" i="67"/>
  <c r="H306" i="67" s="1"/>
  <c r="E202" i="67"/>
  <c r="F138" i="67"/>
  <c r="E143" i="67"/>
  <c r="BB125" i="61"/>
  <c r="BB148" i="60"/>
  <c r="AY50" i="61"/>
  <c r="AY138" i="60"/>
  <c r="P211" i="60" s="1"/>
  <c r="I50" i="60"/>
  <c r="AC11" i="105" s="1"/>
  <c r="AS11" i="105" s="1"/>
  <c r="G350" i="67"/>
  <c r="I303" i="67"/>
  <c r="E348" i="67"/>
  <c r="BR58" i="60"/>
  <c r="D137" i="61"/>
  <c r="E33" i="60"/>
  <c r="BP21" i="60"/>
  <c r="H22" i="60"/>
  <c r="E84" i="61"/>
  <c r="E96" i="61" s="1"/>
  <c r="E108" i="61" s="1"/>
  <c r="G73" i="60"/>
  <c r="E85" i="60"/>
  <c r="E97" i="60" s="1"/>
  <c r="E126" i="60" s="1"/>
  <c r="E129" i="60" s="1"/>
  <c r="H169" i="67"/>
  <c r="H171" i="67" s="1"/>
  <c r="H207" i="67"/>
  <c r="H97" i="60"/>
  <c r="H126" i="60" s="1"/>
  <c r="BB50" i="61"/>
  <c r="BB138" i="60"/>
  <c r="S211" i="60" s="1"/>
  <c r="Q172" i="60"/>
  <c r="AZ158" i="60"/>
  <c r="BM101" i="61"/>
  <c r="L50" i="57"/>
  <c r="E33" i="61"/>
  <c r="E62" i="61" s="1"/>
  <c r="H22" i="61"/>
  <c r="G207" i="67"/>
  <c r="I162" i="67"/>
  <c r="G169" i="67"/>
  <c r="I89" i="61"/>
  <c r="BL89" i="61" s="1"/>
  <c r="BM89" i="61" s="1"/>
  <c r="BL78" i="60"/>
  <c r="K184" i="67"/>
  <c r="L184" i="67" s="1"/>
  <c r="I299" i="67"/>
  <c r="C17" i="57"/>
  <c r="I17" i="57" s="1"/>
  <c r="K17" i="57" s="1"/>
  <c r="I41" i="57"/>
  <c r="K41" i="57" s="1"/>
  <c r="I304" i="67"/>
  <c r="BA125" i="61"/>
  <c r="BA148" i="60"/>
  <c r="H202" i="67"/>
  <c r="H143" i="67"/>
  <c r="H145" i="67" s="1"/>
  <c r="BA50" i="61"/>
  <c r="BA138" i="60"/>
  <c r="R211" i="60" s="1"/>
  <c r="K296" i="67"/>
  <c r="I14" i="61"/>
  <c r="BL14" i="61" s="1"/>
  <c r="BM14" i="61" s="1"/>
  <c r="I302" i="67"/>
  <c r="G143" i="67"/>
  <c r="G202" i="67"/>
  <c r="K300" i="67"/>
  <c r="H154" i="60"/>
  <c r="H161" i="60" s="1"/>
  <c r="H168" i="60"/>
  <c r="H151" i="60"/>
  <c r="F183" i="67"/>
  <c r="J350" i="67"/>
  <c r="K303" i="67"/>
  <c r="G348" i="67"/>
  <c r="I301" i="67"/>
  <c r="I185" i="67"/>
  <c r="E169" i="67"/>
  <c r="F162" i="67" s="1"/>
  <c r="E207" i="67"/>
  <c r="E304" i="67"/>
  <c r="F303" i="67" s="1"/>
  <c r="L303" i="67" s="1"/>
  <c r="L162" i="67" l="1"/>
  <c r="K185" i="67"/>
  <c r="F185" i="67"/>
  <c r="L183" i="67"/>
  <c r="L185" i="67" s="1"/>
  <c r="K304" i="67"/>
  <c r="G171" i="67"/>
  <c r="I166" i="67"/>
  <c r="I164" i="67"/>
  <c r="I169" i="67" s="1"/>
  <c r="I167" i="67"/>
  <c r="I165" i="67"/>
  <c r="I168" i="67"/>
  <c r="I163" i="67"/>
  <c r="E140" i="61"/>
  <c r="G140" i="61" s="1"/>
  <c r="E64" i="61"/>
  <c r="G84" i="61"/>
  <c r="G96" i="61" s="1"/>
  <c r="BQ9" i="60"/>
  <c r="BR9" i="60" s="1"/>
  <c r="G85" i="60"/>
  <c r="G86" i="60" s="1"/>
  <c r="BQ22" i="60" s="1"/>
  <c r="BR22" i="60" s="1"/>
  <c r="BP33" i="60"/>
  <c r="BP62" i="60" s="1"/>
  <c r="E62" i="60"/>
  <c r="E68" i="61" s="1"/>
  <c r="I50" i="61"/>
  <c r="S172" i="60"/>
  <c r="BB158" i="60"/>
  <c r="E237" i="67"/>
  <c r="F202" i="67"/>
  <c r="H237" i="67"/>
  <c r="Q184" i="60"/>
  <c r="Q247" i="60"/>
  <c r="H152" i="60"/>
  <c r="H130" i="60"/>
  <c r="H162" i="60" s="1"/>
  <c r="I138" i="60"/>
  <c r="BL50" i="60"/>
  <c r="J171" i="67"/>
  <c r="K163" i="67"/>
  <c r="K169" i="67" s="1"/>
  <c r="K167" i="67"/>
  <c r="K166" i="67"/>
  <c r="K168" i="67"/>
  <c r="K164" i="67"/>
  <c r="K165" i="67"/>
  <c r="P172" i="60"/>
  <c r="AY158" i="60"/>
  <c r="H137" i="61"/>
  <c r="J237" i="67"/>
  <c r="K202" i="67" s="1"/>
  <c r="G145" i="67"/>
  <c r="I139" i="67"/>
  <c r="I142" i="67"/>
  <c r="I140" i="67"/>
  <c r="I141" i="67"/>
  <c r="R172" i="60"/>
  <c r="BA158" i="60"/>
  <c r="E171" i="67"/>
  <c r="F167" i="67"/>
  <c r="L167" i="67" s="1"/>
  <c r="F163" i="67"/>
  <c r="F164" i="67"/>
  <c r="F168" i="67"/>
  <c r="L168" i="67" s="1"/>
  <c r="F166" i="67"/>
  <c r="L166" i="67" s="1"/>
  <c r="F165" i="67"/>
  <c r="L165" i="67" s="1"/>
  <c r="I138" i="67"/>
  <c r="E306" i="67"/>
  <c r="F299" i="67"/>
  <c r="L299" i="67" s="1"/>
  <c r="F302" i="67"/>
  <c r="L302" i="67" s="1"/>
  <c r="F300" i="67"/>
  <c r="L300" i="67" s="1"/>
  <c r="F298" i="67"/>
  <c r="L298" i="67" s="1"/>
  <c r="F296" i="67"/>
  <c r="F297" i="67"/>
  <c r="L297" i="67" s="1"/>
  <c r="H243" i="60"/>
  <c r="H175" i="60"/>
  <c r="H191" i="60"/>
  <c r="G237" i="67"/>
  <c r="I202" i="67" s="1"/>
  <c r="D143" i="61"/>
  <c r="D141" i="61"/>
  <c r="E145" i="67"/>
  <c r="F139" i="67"/>
  <c r="F141" i="67"/>
  <c r="F142" i="67"/>
  <c r="F140" i="67"/>
  <c r="K207" i="67"/>
  <c r="G118" i="61"/>
  <c r="G127" i="61" s="1"/>
  <c r="BQ43" i="60"/>
  <c r="BR43" i="60" s="1"/>
  <c r="G116" i="60"/>
  <c r="BQ52" i="60" s="1"/>
  <c r="BR52" i="60" s="1"/>
  <c r="F301" i="67"/>
  <c r="L301" i="67" s="1"/>
  <c r="V211" i="60"/>
  <c r="L138" i="67"/>
  <c r="I125" i="61"/>
  <c r="BL125" i="61" s="1"/>
  <c r="BM125" i="61" s="1"/>
  <c r="I148" i="60"/>
  <c r="I158" i="60" s="1"/>
  <c r="BL114" i="60"/>
  <c r="J145" i="67"/>
  <c r="K139" i="67"/>
  <c r="K143" i="67" s="1"/>
  <c r="K145" i="67" s="1"/>
  <c r="K142" i="67"/>
  <c r="K140" i="67"/>
  <c r="K141" i="67"/>
  <c r="E137" i="61"/>
  <c r="L164" i="67" l="1"/>
  <c r="L163" i="67"/>
  <c r="L142" i="67"/>
  <c r="F143" i="67"/>
  <c r="H266" i="60"/>
  <c r="H198" i="60"/>
  <c r="H199" i="60" s="1"/>
  <c r="L140" i="67"/>
  <c r="H250" i="60"/>
  <c r="H163" i="60"/>
  <c r="G97" i="60"/>
  <c r="BQ21" i="60"/>
  <c r="BR21" i="60" s="1"/>
  <c r="L139" i="67"/>
  <c r="BL148" i="60"/>
  <c r="I228" i="67"/>
  <c r="I226" i="67"/>
  <c r="I222" i="67"/>
  <c r="I218" i="67"/>
  <c r="I214" i="67"/>
  <c r="I227" i="67"/>
  <c r="I223" i="67"/>
  <c r="I215" i="67"/>
  <c r="I219" i="67"/>
  <c r="I229" i="67"/>
  <c r="I233" i="67"/>
  <c r="I216" i="67"/>
  <c r="I221" i="67"/>
  <c r="I217" i="67"/>
  <c r="I234" i="67"/>
  <c r="I224" i="67"/>
  <c r="I225" i="67"/>
  <c r="I230" i="67"/>
  <c r="I220" i="67"/>
  <c r="I203" i="67"/>
  <c r="I211" i="67"/>
  <c r="I208" i="67"/>
  <c r="I231" i="67"/>
  <c r="I205" i="67"/>
  <c r="I212" i="67"/>
  <c r="I204" i="67"/>
  <c r="I206" i="67"/>
  <c r="I232" i="67"/>
  <c r="I210" i="67"/>
  <c r="I209" i="67"/>
  <c r="I213" i="67"/>
  <c r="I143" i="67"/>
  <c r="P184" i="60"/>
  <c r="P247" i="60"/>
  <c r="V172" i="60"/>
  <c r="L202" i="67"/>
  <c r="S247" i="60"/>
  <c r="S184" i="60"/>
  <c r="G108" i="61"/>
  <c r="G137" i="61" s="1"/>
  <c r="H97" i="61"/>
  <c r="E143" i="61"/>
  <c r="E141" i="61"/>
  <c r="L141" i="67"/>
  <c r="I207" i="67"/>
  <c r="L296" i="67"/>
  <c r="L304" i="67" s="1"/>
  <c r="F304" i="67"/>
  <c r="H143" i="61"/>
  <c r="H141" i="61"/>
  <c r="Q259" i="60"/>
  <c r="F228" i="67"/>
  <c r="F224" i="67"/>
  <c r="F220" i="67"/>
  <c r="F216" i="67"/>
  <c r="F230" i="67"/>
  <c r="F226" i="67"/>
  <c r="F222" i="67"/>
  <c r="F234" i="67"/>
  <c r="F214" i="67"/>
  <c r="F218" i="67"/>
  <c r="F229" i="67"/>
  <c r="F217" i="67"/>
  <c r="F233" i="67"/>
  <c r="F223" i="67"/>
  <c r="F227" i="67"/>
  <c r="F221" i="67"/>
  <c r="F215" i="67"/>
  <c r="L215" i="67" s="1"/>
  <c r="F225" i="67"/>
  <c r="F219" i="67"/>
  <c r="F203" i="67"/>
  <c r="F204" i="67"/>
  <c r="F206" i="67"/>
  <c r="F212" i="67"/>
  <c r="F209" i="67"/>
  <c r="F205" i="67"/>
  <c r="F208" i="67"/>
  <c r="F211" i="67"/>
  <c r="F232" i="67"/>
  <c r="F210" i="67"/>
  <c r="L210" i="67" s="1"/>
  <c r="F231" i="67"/>
  <c r="F213" i="67"/>
  <c r="BL50" i="61"/>
  <c r="F207" i="67"/>
  <c r="L207" i="67" s="1"/>
  <c r="F169" i="67"/>
  <c r="R247" i="60"/>
  <c r="R184" i="60"/>
  <c r="K233" i="67"/>
  <c r="K220" i="67"/>
  <c r="K217" i="67"/>
  <c r="K221" i="67"/>
  <c r="K219" i="67"/>
  <c r="K222" i="67"/>
  <c r="K224" i="67"/>
  <c r="K214" i="67"/>
  <c r="K229" i="67"/>
  <c r="K227" i="67"/>
  <c r="K216" i="67"/>
  <c r="K226" i="67"/>
  <c r="K230" i="67"/>
  <c r="K218" i="67"/>
  <c r="K215" i="67"/>
  <c r="K223" i="67"/>
  <c r="K228" i="67"/>
  <c r="K225" i="67"/>
  <c r="K234" i="67"/>
  <c r="K203" i="67"/>
  <c r="K212" i="67"/>
  <c r="K208" i="67"/>
  <c r="K210" i="67"/>
  <c r="K204" i="67"/>
  <c r="K211" i="67"/>
  <c r="K206" i="67"/>
  <c r="K213" i="67"/>
  <c r="K231" i="67"/>
  <c r="K205" i="67"/>
  <c r="K209" i="67"/>
  <c r="K232" i="67"/>
  <c r="BL138" i="60"/>
  <c r="BM50" i="60"/>
  <c r="L169" i="67"/>
  <c r="L205" i="67" l="1"/>
  <c r="L228" i="67"/>
  <c r="J267" i="67" s="1"/>
  <c r="L212" i="67"/>
  <c r="L143" i="67"/>
  <c r="L233" i="67"/>
  <c r="L230" i="67"/>
  <c r="E269" i="67" s="1"/>
  <c r="L211" i="67"/>
  <c r="H250" i="67" s="1"/>
  <c r="H327" i="67" s="1"/>
  <c r="L219" i="67"/>
  <c r="G258" i="67" s="1"/>
  <c r="L229" i="67"/>
  <c r="I237" i="67"/>
  <c r="G141" i="61"/>
  <c r="G143" i="61"/>
  <c r="H244" i="67"/>
  <c r="H321" i="67" s="1"/>
  <c r="G244" i="67"/>
  <c r="J244" i="67"/>
  <c r="E244" i="67"/>
  <c r="J269" i="67"/>
  <c r="L232" i="67"/>
  <c r="L209" i="67"/>
  <c r="L203" i="67"/>
  <c r="L221" i="67"/>
  <c r="L217" i="67"/>
  <c r="L234" i="67"/>
  <c r="L216" i="67"/>
  <c r="S259" i="60"/>
  <c r="V247" i="60"/>
  <c r="W172" i="60"/>
  <c r="H249" i="67"/>
  <c r="H326" i="67" s="1"/>
  <c r="G249" i="67"/>
  <c r="E249" i="67"/>
  <c r="J249" i="67"/>
  <c r="J254" i="67"/>
  <c r="H254" i="67"/>
  <c r="H331" i="67" s="1"/>
  <c r="E254" i="67"/>
  <c r="G254" i="67"/>
  <c r="L214" i="67"/>
  <c r="L213" i="67"/>
  <c r="E250" i="67"/>
  <c r="J250" i="67"/>
  <c r="G250" i="67"/>
  <c r="H251" i="67"/>
  <c r="H328" i="67" s="1"/>
  <c r="E251" i="67"/>
  <c r="J251" i="67"/>
  <c r="G251" i="67"/>
  <c r="L227" i="67"/>
  <c r="H268" i="67"/>
  <c r="H353" i="67" s="1"/>
  <c r="E268" i="67"/>
  <c r="J268" i="67"/>
  <c r="G268" i="67"/>
  <c r="L222" i="67"/>
  <c r="L220" i="67"/>
  <c r="R259" i="60"/>
  <c r="L204" i="67"/>
  <c r="E267" i="67"/>
  <c r="G267" i="67"/>
  <c r="H267" i="67"/>
  <c r="H352" i="67" s="1"/>
  <c r="E246" i="67"/>
  <c r="J246" i="67"/>
  <c r="H246" i="67"/>
  <c r="H323" i="67" s="1"/>
  <c r="G246" i="67"/>
  <c r="L231" i="67"/>
  <c r="L208" i="67"/>
  <c r="L206" i="67"/>
  <c r="L237" i="67" s="1"/>
  <c r="L225" i="67"/>
  <c r="L223" i="67"/>
  <c r="L218" i="67"/>
  <c r="L226" i="67"/>
  <c r="L224" i="67"/>
  <c r="F237" i="67"/>
  <c r="P259" i="60"/>
  <c r="V184" i="60"/>
  <c r="V259" i="60" s="1"/>
  <c r="BL158" i="60"/>
  <c r="BQ33" i="60"/>
  <c r="G126" i="60"/>
  <c r="E130" i="60" s="1"/>
  <c r="H273" i="60"/>
  <c r="BM50" i="61"/>
  <c r="J272" i="67"/>
  <c r="H272" i="67"/>
  <c r="H357" i="67" s="1"/>
  <c r="G272" i="67"/>
  <c r="E272" i="67"/>
  <c r="E241" i="67"/>
  <c r="G241" i="67"/>
  <c r="H241" i="67"/>
  <c r="J241" i="67"/>
  <c r="H258" i="67" l="1"/>
  <c r="H335" i="67" s="1"/>
  <c r="H269" i="67"/>
  <c r="H354" i="67" s="1"/>
  <c r="E258" i="67"/>
  <c r="G269" i="67"/>
  <c r="J258" i="67"/>
  <c r="E318" i="67"/>
  <c r="G357" i="67"/>
  <c r="BR33" i="60"/>
  <c r="BR62" i="60" s="1"/>
  <c r="BQ62" i="60"/>
  <c r="G257" i="67"/>
  <c r="H257" i="67"/>
  <c r="H334" i="67" s="1"/>
  <c r="J257" i="67"/>
  <c r="E257" i="67"/>
  <c r="H247" i="67"/>
  <c r="H324" i="67" s="1"/>
  <c r="E247" i="67"/>
  <c r="J247" i="67"/>
  <c r="G247" i="67"/>
  <c r="J323" i="67"/>
  <c r="G353" i="67"/>
  <c r="H266" i="67"/>
  <c r="H351" i="67" s="1"/>
  <c r="G266" i="67"/>
  <c r="J266" i="67"/>
  <c r="E266" i="67"/>
  <c r="G335" i="67"/>
  <c r="E331" i="67"/>
  <c r="E326" i="67"/>
  <c r="E273" i="67"/>
  <c r="H273" i="67"/>
  <c r="H358" i="67" s="1"/>
  <c r="J273" i="67"/>
  <c r="G273" i="67"/>
  <c r="H248" i="67"/>
  <c r="H325" i="67" s="1"/>
  <c r="J248" i="67"/>
  <c r="E248" i="67"/>
  <c r="G248" i="67"/>
  <c r="J354" i="67"/>
  <c r="G321" i="67"/>
  <c r="J318" i="67"/>
  <c r="J262" i="67"/>
  <c r="E262" i="67"/>
  <c r="G262" i="67"/>
  <c r="H262" i="67"/>
  <c r="H339" i="67" s="1"/>
  <c r="H270" i="67"/>
  <c r="H355" i="67" s="1"/>
  <c r="E270" i="67"/>
  <c r="J270" i="67"/>
  <c r="G270" i="67"/>
  <c r="E323" i="67"/>
  <c r="G352" i="67"/>
  <c r="J353" i="67"/>
  <c r="G328" i="67"/>
  <c r="G327" i="67"/>
  <c r="H252" i="67"/>
  <c r="H329" i="67" s="1"/>
  <c r="J252" i="67"/>
  <c r="G252" i="67"/>
  <c r="E252" i="67"/>
  <c r="G326" i="67"/>
  <c r="H256" i="67"/>
  <c r="H333" i="67" s="1"/>
  <c r="G256" i="67"/>
  <c r="J256" i="67"/>
  <c r="E256" i="67"/>
  <c r="H271" i="67"/>
  <c r="H356" i="67" s="1"/>
  <c r="G271" i="67"/>
  <c r="E271" i="67"/>
  <c r="J271" i="67"/>
  <c r="E354" i="67"/>
  <c r="H318" i="67"/>
  <c r="J357" i="67"/>
  <c r="E263" i="67"/>
  <c r="J263" i="67"/>
  <c r="H263" i="67"/>
  <c r="H342" i="67" s="1"/>
  <c r="G263" i="67"/>
  <c r="J264" i="67"/>
  <c r="H264" i="67"/>
  <c r="H343" i="67" s="1"/>
  <c r="E264" i="67"/>
  <c r="G264" i="67"/>
  <c r="G323" i="67"/>
  <c r="E352" i="67"/>
  <c r="H259" i="67"/>
  <c r="H336" i="67" s="1"/>
  <c r="G259" i="67"/>
  <c r="J259" i="67"/>
  <c r="E259" i="67"/>
  <c r="E353" i="67"/>
  <c r="E335" i="67"/>
  <c r="J328" i="67"/>
  <c r="J327" i="67"/>
  <c r="J253" i="67"/>
  <c r="H253" i="67"/>
  <c r="H330" i="67" s="1"/>
  <c r="G253" i="67"/>
  <c r="E253" i="67"/>
  <c r="J331" i="67"/>
  <c r="G260" i="67"/>
  <c r="H260" i="67"/>
  <c r="H337" i="67" s="1"/>
  <c r="J260" i="67"/>
  <c r="E260" i="67"/>
  <c r="E321" i="67"/>
  <c r="G318" i="67"/>
  <c r="E357" i="67"/>
  <c r="G265" i="67"/>
  <c r="J265" i="67"/>
  <c r="E265" i="67"/>
  <c r="H265" i="67"/>
  <c r="H347" i="67" s="1"/>
  <c r="H245" i="67"/>
  <c r="H322" i="67" s="1"/>
  <c r="E245" i="67"/>
  <c r="J245" i="67"/>
  <c r="G245" i="67"/>
  <c r="J352" i="67"/>
  <c r="H243" i="67"/>
  <c r="H320" i="67" s="1"/>
  <c r="E243" i="67"/>
  <c r="G243" i="67"/>
  <c r="J243" i="67"/>
  <c r="G261" i="67"/>
  <c r="J261" i="67"/>
  <c r="H261" i="67"/>
  <c r="H338" i="67" s="1"/>
  <c r="E261" i="67"/>
  <c r="J335" i="67"/>
  <c r="E328" i="67"/>
  <c r="E327" i="67"/>
  <c r="G331" i="67"/>
  <c r="J326" i="67"/>
  <c r="J255" i="67"/>
  <c r="G255" i="67"/>
  <c r="H255" i="67"/>
  <c r="H332" i="67" s="1"/>
  <c r="E255" i="67"/>
  <c r="H242" i="67"/>
  <c r="H319" i="67" s="1"/>
  <c r="E242" i="67"/>
  <c r="G242" i="67"/>
  <c r="J242" i="67"/>
  <c r="G354" i="67"/>
  <c r="J321" i="67"/>
  <c r="E274" i="67" l="1"/>
  <c r="J274" i="67"/>
  <c r="K244" i="67" s="1"/>
  <c r="J276" i="67"/>
  <c r="K251" i="67"/>
  <c r="K254" i="67"/>
  <c r="K249" i="67"/>
  <c r="K267" i="67"/>
  <c r="K258" i="67"/>
  <c r="K246" i="67"/>
  <c r="K241" i="67"/>
  <c r="K272" i="67"/>
  <c r="K269" i="67"/>
  <c r="K268" i="67"/>
  <c r="K250" i="67"/>
  <c r="E276" i="67"/>
  <c r="F241" i="67"/>
  <c r="F249" i="67"/>
  <c r="F269" i="67"/>
  <c r="F244" i="67"/>
  <c r="F250" i="67"/>
  <c r="F251" i="67"/>
  <c r="F254" i="67"/>
  <c r="F246" i="67"/>
  <c r="F267" i="67"/>
  <c r="F258" i="67"/>
  <c r="F272" i="67"/>
  <c r="F268" i="67"/>
  <c r="J332" i="67"/>
  <c r="K255" i="67"/>
  <c r="E338" i="67"/>
  <c r="F261" i="67"/>
  <c r="J320" i="67"/>
  <c r="K243" i="67"/>
  <c r="K245" i="67"/>
  <c r="J322" i="67"/>
  <c r="E347" i="67"/>
  <c r="F265" i="67"/>
  <c r="G337" i="67"/>
  <c r="E330" i="67"/>
  <c r="F253" i="67"/>
  <c r="F259" i="67"/>
  <c r="E336" i="67"/>
  <c r="G343" i="67"/>
  <c r="G342" i="67"/>
  <c r="H360" i="67"/>
  <c r="K271" i="67"/>
  <c r="J356" i="67"/>
  <c r="E333" i="67"/>
  <c r="F256" i="67"/>
  <c r="G329" i="67"/>
  <c r="E355" i="67"/>
  <c r="F270" i="67"/>
  <c r="E339" i="67"/>
  <c r="F262" i="67"/>
  <c r="J325" i="67"/>
  <c r="K248" i="67"/>
  <c r="G351" i="67"/>
  <c r="J324" i="67"/>
  <c r="K247" i="67"/>
  <c r="J334" i="67"/>
  <c r="K257" i="67"/>
  <c r="G332" i="67"/>
  <c r="G322" i="67"/>
  <c r="K253" i="67"/>
  <c r="J330" i="67"/>
  <c r="J319" i="67"/>
  <c r="K242" i="67"/>
  <c r="E322" i="67"/>
  <c r="F245" i="67"/>
  <c r="F260" i="67"/>
  <c r="E337" i="67"/>
  <c r="G330" i="67"/>
  <c r="K259" i="67"/>
  <c r="J336" i="67"/>
  <c r="E343" i="67"/>
  <c r="F264" i="67"/>
  <c r="E356" i="67"/>
  <c r="F271" i="67"/>
  <c r="J333" i="67"/>
  <c r="J360" i="67" s="1"/>
  <c r="K256" i="67"/>
  <c r="J329" i="67"/>
  <c r="K252" i="67"/>
  <c r="J339" i="67"/>
  <c r="K262" i="67"/>
  <c r="E358" i="67"/>
  <c r="F273" i="67"/>
  <c r="E324" i="67"/>
  <c r="F247" i="67"/>
  <c r="E342" i="67"/>
  <c r="F263" i="67"/>
  <c r="H274" i="67"/>
  <c r="H276" i="67" s="1"/>
  <c r="E332" i="67"/>
  <c r="F255" i="67"/>
  <c r="G320" i="67"/>
  <c r="I243" i="67"/>
  <c r="J347" i="67"/>
  <c r="K265" i="67"/>
  <c r="G319" i="67"/>
  <c r="J338" i="67"/>
  <c r="K261" i="67"/>
  <c r="E320" i="67"/>
  <c r="F243" i="67"/>
  <c r="G347" i="67"/>
  <c r="G274" i="67"/>
  <c r="I265" i="67" s="1"/>
  <c r="J337" i="67"/>
  <c r="K260" i="67"/>
  <c r="G336" i="67"/>
  <c r="I259" i="67"/>
  <c r="J342" i="67"/>
  <c r="K263" i="67"/>
  <c r="G356" i="67"/>
  <c r="I271" i="67"/>
  <c r="I256" i="67"/>
  <c r="G333" i="67"/>
  <c r="G355" i="67"/>
  <c r="I270" i="67"/>
  <c r="I248" i="67"/>
  <c r="G325" i="67"/>
  <c r="G358" i="67"/>
  <c r="I273" i="67"/>
  <c r="E351" i="67"/>
  <c r="F266" i="67"/>
  <c r="I257" i="67"/>
  <c r="G334" i="67"/>
  <c r="E319" i="67"/>
  <c r="F242" i="67"/>
  <c r="G338" i="67"/>
  <c r="I261" i="67"/>
  <c r="J343" i="67"/>
  <c r="K264" i="67"/>
  <c r="E329" i="67"/>
  <c r="F252" i="67"/>
  <c r="J355" i="67"/>
  <c r="K270" i="67"/>
  <c r="G339" i="67"/>
  <c r="I262" i="67"/>
  <c r="E325" i="67"/>
  <c r="F248" i="67"/>
  <c r="J358" i="67"/>
  <c r="K273" i="67"/>
  <c r="J351" i="67"/>
  <c r="K266" i="67"/>
  <c r="G324" i="67"/>
  <c r="I247" i="67"/>
  <c r="E334" i="67"/>
  <c r="F257" i="67"/>
  <c r="L248" i="67" l="1"/>
  <c r="I242" i="67"/>
  <c r="G360" i="67"/>
  <c r="I346" i="67" s="1"/>
  <c r="L242" i="67"/>
  <c r="K346" i="67"/>
  <c r="K349" i="67"/>
  <c r="K345" i="67"/>
  <c r="K344" i="67"/>
  <c r="K340" i="67"/>
  <c r="K341" i="67"/>
  <c r="K350" i="67"/>
  <c r="K348" i="67"/>
  <c r="K353" i="67"/>
  <c r="K354" i="67"/>
  <c r="K357" i="67"/>
  <c r="K328" i="67"/>
  <c r="K352" i="67"/>
  <c r="K327" i="67"/>
  <c r="K326" i="67"/>
  <c r="K323" i="67"/>
  <c r="K331" i="67"/>
  <c r="K335" i="67"/>
  <c r="K318" i="67"/>
  <c r="K321" i="67"/>
  <c r="I344" i="67"/>
  <c r="I349" i="67"/>
  <c r="I345" i="67"/>
  <c r="I340" i="67"/>
  <c r="I341" i="67"/>
  <c r="I350" i="67"/>
  <c r="I348" i="67"/>
  <c r="I326" i="67"/>
  <c r="I327" i="67"/>
  <c r="I354" i="67"/>
  <c r="I328" i="67"/>
  <c r="I353" i="67"/>
  <c r="I331" i="67"/>
  <c r="I321" i="67"/>
  <c r="I323" i="67"/>
  <c r="I335" i="67"/>
  <c r="I357" i="67"/>
  <c r="I352" i="67"/>
  <c r="I325" i="67"/>
  <c r="K342" i="67"/>
  <c r="K338" i="67"/>
  <c r="I339" i="67"/>
  <c r="K343" i="67"/>
  <c r="I338" i="67"/>
  <c r="I356" i="67"/>
  <c r="G276" i="67"/>
  <c r="I244" i="67"/>
  <c r="I250" i="67"/>
  <c r="I268" i="67"/>
  <c r="I267" i="67"/>
  <c r="L267" i="67" s="1"/>
  <c r="I246" i="67"/>
  <c r="I272" i="67"/>
  <c r="I251" i="67"/>
  <c r="I249" i="67"/>
  <c r="L249" i="67" s="1"/>
  <c r="I241" i="67"/>
  <c r="I269" i="67"/>
  <c r="I258" i="67"/>
  <c r="I254" i="67"/>
  <c r="L254" i="67" s="1"/>
  <c r="L243" i="67"/>
  <c r="I320" i="67"/>
  <c r="L273" i="67"/>
  <c r="L271" i="67"/>
  <c r="I253" i="67"/>
  <c r="K330" i="67"/>
  <c r="I322" i="67"/>
  <c r="I342" i="67"/>
  <c r="L259" i="67"/>
  <c r="I260" i="67"/>
  <c r="K320" i="67"/>
  <c r="K332" i="67"/>
  <c r="L258" i="67"/>
  <c r="L251" i="67"/>
  <c r="K351" i="67"/>
  <c r="I333" i="67"/>
  <c r="L247" i="67"/>
  <c r="K329" i="67"/>
  <c r="K336" i="67"/>
  <c r="I245" i="67"/>
  <c r="K324" i="67"/>
  <c r="L270" i="67"/>
  <c r="I329" i="67"/>
  <c r="L256" i="67"/>
  <c r="I343" i="67"/>
  <c r="L253" i="67"/>
  <c r="L265" i="67"/>
  <c r="L261" i="67"/>
  <c r="L250" i="67"/>
  <c r="F274" i="67"/>
  <c r="L241" i="67"/>
  <c r="I324" i="67"/>
  <c r="K358" i="67"/>
  <c r="I355" i="67"/>
  <c r="I347" i="67"/>
  <c r="L257" i="67"/>
  <c r="K355" i="67"/>
  <c r="I334" i="67"/>
  <c r="I358" i="67"/>
  <c r="I336" i="67"/>
  <c r="I319" i="67"/>
  <c r="K347" i="67"/>
  <c r="E360" i="67"/>
  <c r="F322" i="67" s="1"/>
  <c r="L322" i="67" s="1"/>
  <c r="K339" i="67"/>
  <c r="F343" i="67"/>
  <c r="L343" i="67" s="1"/>
  <c r="H389" i="67" s="1"/>
  <c r="J31" i="67" s="1"/>
  <c r="L260" i="67"/>
  <c r="I255" i="67"/>
  <c r="L255" i="67" s="1"/>
  <c r="I266" i="67"/>
  <c r="L266" i="67" s="1"/>
  <c r="K325" i="67"/>
  <c r="I252" i="67"/>
  <c r="L252" i="67" s="1"/>
  <c r="I264" i="67"/>
  <c r="L264" i="67" s="1"/>
  <c r="L268" i="67"/>
  <c r="L246" i="67"/>
  <c r="L244" i="67"/>
  <c r="K337" i="67"/>
  <c r="K333" i="67"/>
  <c r="I330" i="67"/>
  <c r="L245" i="67"/>
  <c r="K319" i="67"/>
  <c r="I332" i="67"/>
  <c r="K334" i="67"/>
  <c r="I351" i="67"/>
  <c r="L262" i="67"/>
  <c r="K356" i="67"/>
  <c r="I263" i="67"/>
  <c r="L263" i="67" s="1"/>
  <c r="F336" i="67"/>
  <c r="L336" i="67" s="1"/>
  <c r="H382" i="67" s="1"/>
  <c r="J24" i="67" s="1"/>
  <c r="I337" i="67"/>
  <c r="K322" i="67"/>
  <c r="L272" i="67"/>
  <c r="L269" i="67"/>
  <c r="K274" i="67"/>
  <c r="F333" i="67" l="1"/>
  <c r="F324" i="67"/>
  <c r="L324" i="67" s="1"/>
  <c r="H370" i="67" s="1"/>
  <c r="J12" i="67" s="1"/>
  <c r="F342" i="67"/>
  <c r="L342" i="67" s="1"/>
  <c r="H388" i="67" s="1"/>
  <c r="J30" i="67" s="1"/>
  <c r="F358" i="67"/>
  <c r="L358" i="67" s="1"/>
  <c r="I318" i="67"/>
  <c r="H368" i="67"/>
  <c r="J10" i="67" s="1"/>
  <c r="E368" i="67"/>
  <c r="G368" i="67"/>
  <c r="J368" i="67"/>
  <c r="G370" i="67"/>
  <c r="E382" i="67"/>
  <c r="F347" i="67"/>
  <c r="L347" i="67" s="1"/>
  <c r="F355" i="67"/>
  <c r="L355" i="67" s="1"/>
  <c r="E389" i="67"/>
  <c r="E370" i="67"/>
  <c r="G382" i="67"/>
  <c r="F329" i="67"/>
  <c r="L329" i="67" s="1"/>
  <c r="J382" i="67"/>
  <c r="F334" i="67"/>
  <c r="L334" i="67" s="1"/>
  <c r="G388" i="67"/>
  <c r="J389" i="67"/>
  <c r="L333" i="67"/>
  <c r="F346" i="67"/>
  <c r="L346" i="67" s="1"/>
  <c r="F341" i="67"/>
  <c r="L341" i="67" s="1"/>
  <c r="F340" i="67"/>
  <c r="L340" i="67" s="1"/>
  <c r="F345" i="67"/>
  <c r="L345" i="67" s="1"/>
  <c r="F344" i="67"/>
  <c r="L344" i="67" s="1"/>
  <c r="F349" i="67"/>
  <c r="L349" i="67" s="1"/>
  <c r="F350" i="67"/>
  <c r="L350" i="67" s="1"/>
  <c r="F348" i="67"/>
  <c r="L348" i="67" s="1"/>
  <c r="F328" i="67"/>
  <c r="L328" i="67" s="1"/>
  <c r="F335" i="67"/>
  <c r="L335" i="67" s="1"/>
  <c r="F352" i="67"/>
  <c r="L352" i="67" s="1"/>
  <c r="F357" i="67"/>
  <c r="L357" i="67" s="1"/>
  <c r="F331" i="67"/>
  <c r="L331" i="67" s="1"/>
  <c r="F327" i="67"/>
  <c r="L327" i="67" s="1"/>
  <c r="F354" i="67"/>
  <c r="L354" i="67" s="1"/>
  <c r="F326" i="67"/>
  <c r="L326" i="67" s="1"/>
  <c r="F321" i="67"/>
  <c r="L321" i="67" s="1"/>
  <c r="F318" i="67"/>
  <c r="F323" i="67"/>
  <c r="L323" i="67" s="1"/>
  <c r="F353" i="67"/>
  <c r="L353" i="67" s="1"/>
  <c r="L274" i="67"/>
  <c r="G389" i="67"/>
  <c r="F337" i="67"/>
  <c r="L337" i="67" s="1"/>
  <c r="K360" i="67"/>
  <c r="E388" i="67"/>
  <c r="F338" i="67"/>
  <c r="L338" i="67" s="1"/>
  <c r="F330" i="67"/>
  <c r="L330" i="67" s="1"/>
  <c r="F319" i="67"/>
  <c r="L319" i="67" s="1"/>
  <c r="J404" i="67"/>
  <c r="F356" i="67"/>
  <c r="L356" i="67" s="1"/>
  <c r="E404" i="67"/>
  <c r="F320" i="67"/>
  <c r="L320" i="67" s="1"/>
  <c r="F339" i="67"/>
  <c r="L339" i="67" s="1"/>
  <c r="F332" i="67"/>
  <c r="L332" i="67" s="1"/>
  <c r="I274" i="67"/>
  <c r="J388" i="67"/>
  <c r="F325" i="67"/>
  <c r="L325" i="67" s="1"/>
  <c r="J370" i="67"/>
  <c r="F351" i="67"/>
  <c r="L351" i="67" s="1"/>
  <c r="I360" i="67"/>
  <c r="H404" i="67" l="1"/>
  <c r="J46" i="67" s="1"/>
  <c r="G404" i="67"/>
  <c r="I46" i="67" s="1"/>
  <c r="F45" i="64" s="1"/>
  <c r="H397" i="67"/>
  <c r="J39" i="67" s="1"/>
  <c r="J397" i="67"/>
  <c r="G397" i="67"/>
  <c r="E397" i="67"/>
  <c r="M30" i="67"/>
  <c r="H29" i="64" s="1"/>
  <c r="H378" i="67"/>
  <c r="J20" i="67" s="1"/>
  <c r="E378" i="67"/>
  <c r="J378" i="67"/>
  <c r="G378" i="67"/>
  <c r="H402" i="67"/>
  <c r="J44" i="67" s="1"/>
  <c r="E402" i="67"/>
  <c r="G402" i="67"/>
  <c r="J402" i="67"/>
  <c r="H371" i="67"/>
  <c r="J13" i="67" s="1"/>
  <c r="E371" i="67"/>
  <c r="J371" i="67"/>
  <c r="G371" i="67"/>
  <c r="H385" i="67"/>
  <c r="J27" i="67" s="1"/>
  <c r="E385" i="67"/>
  <c r="G385" i="67"/>
  <c r="J385" i="67"/>
  <c r="M46" i="67"/>
  <c r="H45" i="64" s="1"/>
  <c r="E30" i="67"/>
  <c r="D29" i="64" s="1"/>
  <c r="H383" i="67"/>
  <c r="J25" i="67" s="1"/>
  <c r="E383" i="67"/>
  <c r="J383" i="67"/>
  <c r="G383" i="67"/>
  <c r="H369" i="67"/>
  <c r="J11" i="67" s="1"/>
  <c r="J369" i="67"/>
  <c r="G369" i="67"/>
  <c r="E369" i="67"/>
  <c r="H400" i="67"/>
  <c r="J42" i="67" s="1"/>
  <c r="G400" i="67"/>
  <c r="E400" i="67"/>
  <c r="J400" i="67"/>
  <c r="H398" i="67"/>
  <c r="J40" i="67" s="1"/>
  <c r="J398" i="67"/>
  <c r="G398" i="67"/>
  <c r="E398" i="67"/>
  <c r="H396" i="67"/>
  <c r="J38" i="67" s="1"/>
  <c r="E396" i="67"/>
  <c r="J396" i="67"/>
  <c r="G396" i="67"/>
  <c r="E386" i="67"/>
  <c r="G386" i="67"/>
  <c r="H386" i="67"/>
  <c r="J28" i="67" s="1"/>
  <c r="J386" i="67"/>
  <c r="M31" i="67"/>
  <c r="H30" i="64" s="1"/>
  <c r="H375" i="67"/>
  <c r="J17" i="67" s="1"/>
  <c r="J375" i="67"/>
  <c r="E375" i="67"/>
  <c r="G375" i="67"/>
  <c r="H401" i="67"/>
  <c r="J43" i="67" s="1"/>
  <c r="J401" i="67"/>
  <c r="E401" i="67"/>
  <c r="G401" i="67"/>
  <c r="M10" i="67"/>
  <c r="H9" i="64" s="1"/>
  <c r="E59" i="62"/>
  <c r="I31" i="67"/>
  <c r="F30" i="64" s="1"/>
  <c r="F360" i="67"/>
  <c r="L318" i="67"/>
  <c r="H373" i="67"/>
  <c r="J15" i="67" s="1"/>
  <c r="J373" i="67"/>
  <c r="G373" i="67"/>
  <c r="E373" i="67"/>
  <c r="H381" i="67"/>
  <c r="J23" i="67" s="1"/>
  <c r="G381" i="67"/>
  <c r="J381" i="67"/>
  <c r="E381" i="67"/>
  <c r="H395" i="67"/>
  <c r="J37" i="67" s="1"/>
  <c r="G395" i="67"/>
  <c r="E395" i="67"/>
  <c r="J395" i="67"/>
  <c r="H387" i="67"/>
  <c r="J29" i="67" s="1"/>
  <c r="J387" i="67"/>
  <c r="G387" i="67"/>
  <c r="E387" i="67"/>
  <c r="I30" i="67"/>
  <c r="F29" i="64" s="1"/>
  <c r="I24" i="67"/>
  <c r="F23" i="64" s="1"/>
  <c r="H393" i="67"/>
  <c r="J35" i="67" s="1"/>
  <c r="G393" i="67"/>
  <c r="E393" i="67"/>
  <c r="J393" i="67"/>
  <c r="I10" i="67"/>
  <c r="F9" i="64" s="1"/>
  <c r="H366" i="67"/>
  <c r="J8" i="67" s="1"/>
  <c r="G366" i="67"/>
  <c r="E366" i="67"/>
  <c r="J366" i="67"/>
  <c r="H365" i="67"/>
  <c r="J7" i="67" s="1"/>
  <c r="J365" i="67"/>
  <c r="G365" i="67"/>
  <c r="E365" i="67"/>
  <c r="E46" i="67"/>
  <c r="D45" i="64" s="1"/>
  <c r="H376" i="67"/>
  <c r="J18" i="67" s="1"/>
  <c r="J376" i="67"/>
  <c r="G376" i="67"/>
  <c r="E376" i="67"/>
  <c r="H367" i="67"/>
  <c r="J9" i="67" s="1"/>
  <c r="G367" i="67"/>
  <c r="E367" i="67"/>
  <c r="J367" i="67"/>
  <c r="H377" i="67"/>
  <c r="J19" i="67" s="1"/>
  <c r="E377" i="67"/>
  <c r="G377" i="67"/>
  <c r="J377" i="67"/>
  <c r="H374" i="67"/>
  <c r="J16" i="67" s="1"/>
  <c r="J374" i="67"/>
  <c r="E374" i="67"/>
  <c r="G374" i="67"/>
  <c r="H390" i="67"/>
  <c r="J32" i="67" s="1"/>
  <c r="J390" i="67"/>
  <c r="E390" i="67"/>
  <c r="G390" i="67"/>
  <c r="H392" i="67"/>
  <c r="J34" i="67" s="1"/>
  <c r="G392" i="67"/>
  <c r="J392" i="67"/>
  <c r="E392" i="67"/>
  <c r="H380" i="67"/>
  <c r="J22" i="67" s="1"/>
  <c r="E380" i="67"/>
  <c r="G380" i="67"/>
  <c r="J380" i="67"/>
  <c r="E12" i="67"/>
  <c r="D11" i="64" s="1"/>
  <c r="E24" i="67"/>
  <c r="D23" i="64" s="1"/>
  <c r="E10" i="67"/>
  <c r="D9" i="64" s="1"/>
  <c r="M12" i="67"/>
  <c r="H11" i="64" s="1"/>
  <c r="H384" i="67"/>
  <c r="J26" i="67" s="1"/>
  <c r="E384" i="67"/>
  <c r="G384" i="67"/>
  <c r="J384" i="67"/>
  <c r="H399" i="67"/>
  <c r="J41" i="67" s="1"/>
  <c r="J399" i="67"/>
  <c r="E399" i="67"/>
  <c r="G399" i="67"/>
  <c r="H372" i="67"/>
  <c r="J14" i="67" s="1"/>
  <c r="J372" i="67"/>
  <c r="E372" i="67"/>
  <c r="G372" i="67"/>
  <c r="H403" i="67"/>
  <c r="J45" i="67" s="1"/>
  <c r="E403" i="67"/>
  <c r="J403" i="67"/>
  <c r="G403" i="67"/>
  <c r="H394" i="67"/>
  <c r="J36" i="67" s="1"/>
  <c r="G394" i="67"/>
  <c r="J394" i="67"/>
  <c r="E394" i="67"/>
  <c r="H391" i="67"/>
  <c r="J33" i="67" s="1"/>
  <c r="E391" i="67"/>
  <c r="G391" i="67"/>
  <c r="J391" i="67"/>
  <c r="H379" i="67"/>
  <c r="J21" i="67" s="1"/>
  <c r="E379" i="67"/>
  <c r="J379" i="67"/>
  <c r="G379" i="67"/>
  <c r="M24" i="67"/>
  <c r="H23" i="64" s="1"/>
  <c r="E31" i="67"/>
  <c r="D30" i="64" s="1"/>
  <c r="I12" i="67"/>
  <c r="F11" i="64" s="1"/>
  <c r="C50" i="62" l="1"/>
  <c r="E36" i="67"/>
  <c r="D35" i="64" s="1"/>
  <c r="I45" i="67"/>
  <c r="F44" i="64" s="1"/>
  <c r="I14" i="67"/>
  <c r="F13" i="64" s="1"/>
  <c r="I41" i="67"/>
  <c r="F40" i="64" s="1"/>
  <c r="M26" i="67"/>
  <c r="H25" i="64" s="1"/>
  <c r="G32" i="62"/>
  <c r="C45" i="62"/>
  <c r="M22" i="67"/>
  <c r="H21" i="64" s="1"/>
  <c r="E34" i="67"/>
  <c r="D33" i="64" s="1"/>
  <c r="I32" i="67"/>
  <c r="F31" i="64" s="1"/>
  <c r="I16" i="67"/>
  <c r="F15" i="64" s="1"/>
  <c r="M19" i="67"/>
  <c r="H18" i="64" s="1"/>
  <c r="M9" i="67"/>
  <c r="H8" i="64" s="1"/>
  <c r="E18" i="67"/>
  <c r="D17" i="64" s="1"/>
  <c r="C59" i="62"/>
  <c r="M7" i="67"/>
  <c r="H6" i="64" s="1"/>
  <c r="I8" i="67"/>
  <c r="F7" i="64" s="1"/>
  <c r="M35" i="67"/>
  <c r="H34" i="64" s="1"/>
  <c r="E45" i="62"/>
  <c r="E29" i="67"/>
  <c r="D28" i="64" s="1"/>
  <c r="M37" i="67"/>
  <c r="H36" i="64" s="1"/>
  <c r="E23" i="67"/>
  <c r="D22" i="64" s="1"/>
  <c r="E15" i="67"/>
  <c r="D14" i="64" s="1"/>
  <c r="L360" i="67"/>
  <c r="H364" i="67"/>
  <c r="E364" i="67"/>
  <c r="G364" i="67"/>
  <c r="J364" i="67"/>
  <c r="I43" i="67"/>
  <c r="F42" i="64" s="1"/>
  <c r="I17" i="67"/>
  <c r="F16" i="64" s="1"/>
  <c r="G50" i="62"/>
  <c r="I28" i="67"/>
  <c r="F27" i="64" s="1"/>
  <c r="E38" i="67"/>
  <c r="D37" i="64" s="1"/>
  <c r="M40" i="67"/>
  <c r="H39" i="64" s="1"/>
  <c r="I42" i="67"/>
  <c r="F41" i="64" s="1"/>
  <c r="M11" i="67"/>
  <c r="H10" i="64" s="1"/>
  <c r="E25" i="67"/>
  <c r="D24" i="64" s="1"/>
  <c r="G59" i="62"/>
  <c r="E27" i="67"/>
  <c r="D26" i="64" s="1"/>
  <c r="E13" i="67"/>
  <c r="D12" i="64" s="1"/>
  <c r="E44" i="67"/>
  <c r="D43" i="64" s="1"/>
  <c r="E20" i="67"/>
  <c r="D19" i="64" s="1"/>
  <c r="E39" i="67"/>
  <c r="D38" i="64" s="1"/>
  <c r="M36" i="67"/>
  <c r="H35" i="64" s="1"/>
  <c r="E14" i="67"/>
  <c r="D13" i="64" s="1"/>
  <c r="I26" i="67"/>
  <c r="F25" i="64" s="1"/>
  <c r="I22" i="67"/>
  <c r="F21" i="64" s="1"/>
  <c r="M34" i="67"/>
  <c r="H33" i="64" s="1"/>
  <c r="E32" i="67"/>
  <c r="D31" i="64" s="1"/>
  <c r="E16" i="67"/>
  <c r="D15" i="64" s="1"/>
  <c r="I19" i="67"/>
  <c r="F18" i="64" s="1"/>
  <c r="E9" i="67"/>
  <c r="D8" i="64" s="1"/>
  <c r="I18" i="67"/>
  <c r="F17" i="64" s="1"/>
  <c r="E35" i="67"/>
  <c r="D34" i="64" s="1"/>
  <c r="I29" i="67"/>
  <c r="F28" i="64" s="1"/>
  <c r="E37" i="67"/>
  <c r="D36" i="64" s="1"/>
  <c r="M23" i="67"/>
  <c r="H22" i="64" s="1"/>
  <c r="I15" i="67"/>
  <c r="F14" i="64" s="1"/>
  <c r="E43" i="67"/>
  <c r="D42" i="64" s="1"/>
  <c r="E17" i="67"/>
  <c r="D16" i="64" s="1"/>
  <c r="E28" i="67"/>
  <c r="D27" i="64" s="1"/>
  <c r="I39" i="67"/>
  <c r="F38" i="64" s="1"/>
  <c r="M33" i="67"/>
  <c r="H32" i="64" s="1"/>
  <c r="M21" i="67"/>
  <c r="H20" i="64" s="1"/>
  <c r="I33" i="67"/>
  <c r="F32" i="64" s="1"/>
  <c r="M45" i="67"/>
  <c r="H44" i="64" s="1"/>
  <c r="E41" i="67"/>
  <c r="D40" i="64" s="1"/>
  <c r="E32" i="62"/>
  <c r="G45" i="62"/>
  <c r="E21" i="67"/>
  <c r="D20" i="64" s="1"/>
  <c r="E33" i="67"/>
  <c r="D32" i="64" s="1"/>
  <c r="I36" i="67"/>
  <c r="F35" i="64" s="1"/>
  <c r="E45" i="67"/>
  <c r="D44" i="64" s="1"/>
  <c r="M14" i="67"/>
  <c r="H13" i="64" s="1"/>
  <c r="M41" i="67"/>
  <c r="H40" i="64" s="1"/>
  <c r="E26" i="67"/>
  <c r="D25" i="64" s="1"/>
  <c r="C30" i="62"/>
  <c r="C32" i="62"/>
  <c r="E22" i="67"/>
  <c r="D21" i="64" s="1"/>
  <c r="I34" i="67"/>
  <c r="F33" i="64" s="1"/>
  <c r="M32" i="67"/>
  <c r="H31" i="64" s="1"/>
  <c r="M16" i="67"/>
  <c r="H15" i="64" s="1"/>
  <c r="E19" i="67"/>
  <c r="D18" i="64" s="1"/>
  <c r="I9" i="67"/>
  <c r="F8" i="64" s="1"/>
  <c r="M18" i="67"/>
  <c r="H17" i="64" s="1"/>
  <c r="E7" i="67"/>
  <c r="D6" i="64" s="1"/>
  <c r="M8" i="67"/>
  <c r="H7" i="64" s="1"/>
  <c r="E30" i="62"/>
  <c r="I35" i="67"/>
  <c r="F34" i="64" s="1"/>
  <c r="E49" i="62"/>
  <c r="M29" i="67"/>
  <c r="H28" i="64" s="1"/>
  <c r="I37" i="67"/>
  <c r="F36" i="64" s="1"/>
  <c r="I23" i="67"/>
  <c r="F22" i="64" s="1"/>
  <c r="M15" i="67"/>
  <c r="H14" i="64" s="1"/>
  <c r="E50" i="62"/>
  <c r="G30" i="62"/>
  <c r="M43" i="67"/>
  <c r="H42" i="64" s="1"/>
  <c r="M17" i="67"/>
  <c r="H16" i="64" s="1"/>
  <c r="M28" i="67"/>
  <c r="H27" i="64" s="1"/>
  <c r="I38" i="67"/>
  <c r="F37" i="64" s="1"/>
  <c r="E40" i="67"/>
  <c r="D39" i="64" s="1"/>
  <c r="M42" i="67"/>
  <c r="H41" i="64" s="1"/>
  <c r="E11" i="67"/>
  <c r="D10" i="64" s="1"/>
  <c r="I25" i="67"/>
  <c r="F24" i="64" s="1"/>
  <c r="C49" i="62"/>
  <c r="M27" i="67"/>
  <c r="H26" i="64" s="1"/>
  <c r="I13" i="67"/>
  <c r="F12" i="64" s="1"/>
  <c r="M44" i="67"/>
  <c r="H43" i="64" s="1"/>
  <c r="I20" i="67"/>
  <c r="F19" i="64" s="1"/>
  <c r="G49" i="62"/>
  <c r="M39" i="67"/>
  <c r="H38" i="64" s="1"/>
  <c r="I21" i="67"/>
  <c r="F20" i="64" s="1"/>
  <c r="I7" i="67"/>
  <c r="F6" i="64" s="1"/>
  <c r="E8" i="67"/>
  <c r="D7" i="64" s="1"/>
  <c r="M38" i="67"/>
  <c r="H37" i="64" s="1"/>
  <c r="I40" i="67"/>
  <c r="F39" i="64" s="1"/>
  <c r="E42" i="67"/>
  <c r="D41" i="64" s="1"/>
  <c r="I11" i="67"/>
  <c r="F10" i="64" s="1"/>
  <c r="M25" i="67"/>
  <c r="H24" i="64" s="1"/>
  <c r="I27" i="67"/>
  <c r="F26" i="64" s="1"/>
  <c r="M13" i="67"/>
  <c r="H12" i="64" s="1"/>
  <c r="I44" i="67"/>
  <c r="F43" i="64" s="1"/>
  <c r="M20" i="67"/>
  <c r="H19" i="64" s="1"/>
  <c r="G33" i="62" l="1"/>
  <c r="G20" i="62"/>
  <c r="E27" i="62"/>
  <c r="E40" i="62"/>
  <c r="G55" i="62"/>
  <c r="E20" i="62"/>
  <c r="G35" i="62"/>
  <c r="E29" i="62"/>
  <c r="E17" i="62"/>
  <c r="C47" i="62"/>
  <c r="G34" i="62"/>
  <c r="C41" i="62"/>
  <c r="G58" i="62"/>
  <c r="G41" i="62"/>
  <c r="E52" i="62"/>
  <c r="C37" i="62"/>
  <c r="E35" i="62"/>
  <c r="K36" i="64"/>
  <c r="C19" i="62"/>
  <c r="C51" i="62"/>
  <c r="C29" i="62"/>
  <c r="C36" i="62"/>
  <c r="G17" i="62"/>
  <c r="E47" i="62"/>
  <c r="G18" i="62"/>
  <c r="C40" i="62"/>
  <c r="C33" i="62"/>
  <c r="G31" i="62"/>
  <c r="G53" i="62"/>
  <c r="E11" i="62"/>
  <c r="E14" i="62"/>
  <c r="E37" i="62"/>
  <c r="H406" i="67"/>
  <c r="H409" i="67" s="1"/>
  <c r="J6" i="67"/>
  <c r="J48" i="67" s="1"/>
  <c r="J49" i="67" s="1"/>
  <c r="C44" i="62"/>
  <c r="C42" i="62"/>
  <c r="G51" i="62"/>
  <c r="G27" i="62"/>
  <c r="G29" i="62"/>
  <c r="E36" i="62"/>
  <c r="K33" i="64"/>
  <c r="C17" i="62"/>
  <c r="E54" i="62"/>
  <c r="E58" i="62"/>
  <c r="G46" i="62"/>
  <c r="G52" i="62"/>
  <c r="E33" i="62"/>
  <c r="E46" i="62"/>
  <c r="G37" i="62"/>
  <c r="E19" i="62"/>
  <c r="C27" i="62"/>
  <c r="G36" i="62"/>
  <c r="E18" i="62"/>
  <c r="J406" i="67"/>
  <c r="K364" i="67" s="1"/>
  <c r="M6" i="67"/>
  <c r="G40" i="62"/>
  <c r="E57" i="62"/>
  <c r="E48" i="62"/>
  <c r="E31" i="62"/>
  <c r="C28" i="62"/>
  <c r="E41" i="62"/>
  <c r="G57" i="62"/>
  <c r="G48" i="62"/>
  <c r="C31" i="62"/>
  <c r="G11" i="62"/>
  <c r="G14" i="62"/>
  <c r="G56" i="62"/>
  <c r="E44" i="62"/>
  <c r="E51" i="62"/>
  <c r="G28" i="62"/>
  <c r="C39" i="62"/>
  <c r="G15" i="62"/>
  <c r="G54" i="62"/>
  <c r="C58" i="62"/>
  <c r="K32" i="64"/>
  <c r="C16" i="62"/>
  <c r="C54" i="62"/>
  <c r="E16" i="62"/>
  <c r="G16" i="62"/>
  <c r="C11" i="62"/>
  <c r="K27" i="64"/>
  <c r="C14" i="62"/>
  <c r="C56" i="62"/>
  <c r="E42" i="62"/>
  <c r="E38" i="62"/>
  <c r="E39" i="62"/>
  <c r="K31" i="64"/>
  <c r="C15" i="62"/>
  <c r="E43" i="62"/>
  <c r="C34" i="62"/>
  <c r="C52" i="62"/>
  <c r="C57" i="62"/>
  <c r="C48" i="62"/>
  <c r="C46" i="62"/>
  <c r="E55" i="62"/>
  <c r="K37" i="64"/>
  <c r="C20" i="62"/>
  <c r="E56" i="62"/>
  <c r="G406" i="67"/>
  <c r="I364" i="67" s="1"/>
  <c r="I6" i="67"/>
  <c r="C35" i="62"/>
  <c r="G19" i="62"/>
  <c r="E28" i="62"/>
  <c r="C38" i="62"/>
  <c r="G39" i="62"/>
  <c r="E15" i="62"/>
  <c r="G43" i="62"/>
  <c r="G47" i="62"/>
  <c r="E34" i="62"/>
  <c r="K35" i="64"/>
  <c r="C18" i="62"/>
  <c r="C55" i="62"/>
  <c r="E53" i="62"/>
  <c r="C53" i="62"/>
  <c r="G42" i="62"/>
  <c r="G38" i="62"/>
  <c r="C43" i="62"/>
  <c r="G44" i="62"/>
  <c r="E406" i="67"/>
  <c r="E6" i="67"/>
  <c r="AN45" i="60" l="1"/>
  <c r="AN45" i="61" s="1"/>
  <c r="AN109" i="60"/>
  <c r="AN120" i="61" s="1"/>
  <c r="K47" i="64"/>
  <c r="AF109" i="60"/>
  <c r="AF45" i="60"/>
  <c r="AL109" i="60"/>
  <c r="AL120" i="61" s="1"/>
  <c r="AL45" i="60"/>
  <c r="AL45" i="61" s="1"/>
  <c r="E21" i="62"/>
  <c r="C21" i="62"/>
  <c r="G21" i="62"/>
  <c r="M48" i="67"/>
  <c r="M49" i="67" s="1"/>
  <c r="H5" i="64"/>
  <c r="E409" i="67"/>
  <c r="E408" i="67"/>
  <c r="F388" i="67"/>
  <c r="F370" i="67"/>
  <c r="F368" i="67"/>
  <c r="F389" i="67"/>
  <c r="F404" i="67"/>
  <c r="F382" i="67"/>
  <c r="F394" i="67"/>
  <c r="F376" i="67"/>
  <c r="F373" i="67"/>
  <c r="F396" i="67"/>
  <c r="F383" i="67"/>
  <c r="F385" i="67"/>
  <c r="F402" i="67"/>
  <c r="F397" i="67"/>
  <c r="F372" i="67"/>
  <c r="F390" i="67"/>
  <c r="F401" i="67"/>
  <c r="F386" i="67"/>
  <c r="F399" i="67"/>
  <c r="F391" i="67"/>
  <c r="F403" i="67"/>
  <c r="F380" i="67"/>
  <c r="F377" i="67"/>
  <c r="F398" i="67"/>
  <c r="F369" i="67"/>
  <c r="F366" i="67"/>
  <c r="F392" i="67"/>
  <c r="F387" i="67"/>
  <c r="F381" i="67"/>
  <c r="F371" i="67"/>
  <c r="F378" i="67"/>
  <c r="F374" i="67"/>
  <c r="F367" i="67"/>
  <c r="F393" i="67"/>
  <c r="F395" i="67"/>
  <c r="F375" i="67"/>
  <c r="F379" i="67"/>
  <c r="F384" i="67"/>
  <c r="F365" i="67"/>
  <c r="F400" i="67"/>
  <c r="I48" i="67"/>
  <c r="F5" i="64"/>
  <c r="E48" i="67"/>
  <c r="D5" i="64"/>
  <c r="G408" i="67"/>
  <c r="G409" i="67"/>
  <c r="I404" i="67"/>
  <c r="I389" i="67"/>
  <c r="I388" i="67"/>
  <c r="I368" i="67"/>
  <c r="I370" i="67"/>
  <c r="I382" i="67"/>
  <c r="I372" i="67"/>
  <c r="I390" i="67"/>
  <c r="I366" i="67"/>
  <c r="I401" i="67"/>
  <c r="I400" i="67"/>
  <c r="I380" i="67"/>
  <c r="I377" i="67"/>
  <c r="I376" i="67"/>
  <c r="I387" i="67"/>
  <c r="I391" i="67"/>
  <c r="I393" i="67"/>
  <c r="I381" i="67"/>
  <c r="I379" i="67"/>
  <c r="I398" i="67"/>
  <c r="I369" i="67"/>
  <c r="I385" i="67"/>
  <c r="I402" i="67"/>
  <c r="I403" i="67"/>
  <c r="I399" i="67"/>
  <c r="I374" i="67"/>
  <c r="I375" i="67"/>
  <c r="I386" i="67"/>
  <c r="I384" i="67"/>
  <c r="I373" i="67"/>
  <c r="I397" i="67"/>
  <c r="I394" i="67"/>
  <c r="I392" i="67"/>
  <c r="I367" i="67"/>
  <c r="I395" i="67"/>
  <c r="I396" i="67"/>
  <c r="I383" i="67"/>
  <c r="I371" i="67"/>
  <c r="I378" i="67"/>
  <c r="I365" i="67"/>
  <c r="AK109" i="60"/>
  <c r="AK120" i="61" s="1"/>
  <c r="AK45" i="60"/>
  <c r="AK45" i="61" s="1"/>
  <c r="F364" i="67"/>
  <c r="AP45" i="60"/>
  <c r="AP45" i="61" s="1"/>
  <c r="AP109" i="60"/>
  <c r="AP120" i="61" s="1"/>
  <c r="AJ109" i="60"/>
  <c r="AJ120" i="61" s="1"/>
  <c r="AJ45" i="60"/>
  <c r="AJ45" i="61" s="1"/>
  <c r="AO45" i="60"/>
  <c r="AO45" i="61" s="1"/>
  <c r="AO109" i="60"/>
  <c r="AO120" i="61" s="1"/>
  <c r="J409" i="67"/>
  <c r="J408" i="67"/>
  <c r="K388" i="67"/>
  <c r="K368" i="67"/>
  <c r="K382" i="67"/>
  <c r="K404" i="67"/>
  <c r="K389" i="67"/>
  <c r="K370" i="67"/>
  <c r="K384" i="67"/>
  <c r="K380" i="67"/>
  <c r="K377" i="67"/>
  <c r="K395" i="67"/>
  <c r="K381" i="67"/>
  <c r="K391" i="67"/>
  <c r="K399" i="67"/>
  <c r="K390" i="67"/>
  <c r="K376" i="67"/>
  <c r="K366" i="67"/>
  <c r="K387" i="67"/>
  <c r="K401" i="67"/>
  <c r="K386" i="67"/>
  <c r="K385" i="67"/>
  <c r="K402" i="67"/>
  <c r="K367" i="67"/>
  <c r="K365" i="67"/>
  <c r="K393" i="67"/>
  <c r="K398" i="67"/>
  <c r="K369" i="67"/>
  <c r="K394" i="67"/>
  <c r="K392" i="67"/>
  <c r="K379" i="67"/>
  <c r="K403" i="67"/>
  <c r="K372" i="67"/>
  <c r="K374" i="67"/>
  <c r="K373" i="67"/>
  <c r="K375" i="67"/>
  <c r="K400" i="67"/>
  <c r="K397" i="67"/>
  <c r="K396" i="67"/>
  <c r="K383" i="67"/>
  <c r="K371" i="67"/>
  <c r="K378" i="67"/>
  <c r="K406" i="67" l="1"/>
  <c r="I406" i="67"/>
  <c r="L379" i="67"/>
  <c r="L367" i="67"/>
  <c r="L381" i="67"/>
  <c r="L369" i="67"/>
  <c r="L403" i="67"/>
  <c r="L401" i="67"/>
  <c r="L402" i="67"/>
  <c r="L373" i="67"/>
  <c r="L404" i="67"/>
  <c r="L388" i="67"/>
  <c r="E26" i="62"/>
  <c r="E23" i="62"/>
  <c r="F47" i="64"/>
  <c r="F48" i="64" s="1"/>
  <c r="L400" i="67"/>
  <c r="L375" i="67"/>
  <c r="L374" i="67"/>
  <c r="L387" i="67"/>
  <c r="L398" i="67"/>
  <c r="L391" i="67"/>
  <c r="L390" i="67"/>
  <c r="L385" i="67"/>
  <c r="L376" i="67"/>
  <c r="L389" i="67"/>
  <c r="AF45" i="61"/>
  <c r="I45" i="60"/>
  <c r="BL45" i="60" s="1"/>
  <c r="BM45" i="60" s="1"/>
  <c r="F406" i="67"/>
  <c r="L364" i="67"/>
  <c r="D47" i="64"/>
  <c r="C23" i="62"/>
  <c r="L5" i="64"/>
  <c r="C26" i="62"/>
  <c r="L45" i="64"/>
  <c r="L30" i="64"/>
  <c r="L23" i="64"/>
  <c r="L9" i="64"/>
  <c r="L11" i="64"/>
  <c r="L29" i="64"/>
  <c r="L20" i="64"/>
  <c r="L34" i="64"/>
  <c r="L8" i="64"/>
  <c r="L15" i="64"/>
  <c r="L7" i="64"/>
  <c r="L17" i="64"/>
  <c r="L21" i="64"/>
  <c r="L25" i="64"/>
  <c r="L6" i="64"/>
  <c r="L18" i="64"/>
  <c r="L44" i="64"/>
  <c r="L40" i="64"/>
  <c r="L39" i="64"/>
  <c r="L16" i="64"/>
  <c r="L19" i="64"/>
  <c r="L12" i="64"/>
  <c r="L22" i="64"/>
  <c r="L28" i="64"/>
  <c r="L10" i="64"/>
  <c r="L42" i="64"/>
  <c r="L13" i="64"/>
  <c r="L38" i="64"/>
  <c r="L43" i="64"/>
  <c r="L26" i="64"/>
  <c r="L24" i="64"/>
  <c r="L14" i="64"/>
  <c r="L41" i="64"/>
  <c r="I49" i="67"/>
  <c r="L365" i="67"/>
  <c r="L395" i="67"/>
  <c r="L378" i="67"/>
  <c r="L392" i="67"/>
  <c r="L377" i="67"/>
  <c r="L399" i="67"/>
  <c r="L372" i="67"/>
  <c r="L383" i="67"/>
  <c r="L394" i="67"/>
  <c r="L368" i="67"/>
  <c r="AF120" i="61"/>
  <c r="I109" i="60"/>
  <c r="E49" i="67"/>
  <c r="D48" i="64"/>
  <c r="L384" i="67"/>
  <c r="L393" i="67"/>
  <c r="L371" i="67"/>
  <c r="L366" i="67"/>
  <c r="L380" i="67"/>
  <c r="L386" i="67"/>
  <c r="L397" i="67"/>
  <c r="L396" i="67"/>
  <c r="L382" i="67"/>
  <c r="L370" i="67"/>
  <c r="H47" i="64"/>
  <c r="I5" i="64" s="1"/>
  <c r="G23" i="62"/>
  <c r="G26" i="62"/>
  <c r="M5" i="64" l="1"/>
  <c r="G5" i="64"/>
  <c r="J57" i="60"/>
  <c r="J121" i="60"/>
  <c r="J102" i="60"/>
  <c r="J120" i="60"/>
  <c r="J10" i="60"/>
  <c r="J74" i="60"/>
  <c r="J56" i="60"/>
  <c r="J112" i="60"/>
  <c r="J48" i="60"/>
  <c r="J38" i="60"/>
  <c r="I120" i="61"/>
  <c r="BL120" i="61" s="1"/>
  <c r="BM120" i="61" s="1"/>
  <c r="BL109" i="60"/>
  <c r="R46" i="60"/>
  <c r="R46" i="61" s="1"/>
  <c r="R110" i="60"/>
  <c r="R121" i="61" s="1"/>
  <c r="AA46" i="60"/>
  <c r="AA46" i="61" s="1"/>
  <c r="AA110" i="60"/>
  <c r="AA121" i="61" s="1"/>
  <c r="K110" i="60"/>
  <c r="K121" i="61" s="1"/>
  <c r="K46" i="60"/>
  <c r="K46" i="61" s="1"/>
  <c r="AE110" i="60"/>
  <c r="AE121" i="61" s="1"/>
  <c r="AE46" i="60"/>
  <c r="AE46" i="61" s="1"/>
  <c r="AU110" i="60"/>
  <c r="AU121" i="61" s="1"/>
  <c r="AU46" i="60"/>
  <c r="AU46" i="61" s="1"/>
  <c r="Q46" i="60"/>
  <c r="Q46" i="61" s="1"/>
  <c r="Q110" i="60"/>
  <c r="Q121" i="61" s="1"/>
  <c r="AS46" i="60"/>
  <c r="AS46" i="61" s="1"/>
  <c r="AS110" i="60"/>
  <c r="AS121" i="61" s="1"/>
  <c r="AD110" i="60"/>
  <c r="AD121" i="61" s="1"/>
  <c r="AD46" i="60"/>
  <c r="AD46" i="61" s="1"/>
  <c r="T110" i="60"/>
  <c r="T121" i="61" s="1"/>
  <c r="T46" i="60"/>
  <c r="T46" i="61" s="1"/>
  <c r="AH46" i="60"/>
  <c r="AH46" i="61" s="1"/>
  <c r="AH110" i="60"/>
  <c r="AH121" i="61" s="1"/>
  <c r="AI110" i="60"/>
  <c r="AI121" i="61" s="1"/>
  <c r="AI46" i="60"/>
  <c r="AI46" i="61" s="1"/>
  <c r="E5" i="64"/>
  <c r="L406" i="67"/>
  <c r="AT110" i="60"/>
  <c r="AT121" i="61" s="1"/>
  <c r="AT46" i="60"/>
  <c r="AT46" i="61" s="1"/>
  <c r="X46" i="60"/>
  <c r="X46" i="61" s="1"/>
  <c r="X110" i="60"/>
  <c r="X121" i="61" s="1"/>
  <c r="AW110" i="60"/>
  <c r="AW121" i="61" s="1"/>
  <c r="AW46" i="60"/>
  <c r="AW46" i="61" s="1"/>
  <c r="Z46" i="60"/>
  <c r="Z46" i="61" s="1"/>
  <c r="Z110" i="60"/>
  <c r="Z121" i="61" s="1"/>
  <c r="M110" i="60"/>
  <c r="M121" i="61" s="1"/>
  <c r="M46" i="60"/>
  <c r="M46" i="61" s="1"/>
  <c r="P110" i="60"/>
  <c r="P121" i="61" s="1"/>
  <c r="P46" i="60"/>
  <c r="P46" i="61" s="1"/>
  <c r="AX46" i="60"/>
  <c r="AX46" i="61" s="1"/>
  <c r="AX110" i="60"/>
  <c r="AX121" i="61" s="1"/>
  <c r="G60" i="62"/>
  <c r="G69" i="62"/>
  <c r="AV110" i="60"/>
  <c r="AV121" i="61" s="1"/>
  <c r="AV46" i="60"/>
  <c r="AV46" i="61" s="1"/>
  <c r="O110" i="60"/>
  <c r="O121" i="61" s="1"/>
  <c r="O46" i="60"/>
  <c r="O46" i="61" s="1"/>
  <c r="H48" i="64"/>
  <c r="H59" i="64"/>
  <c r="I30" i="64"/>
  <c r="I23" i="64"/>
  <c r="I29" i="64"/>
  <c r="I11" i="64"/>
  <c r="I45" i="64"/>
  <c r="I9" i="64"/>
  <c r="I12" i="64"/>
  <c r="I13" i="64"/>
  <c r="I39" i="64"/>
  <c r="I24" i="64"/>
  <c r="I16" i="64"/>
  <c r="I15" i="64"/>
  <c r="I42" i="64"/>
  <c r="I31" i="64"/>
  <c r="I41" i="64"/>
  <c r="I20" i="64"/>
  <c r="I34" i="64"/>
  <c r="I8" i="64"/>
  <c r="I43" i="64"/>
  <c r="I27" i="64"/>
  <c r="I36" i="64"/>
  <c r="I25" i="64"/>
  <c r="I28" i="64"/>
  <c r="I17" i="64"/>
  <c r="I37" i="64"/>
  <c r="I14" i="64"/>
  <c r="I10" i="64"/>
  <c r="I38" i="64"/>
  <c r="I7" i="64"/>
  <c r="I40" i="64"/>
  <c r="I32" i="64"/>
  <c r="I22" i="64"/>
  <c r="I44" i="64"/>
  <c r="I33" i="64"/>
  <c r="I35" i="64"/>
  <c r="I6" i="64"/>
  <c r="I19" i="64"/>
  <c r="I26" i="64"/>
  <c r="I18" i="64"/>
  <c r="I21" i="64"/>
  <c r="S110" i="60"/>
  <c r="S121" i="61" s="1"/>
  <c r="S46" i="60"/>
  <c r="S46" i="61" s="1"/>
  <c r="AQ110" i="60"/>
  <c r="AQ121" i="61" s="1"/>
  <c r="AQ46" i="60"/>
  <c r="AQ46" i="61" s="1"/>
  <c r="AG46" i="60"/>
  <c r="AG46" i="61" s="1"/>
  <c r="BQ46" i="61" s="1"/>
  <c r="AG110" i="60"/>
  <c r="AG121" i="61" s="1"/>
  <c r="U46" i="60"/>
  <c r="U46" i="61" s="1"/>
  <c r="U110" i="60"/>
  <c r="U121" i="61" s="1"/>
  <c r="W110" i="60"/>
  <c r="W121" i="61" s="1"/>
  <c r="W46" i="60"/>
  <c r="W46" i="61" s="1"/>
  <c r="V110" i="60"/>
  <c r="V121" i="61" s="1"/>
  <c r="V46" i="60"/>
  <c r="V46" i="61" s="1"/>
  <c r="AM110" i="60"/>
  <c r="AM121" i="61" s="1"/>
  <c r="AM46" i="60"/>
  <c r="AM46" i="61" s="1"/>
  <c r="N110" i="60"/>
  <c r="N121" i="61" s="1"/>
  <c r="N46" i="60"/>
  <c r="N46" i="61" s="1"/>
  <c r="C60" i="62"/>
  <c r="C69" i="62"/>
  <c r="F59" i="64"/>
  <c r="G45" i="64"/>
  <c r="G23" i="64"/>
  <c r="G30" i="64"/>
  <c r="G11" i="64"/>
  <c r="G9" i="64"/>
  <c r="G29" i="64"/>
  <c r="G6" i="64"/>
  <c r="G33" i="64"/>
  <c r="G12" i="64"/>
  <c r="G34" i="64"/>
  <c r="G32" i="64"/>
  <c r="G42" i="64"/>
  <c r="G14" i="64"/>
  <c r="G25" i="64"/>
  <c r="G16" i="64"/>
  <c r="G44" i="64"/>
  <c r="G43" i="64"/>
  <c r="G10" i="64"/>
  <c r="G28" i="64"/>
  <c r="G18" i="64"/>
  <c r="G41" i="64"/>
  <c r="G31" i="64"/>
  <c r="G39" i="64"/>
  <c r="G7" i="64"/>
  <c r="G19" i="64"/>
  <c r="G8" i="64"/>
  <c r="G27" i="64"/>
  <c r="G24" i="64"/>
  <c r="G36" i="64"/>
  <c r="G35" i="64"/>
  <c r="G22" i="64"/>
  <c r="G37" i="64"/>
  <c r="G38" i="64"/>
  <c r="G15" i="64"/>
  <c r="G40" i="64"/>
  <c r="G26" i="64"/>
  <c r="G20" i="64"/>
  <c r="G17" i="64"/>
  <c r="G21" i="64"/>
  <c r="G13" i="64"/>
  <c r="AC46" i="60"/>
  <c r="AC46" i="61" s="1"/>
  <c r="AC110" i="60"/>
  <c r="AC121" i="61" s="1"/>
  <c r="AR46" i="60"/>
  <c r="AR46" i="61" s="1"/>
  <c r="AR110" i="60"/>
  <c r="AR121" i="61" s="1"/>
  <c r="L110" i="60"/>
  <c r="L121" i="61" s="1"/>
  <c r="L46" i="60"/>
  <c r="L46" i="61" s="1"/>
  <c r="Y110" i="60"/>
  <c r="Y121" i="61" s="1"/>
  <c r="Y46" i="60"/>
  <c r="Y46" i="61" s="1"/>
  <c r="AB46" i="60"/>
  <c r="AB46" i="61" s="1"/>
  <c r="AB110" i="60"/>
  <c r="AB121" i="61" s="1"/>
  <c r="L47" i="64"/>
  <c r="J110" i="60"/>
  <c r="J46" i="60"/>
  <c r="M54" i="64"/>
  <c r="M52" i="64"/>
  <c r="M53" i="64"/>
  <c r="M55" i="64"/>
  <c r="D59" i="64"/>
  <c r="M30" i="64"/>
  <c r="M23" i="64"/>
  <c r="M9" i="64"/>
  <c r="M11" i="64"/>
  <c r="M29" i="64"/>
  <c r="E9" i="64"/>
  <c r="E11" i="64"/>
  <c r="J11" i="64" s="1"/>
  <c r="E30" i="64"/>
  <c r="E23" i="64"/>
  <c r="J23" i="64" s="1"/>
  <c r="E29" i="64"/>
  <c r="J29" i="64" s="1"/>
  <c r="M45" i="64"/>
  <c r="E45" i="64"/>
  <c r="M25" i="64"/>
  <c r="E36" i="64"/>
  <c r="E34" i="64"/>
  <c r="J34" i="64" s="1"/>
  <c r="E8" i="64"/>
  <c r="J8" i="64" s="1"/>
  <c r="E15" i="64"/>
  <c r="M6" i="64"/>
  <c r="E7" i="64"/>
  <c r="J7" i="64" s="1"/>
  <c r="M18" i="64"/>
  <c r="M44" i="64"/>
  <c r="M32" i="64"/>
  <c r="M40" i="64"/>
  <c r="M27" i="64"/>
  <c r="E31" i="64"/>
  <c r="J31" i="64" s="1"/>
  <c r="M39" i="64"/>
  <c r="E25" i="64"/>
  <c r="J25" i="64" s="1"/>
  <c r="M16" i="64"/>
  <c r="M19" i="64"/>
  <c r="M12" i="64"/>
  <c r="M22" i="64"/>
  <c r="M28" i="64"/>
  <c r="M33" i="64"/>
  <c r="E6" i="64"/>
  <c r="M10" i="64"/>
  <c r="E18" i="64"/>
  <c r="J18" i="64" s="1"/>
  <c r="E44" i="64"/>
  <c r="J44" i="64" s="1"/>
  <c r="E32" i="64"/>
  <c r="E40" i="64"/>
  <c r="J40" i="64" s="1"/>
  <c r="E27" i="64"/>
  <c r="M42" i="64"/>
  <c r="M13" i="64"/>
  <c r="M38" i="64"/>
  <c r="M43" i="64"/>
  <c r="M26" i="64"/>
  <c r="M24" i="64"/>
  <c r="M14" i="64"/>
  <c r="M35" i="64"/>
  <c r="M41" i="64"/>
  <c r="E39" i="64"/>
  <c r="M21" i="64"/>
  <c r="E26" i="64"/>
  <c r="J26" i="64" s="1"/>
  <c r="E24" i="64"/>
  <c r="J24" i="64" s="1"/>
  <c r="E35" i="64"/>
  <c r="J35" i="64" s="1"/>
  <c r="E41" i="64"/>
  <c r="J41" i="64" s="1"/>
  <c r="E21" i="64"/>
  <c r="M20" i="64"/>
  <c r="E16" i="64"/>
  <c r="E19" i="64"/>
  <c r="E12" i="64"/>
  <c r="E22" i="64"/>
  <c r="J22" i="64" s="1"/>
  <c r="E28" i="64"/>
  <c r="E33" i="64"/>
  <c r="J33" i="64" s="1"/>
  <c r="E10" i="64"/>
  <c r="J10" i="64" s="1"/>
  <c r="E42" i="64"/>
  <c r="J42" i="64" s="1"/>
  <c r="E13" i="64"/>
  <c r="J13" i="64" s="1"/>
  <c r="E38" i="64"/>
  <c r="E43" i="64"/>
  <c r="E14" i="64"/>
  <c r="J14" i="64" s="1"/>
  <c r="E37" i="64"/>
  <c r="J37" i="64" s="1"/>
  <c r="E17" i="64"/>
  <c r="J17" i="64" s="1"/>
  <c r="E20" i="64"/>
  <c r="M36" i="64"/>
  <c r="M34" i="64"/>
  <c r="M8" i="64"/>
  <c r="M15" i="64"/>
  <c r="M7" i="64"/>
  <c r="M31" i="64"/>
  <c r="M37" i="64"/>
  <c r="M17" i="64"/>
  <c r="BQ45" i="61"/>
  <c r="I45" i="61"/>
  <c r="BL45" i="61" s="1"/>
  <c r="BM45" i="61" s="1"/>
  <c r="E69" i="62"/>
  <c r="E60" i="62"/>
  <c r="G47" i="64" l="1"/>
  <c r="J38" i="64"/>
  <c r="J19" i="64"/>
  <c r="M59" i="64"/>
  <c r="J15" i="64"/>
  <c r="BS45" i="61"/>
  <c r="L38" i="60"/>
  <c r="L74" i="60"/>
  <c r="L85" i="61" s="1"/>
  <c r="L48" i="60"/>
  <c r="L48" i="61" s="1"/>
  <c r="L56" i="60"/>
  <c r="L56" i="61" s="1"/>
  <c r="L112" i="60"/>
  <c r="L123" i="61" s="1"/>
  <c r="L102" i="60"/>
  <c r="L120" i="60"/>
  <c r="L131" i="61" s="1"/>
  <c r="L10" i="60"/>
  <c r="L10" i="61" s="1"/>
  <c r="S55" i="60"/>
  <c r="S39" i="60"/>
  <c r="S39" i="61" s="1"/>
  <c r="S104" i="60"/>
  <c r="S115" i="61" s="1"/>
  <c r="S119" i="60"/>
  <c r="S103" i="60"/>
  <c r="S114" i="61" s="1"/>
  <c r="S40" i="60"/>
  <c r="S40" i="61" s="1"/>
  <c r="S47" i="60"/>
  <c r="S111" i="60"/>
  <c r="S43" i="60"/>
  <c r="S107" i="60"/>
  <c r="AA55" i="60"/>
  <c r="AA119" i="60"/>
  <c r="AA103" i="60"/>
  <c r="AA114" i="61" s="1"/>
  <c r="AA111" i="60"/>
  <c r="AA47" i="60"/>
  <c r="AA40" i="60"/>
  <c r="AA40" i="61" s="1"/>
  <c r="AA104" i="60"/>
  <c r="AA115" i="61" s="1"/>
  <c r="AA39" i="60"/>
  <c r="AA39" i="61" s="1"/>
  <c r="AA43" i="60"/>
  <c r="AA107" i="60"/>
  <c r="Y38" i="60"/>
  <c r="Y10" i="60"/>
  <c r="Y10" i="61" s="1"/>
  <c r="Y48" i="60"/>
  <c r="Y48" i="61" s="1"/>
  <c r="Y74" i="60"/>
  <c r="Y85" i="61" s="1"/>
  <c r="Y112" i="60"/>
  <c r="Y123" i="61" s="1"/>
  <c r="Y102" i="60"/>
  <c r="Y120" i="60"/>
  <c r="Y131" i="61" s="1"/>
  <c r="Y56" i="60"/>
  <c r="Y56" i="61" s="1"/>
  <c r="AT120" i="60"/>
  <c r="AT131" i="61" s="1"/>
  <c r="AT74" i="60"/>
  <c r="AT85" i="61" s="1"/>
  <c r="AT112" i="60"/>
  <c r="AT123" i="61" s="1"/>
  <c r="AT56" i="60"/>
  <c r="AT56" i="61" s="1"/>
  <c r="AT38" i="60"/>
  <c r="AT102" i="60"/>
  <c r="AT10" i="60"/>
  <c r="AT10" i="61" s="1"/>
  <c r="AT48" i="60"/>
  <c r="AT48" i="61" s="1"/>
  <c r="AE120" i="60"/>
  <c r="AE131" i="61" s="1"/>
  <c r="AE56" i="60"/>
  <c r="AE56" i="61" s="1"/>
  <c r="AE10" i="60"/>
  <c r="AE10" i="61" s="1"/>
  <c r="AE74" i="60"/>
  <c r="AE85" i="61" s="1"/>
  <c r="AE112" i="60"/>
  <c r="AE123" i="61" s="1"/>
  <c r="AE102" i="60"/>
  <c r="AE48" i="60"/>
  <c r="AE48" i="61" s="1"/>
  <c r="AE38" i="60"/>
  <c r="AW111" i="60"/>
  <c r="AW55" i="60"/>
  <c r="AW119" i="60"/>
  <c r="AW104" i="60"/>
  <c r="AW115" i="61" s="1"/>
  <c r="AW103" i="60"/>
  <c r="AW114" i="61" s="1"/>
  <c r="AW40" i="60"/>
  <c r="AW40" i="61" s="1"/>
  <c r="AW39" i="60"/>
  <c r="AW39" i="61" s="1"/>
  <c r="AW47" i="60"/>
  <c r="AW43" i="60"/>
  <c r="AW107" i="60"/>
  <c r="AL120" i="60"/>
  <c r="AL131" i="61" s="1"/>
  <c r="AL48" i="60"/>
  <c r="AL48" i="61" s="1"/>
  <c r="AL102" i="60"/>
  <c r="AL56" i="60"/>
  <c r="AL56" i="61" s="1"/>
  <c r="AL38" i="60"/>
  <c r="AL10" i="60"/>
  <c r="AL10" i="61" s="1"/>
  <c r="AL74" i="60"/>
  <c r="AL85" i="61" s="1"/>
  <c r="AL112" i="60"/>
  <c r="AL123" i="61" s="1"/>
  <c r="AJ55" i="60"/>
  <c r="AJ103" i="60"/>
  <c r="AJ114" i="61" s="1"/>
  <c r="AJ47" i="60"/>
  <c r="AJ111" i="60"/>
  <c r="AJ39" i="60"/>
  <c r="AJ39" i="61" s="1"/>
  <c r="AJ40" i="60"/>
  <c r="AJ40" i="61" s="1"/>
  <c r="AJ104" i="60"/>
  <c r="AJ115" i="61" s="1"/>
  <c r="AJ119" i="60"/>
  <c r="AJ43" i="60"/>
  <c r="AJ107" i="60"/>
  <c r="AW38" i="60"/>
  <c r="AW48" i="60"/>
  <c r="AW48" i="61" s="1"/>
  <c r="AW10" i="60"/>
  <c r="AW10" i="61" s="1"/>
  <c r="AW56" i="60"/>
  <c r="AW56" i="61" s="1"/>
  <c r="AW102" i="60"/>
  <c r="AW120" i="60"/>
  <c r="AW131" i="61" s="1"/>
  <c r="AW74" i="60"/>
  <c r="AW85" i="61" s="1"/>
  <c r="AW112" i="60"/>
  <c r="AW123" i="61" s="1"/>
  <c r="AD10" i="60"/>
  <c r="AD10" i="61" s="1"/>
  <c r="AD48" i="60"/>
  <c r="AD48" i="61" s="1"/>
  <c r="AD120" i="60"/>
  <c r="AD131" i="61" s="1"/>
  <c r="AD112" i="60"/>
  <c r="AD123" i="61" s="1"/>
  <c r="AD102" i="60"/>
  <c r="AD74" i="60"/>
  <c r="AD85" i="61" s="1"/>
  <c r="AD56" i="60"/>
  <c r="AD56" i="61" s="1"/>
  <c r="AD38" i="60"/>
  <c r="AB55" i="60"/>
  <c r="AB103" i="60"/>
  <c r="AB114" i="61" s="1"/>
  <c r="AB119" i="60"/>
  <c r="AB111" i="60"/>
  <c r="AB39" i="60"/>
  <c r="AB39" i="61" s="1"/>
  <c r="AB47" i="60"/>
  <c r="AB40" i="60"/>
  <c r="AB40" i="61" s="1"/>
  <c r="AB104" i="60"/>
  <c r="AB115" i="61" s="1"/>
  <c r="AB43" i="60"/>
  <c r="AB107" i="60"/>
  <c r="AH10" i="60"/>
  <c r="AH10" i="61" s="1"/>
  <c r="AH48" i="60"/>
  <c r="AH48" i="61" s="1"/>
  <c r="AH38" i="60"/>
  <c r="AH74" i="60"/>
  <c r="AH85" i="61" s="1"/>
  <c r="AH112" i="60"/>
  <c r="AH123" i="61" s="1"/>
  <c r="AH120" i="60"/>
  <c r="AH131" i="61" s="1"/>
  <c r="AH102" i="60"/>
  <c r="AH56" i="60"/>
  <c r="AH56" i="61" s="1"/>
  <c r="AY38" i="60"/>
  <c r="AY74" i="60"/>
  <c r="AY85" i="61" s="1"/>
  <c r="AY48" i="60"/>
  <c r="AY48" i="61" s="1"/>
  <c r="AY56" i="60"/>
  <c r="AY120" i="60"/>
  <c r="AY10" i="60"/>
  <c r="AY10" i="61" s="1"/>
  <c r="AY102" i="60"/>
  <c r="AY112" i="60"/>
  <c r="AY123" i="61" s="1"/>
  <c r="V74" i="60"/>
  <c r="V85" i="61" s="1"/>
  <c r="V102" i="60"/>
  <c r="V56" i="60"/>
  <c r="V56" i="61" s="1"/>
  <c r="V38" i="60"/>
  <c r="V112" i="60"/>
  <c r="V123" i="61" s="1"/>
  <c r="V120" i="60"/>
  <c r="V131" i="61" s="1"/>
  <c r="V10" i="60"/>
  <c r="V10" i="61" s="1"/>
  <c r="V48" i="60"/>
  <c r="V48" i="61" s="1"/>
  <c r="T112" i="60"/>
  <c r="T123" i="61" s="1"/>
  <c r="T102" i="60"/>
  <c r="T38" i="60"/>
  <c r="T48" i="60"/>
  <c r="T48" i="61" s="1"/>
  <c r="T74" i="60"/>
  <c r="T85" i="61" s="1"/>
  <c r="T120" i="60"/>
  <c r="T131" i="61" s="1"/>
  <c r="T10" i="60"/>
  <c r="T10" i="61" s="1"/>
  <c r="T56" i="60"/>
  <c r="T56" i="61" s="1"/>
  <c r="J20" i="64"/>
  <c r="J43" i="64"/>
  <c r="O55" i="60"/>
  <c r="O111" i="60"/>
  <c r="O103" i="60"/>
  <c r="O114" i="61" s="1"/>
  <c r="O47" i="60"/>
  <c r="O119" i="60"/>
  <c r="O104" i="60"/>
  <c r="O115" i="61" s="1"/>
  <c r="O40" i="60"/>
  <c r="O40" i="61" s="1"/>
  <c r="O39" i="60"/>
  <c r="O39" i="61" s="1"/>
  <c r="O43" i="60"/>
  <c r="O107" i="60"/>
  <c r="J12" i="64"/>
  <c r="J21" i="64"/>
  <c r="AE55" i="60"/>
  <c r="AE104" i="60"/>
  <c r="AE115" i="61" s="1"/>
  <c r="AE40" i="60"/>
  <c r="AE40" i="61" s="1"/>
  <c r="AE39" i="60"/>
  <c r="AE39" i="61" s="1"/>
  <c r="AE111" i="60"/>
  <c r="AE103" i="60"/>
  <c r="AE114" i="61" s="1"/>
  <c r="AE47" i="60"/>
  <c r="AE119" i="60"/>
  <c r="AE43" i="60"/>
  <c r="AE107" i="60"/>
  <c r="AN102" i="60"/>
  <c r="AN56" i="60"/>
  <c r="AN56" i="61" s="1"/>
  <c r="AN112" i="60"/>
  <c r="AN123" i="61" s="1"/>
  <c r="AN74" i="60"/>
  <c r="AN85" i="61" s="1"/>
  <c r="AN48" i="60"/>
  <c r="AN48" i="61" s="1"/>
  <c r="AN10" i="60"/>
  <c r="AN10" i="61" s="1"/>
  <c r="AN120" i="60"/>
  <c r="AN131" i="61" s="1"/>
  <c r="AN38" i="60"/>
  <c r="AV38" i="60"/>
  <c r="AV112" i="60"/>
  <c r="AV123" i="61" s="1"/>
  <c r="AV48" i="60"/>
  <c r="AV48" i="61" s="1"/>
  <c r="AV102" i="60"/>
  <c r="AV56" i="60"/>
  <c r="AV56" i="61" s="1"/>
  <c r="AV74" i="60"/>
  <c r="AV85" i="61" s="1"/>
  <c r="AV120" i="60"/>
  <c r="AV131" i="61" s="1"/>
  <c r="AV10" i="60"/>
  <c r="AV10" i="61" s="1"/>
  <c r="J27" i="64"/>
  <c r="W55" i="60"/>
  <c r="W111" i="60"/>
  <c r="W40" i="60"/>
  <c r="W40" i="61" s="1"/>
  <c r="W39" i="60"/>
  <c r="W39" i="61" s="1"/>
  <c r="W119" i="60"/>
  <c r="W104" i="60"/>
  <c r="W115" i="61" s="1"/>
  <c r="W103" i="60"/>
  <c r="W114" i="61" s="1"/>
  <c r="W47" i="60"/>
  <c r="W43" i="60"/>
  <c r="W107" i="60"/>
  <c r="AG48" i="60"/>
  <c r="AG48" i="61" s="1"/>
  <c r="AG10" i="60"/>
  <c r="AG10" i="61" s="1"/>
  <c r="AG56" i="60"/>
  <c r="AG56" i="61" s="1"/>
  <c r="AG102" i="60"/>
  <c r="AG120" i="60"/>
  <c r="AG131" i="61" s="1"/>
  <c r="AG74" i="60"/>
  <c r="AG85" i="61" s="1"/>
  <c r="AG38" i="60"/>
  <c r="AG112" i="60"/>
  <c r="AG123" i="61" s="1"/>
  <c r="U48" i="60"/>
  <c r="U48" i="61" s="1"/>
  <c r="U10" i="60"/>
  <c r="U10" i="61" s="1"/>
  <c r="U74" i="60"/>
  <c r="U85" i="61" s="1"/>
  <c r="U102" i="60"/>
  <c r="U56" i="60"/>
  <c r="U56" i="61" s="1"/>
  <c r="U120" i="60"/>
  <c r="U131" i="61" s="1"/>
  <c r="U38" i="60"/>
  <c r="U112" i="60"/>
  <c r="U123" i="61" s="1"/>
  <c r="AF10" i="60"/>
  <c r="AF10" i="61" s="1"/>
  <c r="AF48" i="60"/>
  <c r="AF48" i="61" s="1"/>
  <c r="AF56" i="60"/>
  <c r="AF56" i="61" s="1"/>
  <c r="AF102" i="60"/>
  <c r="AF112" i="60"/>
  <c r="AF123" i="61" s="1"/>
  <c r="AF120" i="60"/>
  <c r="AF131" i="61" s="1"/>
  <c r="AF74" i="60"/>
  <c r="AF85" i="61" s="1"/>
  <c r="AF38" i="60"/>
  <c r="W120" i="60"/>
  <c r="W131" i="61" s="1"/>
  <c r="W56" i="60"/>
  <c r="W56" i="61" s="1"/>
  <c r="W102" i="60"/>
  <c r="W10" i="60"/>
  <c r="W10" i="61" s="1"/>
  <c r="W74" i="60"/>
  <c r="W85" i="61" s="1"/>
  <c r="W112" i="60"/>
  <c r="W123" i="61" s="1"/>
  <c r="W48" i="60"/>
  <c r="W48" i="61" s="1"/>
  <c r="W38" i="60"/>
  <c r="M104" i="60"/>
  <c r="M115" i="61" s="1"/>
  <c r="M103" i="60"/>
  <c r="M114" i="61" s="1"/>
  <c r="M111" i="60"/>
  <c r="M55" i="60"/>
  <c r="M119" i="60"/>
  <c r="M47" i="60"/>
  <c r="M40" i="60"/>
  <c r="M40" i="61" s="1"/>
  <c r="M39" i="60"/>
  <c r="M39" i="61" s="1"/>
  <c r="M43" i="60"/>
  <c r="M107" i="60"/>
  <c r="J45" i="64"/>
  <c r="J30" i="64"/>
  <c r="P38" i="60"/>
  <c r="P56" i="60"/>
  <c r="P56" i="61" s="1"/>
  <c r="P102" i="60"/>
  <c r="P48" i="60"/>
  <c r="P48" i="61" s="1"/>
  <c r="P74" i="60"/>
  <c r="P85" i="61" s="1"/>
  <c r="P112" i="60"/>
  <c r="P123" i="61" s="1"/>
  <c r="P120" i="60"/>
  <c r="P131" i="61" s="1"/>
  <c r="P10" i="60"/>
  <c r="P10" i="61" s="1"/>
  <c r="BA48" i="60"/>
  <c r="BA48" i="61" s="1"/>
  <c r="BA10" i="60"/>
  <c r="BA10" i="61" s="1"/>
  <c r="BA74" i="60"/>
  <c r="BA85" i="61" s="1"/>
  <c r="BA38" i="60"/>
  <c r="BA56" i="60"/>
  <c r="BA120" i="60"/>
  <c r="BA102" i="60"/>
  <c r="BA112" i="60"/>
  <c r="BA123" i="61" s="1"/>
  <c r="Z57" i="60"/>
  <c r="Z57" i="61" s="1"/>
  <c r="Z121" i="60"/>
  <c r="Z132" i="61" s="1"/>
  <c r="K57" i="60"/>
  <c r="K57" i="61" s="1"/>
  <c r="K121" i="60"/>
  <c r="K132" i="61" s="1"/>
  <c r="AA57" i="60"/>
  <c r="AA57" i="61" s="1"/>
  <c r="AA121" i="60"/>
  <c r="AA132" i="61" s="1"/>
  <c r="AQ57" i="60"/>
  <c r="AQ57" i="61" s="1"/>
  <c r="AQ121" i="60"/>
  <c r="AQ132" i="61" s="1"/>
  <c r="V57" i="60"/>
  <c r="V57" i="61" s="1"/>
  <c r="V121" i="60"/>
  <c r="V132" i="61" s="1"/>
  <c r="AF57" i="60"/>
  <c r="AF57" i="61" s="1"/>
  <c r="AF121" i="60"/>
  <c r="AF132" i="61" s="1"/>
  <c r="Y121" i="60"/>
  <c r="Y132" i="61" s="1"/>
  <c r="Y57" i="60"/>
  <c r="Y57" i="61" s="1"/>
  <c r="T57" i="60"/>
  <c r="T57" i="61" s="1"/>
  <c r="T121" i="60"/>
  <c r="T132" i="61" s="1"/>
  <c r="R57" i="60"/>
  <c r="R57" i="61" s="1"/>
  <c r="R121" i="60"/>
  <c r="R132" i="61" s="1"/>
  <c r="P57" i="60"/>
  <c r="P57" i="61" s="1"/>
  <c r="P121" i="60"/>
  <c r="P132" i="61" s="1"/>
  <c r="J38" i="61"/>
  <c r="J85" i="61"/>
  <c r="AP102" i="60"/>
  <c r="AP10" i="60"/>
  <c r="AP10" i="61" s="1"/>
  <c r="AP120" i="60"/>
  <c r="AP131" i="61" s="1"/>
  <c r="AP48" i="60"/>
  <c r="AP48" i="61" s="1"/>
  <c r="AP38" i="60"/>
  <c r="AP74" i="60"/>
  <c r="AP85" i="61" s="1"/>
  <c r="AP112" i="60"/>
  <c r="AP123" i="61" s="1"/>
  <c r="AP56" i="60"/>
  <c r="AP56" i="61" s="1"/>
  <c r="V39" i="60"/>
  <c r="V39" i="61" s="1"/>
  <c r="V111" i="60"/>
  <c r="V47" i="60"/>
  <c r="V104" i="60"/>
  <c r="V115" i="61" s="1"/>
  <c r="V55" i="60"/>
  <c r="V119" i="60"/>
  <c r="V103" i="60"/>
  <c r="V114" i="61" s="1"/>
  <c r="V40" i="60"/>
  <c r="V40" i="61" s="1"/>
  <c r="V43" i="60"/>
  <c r="V107" i="60"/>
  <c r="X55" i="60"/>
  <c r="X103" i="60"/>
  <c r="X114" i="61" s="1"/>
  <c r="X40" i="60"/>
  <c r="X40" i="61" s="1"/>
  <c r="X111" i="60"/>
  <c r="X119" i="60"/>
  <c r="X104" i="60"/>
  <c r="X115" i="61" s="1"/>
  <c r="X39" i="60"/>
  <c r="X39" i="61" s="1"/>
  <c r="X47" i="60"/>
  <c r="X43" i="60"/>
  <c r="X107" i="60"/>
  <c r="S74" i="60"/>
  <c r="S85" i="61" s="1"/>
  <c r="S112" i="60"/>
  <c r="S123" i="61" s="1"/>
  <c r="S10" i="60"/>
  <c r="S10" i="61" s="1"/>
  <c r="S38" i="60"/>
  <c r="S120" i="60"/>
  <c r="S131" i="61" s="1"/>
  <c r="S56" i="60"/>
  <c r="S56" i="61" s="1"/>
  <c r="S102" i="60"/>
  <c r="S48" i="60"/>
  <c r="S48" i="61" s="1"/>
  <c r="AS104" i="60"/>
  <c r="AS115" i="61" s="1"/>
  <c r="AS103" i="60"/>
  <c r="AS114" i="61" s="1"/>
  <c r="AS47" i="60"/>
  <c r="AS40" i="60"/>
  <c r="AS40" i="61" s="1"/>
  <c r="AS39" i="60"/>
  <c r="AS39" i="61" s="1"/>
  <c r="AS119" i="60"/>
  <c r="AS111" i="60"/>
  <c r="AS55" i="60"/>
  <c r="AS43" i="60"/>
  <c r="AS107" i="60"/>
  <c r="AD119" i="60"/>
  <c r="AD39" i="60"/>
  <c r="AD39" i="61" s="1"/>
  <c r="AD111" i="60"/>
  <c r="AD103" i="60"/>
  <c r="AD114" i="61" s="1"/>
  <c r="AD47" i="60"/>
  <c r="AD104" i="60"/>
  <c r="AD115" i="61" s="1"/>
  <c r="AD40" i="60"/>
  <c r="AD40" i="61" s="1"/>
  <c r="AD55" i="60"/>
  <c r="AD43" i="60"/>
  <c r="AD107" i="60"/>
  <c r="AM55" i="60"/>
  <c r="AM119" i="60"/>
  <c r="AM111" i="60"/>
  <c r="AM40" i="60"/>
  <c r="AM40" i="61" s="1"/>
  <c r="AM39" i="60"/>
  <c r="AM39" i="61" s="1"/>
  <c r="AM104" i="60"/>
  <c r="AM115" i="61" s="1"/>
  <c r="AM103" i="60"/>
  <c r="AM114" i="61" s="1"/>
  <c r="AM47" i="60"/>
  <c r="AM43" i="60"/>
  <c r="AM107" i="60"/>
  <c r="P55" i="60"/>
  <c r="P119" i="60"/>
  <c r="P111" i="60"/>
  <c r="P40" i="60"/>
  <c r="P40" i="61" s="1"/>
  <c r="P103" i="60"/>
  <c r="P114" i="61" s="1"/>
  <c r="P104" i="60"/>
  <c r="P115" i="61" s="1"/>
  <c r="P39" i="60"/>
  <c r="P39" i="61" s="1"/>
  <c r="P47" i="60"/>
  <c r="P43" i="60"/>
  <c r="P107" i="60"/>
  <c r="J46" i="61"/>
  <c r="I46" i="61" s="1"/>
  <c r="BL46" i="61" s="1"/>
  <c r="BM46" i="61" s="1"/>
  <c r="I46" i="60"/>
  <c r="BL46" i="60" s="1"/>
  <c r="BM46" i="60" s="1"/>
  <c r="C70" i="62"/>
  <c r="D69" i="62"/>
  <c r="C85" i="62"/>
  <c r="W57" i="60"/>
  <c r="W57" i="61" s="1"/>
  <c r="W121" i="60"/>
  <c r="W132" i="61" s="1"/>
  <c r="AN57" i="60"/>
  <c r="AN57" i="61" s="1"/>
  <c r="AN121" i="60"/>
  <c r="AN132" i="61" s="1"/>
  <c r="AK121" i="60"/>
  <c r="AK132" i="61" s="1"/>
  <c r="AK57" i="60"/>
  <c r="AK57" i="61" s="1"/>
  <c r="O57" i="60"/>
  <c r="O57" i="61" s="1"/>
  <c r="O121" i="60"/>
  <c r="O132" i="61" s="1"/>
  <c r="AG121" i="60"/>
  <c r="AG132" i="61" s="1"/>
  <c r="AG57" i="60"/>
  <c r="AG57" i="61" s="1"/>
  <c r="AV57" i="60"/>
  <c r="AV57" i="61" s="1"/>
  <c r="AV121" i="60"/>
  <c r="AV132" i="61" s="1"/>
  <c r="AT57" i="60"/>
  <c r="AT57" i="61" s="1"/>
  <c r="AT121" i="60"/>
  <c r="AT132" i="61" s="1"/>
  <c r="U121" i="60"/>
  <c r="U132" i="61" s="1"/>
  <c r="U57" i="60"/>
  <c r="U57" i="61" s="1"/>
  <c r="Q121" i="60"/>
  <c r="Q132" i="61" s="1"/>
  <c r="Q57" i="60"/>
  <c r="Q57" i="61" s="1"/>
  <c r="AH57" i="60"/>
  <c r="AH57" i="61" s="1"/>
  <c r="AH121" i="60"/>
  <c r="AH132" i="61" s="1"/>
  <c r="J48" i="61"/>
  <c r="J10" i="61"/>
  <c r="J132" i="61"/>
  <c r="E70" i="62"/>
  <c r="E85" i="62"/>
  <c r="F69" i="62" s="1"/>
  <c r="M112" i="60"/>
  <c r="M123" i="61" s="1"/>
  <c r="M120" i="60"/>
  <c r="M131" i="61" s="1"/>
  <c r="M38" i="60"/>
  <c r="M10" i="60"/>
  <c r="M10" i="61" s="1"/>
  <c r="M56" i="60"/>
  <c r="M56" i="61" s="1"/>
  <c r="M74" i="60"/>
  <c r="M85" i="61" s="1"/>
  <c r="M48" i="60"/>
  <c r="M48" i="61" s="1"/>
  <c r="M102" i="60"/>
  <c r="AQ55" i="60"/>
  <c r="AQ119" i="60"/>
  <c r="AQ111" i="60"/>
  <c r="AQ104" i="60"/>
  <c r="AQ115" i="61" s="1"/>
  <c r="AQ103" i="60"/>
  <c r="AQ114" i="61" s="1"/>
  <c r="AQ40" i="60"/>
  <c r="AQ40" i="61" s="1"/>
  <c r="AQ39" i="60"/>
  <c r="AQ39" i="61" s="1"/>
  <c r="AQ47" i="60"/>
  <c r="AQ43" i="60"/>
  <c r="AQ107" i="60"/>
  <c r="AL111" i="60"/>
  <c r="AL47" i="60"/>
  <c r="AL103" i="60"/>
  <c r="AL114" i="61" s="1"/>
  <c r="AL104" i="60"/>
  <c r="AL115" i="61" s="1"/>
  <c r="AL40" i="60"/>
  <c r="AL40" i="61" s="1"/>
  <c r="AL55" i="60"/>
  <c r="AL119" i="60"/>
  <c r="AL39" i="60"/>
  <c r="AL39" i="61" s="1"/>
  <c r="AL43" i="60"/>
  <c r="AL107" i="60"/>
  <c r="AT39" i="60"/>
  <c r="AT39" i="61" s="1"/>
  <c r="AT111" i="60"/>
  <c r="AT103" i="60"/>
  <c r="AT114" i="61" s="1"/>
  <c r="AT47" i="60"/>
  <c r="AT104" i="60"/>
  <c r="AT115" i="61" s="1"/>
  <c r="AT40" i="60"/>
  <c r="AT40" i="61" s="1"/>
  <c r="AT55" i="60"/>
  <c r="AT119" i="60"/>
  <c r="AT43" i="60"/>
  <c r="AT107" i="60"/>
  <c r="Z102" i="60"/>
  <c r="Z74" i="60"/>
  <c r="Z85" i="61" s="1"/>
  <c r="Z56" i="60"/>
  <c r="Z56" i="61" s="1"/>
  <c r="Z38" i="60"/>
  <c r="Z112" i="60"/>
  <c r="Z123" i="61" s="1"/>
  <c r="Z120" i="60"/>
  <c r="Z131" i="61" s="1"/>
  <c r="Z10" i="60"/>
  <c r="Z10" i="61" s="1"/>
  <c r="Z48" i="60"/>
  <c r="Z48" i="61" s="1"/>
  <c r="AQ102" i="60"/>
  <c r="AQ10" i="60"/>
  <c r="AQ10" i="61" s="1"/>
  <c r="AQ38" i="60"/>
  <c r="AQ120" i="60"/>
  <c r="AQ131" i="61" s="1"/>
  <c r="AQ74" i="60"/>
  <c r="AQ85" i="61" s="1"/>
  <c r="AQ48" i="60"/>
  <c r="AQ48" i="61" s="1"/>
  <c r="AQ56" i="60"/>
  <c r="AQ56" i="61" s="1"/>
  <c r="AQ112" i="60"/>
  <c r="AQ123" i="61" s="1"/>
  <c r="O10" i="60"/>
  <c r="O10" i="61" s="1"/>
  <c r="O74" i="60"/>
  <c r="O85" i="61" s="1"/>
  <c r="O112" i="60"/>
  <c r="O123" i="61" s="1"/>
  <c r="O48" i="60"/>
  <c r="O48" i="61" s="1"/>
  <c r="O38" i="60"/>
  <c r="O102" i="60"/>
  <c r="O120" i="60"/>
  <c r="O131" i="61" s="1"/>
  <c r="O56" i="60"/>
  <c r="O56" i="61" s="1"/>
  <c r="AA102" i="60"/>
  <c r="AA74" i="60"/>
  <c r="AA85" i="61" s="1"/>
  <c r="AA120" i="60"/>
  <c r="AA131" i="61" s="1"/>
  <c r="AA48" i="60"/>
  <c r="AA48" i="61" s="1"/>
  <c r="AA38" i="60"/>
  <c r="AA112" i="60"/>
  <c r="AA123" i="61" s="1"/>
  <c r="AA10" i="60"/>
  <c r="AA10" i="61" s="1"/>
  <c r="AA56" i="60"/>
  <c r="AA56" i="61" s="1"/>
  <c r="AS112" i="60"/>
  <c r="AS123" i="61" s="1"/>
  <c r="AS56" i="60"/>
  <c r="AS56" i="61" s="1"/>
  <c r="AS48" i="60"/>
  <c r="AS48" i="61" s="1"/>
  <c r="AS102" i="60"/>
  <c r="AS120" i="60"/>
  <c r="AS131" i="61" s="1"/>
  <c r="AS74" i="60"/>
  <c r="AS85" i="61" s="1"/>
  <c r="AS38" i="60"/>
  <c r="AS10" i="60"/>
  <c r="AS10" i="61" s="1"/>
  <c r="L55" i="60"/>
  <c r="L119" i="60"/>
  <c r="L103" i="60"/>
  <c r="L114" i="61" s="1"/>
  <c r="L111" i="60"/>
  <c r="L39" i="60"/>
  <c r="L39" i="61" s="1"/>
  <c r="L40" i="60"/>
  <c r="L40" i="61" s="1"/>
  <c r="L104" i="60"/>
  <c r="L115" i="61" s="1"/>
  <c r="L47" i="60"/>
  <c r="L43" i="60"/>
  <c r="L107" i="60"/>
  <c r="AX112" i="60"/>
  <c r="AX123" i="61" s="1"/>
  <c r="AX10" i="60"/>
  <c r="AX10" i="61" s="1"/>
  <c r="AX38" i="60"/>
  <c r="AX102" i="60"/>
  <c r="AX120" i="60"/>
  <c r="AX131" i="61" s="1"/>
  <c r="AX48" i="60"/>
  <c r="AX48" i="61" s="1"/>
  <c r="AX56" i="60"/>
  <c r="AX56" i="61" s="1"/>
  <c r="AX74" i="60"/>
  <c r="AX85" i="61" s="1"/>
  <c r="N56" i="60"/>
  <c r="N56" i="61" s="1"/>
  <c r="N38" i="60"/>
  <c r="N74" i="60"/>
  <c r="N85" i="61" s="1"/>
  <c r="N10" i="60"/>
  <c r="N10" i="61" s="1"/>
  <c r="N48" i="60"/>
  <c r="N48" i="61" s="1"/>
  <c r="N112" i="60"/>
  <c r="N123" i="61" s="1"/>
  <c r="N120" i="60"/>
  <c r="N131" i="61" s="1"/>
  <c r="N102" i="60"/>
  <c r="BB48" i="60"/>
  <c r="BB48" i="61" s="1"/>
  <c r="BB120" i="60"/>
  <c r="BB38" i="60"/>
  <c r="BB74" i="60"/>
  <c r="BB85" i="61" s="1"/>
  <c r="BB10" i="60"/>
  <c r="BB56" i="60"/>
  <c r="BB102" i="60"/>
  <c r="BB112" i="60"/>
  <c r="BB123" i="61" s="1"/>
  <c r="AJ48" i="60"/>
  <c r="AJ48" i="61" s="1"/>
  <c r="AJ102" i="60"/>
  <c r="AJ56" i="60"/>
  <c r="AJ56" i="61" s="1"/>
  <c r="AJ120" i="60"/>
  <c r="AJ131" i="61" s="1"/>
  <c r="AJ74" i="60"/>
  <c r="AJ85" i="61" s="1"/>
  <c r="AJ112" i="60"/>
  <c r="AJ123" i="61" s="1"/>
  <c r="AJ38" i="60"/>
  <c r="AJ10" i="60"/>
  <c r="AJ10" i="61" s="1"/>
  <c r="AM48" i="60"/>
  <c r="AM48" i="61" s="1"/>
  <c r="AM38" i="60"/>
  <c r="AM102" i="60"/>
  <c r="AM120" i="60"/>
  <c r="AM131" i="61" s="1"/>
  <c r="AM56" i="60"/>
  <c r="AM56" i="61" s="1"/>
  <c r="AM74" i="60"/>
  <c r="AM85" i="61" s="1"/>
  <c r="AM112" i="60"/>
  <c r="AM123" i="61" s="1"/>
  <c r="AM10" i="60"/>
  <c r="AM10" i="61" s="1"/>
  <c r="AP111" i="60"/>
  <c r="AP55" i="60"/>
  <c r="AP47" i="60"/>
  <c r="AP104" i="60"/>
  <c r="AP115" i="61" s="1"/>
  <c r="AP103" i="60"/>
  <c r="AP114" i="61" s="1"/>
  <c r="AP119" i="60"/>
  <c r="AP40" i="60"/>
  <c r="AP40" i="61" s="1"/>
  <c r="AP39" i="60"/>
  <c r="AP39" i="61" s="1"/>
  <c r="AP43" i="60"/>
  <c r="AP107" i="60"/>
  <c r="R111" i="60"/>
  <c r="R40" i="60"/>
  <c r="R40" i="61" s="1"/>
  <c r="R47" i="60"/>
  <c r="R104" i="60"/>
  <c r="R115" i="61" s="1"/>
  <c r="R103" i="60"/>
  <c r="R114" i="61" s="1"/>
  <c r="R55" i="60"/>
  <c r="R119" i="60"/>
  <c r="R39" i="60"/>
  <c r="R39" i="61" s="1"/>
  <c r="R43" i="60"/>
  <c r="R107" i="60"/>
  <c r="J28" i="64"/>
  <c r="J16" i="64"/>
  <c r="AN55" i="60"/>
  <c r="AN103" i="60"/>
  <c r="AN114" i="61" s="1"/>
  <c r="AN40" i="60"/>
  <c r="AN40" i="61" s="1"/>
  <c r="AN111" i="60"/>
  <c r="AN119" i="60"/>
  <c r="AN104" i="60"/>
  <c r="AN115" i="61" s="1"/>
  <c r="AN39" i="60"/>
  <c r="AN39" i="61" s="1"/>
  <c r="AN47" i="60"/>
  <c r="AN43" i="60"/>
  <c r="AN107" i="60"/>
  <c r="J39" i="64"/>
  <c r="AC112" i="60"/>
  <c r="AC123" i="61" s="1"/>
  <c r="AC56" i="60"/>
  <c r="AC56" i="61" s="1"/>
  <c r="AC74" i="60"/>
  <c r="AC85" i="61" s="1"/>
  <c r="AC120" i="60"/>
  <c r="AC131" i="61" s="1"/>
  <c r="AC10" i="60"/>
  <c r="AC10" i="61" s="1"/>
  <c r="AC102" i="60"/>
  <c r="AC48" i="60"/>
  <c r="AC48" i="61" s="1"/>
  <c r="AC38" i="60"/>
  <c r="R112" i="60"/>
  <c r="R123" i="61" s="1"/>
  <c r="R10" i="60"/>
  <c r="R10" i="61" s="1"/>
  <c r="R38" i="60"/>
  <c r="R102" i="60"/>
  <c r="R120" i="60"/>
  <c r="R131" i="61" s="1"/>
  <c r="R48" i="60"/>
  <c r="R48" i="61" s="1"/>
  <c r="R74" i="60"/>
  <c r="R85" i="61" s="1"/>
  <c r="R56" i="60"/>
  <c r="R56" i="61" s="1"/>
  <c r="J32" i="64"/>
  <c r="J6" i="64"/>
  <c r="Q102" i="60"/>
  <c r="Q56" i="60"/>
  <c r="Q56" i="61" s="1"/>
  <c r="Q120" i="60"/>
  <c r="Q131" i="61" s="1"/>
  <c r="Q74" i="60"/>
  <c r="Q85" i="61" s="1"/>
  <c r="Q38" i="60"/>
  <c r="Q48" i="60"/>
  <c r="Q48" i="61" s="1"/>
  <c r="Q10" i="60"/>
  <c r="Q10" i="61" s="1"/>
  <c r="Q112" i="60"/>
  <c r="Q123" i="61" s="1"/>
  <c r="AR74" i="60"/>
  <c r="AR85" i="61" s="1"/>
  <c r="AR112" i="60"/>
  <c r="AR123" i="61" s="1"/>
  <c r="AR120" i="60"/>
  <c r="AR131" i="61" s="1"/>
  <c r="AR10" i="60"/>
  <c r="AR10" i="61" s="1"/>
  <c r="AR38" i="60"/>
  <c r="AR102" i="60"/>
  <c r="AR48" i="60"/>
  <c r="AR48" i="61" s="1"/>
  <c r="AR56" i="60"/>
  <c r="AR56" i="61" s="1"/>
  <c r="AK102" i="60"/>
  <c r="AK74" i="60"/>
  <c r="AK85" i="61" s="1"/>
  <c r="AK56" i="60"/>
  <c r="AK56" i="61" s="1"/>
  <c r="AK48" i="60"/>
  <c r="AK48" i="61" s="1"/>
  <c r="AK10" i="60"/>
  <c r="AK10" i="61" s="1"/>
  <c r="AK112" i="60"/>
  <c r="AK123" i="61" s="1"/>
  <c r="AK120" i="60"/>
  <c r="AK131" i="61" s="1"/>
  <c r="AK38" i="60"/>
  <c r="K102" i="60"/>
  <c r="K120" i="60"/>
  <c r="K131" i="61" s="1"/>
  <c r="K56" i="60"/>
  <c r="K56" i="61" s="1"/>
  <c r="K48" i="60"/>
  <c r="K48" i="61" s="1"/>
  <c r="K74" i="60"/>
  <c r="K85" i="61" s="1"/>
  <c r="K38" i="60"/>
  <c r="K112" i="60"/>
  <c r="K123" i="61" s="1"/>
  <c r="K10" i="60"/>
  <c r="K10" i="61" s="1"/>
  <c r="J36" i="64"/>
  <c r="AH104" i="60"/>
  <c r="AH115" i="61" s="1"/>
  <c r="AH119" i="60"/>
  <c r="AH39" i="60"/>
  <c r="AH39" i="61" s="1"/>
  <c r="AH103" i="60"/>
  <c r="AH114" i="61" s="1"/>
  <c r="AH111" i="60"/>
  <c r="AH40" i="60"/>
  <c r="AH40" i="61" s="1"/>
  <c r="AH55" i="60"/>
  <c r="AH47" i="60"/>
  <c r="AH43" i="60"/>
  <c r="AH107" i="60"/>
  <c r="J9" i="64"/>
  <c r="AB48" i="60"/>
  <c r="AB48" i="61" s="1"/>
  <c r="AB74" i="60"/>
  <c r="AB85" i="61" s="1"/>
  <c r="AB112" i="60"/>
  <c r="AB123" i="61" s="1"/>
  <c r="AB120" i="60"/>
  <c r="AB131" i="61" s="1"/>
  <c r="AB38" i="60"/>
  <c r="AB10" i="60"/>
  <c r="AB10" i="61" s="1"/>
  <c r="AB102" i="60"/>
  <c r="AB56" i="60"/>
  <c r="AB56" i="61" s="1"/>
  <c r="AZ56" i="60"/>
  <c r="AZ38" i="60"/>
  <c r="AZ48" i="60"/>
  <c r="AZ48" i="61" s="1"/>
  <c r="AZ74" i="60"/>
  <c r="AZ85" i="61" s="1"/>
  <c r="AZ10" i="60"/>
  <c r="AZ10" i="61" s="1"/>
  <c r="AZ120" i="60"/>
  <c r="AZ102" i="60"/>
  <c r="AZ112" i="60"/>
  <c r="AZ123" i="61" s="1"/>
  <c r="J121" i="61"/>
  <c r="I110" i="60"/>
  <c r="AE57" i="60"/>
  <c r="AE57" i="61" s="1"/>
  <c r="AE121" i="60"/>
  <c r="AE132" i="61" s="1"/>
  <c r="AL121" i="60"/>
  <c r="AL132" i="61" s="1"/>
  <c r="AL57" i="60"/>
  <c r="AL57" i="61" s="1"/>
  <c r="AS57" i="60"/>
  <c r="AS57" i="61" s="1"/>
  <c r="AS121" i="60"/>
  <c r="AS132" i="61" s="1"/>
  <c r="S57" i="60"/>
  <c r="S57" i="61" s="1"/>
  <c r="S121" i="60"/>
  <c r="S132" i="61" s="1"/>
  <c r="AD121" i="60"/>
  <c r="AD132" i="61" s="1"/>
  <c r="AD57" i="60"/>
  <c r="AD57" i="61" s="1"/>
  <c r="M57" i="60"/>
  <c r="M57" i="61" s="1"/>
  <c r="M121" i="60"/>
  <c r="M132" i="61" s="1"/>
  <c r="AJ57" i="60"/>
  <c r="AJ57" i="61" s="1"/>
  <c r="AJ121" i="60"/>
  <c r="AJ132" i="61" s="1"/>
  <c r="AC121" i="60"/>
  <c r="AC132" i="61" s="1"/>
  <c r="AC57" i="60"/>
  <c r="AC57" i="61" s="1"/>
  <c r="N121" i="60"/>
  <c r="N132" i="61" s="1"/>
  <c r="N57" i="60"/>
  <c r="N57" i="61" s="1"/>
  <c r="AB57" i="60"/>
  <c r="AB57" i="61" s="1"/>
  <c r="AB121" i="60"/>
  <c r="AB132" i="61" s="1"/>
  <c r="J5" i="64"/>
  <c r="E47" i="64"/>
  <c r="BP46" i="61"/>
  <c r="BS46" i="61" s="1"/>
  <c r="J123" i="61"/>
  <c r="J131" i="61"/>
  <c r="J57" i="61"/>
  <c r="AO74" i="60"/>
  <c r="AO85" i="61" s="1"/>
  <c r="AO120" i="60"/>
  <c r="AO131" i="61" s="1"/>
  <c r="AO10" i="60"/>
  <c r="AO10" i="61" s="1"/>
  <c r="AO102" i="60"/>
  <c r="AO112" i="60"/>
  <c r="AO123" i="61" s="1"/>
  <c r="AO38" i="60"/>
  <c r="AO48" i="60"/>
  <c r="AO48" i="61" s="1"/>
  <c r="AO56" i="60"/>
  <c r="AO56" i="61" s="1"/>
  <c r="AU55" i="60"/>
  <c r="AU103" i="60"/>
  <c r="AU114" i="61" s="1"/>
  <c r="AU47" i="60"/>
  <c r="AU104" i="60"/>
  <c r="AU115" i="61" s="1"/>
  <c r="AU40" i="60"/>
  <c r="AU40" i="61" s="1"/>
  <c r="AU39" i="60"/>
  <c r="AU39" i="61" s="1"/>
  <c r="AU119" i="60"/>
  <c r="AU111" i="60"/>
  <c r="AU43" i="60"/>
  <c r="AU107" i="60"/>
  <c r="AC40" i="60"/>
  <c r="AC40" i="61" s="1"/>
  <c r="AC39" i="60"/>
  <c r="AC39" i="61" s="1"/>
  <c r="AC111" i="60"/>
  <c r="AC47" i="60"/>
  <c r="AC119" i="60"/>
  <c r="AC55" i="60"/>
  <c r="AC104" i="60"/>
  <c r="AC115" i="61" s="1"/>
  <c r="AC103" i="60"/>
  <c r="AC114" i="61" s="1"/>
  <c r="AC43" i="60"/>
  <c r="AC107" i="60"/>
  <c r="AU74" i="60"/>
  <c r="AU85" i="61" s="1"/>
  <c r="AU48" i="60"/>
  <c r="AU48" i="61" s="1"/>
  <c r="AU38" i="60"/>
  <c r="AU112" i="60"/>
  <c r="AU123" i="61" s="1"/>
  <c r="AU120" i="60"/>
  <c r="AU131" i="61" s="1"/>
  <c r="AU56" i="60"/>
  <c r="AU56" i="61" s="1"/>
  <c r="AU102" i="60"/>
  <c r="AU10" i="60"/>
  <c r="AU10" i="61" s="1"/>
  <c r="X102" i="60"/>
  <c r="X56" i="60"/>
  <c r="X56" i="61" s="1"/>
  <c r="X74" i="60"/>
  <c r="X85" i="61" s="1"/>
  <c r="X48" i="60"/>
  <c r="X48" i="61" s="1"/>
  <c r="X10" i="60"/>
  <c r="X10" i="61" s="1"/>
  <c r="X112" i="60"/>
  <c r="X123" i="61" s="1"/>
  <c r="X120" i="60"/>
  <c r="X131" i="61" s="1"/>
  <c r="X38" i="60"/>
  <c r="T55" i="60"/>
  <c r="T47" i="60"/>
  <c r="T111" i="60"/>
  <c r="T103" i="60"/>
  <c r="T114" i="61" s="1"/>
  <c r="T40" i="60"/>
  <c r="T40" i="61" s="1"/>
  <c r="T119" i="60"/>
  <c r="T104" i="60"/>
  <c r="T115" i="61" s="1"/>
  <c r="T39" i="60"/>
  <c r="T39" i="61" s="1"/>
  <c r="T43" i="60"/>
  <c r="T107" i="60"/>
  <c r="AI74" i="60"/>
  <c r="AI85" i="61" s="1"/>
  <c r="AI112" i="60"/>
  <c r="AI123" i="61" s="1"/>
  <c r="AI120" i="60"/>
  <c r="AI131" i="61" s="1"/>
  <c r="AI10" i="60"/>
  <c r="AI10" i="61" s="1"/>
  <c r="AI56" i="60"/>
  <c r="AI56" i="61" s="1"/>
  <c r="AI48" i="60"/>
  <c r="AI48" i="61" s="1"/>
  <c r="AI102" i="60"/>
  <c r="AI38" i="60"/>
  <c r="X57" i="60"/>
  <c r="X57" i="61" s="1"/>
  <c r="X121" i="60"/>
  <c r="X132" i="61" s="1"/>
  <c r="AW121" i="60"/>
  <c r="AW132" i="61" s="1"/>
  <c r="AW57" i="60"/>
  <c r="AW57" i="61" s="1"/>
  <c r="L57" i="60"/>
  <c r="L57" i="61" s="1"/>
  <c r="L121" i="60"/>
  <c r="L132" i="61" s="1"/>
  <c r="AP121" i="60"/>
  <c r="AP132" i="61" s="1"/>
  <c r="AP57" i="60"/>
  <c r="AP57" i="61" s="1"/>
  <c r="AO121" i="60"/>
  <c r="AO132" i="61" s="1"/>
  <c r="AO57" i="60"/>
  <c r="AO57" i="61" s="1"/>
  <c r="AM57" i="60"/>
  <c r="AM57" i="61" s="1"/>
  <c r="AM121" i="60"/>
  <c r="AM132" i="61" s="1"/>
  <c r="AU57" i="60"/>
  <c r="AU57" i="61" s="1"/>
  <c r="AU121" i="60"/>
  <c r="AU132" i="61" s="1"/>
  <c r="AR57" i="60"/>
  <c r="AR57" i="61" s="1"/>
  <c r="AR121" i="60"/>
  <c r="AR132" i="61" s="1"/>
  <c r="AX57" i="60"/>
  <c r="AX57" i="61" s="1"/>
  <c r="AX121" i="60"/>
  <c r="AX132" i="61" s="1"/>
  <c r="AI57" i="60"/>
  <c r="AI57" i="61" s="1"/>
  <c r="AI121" i="60"/>
  <c r="AI132" i="61" s="1"/>
  <c r="G70" i="62"/>
  <c r="G85" i="62"/>
  <c r="H69" i="62" s="1"/>
  <c r="J56" i="61"/>
  <c r="J113" i="61"/>
  <c r="I47" i="64"/>
  <c r="I38" i="60" l="1"/>
  <c r="I102" i="60"/>
  <c r="BL102" i="60" s="1"/>
  <c r="I113" i="61"/>
  <c r="BL38" i="60"/>
  <c r="T43" i="61"/>
  <c r="T135" i="60"/>
  <c r="T55" i="61"/>
  <c r="T58" i="61" s="1"/>
  <c r="T136" i="60"/>
  <c r="T58" i="60"/>
  <c r="AC122" i="61"/>
  <c r="AC150" i="60"/>
  <c r="AU43" i="61"/>
  <c r="AU135" i="60"/>
  <c r="AU55" i="61"/>
  <c r="AU58" i="61" s="1"/>
  <c r="AU136" i="60"/>
  <c r="AU58" i="60"/>
  <c r="N104" i="60"/>
  <c r="N115" i="61" s="1"/>
  <c r="N40" i="60"/>
  <c r="N40" i="61" s="1"/>
  <c r="N55" i="60"/>
  <c r="N119" i="60"/>
  <c r="N39" i="60"/>
  <c r="N39" i="61" s="1"/>
  <c r="N111" i="60"/>
  <c r="N103" i="60"/>
  <c r="N114" i="61" s="1"/>
  <c r="N47" i="60"/>
  <c r="N43" i="60"/>
  <c r="N107" i="60"/>
  <c r="AH55" i="61"/>
  <c r="AH58" i="61" s="1"/>
  <c r="AH136" i="60"/>
  <c r="M209" i="60" s="1"/>
  <c r="AH58" i="60"/>
  <c r="AK38" i="61"/>
  <c r="AC113" i="61"/>
  <c r="AC116" i="61" s="1"/>
  <c r="AC149" i="60"/>
  <c r="AC105" i="60"/>
  <c r="AC116" i="60" s="1"/>
  <c r="AN43" i="61"/>
  <c r="AN135" i="60"/>
  <c r="AN130" i="61"/>
  <c r="AN133" i="61" s="1"/>
  <c r="AN146" i="60"/>
  <c r="AN122" i="60"/>
  <c r="R43" i="61"/>
  <c r="R135" i="60"/>
  <c r="R122" i="61"/>
  <c r="R150" i="60"/>
  <c r="AP47" i="61"/>
  <c r="AP140" i="60"/>
  <c r="AJ38" i="61"/>
  <c r="AJ41" i="61" s="1"/>
  <c r="AJ139" i="60"/>
  <c r="AJ41" i="60"/>
  <c r="AJ52" i="60" s="1"/>
  <c r="BB38" i="61"/>
  <c r="BB41" i="61" s="1"/>
  <c r="BB52" i="61" s="1"/>
  <c r="BB139" i="60"/>
  <c r="S212" i="60" s="1"/>
  <c r="BB41" i="60"/>
  <c r="BB52" i="60" s="1"/>
  <c r="AX38" i="61"/>
  <c r="L43" i="61"/>
  <c r="L135" i="60"/>
  <c r="AA38" i="61"/>
  <c r="AA41" i="61" s="1"/>
  <c r="AA139" i="60"/>
  <c r="AA41" i="60"/>
  <c r="AA52" i="60" s="1"/>
  <c r="I56" i="60"/>
  <c r="BL56" i="60" s="1"/>
  <c r="BM56" i="60" s="1"/>
  <c r="X38" i="61"/>
  <c r="X41" i="61" s="1"/>
  <c r="X139" i="60"/>
  <c r="X41" i="60"/>
  <c r="X52" i="60" s="1"/>
  <c r="AC118" i="61"/>
  <c r="AC145" i="60"/>
  <c r="AC55" i="61"/>
  <c r="AC58" i="61" s="1"/>
  <c r="AC136" i="60"/>
  <c r="AC58" i="60"/>
  <c r="AU122" i="61"/>
  <c r="AU150" i="60"/>
  <c r="AO113" i="61"/>
  <c r="I57" i="60"/>
  <c r="BL57" i="60" s="1"/>
  <c r="BM57" i="60" s="1"/>
  <c r="I112" i="60"/>
  <c r="J47" i="64"/>
  <c r="J103" i="60"/>
  <c r="J39" i="60"/>
  <c r="J119" i="60"/>
  <c r="J40" i="60"/>
  <c r="J55" i="60"/>
  <c r="J111" i="60"/>
  <c r="J104" i="60"/>
  <c r="J47" i="60"/>
  <c r="J43" i="60"/>
  <c r="J107" i="60"/>
  <c r="AZ113" i="61"/>
  <c r="AZ116" i="61" s="1"/>
  <c r="AZ127" i="61" s="1"/>
  <c r="AZ149" i="60"/>
  <c r="AZ105" i="60"/>
  <c r="AZ116" i="60" s="1"/>
  <c r="AB113" i="61"/>
  <c r="AB116" i="61" s="1"/>
  <c r="AB149" i="60"/>
  <c r="AB105" i="60"/>
  <c r="AB116" i="60" s="1"/>
  <c r="AH118" i="61"/>
  <c r="AH145" i="60"/>
  <c r="AH130" i="61"/>
  <c r="AH133" i="61" s="1"/>
  <c r="AH146" i="60"/>
  <c r="AH122" i="60"/>
  <c r="AK119" i="60"/>
  <c r="AK111" i="60"/>
  <c r="AK55" i="60"/>
  <c r="AK104" i="60"/>
  <c r="AK115" i="61" s="1"/>
  <c r="AK103" i="60"/>
  <c r="AK114" i="61" s="1"/>
  <c r="AK40" i="60"/>
  <c r="AK40" i="61" s="1"/>
  <c r="AK47" i="60"/>
  <c r="AK39" i="60"/>
  <c r="AK39" i="61" s="1"/>
  <c r="AK43" i="60"/>
  <c r="AK107" i="60"/>
  <c r="AN47" i="61"/>
  <c r="AN140" i="60"/>
  <c r="AN122" i="61"/>
  <c r="AN150" i="60"/>
  <c r="AN160" i="60" s="1"/>
  <c r="U119" i="60"/>
  <c r="U104" i="60"/>
  <c r="U115" i="61" s="1"/>
  <c r="U103" i="60"/>
  <c r="U114" i="61" s="1"/>
  <c r="U47" i="60"/>
  <c r="U40" i="60"/>
  <c r="U40" i="61" s="1"/>
  <c r="U39" i="60"/>
  <c r="U39" i="61" s="1"/>
  <c r="U111" i="60"/>
  <c r="U55" i="60"/>
  <c r="U43" i="60"/>
  <c r="U107" i="60"/>
  <c r="AP118" i="61"/>
  <c r="AP145" i="60"/>
  <c r="AP130" i="61"/>
  <c r="AP133" i="61" s="1"/>
  <c r="AP146" i="60"/>
  <c r="AP122" i="60"/>
  <c r="AP55" i="61"/>
  <c r="AP58" i="61" s="1"/>
  <c r="AP136" i="60"/>
  <c r="AP58" i="60"/>
  <c r="AM38" i="61"/>
  <c r="AM41" i="61" s="1"/>
  <c r="AM139" i="60"/>
  <c r="AM41" i="60"/>
  <c r="AM52" i="60" s="1"/>
  <c r="AJ113" i="61"/>
  <c r="AJ116" i="61" s="1"/>
  <c r="AJ149" i="60"/>
  <c r="AJ159" i="60" s="1"/>
  <c r="AJ105" i="60"/>
  <c r="AJ116" i="60" s="1"/>
  <c r="BB56" i="61"/>
  <c r="BB58" i="61" s="1"/>
  <c r="BB136" i="60"/>
  <c r="S209" i="60" s="1"/>
  <c r="BB58" i="60"/>
  <c r="BB131" i="61"/>
  <c r="BB133" i="61" s="1"/>
  <c r="BB146" i="60"/>
  <c r="BB122" i="60"/>
  <c r="N38" i="61"/>
  <c r="N41" i="61" s="1"/>
  <c r="N139" i="60"/>
  <c r="N41" i="60"/>
  <c r="N52" i="60" s="1"/>
  <c r="L47" i="61"/>
  <c r="L140" i="60"/>
  <c r="L122" i="61"/>
  <c r="L150" i="60"/>
  <c r="AS113" i="61"/>
  <c r="AS116" i="61" s="1"/>
  <c r="AS149" i="60"/>
  <c r="AS105" i="60"/>
  <c r="AS116" i="60" s="1"/>
  <c r="Z38" i="61"/>
  <c r="AT118" i="61"/>
  <c r="AT145" i="60"/>
  <c r="AT122" i="61"/>
  <c r="AT150" i="60"/>
  <c r="AQ118" i="61"/>
  <c r="AQ145" i="60"/>
  <c r="AQ130" i="61"/>
  <c r="AQ133" i="61" s="1"/>
  <c r="AQ146" i="60"/>
  <c r="AQ122" i="60"/>
  <c r="C37" i="57"/>
  <c r="D67" i="62"/>
  <c r="D65" i="62"/>
  <c r="I67" i="62"/>
  <c r="I65" i="62"/>
  <c r="I78" i="62"/>
  <c r="D74" i="62"/>
  <c r="D73" i="62"/>
  <c r="D77" i="62"/>
  <c r="I76" i="62"/>
  <c r="I80" i="62"/>
  <c r="P8" i="80" s="1"/>
  <c r="I74" i="62"/>
  <c r="D66" i="62"/>
  <c r="D76" i="62"/>
  <c r="I75" i="62"/>
  <c r="I79" i="62"/>
  <c r="I66" i="62"/>
  <c r="I73" i="62"/>
  <c r="I77" i="62"/>
  <c r="I64" i="62"/>
  <c r="D64" i="62"/>
  <c r="D75" i="62"/>
  <c r="D79" i="62"/>
  <c r="D78" i="62"/>
  <c r="D80" i="62"/>
  <c r="D82" i="62"/>
  <c r="D49" i="62"/>
  <c r="D45" i="62"/>
  <c r="D32" i="62"/>
  <c r="D59" i="62"/>
  <c r="D30" i="62"/>
  <c r="D50" i="62"/>
  <c r="D46" i="62"/>
  <c r="D54" i="62"/>
  <c r="D39" i="62"/>
  <c r="D28" i="62"/>
  <c r="D51" i="62"/>
  <c r="D42" i="62"/>
  <c r="D53" i="62"/>
  <c r="D16" i="62"/>
  <c r="D27" i="62"/>
  <c r="D19" i="62"/>
  <c r="D15" i="62"/>
  <c r="D35" i="62"/>
  <c r="D31" i="62"/>
  <c r="D17" i="62"/>
  <c r="D44" i="62"/>
  <c r="D57" i="62"/>
  <c r="D55" i="62"/>
  <c r="D58" i="62"/>
  <c r="D47" i="62"/>
  <c r="D11" i="62"/>
  <c r="D36" i="62"/>
  <c r="D43" i="62"/>
  <c r="D38" i="62"/>
  <c r="I11" i="62"/>
  <c r="D29" i="62"/>
  <c r="D18" i="62"/>
  <c r="D48" i="62"/>
  <c r="D41" i="62"/>
  <c r="D52" i="62"/>
  <c r="D56" i="62"/>
  <c r="D33" i="62"/>
  <c r="D37" i="62"/>
  <c r="D20" i="62"/>
  <c r="D34" i="62"/>
  <c r="D14" i="62"/>
  <c r="D40" i="62"/>
  <c r="D23" i="62"/>
  <c r="D26" i="62"/>
  <c r="I23" i="62"/>
  <c r="P122" i="61"/>
  <c r="P150" i="60"/>
  <c r="AM43" i="61"/>
  <c r="AM135" i="60"/>
  <c r="AM55" i="61"/>
  <c r="AM58" i="61" s="1"/>
  <c r="AM136" i="60"/>
  <c r="AM58" i="60"/>
  <c r="AD122" i="61"/>
  <c r="AD150" i="60"/>
  <c r="AS43" i="61"/>
  <c r="AS135" i="60"/>
  <c r="V43" i="61"/>
  <c r="V135" i="60"/>
  <c r="K208" i="60" s="1"/>
  <c r="V55" i="61"/>
  <c r="V58" i="61" s="1"/>
  <c r="V136" i="60"/>
  <c r="K209" i="60" s="1"/>
  <c r="V58" i="60"/>
  <c r="AP38" i="61"/>
  <c r="AP41" i="61" s="1"/>
  <c r="AP139" i="60"/>
  <c r="AP41" i="60"/>
  <c r="AP52" i="60" s="1"/>
  <c r="AP113" i="61"/>
  <c r="AP116" i="61" s="1"/>
  <c r="AP105" i="60"/>
  <c r="AP116" i="60" s="1"/>
  <c r="AP149" i="60"/>
  <c r="BA113" i="61"/>
  <c r="BA116" i="61" s="1"/>
  <c r="BA127" i="61" s="1"/>
  <c r="BA149" i="60"/>
  <c r="BA105" i="60"/>
  <c r="BA116" i="60" s="1"/>
  <c r="P113" i="61"/>
  <c r="P116" i="61" s="1"/>
  <c r="P149" i="60"/>
  <c r="P105" i="60"/>
  <c r="P116" i="60" s="1"/>
  <c r="AX119" i="60"/>
  <c r="AX111" i="60"/>
  <c r="AX40" i="60"/>
  <c r="AX40" i="61" s="1"/>
  <c r="AX47" i="60"/>
  <c r="AX104" i="60"/>
  <c r="AX115" i="61" s="1"/>
  <c r="AX103" i="60"/>
  <c r="AX114" i="61" s="1"/>
  <c r="AX55" i="60"/>
  <c r="AX39" i="60"/>
  <c r="AX39" i="61" s="1"/>
  <c r="AX43" i="60"/>
  <c r="AX107" i="60"/>
  <c r="M122" i="61"/>
  <c r="M150" i="60"/>
  <c r="W113" i="61"/>
  <c r="W116" i="61" s="1"/>
  <c r="W149" i="60"/>
  <c r="W105" i="60"/>
  <c r="W116" i="60" s="1"/>
  <c r="U139" i="60"/>
  <c r="U38" i="61"/>
  <c r="AG38" i="61"/>
  <c r="W43" i="61"/>
  <c r="W135" i="60"/>
  <c r="L208" i="60" s="1"/>
  <c r="W130" i="61"/>
  <c r="W133" i="61" s="1"/>
  <c r="W146" i="60"/>
  <c r="W122" i="60"/>
  <c r="W55" i="61"/>
  <c r="W58" i="61" s="1"/>
  <c r="W136" i="60"/>
  <c r="L209" i="60" s="1"/>
  <c r="W58" i="60"/>
  <c r="AE130" i="61"/>
  <c r="AE133" i="61" s="1"/>
  <c r="AE146" i="60"/>
  <c r="AE122" i="60"/>
  <c r="Z119" i="60"/>
  <c r="Z103" i="60"/>
  <c r="Z114" i="61" s="1"/>
  <c r="Z39" i="60"/>
  <c r="Z39" i="61" s="1"/>
  <c r="Z104" i="60"/>
  <c r="Z115" i="61" s="1"/>
  <c r="Z55" i="60"/>
  <c r="Z111" i="60"/>
  <c r="Z47" i="60"/>
  <c r="Z40" i="60"/>
  <c r="Z40" i="61" s="1"/>
  <c r="Z43" i="60"/>
  <c r="Z107" i="60"/>
  <c r="O47" i="61"/>
  <c r="O140" i="60"/>
  <c r="AV55" i="60"/>
  <c r="AV119" i="60"/>
  <c r="AV111" i="60"/>
  <c r="AV103" i="60"/>
  <c r="AV114" i="61" s="1"/>
  <c r="AV40" i="60"/>
  <c r="AV40" i="61" s="1"/>
  <c r="AV104" i="60"/>
  <c r="AV115" i="61" s="1"/>
  <c r="AV39" i="60"/>
  <c r="AV39" i="61" s="1"/>
  <c r="AV47" i="60"/>
  <c r="AV43" i="60"/>
  <c r="AV107" i="60"/>
  <c r="T113" i="61"/>
  <c r="T116" i="61" s="1"/>
  <c r="T149" i="60"/>
  <c r="T105" i="60"/>
  <c r="T116" i="60" s="1"/>
  <c r="V113" i="61"/>
  <c r="V116" i="61" s="1"/>
  <c r="V149" i="60"/>
  <c r="V105" i="60"/>
  <c r="V116" i="60" s="1"/>
  <c r="BP48" i="61"/>
  <c r="AB122" i="61"/>
  <c r="AB150" i="60"/>
  <c r="AD38" i="61"/>
  <c r="AD41" i="61" s="1"/>
  <c r="AD139" i="60"/>
  <c r="AD41" i="60"/>
  <c r="AD52" i="60" s="1"/>
  <c r="AJ118" i="61"/>
  <c r="AJ145" i="60"/>
  <c r="AW47" i="61"/>
  <c r="AW140" i="60"/>
  <c r="N213" i="60" s="1"/>
  <c r="AE38" i="61"/>
  <c r="AE41" i="61" s="1"/>
  <c r="AE139" i="60"/>
  <c r="AE41" i="60"/>
  <c r="AE52" i="60" s="1"/>
  <c r="AA118" i="61"/>
  <c r="AA145" i="60"/>
  <c r="AA130" i="61"/>
  <c r="AA133" i="61" s="1"/>
  <c r="AA146" i="60"/>
  <c r="AA122" i="60"/>
  <c r="S122" i="61"/>
  <c r="S150" i="60"/>
  <c r="S130" i="61"/>
  <c r="S133" i="61" s="1"/>
  <c r="S146" i="60"/>
  <c r="S122" i="60"/>
  <c r="X113" i="61"/>
  <c r="X116" i="61" s="1"/>
  <c r="X149" i="60"/>
  <c r="X159" i="60" s="1"/>
  <c r="X105" i="60"/>
  <c r="X116" i="60" s="1"/>
  <c r="AU38" i="61"/>
  <c r="AU41" i="61" s="1"/>
  <c r="AU139" i="60"/>
  <c r="AU41" i="60"/>
  <c r="AU52" i="60" s="1"/>
  <c r="AU130" i="61"/>
  <c r="AU133" i="61" s="1"/>
  <c r="AU146" i="60"/>
  <c r="AU122" i="60"/>
  <c r="I121" i="61"/>
  <c r="BL121" i="61" s="1"/>
  <c r="BM121" i="61" s="1"/>
  <c r="BL110" i="60"/>
  <c r="AH122" i="61"/>
  <c r="AH150" i="60"/>
  <c r="AR113" i="61"/>
  <c r="R113" i="61"/>
  <c r="R116" i="61" s="1"/>
  <c r="R149" i="60"/>
  <c r="R105" i="60"/>
  <c r="R116" i="60" s="1"/>
  <c r="R130" i="61"/>
  <c r="R133" i="61" s="1"/>
  <c r="R146" i="60"/>
  <c r="R122" i="60"/>
  <c r="AQ38" i="61"/>
  <c r="AQ41" i="61" s="1"/>
  <c r="AQ139" i="60"/>
  <c r="AQ41" i="60"/>
  <c r="AQ52" i="60" s="1"/>
  <c r="AT43" i="61"/>
  <c r="AT135" i="60"/>
  <c r="AL130" i="61"/>
  <c r="AL133" i="61" s="1"/>
  <c r="AL146" i="60"/>
  <c r="AL122" i="60"/>
  <c r="AQ43" i="61"/>
  <c r="AQ135" i="60"/>
  <c r="AQ55" i="61"/>
  <c r="AQ58" i="61" s="1"/>
  <c r="AQ136" i="60"/>
  <c r="AQ58" i="60"/>
  <c r="I121" i="60"/>
  <c r="P118" i="61"/>
  <c r="P145" i="60"/>
  <c r="P130" i="61"/>
  <c r="P133" i="61" s="1"/>
  <c r="P146" i="60"/>
  <c r="P122" i="60"/>
  <c r="AM47" i="61"/>
  <c r="AM140" i="60"/>
  <c r="AD118" i="61"/>
  <c r="AD145" i="60"/>
  <c r="AS55" i="61"/>
  <c r="AS58" i="61" s="1"/>
  <c r="AS136" i="60"/>
  <c r="AS58" i="60"/>
  <c r="S38" i="61"/>
  <c r="S41" i="61" s="1"/>
  <c r="S139" i="60"/>
  <c r="S41" i="60"/>
  <c r="S52" i="60" s="1"/>
  <c r="X118" i="61"/>
  <c r="X145" i="60"/>
  <c r="I74" i="60"/>
  <c r="BA131" i="61"/>
  <c r="BA133" i="61" s="1"/>
  <c r="BA146" i="60"/>
  <c r="BA122" i="60"/>
  <c r="M118" i="61"/>
  <c r="M145" i="60"/>
  <c r="M47" i="61"/>
  <c r="M140" i="60"/>
  <c r="BQ48" i="61"/>
  <c r="W47" i="61"/>
  <c r="W140" i="60"/>
  <c r="L213" i="60" s="1"/>
  <c r="AF55" i="60"/>
  <c r="AF119" i="60"/>
  <c r="AF103" i="60"/>
  <c r="AF114" i="61" s="1"/>
  <c r="AF104" i="60"/>
  <c r="AF115" i="61" s="1"/>
  <c r="AF111" i="60"/>
  <c r="AF40" i="60"/>
  <c r="AF40" i="61" s="1"/>
  <c r="AF39" i="60"/>
  <c r="AF39" i="61" s="1"/>
  <c r="AF47" i="60"/>
  <c r="AF43" i="60"/>
  <c r="AF107" i="60"/>
  <c r="AV38" i="61"/>
  <c r="AV41" i="60"/>
  <c r="AV52" i="60" s="1"/>
  <c r="AN113" i="61"/>
  <c r="AN116" i="61" s="1"/>
  <c r="AN149" i="60"/>
  <c r="AN105" i="60"/>
  <c r="AN116" i="60" s="1"/>
  <c r="AE47" i="61"/>
  <c r="AE140" i="60"/>
  <c r="Q40" i="60"/>
  <c r="Q40" i="61" s="1"/>
  <c r="Q39" i="60"/>
  <c r="Q39" i="61" s="1"/>
  <c r="Q119" i="60"/>
  <c r="Q47" i="60"/>
  <c r="Q111" i="60"/>
  <c r="Q55" i="60"/>
  <c r="Q104" i="60"/>
  <c r="Q115" i="61" s="1"/>
  <c r="Q103" i="60"/>
  <c r="Q114" i="61" s="1"/>
  <c r="Q43" i="60"/>
  <c r="Q107" i="60"/>
  <c r="Y111" i="60"/>
  <c r="Y55" i="60"/>
  <c r="Y103" i="60"/>
  <c r="Y114" i="61" s="1"/>
  <c r="Y40" i="60"/>
  <c r="Y40" i="61" s="1"/>
  <c r="Y104" i="60"/>
  <c r="Y115" i="61" s="1"/>
  <c r="Y39" i="60"/>
  <c r="Y39" i="61" s="1"/>
  <c r="Y119" i="60"/>
  <c r="Y47" i="60"/>
  <c r="Y43" i="60"/>
  <c r="Y107" i="60"/>
  <c r="AY131" i="61"/>
  <c r="AY133" i="61" s="1"/>
  <c r="AY146" i="60"/>
  <c r="AY122" i="60"/>
  <c r="AY38" i="61"/>
  <c r="AY41" i="61" s="1"/>
  <c r="AY139" i="60"/>
  <c r="P212" i="60" s="1"/>
  <c r="AY41" i="60"/>
  <c r="AY52" i="60" s="1"/>
  <c r="AB130" i="61"/>
  <c r="AB133" i="61" s="1"/>
  <c r="AB146" i="60"/>
  <c r="AB122" i="60"/>
  <c r="AJ43" i="61"/>
  <c r="AJ135" i="60"/>
  <c r="AJ55" i="61"/>
  <c r="AJ58" i="61" s="1"/>
  <c r="AJ136" i="60"/>
  <c r="AJ58" i="60"/>
  <c r="AL38" i="61"/>
  <c r="AL41" i="61" s="1"/>
  <c r="AL139" i="60"/>
  <c r="AL41" i="60"/>
  <c r="AL52" i="60" s="1"/>
  <c r="AW130" i="61"/>
  <c r="AW133" i="61" s="1"/>
  <c r="AW146" i="60"/>
  <c r="AW122" i="60"/>
  <c r="AA43" i="61"/>
  <c r="AA135" i="60"/>
  <c r="AA47" i="61"/>
  <c r="AA140" i="60"/>
  <c r="AA55" i="61"/>
  <c r="AA58" i="61" s="1"/>
  <c r="AA136" i="60"/>
  <c r="AA58" i="60"/>
  <c r="S47" i="61"/>
  <c r="S140" i="60"/>
  <c r="T122" i="61"/>
  <c r="T150" i="60"/>
  <c r="AU113" i="61"/>
  <c r="AU116" i="61" s="1"/>
  <c r="AU149" i="60"/>
  <c r="AU159" i="60" s="1"/>
  <c r="AU105" i="60"/>
  <c r="AU116" i="60" s="1"/>
  <c r="AC43" i="61"/>
  <c r="AC135" i="60"/>
  <c r="AC130" i="61"/>
  <c r="AC133" i="61" s="1"/>
  <c r="AC122" i="60"/>
  <c r="AC146" i="60"/>
  <c r="AC156" i="60" s="1"/>
  <c r="AU47" i="61"/>
  <c r="AU140" i="60"/>
  <c r="I57" i="61"/>
  <c r="BL57" i="61" s="1"/>
  <c r="BM57" i="61" s="1"/>
  <c r="AZ131" i="61"/>
  <c r="AZ133" i="61" s="1"/>
  <c r="AZ146" i="60"/>
  <c r="AZ122" i="60"/>
  <c r="AZ38" i="61"/>
  <c r="AZ41" i="61" s="1"/>
  <c r="AZ52" i="61" s="1"/>
  <c r="AZ139" i="60"/>
  <c r="Q212" i="60" s="1"/>
  <c r="AZ41" i="60"/>
  <c r="AZ52" i="60" s="1"/>
  <c r="AH43" i="61"/>
  <c r="AH135" i="60"/>
  <c r="M208" i="60" s="1"/>
  <c r="K38" i="61"/>
  <c r="AC38" i="61"/>
  <c r="AC41" i="61" s="1"/>
  <c r="AC139" i="60"/>
  <c r="AC41" i="60"/>
  <c r="AC52" i="60" s="1"/>
  <c r="AR55" i="60"/>
  <c r="AR111" i="60"/>
  <c r="AR39" i="60"/>
  <c r="AR39" i="61" s="1"/>
  <c r="AR40" i="60"/>
  <c r="AR40" i="61" s="1"/>
  <c r="AR119" i="60"/>
  <c r="AR104" i="60"/>
  <c r="AR115" i="61" s="1"/>
  <c r="AR47" i="60"/>
  <c r="AR103" i="60"/>
  <c r="AR114" i="61" s="1"/>
  <c r="AR43" i="60"/>
  <c r="AR107" i="60"/>
  <c r="AG104" i="60"/>
  <c r="AG115" i="61" s="1"/>
  <c r="AG103" i="60"/>
  <c r="AG114" i="61" s="1"/>
  <c r="AG119" i="60"/>
  <c r="AG40" i="60"/>
  <c r="AG40" i="61" s="1"/>
  <c r="AG39" i="60"/>
  <c r="AG39" i="61" s="1"/>
  <c r="AG47" i="60"/>
  <c r="AG111" i="60"/>
  <c r="AG55" i="60"/>
  <c r="AG43" i="60"/>
  <c r="AG107" i="60"/>
  <c r="R47" i="61"/>
  <c r="R140" i="60"/>
  <c r="AP43" i="61"/>
  <c r="AP135" i="60"/>
  <c r="AP122" i="61"/>
  <c r="AP150" i="60"/>
  <c r="AP160" i="60" s="1"/>
  <c r="BB10" i="61"/>
  <c r="I10" i="61" s="1"/>
  <c r="BL10" i="61" s="1"/>
  <c r="BM10" i="61" s="1"/>
  <c r="G37" i="57"/>
  <c r="G13" i="57" s="1"/>
  <c r="AS38" i="61"/>
  <c r="AS41" i="61" s="1"/>
  <c r="AS139" i="60"/>
  <c r="AS41" i="60"/>
  <c r="AS52" i="60" s="1"/>
  <c r="H67" i="62"/>
  <c r="H66" i="62"/>
  <c r="H64" i="62"/>
  <c r="H73" i="62"/>
  <c r="H77" i="62"/>
  <c r="H76" i="62"/>
  <c r="H80" i="62"/>
  <c r="H75" i="62"/>
  <c r="H79" i="62"/>
  <c r="H82" i="62"/>
  <c r="H74" i="62"/>
  <c r="H78" i="62"/>
  <c r="H65" i="62"/>
  <c r="H30" i="62"/>
  <c r="H59" i="62"/>
  <c r="H45" i="62"/>
  <c r="H32" i="62"/>
  <c r="H50" i="62"/>
  <c r="H49" i="62"/>
  <c r="H52" i="62"/>
  <c r="H35" i="62"/>
  <c r="H43" i="62"/>
  <c r="H55" i="62"/>
  <c r="H39" i="62"/>
  <c r="H28" i="62"/>
  <c r="H31" i="62"/>
  <c r="H44" i="62"/>
  <c r="H11" i="62"/>
  <c r="H19" i="62"/>
  <c r="H15" i="62"/>
  <c r="H37" i="62"/>
  <c r="H40" i="62"/>
  <c r="H18" i="62"/>
  <c r="H58" i="62"/>
  <c r="H42" i="62"/>
  <c r="H48" i="62"/>
  <c r="H17" i="62"/>
  <c r="H20" i="62"/>
  <c r="H47" i="62"/>
  <c r="H29" i="62"/>
  <c r="H16" i="62"/>
  <c r="H54" i="62"/>
  <c r="H14" i="62"/>
  <c r="H57" i="62"/>
  <c r="H51" i="62"/>
  <c r="H41" i="62"/>
  <c r="H56" i="62"/>
  <c r="H46" i="62"/>
  <c r="H33" i="62"/>
  <c r="H27" i="62"/>
  <c r="H36" i="62"/>
  <c r="H53" i="62"/>
  <c r="H34" i="62"/>
  <c r="H38" i="62"/>
  <c r="H26" i="62"/>
  <c r="H23" i="62"/>
  <c r="AI38" i="61"/>
  <c r="T118" i="61"/>
  <c r="T145" i="60"/>
  <c r="T155" i="60" s="1"/>
  <c r="T130" i="61"/>
  <c r="T133" i="61" s="1"/>
  <c r="T146" i="60"/>
  <c r="T156" i="60" s="1"/>
  <c r="T122" i="60"/>
  <c r="T47" i="61"/>
  <c r="T140" i="60"/>
  <c r="AC47" i="61"/>
  <c r="AC140" i="60"/>
  <c r="AU118" i="61"/>
  <c r="AU145" i="60"/>
  <c r="AU155" i="60" s="1"/>
  <c r="AO38" i="61"/>
  <c r="I120" i="60"/>
  <c r="AZ56" i="61"/>
  <c r="AZ58" i="61" s="1"/>
  <c r="AZ136" i="60"/>
  <c r="Q209" i="60" s="1"/>
  <c r="AZ58" i="60"/>
  <c r="AB38" i="61"/>
  <c r="AB41" i="61" s="1"/>
  <c r="AB139" i="60"/>
  <c r="AB41" i="60"/>
  <c r="AB52" i="60" s="1"/>
  <c r="AH47" i="61"/>
  <c r="AH140" i="60"/>
  <c r="M213" i="60" s="1"/>
  <c r="AO47" i="60"/>
  <c r="AO55" i="60"/>
  <c r="AO111" i="60"/>
  <c r="AO103" i="60"/>
  <c r="AO114" i="61" s="1"/>
  <c r="AO119" i="60"/>
  <c r="AO40" i="60"/>
  <c r="AO40" i="61" s="1"/>
  <c r="AO39" i="60"/>
  <c r="AO39" i="61" s="1"/>
  <c r="AO104" i="60"/>
  <c r="AO115" i="61" s="1"/>
  <c r="AO43" i="60"/>
  <c r="AO107" i="60"/>
  <c r="K113" i="61"/>
  <c r="AK113" i="61"/>
  <c r="AK116" i="61" s="1"/>
  <c r="AK149" i="60"/>
  <c r="AK105" i="60"/>
  <c r="AK116" i="60" s="1"/>
  <c r="AR38" i="61"/>
  <c r="AR41" i="61" s="1"/>
  <c r="AR41" i="60"/>
  <c r="Q38" i="61"/>
  <c r="Q139" i="60"/>
  <c r="Q113" i="61"/>
  <c r="R38" i="61"/>
  <c r="R41" i="61" s="1"/>
  <c r="R139" i="60"/>
  <c r="R41" i="60"/>
  <c r="R52" i="60" s="1"/>
  <c r="AN118" i="61"/>
  <c r="AN145" i="60"/>
  <c r="AN155" i="60" s="1"/>
  <c r="R118" i="61"/>
  <c r="R145" i="60"/>
  <c r="R155" i="60" s="1"/>
  <c r="R55" i="61"/>
  <c r="R58" i="61" s="1"/>
  <c r="R136" i="60"/>
  <c r="R58" i="60"/>
  <c r="N113" i="61"/>
  <c r="AX113" i="61"/>
  <c r="AX116" i="61" s="1"/>
  <c r="AX149" i="60"/>
  <c r="AX105" i="60"/>
  <c r="AX116" i="60" s="1"/>
  <c r="L118" i="61"/>
  <c r="L145" i="60"/>
  <c r="L130" i="61"/>
  <c r="L133" i="61" s="1"/>
  <c r="L146" i="60"/>
  <c r="L122" i="60"/>
  <c r="O113" i="61"/>
  <c r="O116" i="61" s="1"/>
  <c r="O149" i="60"/>
  <c r="O105" i="60"/>
  <c r="O116" i="60" s="1"/>
  <c r="AT130" i="61"/>
  <c r="AT133" i="61" s="1"/>
  <c r="AT146" i="60"/>
  <c r="AT122" i="60"/>
  <c r="AT47" i="61"/>
  <c r="AT140" i="60"/>
  <c r="AL118" i="61"/>
  <c r="AL145" i="60"/>
  <c r="AL55" i="61"/>
  <c r="AL58" i="61" s="1"/>
  <c r="AL136" i="60"/>
  <c r="AL58" i="60"/>
  <c r="AL47" i="61"/>
  <c r="AL140" i="60"/>
  <c r="AQ47" i="61"/>
  <c r="AQ140" i="60"/>
  <c r="M113" i="61"/>
  <c r="M116" i="61" s="1"/>
  <c r="M127" i="61" s="1"/>
  <c r="M149" i="60"/>
  <c r="M105" i="60"/>
  <c r="M116" i="60" s="1"/>
  <c r="F80" i="62"/>
  <c r="F79" i="62"/>
  <c r="F78" i="62"/>
  <c r="F77" i="62"/>
  <c r="F76" i="62"/>
  <c r="F75" i="62"/>
  <c r="F74" i="62"/>
  <c r="F73" i="62"/>
  <c r="F66" i="62"/>
  <c r="F64" i="62"/>
  <c r="F67" i="62"/>
  <c r="F65" i="62"/>
  <c r="F82" i="62"/>
  <c r="F59" i="62"/>
  <c r="F49" i="62"/>
  <c r="F30" i="62"/>
  <c r="F32" i="62"/>
  <c r="F50" i="62"/>
  <c r="F45" i="62"/>
  <c r="F18" i="62"/>
  <c r="F11" i="62"/>
  <c r="F55" i="62"/>
  <c r="F37" i="62"/>
  <c r="F15" i="62"/>
  <c r="F40" i="62"/>
  <c r="F42" i="62"/>
  <c r="F31" i="62"/>
  <c r="F58" i="62"/>
  <c r="F47" i="62"/>
  <c r="F17" i="62"/>
  <c r="F43" i="62"/>
  <c r="F28" i="62"/>
  <c r="F27" i="62"/>
  <c r="F38" i="62"/>
  <c r="F36" i="62"/>
  <c r="F44" i="62"/>
  <c r="F19" i="62"/>
  <c r="F57" i="62"/>
  <c r="F35" i="62"/>
  <c r="F39" i="62"/>
  <c r="F51" i="62"/>
  <c r="F33" i="62"/>
  <c r="F34" i="62"/>
  <c r="F46" i="62"/>
  <c r="F29" i="62"/>
  <c r="F53" i="62"/>
  <c r="F56" i="62"/>
  <c r="F41" i="62"/>
  <c r="F16" i="62"/>
  <c r="F48" i="62"/>
  <c r="F54" i="62"/>
  <c r="F52" i="62"/>
  <c r="F14" i="62"/>
  <c r="F20" i="62"/>
  <c r="F26" i="62"/>
  <c r="F23" i="62"/>
  <c r="I48" i="60"/>
  <c r="BL48" i="60" s="1"/>
  <c r="BM48" i="60" s="1"/>
  <c r="P43" i="61"/>
  <c r="P135" i="60"/>
  <c r="P55" i="61"/>
  <c r="P58" i="61" s="1"/>
  <c r="P136" i="60"/>
  <c r="P58" i="60"/>
  <c r="AM122" i="61"/>
  <c r="AM150" i="60"/>
  <c r="AD43" i="61"/>
  <c r="AD135" i="60"/>
  <c r="AD47" i="61"/>
  <c r="AD140" i="60"/>
  <c r="AD130" i="61"/>
  <c r="AD133" i="61" s="1"/>
  <c r="AD146" i="60"/>
  <c r="AD122" i="60"/>
  <c r="AS122" i="61"/>
  <c r="AS150" i="60"/>
  <c r="AS47" i="61"/>
  <c r="AS140" i="60"/>
  <c r="S113" i="61"/>
  <c r="S116" i="61" s="1"/>
  <c r="S149" i="60"/>
  <c r="S159" i="60" s="1"/>
  <c r="S105" i="60"/>
  <c r="S116" i="60" s="1"/>
  <c r="X43" i="61"/>
  <c r="X135" i="60"/>
  <c r="X130" i="61"/>
  <c r="X133" i="61" s="1"/>
  <c r="X146" i="60"/>
  <c r="X122" i="60"/>
  <c r="X55" i="61"/>
  <c r="X58" i="61" s="1"/>
  <c r="X136" i="60"/>
  <c r="X58" i="60"/>
  <c r="V47" i="61"/>
  <c r="V140" i="60"/>
  <c r="K213" i="60" s="1"/>
  <c r="BA56" i="61"/>
  <c r="BA58" i="61" s="1"/>
  <c r="BA136" i="60"/>
  <c r="R209" i="60" s="1"/>
  <c r="BA58" i="60"/>
  <c r="P38" i="61"/>
  <c r="P41" i="61" s="1"/>
  <c r="P139" i="60"/>
  <c r="P41" i="60"/>
  <c r="P52" i="60" s="1"/>
  <c r="M43" i="61"/>
  <c r="M135" i="60"/>
  <c r="M130" i="61"/>
  <c r="M133" i="61" s="1"/>
  <c r="M122" i="60"/>
  <c r="M146" i="60"/>
  <c r="AV113" i="61"/>
  <c r="AV149" i="60"/>
  <c r="AN38" i="61"/>
  <c r="AN41" i="61" s="1"/>
  <c r="AN139" i="60"/>
  <c r="AN41" i="60"/>
  <c r="AN52" i="60" s="1"/>
  <c r="AE118" i="61"/>
  <c r="AE145" i="60"/>
  <c r="O118" i="61"/>
  <c r="O145" i="60"/>
  <c r="O122" i="61"/>
  <c r="O150" i="60"/>
  <c r="O160" i="60" s="1"/>
  <c r="V38" i="61"/>
  <c r="V41" i="61" s="1"/>
  <c r="V139" i="60"/>
  <c r="K212" i="60" s="1"/>
  <c r="V41" i="60"/>
  <c r="V52" i="60" s="1"/>
  <c r="AY56" i="61"/>
  <c r="AY58" i="61" s="1"/>
  <c r="AY136" i="60"/>
  <c r="P209" i="60" s="1"/>
  <c r="AY58" i="60"/>
  <c r="AB118" i="61"/>
  <c r="AB145" i="60"/>
  <c r="AB47" i="61"/>
  <c r="AB140" i="60"/>
  <c r="AJ130" i="61"/>
  <c r="AJ133" i="61" s="1"/>
  <c r="AJ146" i="60"/>
  <c r="AJ156" i="60" s="1"/>
  <c r="AJ122" i="60"/>
  <c r="AJ122" i="61"/>
  <c r="AJ150" i="60"/>
  <c r="AW118" i="61"/>
  <c r="AW145" i="60"/>
  <c r="AW55" i="61"/>
  <c r="AW58" i="61" s="1"/>
  <c r="AW136" i="60"/>
  <c r="N209" i="60" s="1"/>
  <c r="AW58" i="60"/>
  <c r="AE113" i="61"/>
  <c r="AE116" i="61" s="1"/>
  <c r="AE149" i="60"/>
  <c r="AE159" i="60" s="1"/>
  <c r="AE105" i="60"/>
  <c r="AE116" i="60" s="1"/>
  <c r="AT113" i="61"/>
  <c r="AT116" i="61" s="1"/>
  <c r="AT127" i="61" s="1"/>
  <c r="AT149" i="60"/>
  <c r="AT105" i="60"/>
  <c r="AT116" i="60" s="1"/>
  <c r="Y113" i="61"/>
  <c r="Y116" i="61" s="1"/>
  <c r="AA122" i="61"/>
  <c r="AA150" i="60"/>
  <c r="AA160" i="60" s="1"/>
  <c r="S118" i="61"/>
  <c r="S145" i="60"/>
  <c r="L113" i="61"/>
  <c r="L116" i="61" s="1"/>
  <c r="L149" i="60"/>
  <c r="L105" i="60"/>
  <c r="L116" i="60" s="1"/>
  <c r="AI113" i="61"/>
  <c r="K55" i="60"/>
  <c r="K119" i="60"/>
  <c r="K104" i="60"/>
  <c r="K115" i="61" s="1"/>
  <c r="K47" i="60"/>
  <c r="K103" i="60"/>
  <c r="K114" i="61" s="1"/>
  <c r="K40" i="60"/>
  <c r="K40" i="61" s="1"/>
  <c r="K39" i="60"/>
  <c r="K39" i="61" s="1"/>
  <c r="K111" i="60"/>
  <c r="K43" i="60"/>
  <c r="K107" i="60"/>
  <c r="AN55" i="61"/>
  <c r="AN58" i="61" s="1"/>
  <c r="AN136" i="60"/>
  <c r="AN58" i="60"/>
  <c r="AM113" i="61"/>
  <c r="AM116" i="61" s="1"/>
  <c r="AM149" i="60"/>
  <c r="AM105" i="60"/>
  <c r="AM116" i="60" s="1"/>
  <c r="BB113" i="61"/>
  <c r="BB116" i="61" s="1"/>
  <c r="BB127" i="61" s="1"/>
  <c r="BB149" i="60"/>
  <c r="BB105" i="60"/>
  <c r="BB116" i="60" s="1"/>
  <c r="L55" i="61"/>
  <c r="L58" i="61" s="1"/>
  <c r="L136" i="60"/>
  <c r="L58" i="60"/>
  <c r="AA113" i="61"/>
  <c r="AA116" i="61" s="1"/>
  <c r="AA149" i="60"/>
  <c r="AA105" i="60"/>
  <c r="AA116" i="60" s="1"/>
  <c r="O38" i="61"/>
  <c r="O41" i="61" s="1"/>
  <c r="O139" i="60"/>
  <c r="O41" i="60"/>
  <c r="O52" i="60" s="1"/>
  <c r="AQ113" i="61"/>
  <c r="AQ116" i="61" s="1"/>
  <c r="AQ149" i="60"/>
  <c r="AQ159" i="60" s="1"/>
  <c r="AQ105" i="60"/>
  <c r="AQ116" i="60" s="1"/>
  <c r="Z113" i="61"/>
  <c r="AT55" i="61"/>
  <c r="AT58" i="61" s="1"/>
  <c r="AT136" i="60"/>
  <c r="AT58" i="60"/>
  <c r="AL43" i="61"/>
  <c r="AL135" i="60"/>
  <c r="AL122" i="61"/>
  <c r="AL150" i="60"/>
  <c r="AQ122" i="61"/>
  <c r="AQ150" i="60"/>
  <c r="M38" i="61"/>
  <c r="M41" i="61" s="1"/>
  <c r="M52" i="61" s="1"/>
  <c r="M139" i="60"/>
  <c r="M41" i="60"/>
  <c r="M52" i="60" s="1"/>
  <c r="I10" i="60"/>
  <c r="I48" i="61"/>
  <c r="BL48" i="61" s="1"/>
  <c r="BM48" i="61" s="1"/>
  <c r="P47" i="61"/>
  <c r="P140" i="60"/>
  <c r="AM118" i="61"/>
  <c r="AM145" i="60"/>
  <c r="AM130" i="61"/>
  <c r="AM133" i="61" s="1"/>
  <c r="AM146" i="60"/>
  <c r="AM122" i="60"/>
  <c r="AD55" i="61"/>
  <c r="AD58" i="61" s="1"/>
  <c r="AD136" i="60"/>
  <c r="AD58" i="60"/>
  <c r="AS118" i="61"/>
  <c r="AS145" i="60"/>
  <c r="AS155" i="60" s="1"/>
  <c r="AS130" i="61"/>
  <c r="AS133" i="61" s="1"/>
  <c r="AS122" i="60"/>
  <c r="AS146" i="60"/>
  <c r="AS156" i="60" s="1"/>
  <c r="X47" i="61"/>
  <c r="X140" i="60"/>
  <c r="X122" i="61"/>
  <c r="X150" i="60"/>
  <c r="X160" i="60" s="1"/>
  <c r="V118" i="61"/>
  <c r="V145" i="60"/>
  <c r="V130" i="61"/>
  <c r="V133" i="61" s="1"/>
  <c r="V146" i="60"/>
  <c r="V122" i="60"/>
  <c r="V122" i="61"/>
  <c r="V150" i="60"/>
  <c r="BA139" i="60"/>
  <c r="R212" i="60" s="1"/>
  <c r="BA38" i="61"/>
  <c r="BA41" i="61" s="1"/>
  <c r="BA52" i="61" s="1"/>
  <c r="BA41" i="60"/>
  <c r="BA52" i="60" s="1"/>
  <c r="AI55" i="60"/>
  <c r="AI111" i="60"/>
  <c r="AI103" i="60"/>
  <c r="AI114" i="61" s="1"/>
  <c r="AI47" i="60"/>
  <c r="AI119" i="60"/>
  <c r="AI40" i="60"/>
  <c r="AI40" i="61" s="1"/>
  <c r="AI39" i="60"/>
  <c r="AI39" i="61" s="1"/>
  <c r="AI104" i="60"/>
  <c r="AI115" i="61" s="1"/>
  <c r="AI43" i="60"/>
  <c r="AI107" i="60"/>
  <c r="M55" i="61"/>
  <c r="M58" i="61" s="1"/>
  <c r="M136" i="60"/>
  <c r="M58" i="60"/>
  <c r="W38" i="61"/>
  <c r="W41" i="61" s="1"/>
  <c r="W52" i="61" s="1"/>
  <c r="W139" i="60"/>
  <c r="L212" i="60" s="1"/>
  <c r="W41" i="60"/>
  <c r="W52" i="60" s="1"/>
  <c r="AF38" i="61"/>
  <c r="AF41" i="61" s="1"/>
  <c r="AF139" i="60"/>
  <c r="AF41" i="60"/>
  <c r="AF113" i="61"/>
  <c r="AF116" i="61" s="1"/>
  <c r="AF149" i="60"/>
  <c r="AF105" i="60"/>
  <c r="AF116" i="60" s="1"/>
  <c r="U113" i="61"/>
  <c r="U116" i="61" s="1"/>
  <c r="U149" i="60"/>
  <c r="U105" i="60"/>
  <c r="U116" i="60" s="1"/>
  <c r="AG113" i="61"/>
  <c r="AG116" i="61" s="1"/>
  <c r="AG149" i="60"/>
  <c r="W118" i="61"/>
  <c r="W145" i="60"/>
  <c r="W122" i="61"/>
  <c r="W150" i="60"/>
  <c r="AE43" i="61"/>
  <c r="AE135" i="60"/>
  <c r="AE122" i="61"/>
  <c r="AE150" i="60"/>
  <c r="AE55" i="61"/>
  <c r="AE58" i="61" s="1"/>
  <c r="AE136" i="60"/>
  <c r="AE58" i="60"/>
  <c r="O43" i="61"/>
  <c r="O135" i="60"/>
  <c r="O130" i="61"/>
  <c r="O133" i="61" s="1"/>
  <c r="O146" i="60"/>
  <c r="O156" i="60" s="1"/>
  <c r="O122" i="60"/>
  <c r="O55" i="61"/>
  <c r="O58" i="61" s="1"/>
  <c r="O136" i="60"/>
  <c r="O58" i="60"/>
  <c r="T38" i="61"/>
  <c r="T41" i="61" s="1"/>
  <c r="T139" i="60"/>
  <c r="T41" i="60"/>
  <c r="T52" i="60" s="1"/>
  <c r="AY113" i="61"/>
  <c r="AY116" i="61" s="1"/>
  <c r="AY127" i="61" s="1"/>
  <c r="AY149" i="60"/>
  <c r="AY105" i="60"/>
  <c r="AY116" i="60" s="1"/>
  <c r="BR48" i="61"/>
  <c r="AH113" i="61"/>
  <c r="AH116" i="61" s="1"/>
  <c r="AH127" i="61" s="1"/>
  <c r="AH149" i="60"/>
  <c r="AH105" i="60"/>
  <c r="AH116" i="60" s="1"/>
  <c r="AH38" i="61"/>
  <c r="AH41" i="61" s="1"/>
  <c r="AH139" i="60"/>
  <c r="M212" i="60" s="1"/>
  <c r="AH41" i="60"/>
  <c r="AH52" i="60" s="1"/>
  <c r="AB43" i="61"/>
  <c r="AB135" i="60"/>
  <c r="AB55" i="61"/>
  <c r="AB58" i="61" s="1"/>
  <c r="AB136" i="60"/>
  <c r="AB58" i="60"/>
  <c r="AD113" i="61"/>
  <c r="AD116" i="61" s="1"/>
  <c r="AD127" i="61" s="1"/>
  <c r="AD149" i="60"/>
  <c r="AD159" i="60" s="1"/>
  <c r="AD105" i="60"/>
  <c r="AD116" i="60" s="1"/>
  <c r="AW113" i="61"/>
  <c r="AW116" i="61" s="1"/>
  <c r="AW149" i="60"/>
  <c r="AW105" i="60"/>
  <c r="AW116" i="60" s="1"/>
  <c r="AW38" i="61"/>
  <c r="AW41" i="61" s="1"/>
  <c r="AW139" i="60"/>
  <c r="N212" i="60" s="1"/>
  <c r="AW41" i="60"/>
  <c r="AW52" i="60" s="1"/>
  <c r="AJ47" i="61"/>
  <c r="AJ140" i="60"/>
  <c r="AL113" i="61"/>
  <c r="AL116" i="61" s="1"/>
  <c r="AL149" i="60"/>
  <c r="AL159" i="60" s="1"/>
  <c r="AL105" i="60"/>
  <c r="AL116" i="60" s="1"/>
  <c r="AW43" i="61"/>
  <c r="AW135" i="60"/>
  <c r="N208" i="60" s="1"/>
  <c r="AW122" i="61"/>
  <c r="AW150" i="60"/>
  <c r="AT38" i="61"/>
  <c r="AT41" i="61" s="1"/>
  <c r="AT139" i="60"/>
  <c r="AT41" i="60"/>
  <c r="AT52" i="60" s="1"/>
  <c r="Y139" i="60"/>
  <c r="Y38" i="61"/>
  <c r="S43" i="61"/>
  <c r="S135" i="60"/>
  <c r="S55" i="61"/>
  <c r="S58" i="61" s="1"/>
  <c r="S136" i="60"/>
  <c r="S58" i="60"/>
  <c r="L38" i="61"/>
  <c r="L41" i="61" s="1"/>
  <c r="L52" i="61" s="1"/>
  <c r="L139" i="60"/>
  <c r="L41" i="60"/>
  <c r="L52" i="60" s="1"/>
  <c r="Z149" i="60" l="1"/>
  <c r="AV116" i="61"/>
  <c r="N105" i="60"/>
  <c r="N116" i="60" s="1"/>
  <c r="AL127" i="61"/>
  <c r="Z105" i="60"/>
  <c r="Z116" i="60" s="1"/>
  <c r="N149" i="60"/>
  <c r="N159" i="60" s="1"/>
  <c r="AE160" i="60"/>
  <c r="AF52" i="60"/>
  <c r="Z116" i="61"/>
  <c r="AA159" i="60"/>
  <c r="N116" i="61"/>
  <c r="BL10" i="60"/>
  <c r="BM10" i="60" s="1"/>
  <c r="AC9" i="105"/>
  <c r="AS9" i="105" s="1"/>
  <c r="AA156" i="60"/>
  <c r="Y41" i="60"/>
  <c r="Y52" i="60" s="1"/>
  <c r="U159" i="60"/>
  <c r="L127" i="61"/>
  <c r="AN52" i="61"/>
  <c r="Q116" i="61"/>
  <c r="U41" i="60"/>
  <c r="AP159" i="60"/>
  <c r="P12" i="80"/>
  <c r="P28" i="80"/>
  <c r="P19" i="80"/>
  <c r="P14" i="80"/>
  <c r="P9" i="80"/>
  <c r="P21" i="80"/>
  <c r="P20" i="80"/>
  <c r="P15" i="80"/>
  <c r="P17" i="80"/>
  <c r="P22" i="80"/>
  <c r="P10" i="80"/>
  <c r="O8" i="105" s="1"/>
  <c r="Y41" i="61"/>
  <c r="AV105" i="60"/>
  <c r="AV116" i="60" s="1"/>
  <c r="AU156" i="60"/>
  <c r="U41" i="61"/>
  <c r="D21" i="62"/>
  <c r="K105" i="60"/>
  <c r="Y149" i="60"/>
  <c r="Y159" i="60" s="1"/>
  <c r="AB155" i="60"/>
  <c r="AE155" i="60"/>
  <c r="M156" i="60"/>
  <c r="M159" i="60"/>
  <c r="Q105" i="60"/>
  <c r="Q116" i="60" s="1"/>
  <c r="AR52" i="60"/>
  <c r="AF159" i="60"/>
  <c r="O52" i="61"/>
  <c r="AM127" i="61"/>
  <c r="O127" i="61"/>
  <c r="K116" i="61"/>
  <c r="AV41" i="61"/>
  <c r="U52" i="60"/>
  <c r="AW127" i="61"/>
  <c r="R52" i="61"/>
  <c r="AA155" i="60"/>
  <c r="AP156" i="60"/>
  <c r="N174" i="60"/>
  <c r="AW160" i="60"/>
  <c r="AM155" i="60"/>
  <c r="K122" i="61"/>
  <c r="K150" i="60"/>
  <c r="BR58" i="61"/>
  <c r="F21" i="62"/>
  <c r="L155" i="60"/>
  <c r="N173" i="60"/>
  <c r="AW159" i="60"/>
  <c r="AH52" i="61"/>
  <c r="BS48" i="61"/>
  <c r="W155" i="60"/>
  <c r="L169" i="60"/>
  <c r="AI118" i="61"/>
  <c r="AI145" i="60"/>
  <c r="AI122" i="61"/>
  <c r="AI150" i="60"/>
  <c r="V156" i="60"/>
  <c r="K170" i="60"/>
  <c r="AQ160" i="60"/>
  <c r="AA127" i="61"/>
  <c r="AM159" i="60"/>
  <c r="AI149" i="60"/>
  <c r="L159" i="60"/>
  <c r="AJ160" i="60"/>
  <c r="S127" i="61"/>
  <c r="AM160" i="60"/>
  <c r="F60" i="62"/>
  <c r="F85" i="62"/>
  <c r="Q41" i="60"/>
  <c r="Q52" i="60" s="1"/>
  <c r="AR139" i="60"/>
  <c r="AO118" i="61"/>
  <c r="AO145" i="60"/>
  <c r="AO55" i="61"/>
  <c r="AO58" i="61" s="1"/>
  <c r="AO136" i="60"/>
  <c r="AO58" i="60"/>
  <c r="AO41" i="61"/>
  <c r="H60" i="62"/>
  <c r="H21" i="62"/>
  <c r="H85" i="62"/>
  <c r="AG43" i="61"/>
  <c r="AG135" i="60"/>
  <c r="AR47" i="61"/>
  <c r="AR140" i="60"/>
  <c r="K41" i="61"/>
  <c r="T160" i="60"/>
  <c r="AB156" i="60"/>
  <c r="BR41" i="61"/>
  <c r="AY52" i="61"/>
  <c r="Y118" i="61"/>
  <c r="Y145" i="60"/>
  <c r="Y55" i="61"/>
  <c r="Y58" i="61" s="1"/>
  <c r="Y136" i="60"/>
  <c r="Y58" i="60"/>
  <c r="Q47" i="61"/>
  <c r="Q140" i="60"/>
  <c r="AN127" i="61"/>
  <c r="AF118" i="61"/>
  <c r="AF145" i="60"/>
  <c r="AF130" i="61"/>
  <c r="AF133" i="61" s="1"/>
  <c r="AF146" i="60"/>
  <c r="AF122" i="60"/>
  <c r="I85" i="61"/>
  <c r="BL85" i="61" s="1"/>
  <c r="BM85" i="61" s="1"/>
  <c r="BL74" i="60"/>
  <c r="P155" i="60"/>
  <c r="AQ52" i="61"/>
  <c r="AR149" i="60"/>
  <c r="S156" i="60"/>
  <c r="V127" i="61"/>
  <c r="AV118" i="61"/>
  <c r="AV145" i="60"/>
  <c r="AV130" i="61"/>
  <c r="AV133" i="61" s="1"/>
  <c r="AV146" i="60"/>
  <c r="AV122" i="60"/>
  <c r="Z118" i="61"/>
  <c r="Z145" i="60"/>
  <c r="Z122" i="61"/>
  <c r="Z150" i="60"/>
  <c r="W159" i="60"/>
  <c r="L173" i="60"/>
  <c r="AX118" i="61"/>
  <c r="AX145" i="60"/>
  <c r="AX122" i="61"/>
  <c r="AX150" i="60"/>
  <c r="P127" i="61"/>
  <c r="P160" i="60"/>
  <c r="D60" i="62"/>
  <c r="I20" i="62"/>
  <c r="I52" i="62"/>
  <c r="I29" i="62"/>
  <c r="I36" i="62"/>
  <c r="I55" i="62"/>
  <c r="I31" i="62"/>
  <c r="I27" i="62"/>
  <c r="I51" i="62"/>
  <c r="I46" i="62"/>
  <c r="I32" i="62"/>
  <c r="K66" i="62"/>
  <c r="BA6" i="60"/>
  <c r="BA5" i="60"/>
  <c r="BA16" i="60"/>
  <c r="BA16" i="61" s="1"/>
  <c r="BA8" i="60"/>
  <c r="BA8" i="61" s="1"/>
  <c r="BA12" i="60"/>
  <c r="BA12" i="61" s="1"/>
  <c r="BA82" i="60"/>
  <c r="BA93" i="61" s="1"/>
  <c r="BA18" i="60"/>
  <c r="BA18" i="61" s="1"/>
  <c r="BA17" i="60"/>
  <c r="BA17" i="61" s="1"/>
  <c r="BA19" i="60"/>
  <c r="BA19" i="61" s="1"/>
  <c r="BA92" i="60"/>
  <c r="BA28" i="60"/>
  <c r="BA7" i="60"/>
  <c r="BA7" i="61" s="1"/>
  <c r="BA20" i="60"/>
  <c r="BA20" i="61" s="1"/>
  <c r="BA15" i="60"/>
  <c r="BA15" i="61" s="1"/>
  <c r="BA70" i="60"/>
  <c r="BA13" i="60"/>
  <c r="BA13" i="61" s="1"/>
  <c r="BA11" i="60"/>
  <c r="BA11" i="61" s="1"/>
  <c r="BA83" i="60"/>
  <c r="BA94" i="61" s="1"/>
  <c r="BA69" i="60"/>
  <c r="BA75" i="60"/>
  <c r="BA86" i="61" s="1"/>
  <c r="BA71" i="60"/>
  <c r="BA82" i="61" s="1"/>
  <c r="BA80" i="60"/>
  <c r="BA91" i="61" s="1"/>
  <c r="BA84" i="60"/>
  <c r="BA95" i="61" s="1"/>
  <c r="BA81" i="60"/>
  <c r="BA92" i="61" s="1"/>
  <c r="BA79" i="60"/>
  <c r="BA90" i="61" s="1"/>
  <c r="BA77" i="60"/>
  <c r="BA88" i="61" s="1"/>
  <c r="BA76" i="60"/>
  <c r="BA87" i="61" s="1"/>
  <c r="BA72" i="60"/>
  <c r="BA83" i="61" s="1"/>
  <c r="BA9" i="60"/>
  <c r="BA9" i="61" s="1"/>
  <c r="BA73" i="60"/>
  <c r="BA84" i="61" s="1"/>
  <c r="K65" i="62"/>
  <c r="AZ15" i="60"/>
  <c r="AZ15" i="61" s="1"/>
  <c r="AZ12" i="60"/>
  <c r="AZ12" i="61" s="1"/>
  <c r="AZ18" i="60"/>
  <c r="AZ18" i="61" s="1"/>
  <c r="AZ16" i="60"/>
  <c r="AZ16" i="61" s="1"/>
  <c r="AZ82" i="60"/>
  <c r="AZ93" i="61" s="1"/>
  <c r="AZ70" i="60"/>
  <c r="AZ13" i="60"/>
  <c r="AZ13" i="61" s="1"/>
  <c r="AZ8" i="60"/>
  <c r="AZ8" i="61" s="1"/>
  <c r="AZ17" i="60"/>
  <c r="AZ17" i="61" s="1"/>
  <c r="AZ19" i="60"/>
  <c r="AZ19" i="61" s="1"/>
  <c r="AZ5" i="60"/>
  <c r="AZ7" i="60"/>
  <c r="AZ7" i="61" s="1"/>
  <c r="AZ20" i="60"/>
  <c r="AZ20" i="61" s="1"/>
  <c r="AZ6" i="60"/>
  <c r="AZ28" i="60"/>
  <c r="AZ92" i="60"/>
  <c r="AZ11" i="60"/>
  <c r="AZ11" i="61" s="1"/>
  <c r="AZ84" i="60"/>
  <c r="AZ95" i="61" s="1"/>
  <c r="AZ76" i="60"/>
  <c r="AZ87" i="61" s="1"/>
  <c r="AZ83" i="60"/>
  <c r="AZ94" i="61" s="1"/>
  <c r="AZ71" i="60"/>
  <c r="AZ82" i="61" s="1"/>
  <c r="AZ81" i="60"/>
  <c r="AZ92" i="61" s="1"/>
  <c r="AZ69" i="60"/>
  <c r="AZ79" i="60"/>
  <c r="AZ90" i="61" s="1"/>
  <c r="AZ77" i="60"/>
  <c r="AZ88" i="61" s="1"/>
  <c r="AZ9" i="60"/>
  <c r="AZ9" i="61" s="1"/>
  <c r="AZ72" i="60"/>
  <c r="AZ83" i="61" s="1"/>
  <c r="AZ75" i="60"/>
  <c r="AZ86" i="61" s="1"/>
  <c r="AZ80" i="60"/>
  <c r="AZ91" i="61" s="1"/>
  <c r="AZ73" i="60"/>
  <c r="AZ84" i="61" s="1"/>
  <c r="C13" i="57"/>
  <c r="I13" i="57" s="1"/>
  <c r="K13" i="57" s="1"/>
  <c r="I37" i="57"/>
  <c r="K37" i="57" s="1"/>
  <c r="AQ155" i="60"/>
  <c r="AT155" i="60"/>
  <c r="Z41" i="61"/>
  <c r="L160" i="60"/>
  <c r="BB156" i="60"/>
  <c r="S170" i="60"/>
  <c r="U43" i="61"/>
  <c r="U135" i="60"/>
  <c r="U130" i="61"/>
  <c r="U133" i="61" s="1"/>
  <c r="U146" i="60"/>
  <c r="U122" i="60"/>
  <c r="AK47" i="61"/>
  <c r="AK140" i="60"/>
  <c r="AK55" i="61"/>
  <c r="AK58" i="61" s="1"/>
  <c r="AK136" i="60"/>
  <c r="AK58" i="60"/>
  <c r="M170" i="60"/>
  <c r="AH156" i="60"/>
  <c r="AZ159" i="60"/>
  <c r="Q173" i="60"/>
  <c r="J47" i="61"/>
  <c r="J140" i="60"/>
  <c r="I47" i="60"/>
  <c r="J40" i="61"/>
  <c r="I40" i="61" s="1"/>
  <c r="BL40" i="61" s="1"/>
  <c r="BM40" i="61" s="1"/>
  <c r="I40" i="60"/>
  <c r="BL40" i="60" s="1"/>
  <c r="BM40" i="60" s="1"/>
  <c r="AO149" i="60"/>
  <c r="AX41" i="61"/>
  <c r="AC127" i="61"/>
  <c r="N43" i="61"/>
  <c r="N135" i="60"/>
  <c r="AI130" i="61"/>
  <c r="AI133" i="61" s="1"/>
  <c r="AI146" i="60"/>
  <c r="AI122" i="60"/>
  <c r="V160" i="60"/>
  <c r="K174" i="60"/>
  <c r="K118" i="61"/>
  <c r="K145" i="60"/>
  <c r="AI116" i="61"/>
  <c r="AI127" i="61" s="1"/>
  <c r="O155" i="60"/>
  <c r="AO130" i="61"/>
  <c r="AO133" i="61" s="1"/>
  <c r="AO122" i="60"/>
  <c r="AO146" i="60"/>
  <c r="AO156" i="60" s="1"/>
  <c r="AO139" i="60"/>
  <c r="AI41" i="60"/>
  <c r="AI52" i="60" s="1"/>
  <c r="AG55" i="61"/>
  <c r="AG58" i="61" s="1"/>
  <c r="AG136" i="60"/>
  <c r="AG58" i="60"/>
  <c r="AR118" i="61"/>
  <c r="AR145" i="60"/>
  <c r="AR122" i="61"/>
  <c r="AR150" i="60"/>
  <c r="AR160" i="60" s="1"/>
  <c r="AC52" i="61"/>
  <c r="N170" i="60"/>
  <c r="AW156" i="60"/>
  <c r="AL52" i="61"/>
  <c r="Y43" i="61"/>
  <c r="Y135" i="60"/>
  <c r="Y122" i="61"/>
  <c r="Y150" i="60"/>
  <c r="Q130" i="61"/>
  <c r="Q133" i="61" s="1"/>
  <c r="Q146" i="60"/>
  <c r="Q122" i="60"/>
  <c r="AF43" i="61"/>
  <c r="AF135" i="60"/>
  <c r="AF122" i="61"/>
  <c r="AF150" i="60"/>
  <c r="AF55" i="61"/>
  <c r="AF58" i="61" s="1"/>
  <c r="AF136" i="60"/>
  <c r="AF58" i="60"/>
  <c r="X155" i="60"/>
  <c r="S52" i="61"/>
  <c r="AD155" i="60"/>
  <c r="R159" i="60"/>
  <c r="AR116" i="61"/>
  <c r="AV43" i="61"/>
  <c r="AV135" i="60"/>
  <c r="AV55" i="61"/>
  <c r="AV58" i="61" s="1"/>
  <c r="AV136" i="60"/>
  <c r="AV58" i="60"/>
  <c r="Z43" i="61"/>
  <c r="Z135" i="60"/>
  <c r="Z55" i="61"/>
  <c r="Z58" i="61" s="1"/>
  <c r="Z136" i="60"/>
  <c r="Z58" i="60"/>
  <c r="Z130" i="61"/>
  <c r="Z133" i="61" s="1"/>
  <c r="Z146" i="60"/>
  <c r="Z122" i="60"/>
  <c r="W156" i="60"/>
  <c r="L170" i="60"/>
  <c r="AG41" i="60"/>
  <c r="AG52" i="60" s="1"/>
  <c r="W127" i="61"/>
  <c r="AX43" i="61"/>
  <c r="AX135" i="60"/>
  <c r="O208" i="60" s="1"/>
  <c r="AX130" i="61"/>
  <c r="AX133" i="61" s="1"/>
  <c r="AX146" i="60"/>
  <c r="AX122" i="60"/>
  <c r="AP52" i="61"/>
  <c r="AD160" i="60"/>
  <c r="I40" i="62"/>
  <c r="I37" i="62"/>
  <c r="I41" i="62"/>
  <c r="I57" i="62"/>
  <c r="I35" i="62"/>
  <c r="I16" i="62"/>
  <c r="I28" i="62"/>
  <c r="I50" i="62"/>
  <c r="I45" i="62"/>
  <c r="K64" i="62"/>
  <c r="AY28" i="60"/>
  <c r="AY70" i="60"/>
  <c r="AY15" i="60"/>
  <c r="AY15" i="61" s="1"/>
  <c r="AY18" i="60"/>
  <c r="AY18" i="61" s="1"/>
  <c r="AY82" i="60"/>
  <c r="AY93" i="61" s="1"/>
  <c r="AY6" i="60"/>
  <c r="AY16" i="60"/>
  <c r="AY16" i="61" s="1"/>
  <c r="AY17" i="60"/>
  <c r="AY17" i="61" s="1"/>
  <c r="AY8" i="60"/>
  <c r="AY8" i="61" s="1"/>
  <c r="AY5" i="60"/>
  <c r="AY11" i="60"/>
  <c r="AY11" i="61" s="1"/>
  <c r="AY7" i="60"/>
  <c r="AY7" i="61" s="1"/>
  <c r="AY20" i="60"/>
  <c r="AY20" i="61" s="1"/>
  <c r="AY12" i="60"/>
  <c r="AY12" i="61" s="1"/>
  <c r="AY13" i="60"/>
  <c r="AY13" i="61" s="1"/>
  <c r="AY19" i="60"/>
  <c r="AY19" i="61" s="1"/>
  <c r="AY92" i="60"/>
  <c r="AY81" i="60"/>
  <c r="AY92" i="61" s="1"/>
  <c r="AY79" i="60"/>
  <c r="AY90" i="61" s="1"/>
  <c r="AY77" i="60"/>
  <c r="AY88" i="61" s="1"/>
  <c r="AY71" i="60"/>
  <c r="AY82" i="61" s="1"/>
  <c r="AY84" i="60"/>
  <c r="AY95" i="61" s="1"/>
  <c r="AY83" i="60"/>
  <c r="AY94" i="61" s="1"/>
  <c r="AY69" i="60"/>
  <c r="AY76" i="60"/>
  <c r="AY87" i="61" s="1"/>
  <c r="AY75" i="60"/>
  <c r="AY86" i="61" s="1"/>
  <c r="AY80" i="60"/>
  <c r="AY91" i="61" s="1"/>
  <c r="AY9" i="60"/>
  <c r="AY9" i="61" s="1"/>
  <c r="AY72" i="60"/>
  <c r="AY83" i="61" s="1"/>
  <c r="AY73" i="60"/>
  <c r="AY84" i="61" s="1"/>
  <c r="K79" i="62"/>
  <c r="BJ5" i="60"/>
  <c r="BJ18" i="60"/>
  <c r="BJ13" i="60"/>
  <c r="BJ16" i="60"/>
  <c r="BJ19" i="60"/>
  <c r="BJ92" i="60"/>
  <c r="BJ70" i="60"/>
  <c r="BJ8" i="60"/>
  <c r="BJ82" i="60"/>
  <c r="BJ28" i="60"/>
  <c r="BJ30" i="60" s="1"/>
  <c r="BJ17" i="60"/>
  <c r="BJ12" i="60"/>
  <c r="BJ6" i="60"/>
  <c r="BJ7" i="60"/>
  <c r="BJ20" i="60"/>
  <c r="BJ15" i="60"/>
  <c r="BJ11" i="60"/>
  <c r="BJ83" i="60"/>
  <c r="BJ81" i="60"/>
  <c r="BJ77" i="60"/>
  <c r="BJ71" i="60"/>
  <c r="BJ84" i="60"/>
  <c r="BJ69" i="60"/>
  <c r="BJ76" i="60"/>
  <c r="BJ79" i="60"/>
  <c r="BJ72" i="60"/>
  <c r="BJ80" i="60"/>
  <c r="BJ75" i="60"/>
  <c r="BJ9" i="60"/>
  <c r="BJ73" i="60"/>
  <c r="K74" i="62"/>
  <c r="BE70" i="60"/>
  <c r="BE6" i="60"/>
  <c r="BE16" i="60"/>
  <c r="BE19" i="60"/>
  <c r="BE17" i="60"/>
  <c r="BE18" i="60"/>
  <c r="BE7" i="60"/>
  <c r="BE20" i="60"/>
  <c r="BE5" i="60"/>
  <c r="BE8" i="60"/>
  <c r="BE12" i="60"/>
  <c r="BE92" i="60"/>
  <c r="BE82" i="60"/>
  <c r="BE13" i="60"/>
  <c r="BE11" i="60"/>
  <c r="BE15" i="60"/>
  <c r="BE28" i="60"/>
  <c r="BE30" i="60" s="1"/>
  <c r="BE76" i="60"/>
  <c r="BE69" i="60"/>
  <c r="BE81" i="60"/>
  <c r="BE71" i="60"/>
  <c r="BE84" i="60"/>
  <c r="BE83" i="60"/>
  <c r="BE79" i="60"/>
  <c r="BE77" i="60"/>
  <c r="BE9" i="60"/>
  <c r="BE80" i="60"/>
  <c r="BE72" i="60"/>
  <c r="BE75" i="60"/>
  <c r="BE73" i="60"/>
  <c r="D85" i="62"/>
  <c r="K67" i="62"/>
  <c r="BB18" i="60"/>
  <c r="BB5" i="60"/>
  <c r="BB13" i="60"/>
  <c r="BB17" i="60"/>
  <c r="BB12" i="60"/>
  <c r="BB7" i="60"/>
  <c r="BB20" i="60"/>
  <c r="BB72" i="60"/>
  <c r="BB83" i="61" s="1"/>
  <c r="BB6" i="60"/>
  <c r="BB15" i="60"/>
  <c r="BB28" i="60"/>
  <c r="BB16" i="60"/>
  <c r="BB19" i="60"/>
  <c r="BB8" i="60"/>
  <c r="BB70" i="60"/>
  <c r="BB82" i="60"/>
  <c r="BB93" i="61" s="1"/>
  <c r="BB92" i="60"/>
  <c r="BB81" i="60"/>
  <c r="BB92" i="61" s="1"/>
  <c r="BB76" i="60"/>
  <c r="BB87" i="61" s="1"/>
  <c r="BB83" i="60"/>
  <c r="BB94" i="61" s="1"/>
  <c r="BB84" i="60"/>
  <c r="BB95" i="61" s="1"/>
  <c r="BB11" i="60"/>
  <c r="BB80" i="60"/>
  <c r="BB91" i="61" s="1"/>
  <c r="BB79" i="60"/>
  <c r="BB90" i="61" s="1"/>
  <c r="BB77" i="60"/>
  <c r="BB88" i="61" s="1"/>
  <c r="BB75" i="60"/>
  <c r="BB86" i="61" s="1"/>
  <c r="BB69" i="60"/>
  <c r="BB71" i="60"/>
  <c r="BB82" i="61" s="1"/>
  <c r="BB9" i="60"/>
  <c r="BB73" i="60"/>
  <c r="BB84" i="61" s="1"/>
  <c r="AP155" i="60"/>
  <c r="U55" i="61"/>
  <c r="U58" i="61" s="1"/>
  <c r="U136" i="60"/>
  <c r="U58" i="60"/>
  <c r="U47" i="61"/>
  <c r="U140" i="60"/>
  <c r="AK118" i="61"/>
  <c r="AK145" i="60"/>
  <c r="AK122" i="61"/>
  <c r="AK150" i="60"/>
  <c r="AK160" i="60" s="1"/>
  <c r="AB159" i="60"/>
  <c r="J115" i="61"/>
  <c r="I104" i="60"/>
  <c r="J130" i="61"/>
  <c r="J133" i="61" s="1"/>
  <c r="J146" i="60"/>
  <c r="J122" i="60"/>
  <c r="I119" i="60"/>
  <c r="I123" i="61"/>
  <c r="BL123" i="61" s="1"/>
  <c r="BM123" i="61" s="1"/>
  <c r="BL112" i="60"/>
  <c r="AO116" i="61"/>
  <c r="R160" i="60"/>
  <c r="AK41" i="60"/>
  <c r="AK52" i="60" s="1"/>
  <c r="N47" i="61"/>
  <c r="N140" i="60"/>
  <c r="N130" i="61"/>
  <c r="N133" i="61" s="1"/>
  <c r="N146" i="60"/>
  <c r="N122" i="60"/>
  <c r="BM38" i="60"/>
  <c r="AI43" i="61"/>
  <c r="AI135" i="60"/>
  <c r="AI55" i="61"/>
  <c r="AI58" i="61" s="1"/>
  <c r="AI136" i="60"/>
  <c r="AI58" i="60"/>
  <c r="AM156" i="60"/>
  <c r="S173" i="60"/>
  <c r="BB159" i="60"/>
  <c r="K130" i="61"/>
  <c r="K133" i="61" s="1"/>
  <c r="K146" i="60"/>
  <c r="K122" i="60"/>
  <c r="L156" i="60"/>
  <c r="K116" i="60"/>
  <c r="AO43" i="61"/>
  <c r="AO135" i="60"/>
  <c r="AO47" i="61"/>
  <c r="AO140" i="60"/>
  <c r="AT52" i="61"/>
  <c r="AW52" i="61"/>
  <c r="M173" i="60"/>
  <c r="AH159" i="60"/>
  <c r="AY159" i="60"/>
  <c r="P173" i="60"/>
  <c r="T52" i="61"/>
  <c r="W160" i="60"/>
  <c r="L174" i="60"/>
  <c r="AG105" i="60"/>
  <c r="AG116" i="60" s="1"/>
  <c r="AF127" i="61"/>
  <c r="AI47" i="61"/>
  <c r="AI140" i="60"/>
  <c r="K169" i="60"/>
  <c r="V155" i="60"/>
  <c r="AL160" i="60"/>
  <c r="AQ127" i="61"/>
  <c r="K43" i="61"/>
  <c r="K135" i="60"/>
  <c r="K55" i="61"/>
  <c r="K58" i="61" s="1"/>
  <c r="K136" i="60"/>
  <c r="K58" i="60"/>
  <c r="S155" i="60"/>
  <c r="Y105" i="60"/>
  <c r="Y116" i="60" s="1"/>
  <c r="AT159" i="60"/>
  <c r="AE127" i="61"/>
  <c r="N169" i="60"/>
  <c r="AW155" i="60"/>
  <c r="V52" i="61"/>
  <c r="P52" i="61"/>
  <c r="I38" i="61"/>
  <c r="X156" i="60"/>
  <c r="AD156" i="60"/>
  <c r="AL155" i="60"/>
  <c r="O159" i="60"/>
  <c r="O173" i="60"/>
  <c r="Q149" i="60"/>
  <c r="Q159" i="60" s="1"/>
  <c r="Q41" i="61"/>
  <c r="K149" i="60"/>
  <c r="AB52" i="61"/>
  <c r="I131" i="61"/>
  <c r="BL131" i="61" s="1"/>
  <c r="BM131" i="61" s="1"/>
  <c r="BL120" i="60"/>
  <c r="AI139" i="60"/>
  <c r="AS52" i="61"/>
  <c r="AG122" i="61"/>
  <c r="AG150" i="60"/>
  <c r="AG130" i="61"/>
  <c r="AG133" i="61" s="1"/>
  <c r="AG146" i="60"/>
  <c r="AG122" i="60"/>
  <c r="AR43" i="61"/>
  <c r="AR52" i="61" s="1"/>
  <c r="AR135" i="60"/>
  <c r="AR130" i="61"/>
  <c r="AR133" i="61" s="1"/>
  <c r="AR146" i="60"/>
  <c r="AR122" i="60"/>
  <c r="AR55" i="61"/>
  <c r="AR58" i="61" s="1"/>
  <c r="AR136" i="60"/>
  <c r="AR58" i="60"/>
  <c r="K41" i="60"/>
  <c r="K52" i="60" s="1"/>
  <c r="I56" i="61"/>
  <c r="BL56" i="61" s="1"/>
  <c r="BM56" i="61" s="1"/>
  <c r="AY156" i="60"/>
  <c r="P170" i="60"/>
  <c r="Y47" i="61"/>
  <c r="Y52" i="61" s="1"/>
  <c r="Y140" i="60"/>
  <c r="Q118" i="61"/>
  <c r="Q145" i="60"/>
  <c r="Q55" i="61"/>
  <c r="Q58" i="61" s="1"/>
  <c r="Q136" i="60"/>
  <c r="Q58" i="60"/>
  <c r="AV139" i="60"/>
  <c r="AV159" i="60" s="1"/>
  <c r="AF47" i="61"/>
  <c r="AF140" i="60"/>
  <c r="R170" i="60"/>
  <c r="BA156" i="60"/>
  <c r="P156" i="60"/>
  <c r="AL156" i="60"/>
  <c r="R156" i="60"/>
  <c r="R127" i="61"/>
  <c r="M174" i="60"/>
  <c r="AH160" i="60"/>
  <c r="X127" i="61"/>
  <c r="S160" i="60"/>
  <c r="AJ155" i="60"/>
  <c r="AD52" i="61"/>
  <c r="T159" i="60"/>
  <c r="AV47" i="61"/>
  <c r="AV140" i="60"/>
  <c r="AG139" i="60"/>
  <c r="AG159" i="60" s="1"/>
  <c r="M160" i="60"/>
  <c r="AX47" i="61"/>
  <c r="BP47" i="61" s="1"/>
  <c r="AX140" i="60"/>
  <c r="O213" i="60" s="1"/>
  <c r="R173" i="60"/>
  <c r="BA159" i="60"/>
  <c r="AP127" i="61"/>
  <c r="I14" i="62"/>
  <c r="I33" i="62"/>
  <c r="I48" i="62"/>
  <c r="I38" i="62"/>
  <c r="I47" i="62"/>
  <c r="I44" i="62"/>
  <c r="I15" i="62"/>
  <c r="I53" i="62"/>
  <c r="I39" i="62"/>
  <c r="I30" i="62"/>
  <c r="I49" i="62"/>
  <c r="K77" i="62"/>
  <c r="BH15" i="60"/>
  <c r="BH12" i="60"/>
  <c r="BH17" i="60"/>
  <c r="BH19" i="60"/>
  <c r="BH82" i="60"/>
  <c r="BH5" i="60"/>
  <c r="BH13" i="60"/>
  <c r="BH18" i="60"/>
  <c r="BH7" i="60"/>
  <c r="BH20" i="60"/>
  <c r="BH6" i="60"/>
  <c r="BH28" i="60"/>
  <c r="BH30" i="60" s="1"/>
  <c r="BH11" i="60"/>
  <c r="BH8" i="60"/>
  <c r="BH16" i="60"/>
  <c r="BH70" i="60"/>
  <c r="BH92" i="60"/>
  <c r="BH71" i="60"/>
  <c r="BH83" i="60"/>
  <c r="BH81" i="60"/>
  <c r="BH76" i="60"/>
  <c r="BH69" i="60"/>
  <c r="BH79" i="60"/>
  <c r="BH77" i="60"/>
  <c r="BH84" i="60"/>
  <c r="BH72" i="60"/>
  <c r="BH80" i="60"/>
  <c r="BH9" i="60"/>
  <c r="BH75" i="60"/>
  <c r="BH73" i="60"/>
  <c r="K75" i="62"/>
  <c r="BF7" i="60"/>
  <c r="BF18" i="60"/>
  <c r="BF20" i="60"/>
  <c r="BF8" i="60"/>
  <c r="BF82" i="60"/>
  <c r="BF28" i="60"/>
  <c r="BF30" i="60" s="1"/>
  <c r="BF5" i="60"/>
  <c r="BF12" i="60"/>
  <c r="BF70" i="60"/>
  <c r="BF147" i="60" s="1"/>
  <c r="BF6" i="60"/>
  <c r="BF137" i="60" s="1"/>
  <c r="BF13" i="60"/>
  <c r="BF17" i="60"/>
  <c r="BF11" i="60"/>
  <c r="BF16" i="60"/>
  <c r="BF19" i="60"/>
  <c r="BF92" i="60"/>
  <c r="BF15" i="60"/>
  <c r="BF71" i="60"/>
  <c r="BF84" i="60"/>
  <c r="BF79" i="60"/>
  <c r="BF76" i="60"/>
  <c r="BF81" i="60"/>
  <c r="BF77" i="60"/>
  <c r="BF80" i="60"/>
  <c r="BF83" i="60"/>
  <c r="BF69" i="60"/>
  <c r="BF72" i="60"/>
  <c r="BF9" i="60"/>
  <c r="BF75" i="60"/>
  <c r="BF73" i="60"/>
  <c r="K80" i="62"/>
  <c r="BK70" i="60"/>
  <c r="BK28" i="60"/>
  <c r="BK30" i="60" s="1"/>
  <c r="BK20" i="60"/>
  <c r="AH26" i="105" s="1"/>
  <c r="BK7" i="60"/>
  <c r="AH6" i="105" s="1"/>
  <c r="BK8" i="60"/>
  <c r="AH7" i="105" s="1"/>
  <c r="BK5" i="60"/>
  <c r="BK11" i="60"/>
  <c r="AH10" i="105" s="1"/>
  <c r="BK12" i="60"/>
  <c r="AH12" i="105" s="1"/>
  <c r="BK13" i="60"/>
  <c r="AH13" i="105" s="1"/>
  <c r="BK19" i="60"/>
  <c r="AH20" i="105" s="1"/>
  <c r="BK15" i="60"/>
  <c r="AH15" i="105" s="1"/>
  <c r="BK82" i="60"/>
  <c r="BK93" i="61" s="1"/>
  <c r="BK18" i="60"/>
  <c r="AH19" i="105" s="1"/>
  <c r="BK17" i="60"/>
  <c r="AH18" i="105" s="1"/>
  <c r="BK6" i="60"/>
  <c r="BK16" i="60"/>
  <c r="AH17" i="105" s="1"/>
  <c r="BK92" i="60"/>
  <c r="BK84" i="60"/>
  <c r="BK95" i="61" s="1"/>
  <c r="BK69" i="60"/>
  <c r="BK79" i="60"/>
  <c r="BK90" i="61" s="1"/>
  <c r="BK83" i="60"/>
  <c r="BK94" i="61" s="1"/>
  <c r="BK76" i="60"/>
  <c r="BK87" i="61" s="1"/>
  <c r="BK77" i="60"/>
  <c r="BK88" i="61" s="1"/>
  <c r="BK80" i="60"/>
  <c r="BK91" i="61" s="1"/>
  <c r="BK71" i="60"/>
  <c r="BK82" i="61" s="1"/>
  <c r="BK81" i="60"/>
  <c r="BK92" i="61" s="1"/>
  <c r="BK9" i="60"/>
  <c r="AH8" i="105" s="1"/>
  <c r="AJ8" i="105" s="1"/>
  <c r="S10" i="80" s="1"/>
  <c r="BK72" i="60"/>
  <c r="BK83" i="61" s="1"/>
  <c r="BK75" i="60"/>
  <c r="BK86" i="61" s="1"/>
  <c r="BK73" i="60"/>
  <c r="BK84" i="61" s="1"/>
  <c r="AQ156" i="60"/>
  <c r="AT160" i="60"/>
  <c r="Z41" i="60"/>
  <c r="Z52" i="60" s="1"/>
  <c r="AS159" i="60"/>
  <c r="N52" i="61"/>
  <c r="AM52" i="61"/>
  <c r="U122" i="61"/>
  <c r="U150" i="60"/>
  <c r="AK43" i="61"/>
  <c r="AK135" i="60"/>
  <c r="AK130" i="61"/>
  <c r="AK133" i="61" s="1"/>
  <c r="AK146" i="60"/>
  <c r="AK156" i="60" s="1"/>
  <c r="AK122" i="60"/>
  <c r="M169" i="60"/>
  <c r="AH155" i="60"/>
  <c r="AB127" i="61"/>
  <c r="J118" i="61"/>
  <c r="I107" i="60"/>
  <c r="J145" i="60"/>
  <c r="J122" i="61"/>
  <c r="J150" i="60"/>
  <c r="I111" i="60"/>
  <c r="J39" i="61"/>
  <c r="I39" i="60"/>
  <c r="J41" i="60"/>
  <c r="J52" i="60" s="1"/>
  <c r="J139" i="60"/>
  <c r="AU160" i="60"/>
  <c r="AX41" i="60"/>
  <c r="AX52" i="60" s="1"/>
  <c r="AJ52" i="61"/>
  <c r="AN156" i="60"/>
  <c r="AK41" i="61"/>
  <c r="AK52" i="61" s="1"/>
  <c r="N55" i="61"/>
  <c r="N58" i="61" s="1"/>
  <c r="N136" i="60"/>
  <c r="N58" i="60"/>
  <c r="AC160" i="60"/>
  <c r="K47" i="61"/>
  <c r="K140" i="60"/>
  <c r="AI105" i="60"/>
  <c r="AI116" i="60" s="1"/>
  <c r="AS160" i="60"/>
  <c r="AT156" i="60"/>
  <c r="AO122" i="61"/>
  <c r="AO150" i="60"/>
  <c r="AO41" i="60"/>
  <c r="AO52" i="60" s="1"/>
  <c r="AI41" i="61"/>
  <c r="AG118" i="61"/>
  <c r="AG145" i="60"/>
  <c r="AG155" i="60" s="1"/>
  <c r="AG47" i="61"/>
  <c r="AG140" i="60"/>
  <c r="K139" i="60"/>
  <c r="Q170" i="60"/>
  <c r="AZ156" i="60"/>
  <c r="AU127" i="61"/>
  <c r="Y130" i="61"/>
  <c r="Y133" i="61" s="1"/>
  <c r="Y122" i="60"/>
  <c r="Y146" i="60"/>
  <c r="Q43" i="61"/>
  <c r="Q135" i="60"/>
  <c r="Q122" i="61"/>
  <c r="Q150" i="60"/>
  <c r="Q160" i="60" s="1"/>
  <c r="AN159" i="60"/>
  <c r="AV52" i="61"/>
  <c r="M155" i="60"/>
  <c r="I132" i="61"/>
  <c r="BL132" i="61" s="1"/>
  <c r="BM132" i="61" s="1"/>
  <c r="BL121" i="60"/>
  <c r="AR105" i="60"/>
  <c r="AR116" i="60" s="1"/>
  <c r="AU52" i="61"/>
  <c r="AE52" i="61"/>
  <c r="AB160" i="60"/>
  <c r="K173" i="60"/>
  <c r="V159" i="60"/>
  <c r="T127" i="61"/>
  <c r="AV122" i="61"/>
  <c r="AV127" i="61" s="1"/>
  <c r="AV150" i="60"/>
  <c r="AV160" i="60" s="1"/>
  <c r="Z47" i="61"/>
  <c r="Z140" i="60"/>
  <c r="AE156" i="60"/>
  <c r="AG41" i="61"/>
  <c r="AX55" i="61"/>
  <c r="AX58" i="61" s="1"/>
  <c r="AX136" i="60"/>
  <c r="O209" i="60" s="1"/>
  <c r="AX58" i="60"/>
  <c r="P159" i="60"/>
  <c r="I26" i="62"/>
  <c r="I34" i="62"/>
  <c r="I56" i="62"/>
  <c r="I18" i="62"/>
  <c r="I43" i="62"/>
  <c r="I58" i="62"/>
  <c r="I17" i="62"/>
  <c r="I19" i="62"/>
  <c r="I42" i="62"/>
  <c r="I54" i="62"/>
  <c r="I59" i="62"/>
  <c r="I82" i="62"/>
  <c r="K73" i="62"/>
  <c r="BD15" i="60"/>
  <c r="BD12" i="60"/>
  <c r="BD6" i="60"/>
  <c r="BD28" i="60"/>
  <c r="BD82" i="60"/>
  <c r="BD70" i="60"/>
  <c r="BD17" i="60"/>
  <c r="BD7" i="60"/>
  <c r="BD20" i="60"/>
  <c r="BD16" i="60"/>
  <c r="BD8" i="60"/>
  <c r="BD19" i="60"/>
  <c r="BD5" i="60"/>
  <c r="BD13" i="60"/>
  <c r="BD18" i="60"/>
  <c r="BD92" i="60"/>
  <c r="BD11" i="60"/>
  <c r="BD81" i="60"/>
  <c r="BD71" i="60"/>
  <c r="BD84" i="60"/>
  <c r="BD80" i="60"/>
  <c r="BD69" i="60"/>
  <c r="BD79" i="60"/>
  <c r="BD83" i="60"/>
  <c r="BD77" i="60"/>
  <c r="BD76" i="60"/>
  <c r="BD9" i="60"/>
  <c r="BD75" i="60"/>
  <c r="BD72" i="60"/>
  <c r="BD73" i="60"/>
  <c r="K76" i="62"/>
  <c r="BG28" i="60"/>
  <c r="BG30" i="60" s="1"/>
  <c r="BG20" i="60"/>
  <c r="BG12" i="60"/>
  <c r="BG82" i="60"/>
  <c r="BG13" i="60"/>
  <c r="BG19" i="60"/>
  <c r="BG70" i="60"/>
  <c r="BG7" i="60"/>
  <c r="BG8" i="60"/>
  <c r="BG15" i="60"/>
  <c r="BG18" i="60"/>
  <c r="BG11" i="60"/>
  <c r="BG6" i="60"/>
  <c r="BG16" i="60"/>
  <c r="BG17" i="60"/>
  <c r="BG5" i="60"/>
  <c r="BG92" i="60"/>
  <c r="BG71" i="60"/>
  <c r="BG69" i="60"/>
  <c r="BG76" i="60"/>
  <c r="BG84" i="60"/>
  <c r="BG83" i="60"/>
  <c r="BG81" i="60"/>
  <c r="BG79" i="60"/>
  <c r="BG77" i="60"/>
  <c r="BG75" i="60"/>
  <c r="BG9" i="60"/>
  <c r="BG80" i="60"/>
  <c r="BG72" i="60"/>
  <c r="BG73" i="60"/>
  <c r="K78" i="62"/>
  <c r="BI16" i="60"/>
  <c r="BI19" i="60"/>
  <c r="BI6" i="60"/>
  <c r="BI7" i="60"/>
  <c r="BI20" i="60"/>
  <c r="BI82" i="60"/>
  <c r="BI15" i="60"/>
  <c r="BI28" i="60"/>
  <c r="BI30" i="60" s="1"/>
  <c r="BI18" i="60"/>
  <c r="BI11" i="60"/>
  <c r="BI5" i="60"/>
  <c r="BI8" i="60"/>
  <c r="BI12" i="60"/>
  <c r="BI17" i="60"/>
  <c r="BI13" i="60"/>
  <c r="BI70" i="60"/>
  <c r="BI92" i="60"/>
  <c r="BI69" i="60"/>
  <c r="BI79" i="60"/>
  <c r="BI77" i="60"/>
  <c r="BI72" i="60"/>
  <c r="BI80" i="60"/>
  <c r="BI84" i="60"/>
  <c r="BI83" i="60"/>
  <c r="BI81" i="60"/>
  <c r="BI71" i="60"/>
  <c r="BI76" i="60"/>
  <c r="BI9" i="60"/>
  <c r="BI75" i="60"/>
  <c r="BI73" i="60"/>
  <c r="Z139" i="60"/>
  <c r="Z159" i="60" s="1"/>
  <c r="AS127" i="61"/>
  <c r="AJ127" i="61"/>
  <c r="U118" i="61"/>
  <c r="U127" i="61" s="1"/>
  <c r="U145" i="60"/>
  <c r="U155" i="60" s="1"/>
  <c r="J43" i="61"/>
  <c r="J135" i="60"/>
  <c r="I43" i="60"/>
  <c r="J55" i="61"/>
  <c r="J136" i="60"/>
  <c r="J58" i="60"/>
  <c r="I55" i="60"/>
  <c r="J114" i="61"/>
  <c r="J116" i="61" s="1"/>
  <c r="I103" i="60"/>
  <c r="J105" i="60"/>
  <c r="J116" i="60" s="1"/>
  <c r="J149" i="60"/>
  <c r="AO105" i="60"/>
  <c r="AO116" i="60" s="1"/>
  <c r="AC155" i="60"/>
  <c r="X52" i="61"/>
  <c r="AA52" i="61"/>
  <c r="AX139" i="60"/>
  <c r="O212" i="60" s="1"/>
  <c r="AC159" i="60"/>
  <c r="AK139" i="60"/>
  <c r="AK159" i="60" s="1"/>
  <c r="N118" i="61"/>
  <c r="N145" i="60"/>
  <c r="N155" i="60" s="1"/>
  <c r="N122" i="61"/>
  <c r="N150" i="60"/>
  <c r="N160" i="60" s="1"/>
  <c r="BL113" i="61"/>
  <c r="AG156" i="60" l="1"/>
  <c r="J208" i="60"/>
  <c r="U160" i="60"/>
  <c r="AR156" i="60"/>
  <c r="BJ147" i="60"/>
  <c r="AR159" i="60"/>
  <c r="K127" i="61"/>
  <c r="AH29" i="105"/>
  <c r="AX127" i="61"/>
  <c r="J160" i="60"/>
  <c r="BG137" i="60"/>
  <c r="J209" i="60"/>
  <c r="AF52" i="61"/>
  <c r="Q52" i="61"/>
  <c r="I208" i="60"/>
  <c r="V208" i="60" s="1"/>
  <c r="J156" i="60"/>
  <c r="AK127" i="61"/>
  <c r="Y127" i="61"/>
  <c r="I169" i="60"/>
  <c r="I244" i="60" s="1"/>
  <c r="AG127" i="61"/>
  <c r="BH137" i="60"/>
  <c r="Q127" i="61"/>
  <c r="I209" i="60"/>
  <c r="V209" i="60" s="1"/>
  <c r="I213" i="60"/>
  <c r="V213" i="60" s="1"/>
  <c r="BP43" i="61"/>
  <c r="U52" i="61"/>
  <c r="AO159" i="60"/>
  <c r="N127" i="61"/>
  <c r="J127" i="61"/>
  <c r="BC77" i="60"/>
  <c r="J213" i="60"/>
  <c r="Y156" i="60"/>
  <c r="Z127" i="61"/>
  <c r="BI103" i="61"/>
  <c r="BI105" i="61" s="1"/>
  <c r="BI94" i="60"/>
  <c r="BG134" i="60"/>
  <c r="BG141" i="60" s="1"/>
  <c r="BG21" i="60"/>
  <c r="BC9" i="60"/>
  <c r="BV9" i="60" s="1"/>
  <c r="AM8" i="105" s="1"/>
  <c r="AO8" i="105" s="1"/>
  <c r="D36" i="57"/>
  <c r="BC79" i="60"/>
  <c r="BC71" i="60"/>
  <c r="BC18" i="60"/>
  <c r="BV18" i="60" s="1"/>
  <c r="AM19" i="105" s="1"/>
  <c r="D45" i="57"/>
  <c r="BC8" i="60"/>
  <c r="BV8" i="60" s="1"/>
  <c r="AM7" i="105" s="1"/>
  <c r="D35" i="57"/>
  <c r="BC17" i="60"/>
  <c r="BV17" i="60" s="1"/>
  <c r="AM18" i="105" s="1"/>
  <c r="D44" i="57"/>
  <c r="BD137" i="60"/>
  <c r="BC6" i="60"/>
  <c r="BV6" i="60" s="1"/>
  <c r="D33" i="57"/>
  <c r="AO17" i="60"/>
  <c r="AO17" i="61" s="1"/>
  <c r="AO72" i="60"/>
  <c r="AO83" i="61" s="1"/>
  <c r="AO92" i="60"/>
  <c r="AO7" i="60"/>
  <c r="AO7" i="61" s="1"/>
  <c r="AO20" i="60"/>
  <c r="AO20" i="61" s="1"/>
  <c r="AO8" i="60"/>
  <c r="AO8" i="61" s="1"/>
  <c r="AO12" i="60"/>
  <c r="AO12" i="61" s="1"/>
  <c r="AO82" i="60"/>
  <c r="AO93" i="61" s="1"/>
  <c r="AO11" i="60"/>
  <c r="AO11" i="61" s="1"/>
  <c r="AO15" i="60"/>
  <c r="AO15" i="61" s="1"/>
  <c r="AO77" i="60"/>
  <c r="AO88" i="61" s="1"/>
  <c r="AO76" i="60"/>
  <c r="AO87" i="61" s="1"/>
  <c r="AO18" i="60"/>
  <c r="AO18" i="61" s="1"/>
  <c r="AO16" i="60"/>
  <c r="AO16" i="61" s="1"/>
  <c r="AO75" i="60"/>
  <c r="AO86" i="61" s="1"/>
  <c r="AO28" i="60"/>
  <c r="AO19" i="60"/>
  <c r="AO19" i="61" s="1"/>
  <c r="AO71" i="60"/>
  <c r="AO82" i="61" s="1"/>
  <c r="AO13" i="60"/>
  <c r="AO13" i="61" s="1"/>
  <c r="AO80" i="60"/>
  <c r="AO91" i="61" s="1"/>
  <c r="AO83" i="60"/>
  <c r="AO94" i="61" s="1"/>
  <c r="AO84" i="60"/>
  <c r="AO95" i="61" s="1"/>
  <c r="AO81" i="60"/>
  <c r="AO92" i="61" s="1"/>
  <c r="AO69" i="60"/>
  <c r="AO79" i="60"/>
  <c r="AO90" i="61" s="1"/>
  <c r="AO70" i="60"/>
  <c r="AO6" i="60"/>
  <c r="AO5" i="60"/>
  <c r="AO9" i="60"/>
  <c r="AO9" i="61" s="1"/>
  <c r="AO73" i="60"/>
  <c r="AO84" i="61" s="1"/>
  <c r="AN72" i="60"/>
  <c r="AN83" i="61" s="1"/>
  <c r="AN28" i="60"/>
  <c r="AN7" i="60"/>
  <c r="AN7" i="61" s="1"/>
  <c r="AN20" i="60"/>
  <c r="AN20" i="61" s="1"/>
  <c r="AN16" i="60"/>
  <c r="AN16" i="61" s="1"/>
  <c r="AN19" i="60"/>
  <c r="AN19" i="61" s="1"/>
  <c r="AN82" i="60"/>
  <c r="AN93" i="61" s="1"/>
  <c r="AN13" i="60"/>
  <c r="AN13" i="61" s="1"/>
  <c r="AN12" i="60"/>
  <c r="AN12" i="61" s="1"/>
  <c r="AN70" i="60"/>
  <c r="AN77" i="60"/>
  <c r="AN88" i="61" s="1"/>
  <c r="AN76" i="60"/>
  <c r="AN87" i="61" s="1"/>
  <c r="AN79" i="60"/>
  <c r="AN90" i="61" s="1"/>
  <c r="AN84" i="60"/>
  <c r="AN95" i="61" s="1"/>
  <c r="AN80" i="60"/>
  <c r="AN91" i="61" s="1"/>
  <c r="AN5" i="60"/>
  <c r="AN8" i="60"/>
  <c r="AN8" i="61" s="1"/>
  <c r="AN92" i="60"/>
  <c r="AN75" i="60"/>
  <c r="AN86" i="61" s="1"/>
  <c r="AN11" i="60"/>
  <c r="AN11" i="61" s="1"/>
  <c r="AN6" i="60"/>
  <c r="AN69" i="60"/>
  <c r="AN83" i="60"/>
  <c r="AN94" i="61" s="1"/>
  <c r="AN71" i="60"/>
  <c r="AN82" i="61" s="1"/>
  <c r="AN18" i="60"/>
  <c r="AN18" i="61" s="1"/>
  <c r="AN15" i="60"/>
  <c r="AN15" i="61" s="1"/>
  <c r="AN81" i="60"/>
  <c r="AN92" i="61" s="1"/>
  <c r="AN17" i="60"/>
  <c r="AN17" i="61" s="1"/>
  <c r="AN9" i="60"/>
  <c r="AN9" i="61" s="1"/>
  <c r="AN73" i="60"/>
  <c r="AN84" i="61" s="1"/>
  <c r="BL39" i="60"/>
  <c r="I139" i="60"/>
  <c r="I41" i="60"/>
  <c r="BK103" i="61"/>
  <c r="BK105" i="61" s="1"/>
  <c r="BK94" i="60"/>
  <c r="BK18" i="61"/>
  <c r="E45" i="57"/>
  <c r="E21" i="57" s="1"/>
  <c r="BK13" i="61"/>
  <c r="E40" i="57"/>
  <c r="E16" i="57" s="1"/>
  <c r="BK8" i="61"/>
  <c r="E35" i="57"/>
  <c r="E11" i="57" s="1"/>
  <c r="BK81" i="61"/>
  <c r="BK147" i="60"/>
  <c r="BF103" i="61"/>
  <c r="BF105" i="61" s="1"/>
  <c r="BF94" i="60"/>
  <c r="AH15" i="60"/>
  <c r="AH15" i="61" s="1"/>
  <c r="AH17" i="60"/>
  <c r="AH17" i="61" s="1"/>
  <c r="AH16" i="60"/>
  <c r="AH16" i="61" s="1"/>
  <c r="AH19" i="60"/>
  <c r="AH19" i="61" s="1"/>
  <c r="AH92" i="60"/>
  <c r="AH7" i="60"/>
  <c r="AH7" i="61" s="1"/>
  <c r="AH20" i="60"/>
  <c r="AH20" i="61" s="1"/>
  <c r="AH72" i="60"/>
  <c r="AH83" i="61" s="1"/>
  <c r="AH8" i="60"/>
  <c r="AH8" i="61" s="1"/>
  <c r="AH12" i="60"/>
  <c r="AH12" i="61" s="1"/>
  <c r="AH82" i="60"/>
  <c r="AH93" i="61" s="1"/>
  <c r="AH5" i="60"/>
  <c r="AH69" i="60"/>
  <c r="AH70" i="60"/>
  <c r="AH75" i="60"/>
  <c r="AH86" i="61" s="1"/>
  <c r="AH6" i="60"/>
  <c r="AH28" i="60"/>
  <c r="AH81" i="60"/>
  <c r="AH92" i="61" s="1"/>
  <c r="AH79" i="60"/>
  <c r="AH90" i="61" s="1"/>
  <c r="AH76" i="60"/>
  <c r="AH87" i="61" s="1"/>
  <c r="AH11" i="60"/>
  <c r="AH11" i="61" s="1"/>
  <c r="AH83" i="60"/>
  <c r="AH94" i="61" s="1"/>
  <c r="AH84" i="60"/>
  <c r="AH95" i="61" s="1"/>
  <c r="AH71" i="60"/>
  <c r="AH82" i="61" s="1"/>
  <c r="AH13" i="60"/>
  <c r="AH13" i="61" s="1"/>
  <c r="AH80" i="60"/>
  <c r="AH91" i="61" s="1"/>
  <c r="AH18" i="60"/>
  <c r="AH18" i="61" s="1"/>
  <c r="AH77" i="60"/>
  <c r="AH88" i="61" s="1"/>
  <c r="AH9" i="60"/>
  <c r="AH9" i="61" s="1"/>
  <c r="AH73" i="60"/>
  <c r="AH84" i="61" s="1"/>
  <c r="AJ16" i="60"/>
  <c r="AJ16" i="61" s="1"/>
  <c r="AJ72" i="60"/>
  <c r="AJ83" i="61" s="1"/>
  <c r="AJ17" i="60"/>
  <c r="AJ17" i="61" s="1"/>
  <c r="AJ19" i="60"/>
  <c r="AJ19" i="61" s="1"/>
  <c r="AJ7" i="60"/>
  <c r="AJ7" i="61" s="1"/>
  <c r="AJ20" i="60"/>
  <c r="AJ20" i="61" s="1"/>
  <c r="AJ28" i="60"/>
  <c r="AJ83" i="60"/>
  <c r="AJ94" i="61" s="1"/>
  <c r="AJ84" i="60"/>
  <c r="AJ95" i="61" s="1"/>
  <c r="AJ71" i="60"/>
  <c r="AJ82" i="61" s="1"/>
  <c r="AJ5" i="60"/>
  <c r="AJ15" i="60"/>
  <c r="AJ15" i="61" s="1"/>
  <c r="AJ92" i="60"/>
  <c r="AJ82" i="60"/>
  <c r="AJ93" i="61" s="1"/>
  <c r="AJ12" i="60"/>
  <c r="AJ12" i="61" s="1"/>
  <c r="AJ70" i="60"/>
  <c r="AJ11" i="60"/>
  <c r="AJ11" i="61" s="1"/>
  <c r="AJ18" i="60"/>
  <c r="AJ18" i="61" s="1"/>
  <c r="AJ77" i="60"/>
  <c r="AJ88" i="61" s="1"/>
  <c r="AJ75" i="60"/>
  <c r="AJ86" i="61" s="1"/>
  <c r="AJ81" i="60"/>
  <c r="AJ92" i="61" s="1"/>
  <c r="AJ8" i="60"/>
  <c r="AJ8" i="61" s="1"/>
  <c r="AJ80" i="60"/>
  <c r="AJ91" i="61" s="1"/>
  <c r="AJ69" i="60"/>
  <c r="AJ79" i="60"/>
  <c r="AJ90" i="61" s="1"/>
  <c r="AJ13" i="60"/>
  <c r="AJ13" i="61" s="1"/>
  <c r="AJ6" i="60"/>
  <c r="AJ76" i="60"/>
  <c r="AJ87" i="61" s="1"/>
  <c r="AJ9" i="60"/>
  <c r="AJ9" i="61" s="1"/>
  <c r="AJ73" i="60"/>
  <c r="AJ84" i="61" s="1"/>
  <c r="AE16" i="60"/>
  <c r="AE16" i="61" s="1"/>
  <c r="AE5" i="60"/>
  <c r="AE12" i="60"/>
  <c r="AE12" i="61" s="1"/>
  <c r="AE13" i="60"/>
  <c r="AE13" i="61" s="1"/>
  <c r="AE8" i="60"/>
  <c r="AE8" i="61" s="1"/>
  <c r="AE15" i="60"/>
  <c r="AE15" i="61" s="1"/>
  <c r="AE72" i="60"/>
  <c r="AE83" i="61" s="1"/>
  <c r="AE19" i="60"/>
  <c r="AE19" i="61" s="1"/>
  <c r="AE82" i="60"/>
  <c r="AE93" i="61" s="1"/>
  <c r="AE28" i="60"/>
  <c r="AE81" i="60"/>
  <c r="AE92" i="61" s="1"/>
  <c r="AE17" i="60"/>
  <c r="AE17" i="61" s="1"/>
  <c r="AE76" i="60"/>
  <c r="AE87" i="61" s="1"/>
  <c r="AE92" i="60"/>
  <c r="AE18" i="60"/>
  <c r="AE18" i="61" s="1"/>
  <c r="AE80" i="60"/>
  <c r="AE91" i="61" s="1"/>
  <c r="AE77" i="60"/>
  <c r="AE88" i="61" s="1"/>
  <c r="AE75" i="60"/>
  <c r="AE86" i="61" s="1"/>
  <c r="AE79" i="60"/>
  <c r="AE90" i="61" s="1"/>
  <c r="AE70" i="60"/>
  <c r="AE6" i="60"/>
  <c r="AE20" i="60"/>
  <c r="AE20" i="61" s="1"/>
  <c r="AE69" i="60"/>
  <c r="AE83" i="60"/>
  <c r="AE94" i="61" s="1"/>
  <c r="AE84" i="60"/>
  <c r="AE95" i="61" s="1"/>
  <c r="AE71" i="60"/>
  <c r="AE82" i="61" s="1"/>
  <c r="AE7" i="60"/>
  <c r="AE7" i="61" s="1"/>
  <c r="AE11" i="60"/>
  <c r="AE11" i="61" s="1"/>
  <c r="AE9" i="60"/>
  <c r="AE9" i="61" s="1"/>
  <c r="AE73" i="60"/>
  <c r="AE84" i="61" s="1"/>
  <c r="M249" i="60"/>
  <c r="M186" i="60"/>
  <c r="M261" i="60" s="1"/>
  <c r="R193" i="60"/>
  <c r="R245" i="60"/>
  <c r="O248" i="60"/>
  <c r="O185" i="60"/>
  <c r="O260" i="60" s="1"/>
  <c r="I170" i="60"/>
  <c r="I130" i="61"/>
  <c r="I122" i="60"/>
  <c r="I146" i="60"/>
  <c r="BL119" i="60"/>
  <c r="I115" i="61"/>
  <c r="BL115" i="61" s="1"/>
  <c r="BM115" i="61" s="1"/>
  <c r="BL104" i="60"/>
  <c r="BB9" i="61"/>
  <c r="G36" i="57"/>
  <c r="G12" i="57" s="1"/>
  <c r="BB103" i="61"/>
  <c r="BB105" i="61" s="1"/>
  <c r="BB94" i="60"/>
  <c r="BB19" i="61"/>
  <c r="G46" i="57"/>
  <c r="G22" i="57" s="1"/>
  <c r="BB6" i="61"/>
  <c r="BB137" i="60"/>
  <c r="S210" i="60" s="1"/>
  <c r="G33" i="57"/>
  <c r="G9" i="57" s="1"/>
  <c r="BB12" i="61"/>
  <c r="G39" i="57"/>
  <c r="G15" i="57" s="1"/>
  <c r="BB18" i="61"/>
  <c r="G45" i="57"/>
  <c r="G21" i="57" s="1"/>
  <c r="BE134" i="60"/>
  <c r="BE21" i="60"/>
  <c r="I114" i="61"/>
  <c r="BL103" i="60"/>
  <c r="I149" i="60"/>
  <c r="I159" i="60" s="1"/>
  <c r="I105" i="60"/>
  <c r="I43" i="61"/>
  <c r="BL43" i="61" s="1"/>
  <c r="BM43" i="61" s="1"/>
  <c r="BI147" i="60"/>
  <c r="BG144" i="60"/>
  <c r="BG85" i="60"/>
  <c r="BG147" i="60"/>
  <c r="BG157" i="60" s="1"/>
  <c r="BC73" i="60"/>
  <c r="BC76" i="60"/>
  <c r="BD144" i="60"/>
  <c r="BD85" i="60"/>
  <c r="BC69" i="60"/>
  <c r="BC81" i="60"/>
  <c r="BC13" i="60"/>
  <c r="BV13" i="60" s="1"/>
  <c r="AM13" i="105" s="1"/>
  <c r="D40" i="57"/>
  <c r="BC16" i="60"/>
  <c r="BV16" i="60" s="1"/>
  <c r="AM17" i="105" s="1"/>
  <c r="D43" i="57"/>
  <c r="BD147" i="60"/>
  <c r="BC70" i="60"/>
  <c r="BC12" i="60"/>
  <c r="BV12" i="60" s="1"/>
  <c r="AM12" i="105" s="1"/>
  <c r="D39" i="57"/>
  <c r="AX72" i="60"/>
  <c r="AX83" i="61" s="1"/>
  <c r="AX15" i="60"/>
  <c r="AX15" i="61" s="1"/>
  <c r="AX11" i="60"/>
  <c r="AX11" i="61" s="1"/>
  <c r="AX17" i="60"/>
  <c r="AX17" i="61" s="1"/>
  <c r="AX16" i="60"/>
  <c r="AX16" i="61" s="1"/>
  <c r="AX19" i="60"/>
  <c r="AX19" i="61" s="1"/>
  <c r="AX92" i="60"/>
  <c r="AX7" i="60"/>
  <c r="AX7" i="61" s="1"/>
  <c r="AX20" i="60"/>
  <c r="AX20" i="61" s="1"/>
  <c r="AX8" i="60"/>
  <c r="AX8" i="61" s="1"/>
  <c r="AX12" i="60"/>
  <c r="AX12" i="61" s="1"/>
  <c r="AX82" i="60"/>
  <c r="AX93" i="61" s="1"/>
  <c r="AX18" i="60"/>
  <c r="AX18" i="61" s="1"/>
  <c r="AX70" i="60"/>
  <c r="AX77" i="60"/>
  <c r="AX88" i="61" s="1"/>
  <c r="AX5" i="60"/>
  <c r="AX81" i="60"/>
  <c r="AX92" i="61" s="1"/>
  <c r="AX69" i="60"/>
  <c r="AX76" i="60"/>
  <c r="AX87" i="61" s="1"/>
  <c r="AX75" i="60"/>
  <c r="AX86" i="61" s="1"/>
  <c r="AX83" i="60"/>
  <c r="AX94" i="61" s="1"/>
  <c r="AX84" i="60"/>
  <c r="AX95" i="61" s="1"/>
  <c r="AX71" i="60"/>
  <c r="AX82" i="61" s="1"/>
  <c r="AX6" i="60"/>
  <c r="AX28" i="60"/>
  <c r="AX80" i="60"/>
  <c r="AX91" i="61" s="1"/>
  <c r="AX13" i="60"/>
  <c r="AX13" i="61" s="1"/>
  <c r="AX79" i="60"/>
  <c r="AX90" i="61" s="1"/>
  <c r="AX9" i="60"/>
  <c r="AX9" i="61" s="1"/>
  <c r="AX73" i="60"/>
  <c r="AX84" i="61" s="1"/>
  <c r="AL17" i="60"/>
  <c r="AL17" i="61" s="1"/>
  <c r="AL12" i="60"/>
  <c r="AL12" i="61" s="1"/>
  <c r="AL92" i="60"/>
  <c r="AL7" i="60"/>
  <c r="AL7" i="61" s="1"/>
  <c r="AL20" i="60"/>
  <c r="AL20" i="61" s="1"/>
  <c r="AL15" i="60"/>
  <c r="AL15" i="61" s="1"/>
  <c r="AL16" i="60"/>
  <c r="AL16" i="61" s="1"/>
  <c r="AL19" i="60"/>
  <c r="AL19" i="61" s="1"/>
  <c r="AL72" i="60"/>
  <c r="AL83" i="61" s="1"/>
  <c r="AL8" i="60"/>
  <c r="AL8" i="61" s="1"/>
  <c r="AL82" i="60"/>
  <c r="AL93" i="61" s="1"/>
  <c r="AL81" i="60"/>
  <c r="AL92" i="61" s="1"/>
  <c r="AL76" i="60"/>
  <c r="AL87" i="61" s="1"/>
  <c r="AL5" i="60"/>
  <c r="AL70" i="60"/>
  <c r="AL83" i="60"/>
  <c r="AL94" i="61" s="1"/>
  <c r="AL84" i="60"/>
  <c r="AL95" i="61" s="1"/>
  <c r="AL80" i="60"/>
  <c r="AL91" i="61" s="1"/>
  <c r="AL69" i="60"/>
  <c r="AL77" i="60"/>
  <c r="AL88" i="61" s="1"/>
  <c r="AL75" i="60"/>
  <c r="AL86" i="61" s="1"/>
  <c r="AL13" i="60"/>
  <c r="AL13" i="61" s="1"/>
  <c r="AL71" i="60"/>
  <c r="AL82" i="61" s="1"/>
  <c r="AL11" i="60"/>
  <c r="AL11" i="61" s="1"/>
  <c r="AL28" i="60"/>
  <c r="AL79" i="60"/>
  <c r="AL90" i="61" s="1"/>
  <c r="AL6" i="60"/>
  <c r="AL18" i="60"/>
  <c r="AL18" i="61" s="1"/>
  <c r="AL9" i="60"/>
  <c r="AL9" i="61" s="1"/>
  <c r="AL73" i="60"/>
  <c r="AL84" i="61" s="1"/>
  <c r="AU16" i="60"/>
  <c r="AU16" i="61" s="1"/>
  <c r="AU82" i="60"/>
  <c r="AU93" i="61" s="1"/>
  <c r="AU5" i="60"/>
  <c r="AU19" i="60"/>
  <c r="AU19" i="61" s="1"/>
  <c r="AU12" i="60"/>
  <c r="AU12" i="61" s="1"/>
  <c r="AU13" i="60"/>
  <c r="AU13" i="61" s="1"/>
  <c r="AU8" i="60"/>
  <c r="AU8" i="61" s="1"/>
  <c r="AU15" i="60"/>
  <c r="AU15" i="61" s="1"/>
  <c r="AU72" i="60"/>
  <c r="AU83" i="61" s="1"/>
  <c r="AU71" i="60"/>
  <c r="AU82" i="61" s="1"/>
  <c r="AU81" i="60"/>
  <c r="AU92" i="61" s="1"/>
  <c r="AU6" i="60"/>
  <c r="AU20" i="60"/>
  <c r="AU20" i="61" s="1"/>
  <c r="AU76" i="60"/>
  <c r="AU87" i="61" s="1"/>
  <c r="AU70" i="60"/>
  <c r="AU80" i="60"/>
  <c r="AU91" i="61" s="1"/>
  <c r="AU7" i="60"/>
  <c r="AU7" i="61" s="1"/>
  <c r="AU92" i="60"/>
  <c r="AU77" i="60"/>
  <c r="AU88" i="61" s="1"/>
  <c r="AU75" i="60"/>
  <c r="AU86" i="61" s="1"/>
  <c r="AU17" i="60"/>
  <c r="AU17" i="61" s="1"/>
  <c r="AU28" i="60"/>
  <c r="AU79" i="60"/>
  <c r="AU90" i="61" s="1"/>
  <c r="AU83" i="60"/>
  <c r="AU94" i="61" s="1"/>
  <c r="AU84" i="60"/>
  <c r="AU95" i="61" s="1"/>
  <c r="AU18" i="60"/>
  <c r="AU18" i="61" s="1"/>
  <c r="AU69" i="60"/>
  <c r="AU11" i="60"/>
  <c r="AU11" i="61" s="1"/>
  <c r="AU9" i="60"/>
  <c r="AU9" i="61" s="1"/>
  <c r="AU73" i="60"/>
  <c r="AU84" i="61" s="1"/>
  <c r="AG52" i="61"/>
  <c r="AI52" i="61"/>
  <c r="BP52" i="61" s="1"/>
  <c r="AO160" i="60"/>
  <c r="I39" i="61"/>
  <c r="BL39" i="61" s="1"/>
  <c r="BM39" i="61" s="1"/>
  <c r="J41" i="61"/>
  <c r="J52" i="61" s="1"/>
  <c r="J155" i="60"/>
  <c r="BK16" i="61"/>
  <c r="E43" i="57"/>
  <c r="E19" i="57" s="1"/>
  <c r="BK12" i="61"/>
  <c r="E39" i="57"/>
  <c r="E15" i="57" s="1"/>
  <c r="BK7" i="61"/>
  <c r="E34" i="57"/>
  <c r="E10" i="57" s="1"/>
  <c r="BF134" i="60"/>
  <c r="BF141" i="60" s="1"/>
  <c r="BF21" i="60"/>
  <c r="BH144" i="60"/>
  <c r="BH85" i="60"/>
  <c r="BH134" i="60"/>
  <c r="BH21" i="60"/>
  <c r="N16" i="60"/>
  <c r="N16" i="61" s="1"/>
  <c r="N19" i="60"/>
  <c r="N19" i="61" s="1"/>
  <c r="N82" i="60"/>
  <c r="N93" i="61" s="1"/>
  <c r="N92" i="60"/>
  <c r="N8" i="60"/>
  <c r="N8" i="61" s="1"/>
  <c r="N17" i="60"/>
  <c r="N17" i="61" s="1"/>
  <c r="N72" i="60"/>
  <c r="N83" i="61" s="1"/>
  <c r="N12" i="60"/>
  <c r="N12" i="61" s="1"/>
  <c r="N7" i="60"/>
  <c r="N7" i="61" s="1"/>
  <c r="N20" i="60"/>
  <c r="N20" i="61" s="1"/>
  <c r="N15" i="60"/>
  <c r="N15" i="61" s="1"/>
  <c r="N11" i="60"/>
  <c r="N11" i="61" s="1"/>
  <c r="N5" i="60"/>
  <c r="N69" i="60"/>
  <c r="N28" i="60"/>
  <c r="N70" i="60"/>
  <c r="N81" i="60"/>
  <c r="N92" i="61" s="1"/>
  <c r="N6" i="60"/>
  <c r="N13" i="60"/>
  <c r="N13" i="61" s="1"/>
  <c r="N79" i="60"/>
  <c r="N90" i="61" s="1"/>
  <c r="N83" i="60"/>
  <c r="N94" i="61" s="1"/>
  <c r="N84" i="60"/>
  <c r="N95" i="61" s="1"/>
  <c r="N71" i="60"/>
  <c r="N82" i="61" s="1"/>
  <c r="N80" i="60"/>
  <c r="N91" i="61" s="1"/>
  <c r="N18" i="60"/>
  <c r="N18" i="61" s="1"/>
  <c r="N77" i="60"/>
  <c r="N88" i="61" s="1"/>
  <c r="N75" i="60"/>
  <c r="N86" i="61" s="1"/>
  <c r="N76" i="60"/>
  <c r="N87" i="61" s="1"/>
  <c r="N9" i="60"/>
  <c r="N9" i="61" s="1"/>
  <c r="N73" i="60"/>
  <c r="N84" i="61" s="1"/>
  <c r="AA72" i="60"/>
  <c r="AA83" i="61" s="1"/>
  <c r="AA5" i="60"/>
  <c r="AA12" i="60"/>
  <c r="AA12" i="61" s="1"/>
  <c r="AA13" i="60"/>
  <c r="AA13" i="61" s="1"/>
  <c r="AA19" i="60"/>
  <c r="AA19" i="61" s="1"/>
  <c r="AA15" i="60"/>
  <c r="AA15" i="61" s="1"/>
  <c r="AA16" i="60"/>
  <c r="AA16" i="61" s="1"/>
  <c r="AA82" i="60"/>
  <c r="AA93" i="61" s="1"/>
  <c r="AA83" i="60"/>
  <c r="AA94" i="61" s="1"/>
  <c r="AA84" i="60"/>
  <c r="AA95" i="61" s="1"/>
  <c r="AA6" i="60"/>
  <c r="AA18" i="60"/>
  <c r="AA18" i="61" s="1"/>
  <c r="AA17" i="60"/>
  <c r="AA17" i="61" s="1"/>
  <c r="AA70" i="60"/>
  <c r="AA8" i="60"/>
  <c r="AA8" i="61" s="1"/>
  <c r="AA20" i="60"/>
  <c r="AA20" i="61" s="1"/>
  <c r="AA75" i="60"/>
  <c r="AA86" i="61" s="1"/>
  <c r="AA28" i="60"/>
  <c r="AA81" i="60"/>
  <c r="AA92" i="61" s="1"/>
  <c r="AA92" i="60"/>
  <c r="AA76" i="60"/>
  <c r="AA87" i="61" s="1"/>
  <c r="AA11" i="60"/>
  <c r="AA11" i="61" s="1"/>
  <c r="AA80" i="60"/>
  <c r="AA91" i="61" s="1"/>
  <c r="AA77" i="60"/>
  <c r="AA88" i="61" s="1"/>
  <c r="AA71" i="60"/>
  <c r="AA82" i="61" s="1"/>
  <c r="AA69" i="60"/>
  <c r="AA79" i="60"/>
  <c r="AA90" i="61" s="1"/>
  <c r="AA7" i="60"/>
  <c r="AA7" i="61" s="1"/>
  <c r="AA9" i="60"/>
  <c r="AA9" i="61" s="1"/>
  <c r="AA73" i="60"/>
  <c r="AA84" i="61" s="1"/>
  <c r="Q82" i="60"/>
  <c r="Q93" i="61" s="1"/>
  <c r="Q92" i="60"/>
  <c r="Q11" i="60"/>
  <c r="Q11" i="61" s="1"/>
  <c r="Q15" i="60"/>
  <c r="Q15" i="61" s="1"/>
  <c r="Q72" i="60"/>
  <c r="Q83" i="61" s="1"/>
  <c r="Q17" i="60"/>
  <c r="Q17" i="61" s="1"/>
  <c r="Q7" i="60"/>
  <c r="Q7" i="61" s="1"/>
  <c r="Q20" i="60"/>
  <c r="Q20" i="61" s="1"/>
  <c r="Q8" i="60"/>
  <c r="Q8" i="61" s="1"/>
  <c r="Q12" i="60"/>
  <c r="Q12" i="61" s="1"/>
  <c r="Q19" i="60"/>
  <c r="Q19" i="61" s="1"/>
  <c r="Q77" i="60"/>
  <c r="Q88" i="61" s="1"/>
  <c r="Q75" i="60"/>
  <c r="Q86" i="61" s="1"/>
  <c r="Q70" i="60"/>
  <c r="Q83" i="60"/>
  <c r="Q94" i="61" s="1"/>
  <c r="Q84" i="60"/>
  <c r="Q95" i="61" s="1"/>
  <c r="Q71" i="60"/>
  <c r="Q82" i="61" s="1"/>
  <c r="Q80" i="60"/>
  <c r="Q91" i="61" s="1"/>
  <c r="Q18" i="60"/>
  <c r="Q18" i="61" s="1"/>
  <c r="Q6" i="60"/>
  <c r="Q69" i="60"/>
  <c r="Q79" i="60"/>
  <c r="Q90" i="61" s="1"/>
  <c r="Q81" i="60"/>
  <c r="Q92" i="61" s="1"/>
  <c r="Q13" i="60"/>
  <c r="Q13" i="61" s="1"/>
  <c r="Q16" i="60"/>
  <c r="Q16" i="61" s="1"/>
  <c r="Q28" i="60"/>
  <c r="Q5" i="60"/>
  <c r="Q76" i="60"/>
  <c r="Q87" i="61" s="1"/>
  <c r="Q9" i="60"/>
  <c r="Q9" i="61" s="1"/>
  <c r="Q73" i="60"/>
  <c r="Q84" i="61" s="1"/>
  <c r="I41" i="61"/>
  <c r="BL38" i="61"/>
  <c r="BM38" i="61" s="1"/>
  <c r="AO127" i="61"/>
  <c r="BB16" i="61"/>
  <c r="G43" i="57"/>
  <c r="G19" i="57" s="1"/>
  <c r="BB17" i="61"/>
  <c r="G44" i="57"/>
  <c r="G20" i="57" s="1"/>
  <c r="BE103" i="61"/>
  <c r="BE105" i="61" s="1"/>
  <c r="BE94" i="60"/>
  <c r="BJ144" i="60"/>
  <c r="BJ85" i="60"/>
  <c r="AY5" i="61"/>
  <c r="AY134" i="60"/>
  <c r="AY21" i="60"/>
  <c r="AY137" i="60"/>
  <c r="P210" i="60" s="1"/>
  <c r="AY6" i="61"/>
  <c r="AY81" i="61"/>
  <c r="AY147" i="60"/>
  <c r="AB19" i="60"/>
  <c r="AB19" i="61" s="1"/>
  <c r="AB7" i="60"/>
  <c r="AB7" i="61" s="1"/>
  <c r="AB8" i="60"/>
  <c r="AB8" i="61" s="1"/>
  <c r="AB20" i="60"/>
  <c r="AB20" i="61" s="1"/>
  <c r="AB28" i="60"/>
  <c r="AB16" i="60"/>
  <c r="AB16" i="61" s="1"/>
  <c r="AB72" i="60"/>
  <c r="AB83" i="61" s="1"/>
  <c r="AB5" i="60"/>
  <c r="AB15" i="60"/>
  <c r="AB15" i="61" s="1"/>
  <c r="AB11" i="60"/>
  <c r="AB11" i="61" s="1"/>
  <c r="AB92" i="60"/>
  <c r="AB76" i="60"/>
  <c r="AB87" i="61" s="1"/>
  <c r="AB12" i="60"/>
  <c r="AB12" i="61" s="1"/>
  <c r="AB81" i="60"/>
  <c r="AB92" i="61" s="1"/>
  <c r="AB69" i="60"/>
  <c r="AB79" i="60"/>
  <c r="AB90" i="61" s="1"/>
  <c r="AB83" i="60"/>
  <c r="AB94" i="61" s="1"/>
  <c r="AB84" i="60"/>
  <c r="AB95" i="61" s="1"/>
  <c r="AB71" i="60"/>
  <c r="AB82" i="61" s="1"/>
  <c r="AB18" i="60"/>
  <c r="AB18" i="61" s="1"/>
  <c r="AB82" i="60"/>
  <c r="AB93" i="61" s="1"/>
  <c r="AB13" i="60"/>
  <c r="AB13" i="61" s="1"/>
  <c r="AB6" i="60"/>
  <c r="AB80" i="60"/>
  <c r="AB91" i="61" s="1"/>
  <c r="AB70" i="60"/>
  <c r="AB77" i="60"/>
  <c r="AB88" i="61" s="1"/>
  <c r="AB17" i="60"/>
  <c r="AB17" i="61" s="1"/>
  <c r="AB75" i="60"/>
  <c r="AB86" i="61" s="1"/>
  <c r="AB9" i="60"/>
  <c r="AB9" i="61" s="1"/>
  <c r="AB73" i="60"/>
  <c r="AB84" i="61" s="1"/>
  <c r="S15" i="60"/>
  <c r="S15" i="61" s="1"/>
  <c r="S7" i="60"/>
  <c r="S7" i="61" s="1"/>
  <c r="S20" i="60"/>
  <c r="S20" i="61" s="1"/>
  <c r="S16" i="60"/>
  <c r="S16" i="61" s="1"/>
  <c r="S82" i="60"/>
  <c r="S93" i="61" s="1"/>
  <c r="S8" i="60"/>
  <c r="S8" i="61" s="1"/>
  <c r="S72" i="60"/>
  <c r="S83" i="61" s="1"/>
  <c r="S5" i="60"/>
  <c r="S12" i="60"/>
  <c r="S12" i="61" s="1"/>
  <c r="S13" i="60"/>
  <c r="S13" i="61" s="1"/>
  <c r="S19" i="60"/>
  <c r="S19" i="61" s="1"/>
  <c r="S71" i="60"/>
  <c r="S82" i="61" s="1"/>
  <c r="S80" i="60"/>
  <c r="S91" i="61" s="1"/>
  <c r="S77" i="60"/>
  <c r="S88" i="61" s="1"/>
  <c r="S75" i="60"/>
  <c r="S86" i="61" s="1"/>
  <c r="S79" i="60"/>
  <c r="S90" i="61" s="1"/>
  <c r="S6" i="60"/>
  <c r="S18" i="60"/>
  <c r="S18" i="61" s="1"/>
  <c r="S17" i="60"/>
  <c r="S17" i="61" s="1"/>
  <c r="S70" i="60"/>
  <c r="S83" i="60"/>
  <c r="S94" i="61" s="1"/>
  <c r="S84" i="60"/>
  <c r="S95" i="61" s="1"/>
  <c r="S11" i="60"/>
  <c r="S11" i="61" s="1"/>
  <c r="S81" i="60"/>
  <c r="S92" i="61" s="1"/>
  <c r="S69" i="60"/>
  <c r="S92" i="60"/>
  <c r="S76" i="60"/>
  <c r="S87" i="61" s="1"/>
  <c r="S28" i="60"/>
  <c r="S9" i="60"/>
  <c r="S9" i="61" s="1"/>
  <c r="S73" i="60"/>
  <c r="S84" i="61" s="1"/>
  <c r="X72" i="60"/>
  <c r="X83" i="61" s="1"/>
  <c r="X28" i="60"/>
  <c r="X82" i="60"/>
  <c r="X93" i="61" s="1"/>
  <c r="X7" i="60"/>
  <c r="X7" i="61" s="1"/>
  <c r="X20" i="60"/>
  <c r="X20" i="61" s="1"/>
  <c r="X16" i="60"/>
  <c r="X16" i="61" s="1"/>
  <c r="X19" i="60"/>
  <c r="X19" i="61" s="1"/>
  <c r="X83" i="60"/>
  <c r="X94" i="61" s="1"/>
  <c r="X13" i="60"/>
  <c r="X13" i="61" s="1"/>
  <c r="X12" i="60"/>
  <c r="X12" i="61" s="1"/>
  <c r="X81" i="60"/>
  <c r="X92" i="61" s="1"/>
  <c r="X70" i="60"/>
  <c r="X76" i="60"/>
  <c r="X87" i="61" s="1"/>
  <c r="X11" i="60"/>
  <c r="X11" i="61" s="1"/>
  <c r="X5" i="60"/>
  <c r="X8" i="60"/>
  <c r="X8" i="61" s="1"/>
  <c r="X92" i="60"/>
  <c r="X79" i="60"/>
  <c r="X90" i="61" s="1"/>
  <c r="X84" i="60"/>
  <c r="X95" i="61" s="1"/>
  <c r="X80" i="60"/>
  <c r="X91" i="61" s="1"/>
  <c r="X6" i="60"/>
  <c r="X69" i="60"/>
  <c r="X71" i="60"/>
  <c r="X82" i="61" s="1"/>
  <c r="X18" i="60"/>
  <c r="X18" i="61" s="1"/>
  <c r="X15" i="60"/>
  <c r="X15" i="61" s="1"/>
  <c r="X75" i="60"/>
  <c r="X86" i="61" s="1"/>
  <c r="X17" i="60"/>
  <c r="X17" i="61" s="1"/>
  <c r="X77" i="60"/>
  <c r="X88" i="61" s="1"/>
  <c r="X9" i="60"/>
  <c r="X9" i="61" s="1"/>
  <c r="X73" i="60"/>
  <c r="X84" i="61" s="1"/>
  <c r="L245" i="60"/>
  <c r="L193" i="60"/>
  <c r="Z156" i="60"/>
  <c r="BQ58" i="61"/>
  <c r="BQ43" i="61"/>
  <c r="Y160" i="60"/>
  <c r="N245" i="60"/>
  <c r="N193" i="60"/>
  <c r="I140" i="60"/>
  <c r="BL47" i="60"/>
  <c r="S245" i="60"/>
  <c r="S193" i="60"/>
  <c r="S268" i="60" s="1"/>
  <c r="Z52" i="61"/>
  <c r="AZ80" i="61"/>
  <c r="AZ144" i="60"/>
  <c r="AZ85" i="60"/>
  <c r="AZ28" i="61"/>
  <c r="AZ30" i="61" s="1"/>
  <c r="AZ30" i="60"/>
  <c r="AZ5" i="61"/>
  <c r="AZ134" i="60"/>
  <c r="AZ21" i="60"/>
  <c r="BA103" i="61"/>
  <c r="BA105" i="61" s="1"/>
  <c r="BA94" i="60"/>
  <c r="BA5" i="61"/>
  <c r="BA134" i="60"/>
  <c r="BA21" i="60"/>
  <c r="AC7" i="60"/>
  <c r="AC7" i="61" s="1"/>
  <c r="AC20" i="60"/>
  <c r="AC20" i="61" s="1"/>
  <c r="AC15" i="60"/>
  <c r="AC15" i="61" s="1"/>
  <c r="AC11" i="60"/>
  <c r="AC11" i="61" s="1"/>
  <c r="AC8" i="60"/>
  <c r="AC8" i="61" s="1"/>
  <c r="AC12" i="60"/>
  <c r="AC12" i="61" s="1"/>
  <c r="AC72" i="60"/>
  <c r="AC83" i="61" s="1"/>
  <c r="AC17" i="60"/>
  <c r="AC17" i="61" s="1"/>
  <c r="AC82" i="60"/>
  <c r="AC93" i="61" s="1"/>
  <c r="AC92" i="60"/>
  <c r="AC16" i="60"/>
  <c r="AC16" i="61" s="1"/>
  <c r="AC71" i="60"/>
  <c r="AC82" i="61" s="1"/>
  <c r="AC81" i="60"/>
  <c r="AC92" i="61" s="1"/>
  <c r="AC69" i="60"/>
  <c r="AC18" i="60"/>
  <c r="AC18" i="61" s="1"/>
  <c r="AC13" i="60"/>
  <c r="AC13" i="61" s="1"/>
  <c r="AC76" i="60"/>
  <c r="AC87" i="61" s="1"/>
  <c r="AC83" i="60"/>
  <c r="AC94" i="61" s="1"/>
  <c r="AC84" i="60"/>
  <c r="AC95" i="61" s="1"/>
  <c r="AC80" i="60"/>
  <c r="AC91" i="61" s="1"/>
  <c r="AC79" i="60"/>
  <c r="AC90" i="61" s="1"/>
  <c r="AC28" i="60"/>
  <c r="AC5" i="60"/>
  <c r="AC6" i="60"/>
  <c r="AC70" i="60"/>
  <c r="AC19" i="60"/>
  <c r="AC19" i="61" s="1"/>
  <c r="AC77" i="60"/>
  <c r="AC88" i="61" s="1"/>
  <c r="AC75" i="60"/>
  <c r="AC86" i="61" s="1"/>
  <c r="AC9" i="60"/>
  <c r="AC9" i="61" s="1"/>
  <c r="AC73" i="60"/>
  <c r="AC84" i="61" s="1"/>
  <c r="AT16" i="60"/>
  <c r="AT16" i="61" s="1"/>
  <c r="AT19" i="60"/>
  <c r="AT19" i="61" s="1"/>
  <c r="AT82" i="60"/>
  <c r="AT93" i="61" s="1"/>
  <c r="AT92" i="60"/>
  <c r="AT72" i="60"/>
  <c r="AT83" i="61" s="1"/>
  <c r="AT8" i="60"/>
  <c r="AT8" i="61" s="1"/>
  <c r="AT17" i="60"/>
  <c r="AT17" i="61" s="1"/>
  <c r="AT12" i="60"/>
  <c r="AT12" i="61" s="1"/>
  <c r="AT7" i="60"/>
  <c r="AT7" i="61" s="1"/>
  <c r="AT20" i="60"/>
  <c r="AT20" i="61" s="1"/>
  <c r="AT15" i="60"/>
  <c r="AT15" i="61" s="1"/>
  <c r="AT6" i="60"/>
  <c r="AT13" i="60"/>
  <c r="AT13" i="61" s="1"/>
  <c r="AT70" i="60"/>
  <c r="AT18" i="60"/>
  <c r="AT18" i="61" s="1"/>
  <c r="AT79" i="60"/>
  <c r="AT90" i="61" s="1"/>
  <c r="AT76" i="60"/>
  <c r="AT87" i="61" s="1"/>
  <c r="AT11" i="60"/>
  <c r="AT11" i="61" s="1"/>
  <c r="AT81" i="60"/>
  <c r="AT92" i="61" s="1"/>
  <c r="AT5" i="60"/>
  <c r="AT69" i="60"/>
  <c r="AT83" i="60"/>
  <c r="AT94" i="61" s="1"/>
  <c r="AT84" i="60"/>
  <c r="AT95" i="61" s="1"/>
  <c r="AT71" i="60"/>
  <c r="AT82" i="61" s="1"/>
  <c r="AT80" i="60"/>
  <c r="AT91" i="61" s="1"/>
  <c r="AT28" i="60"/>
  <c r="AT77" i="60"/>
  <c r="AT88" i="61" s="1"/>
  <c r="AT75" i="60"/>
  <c r="AT86" i="61" s="1"/>
  <c r="AT9" i="60"/>
  <c r="AT9" i="61" s="1"/>
  <c r="AT73" i="60"/>
  <c r="AT84" i="61" s="1"/>
  <c r="AP7" i="60"/>
  <c r="AP7" i="61" s="1"/>
  <c r="AP20" i="60"/>
  <c r="AP20" i="61" s="1"/>
  <c r="AP8" i="60"/>
  <c r="AP8" i="61" s="1"/>
  <c r="AP15" i="60"/>
  <c r="AP15" i="61" s="1"/>
  <c r="AP72" i="60"/>
  <c r="AP83" i="61" s="1"/>
  <c r="AP12" i="60"/>
  <c r="AP12" i="61" s="1"/>
  <c r="AP82" i="60"/>
  <c r="AP93" i="61" s="1"/>
  <c r="AP11" i="60"/>
  <c r="AP11" i="61" s="1"/>
  <c r="AP17" i="60"/>
  <c r="AP17" i="61" s="1"/>
  <c r="AP16" i="60"/>
  <c r="AP16" i="61" s="1"/>
  <c r="AP19" i="60"/>
  <c r="AP19" i="61" s="1"/>
  <c r="AP92" i="60"/>
  <c r="AP83" i="60"/>
  <c r="AP94" i="61" s="1"/>
  <c r="AP84" i="60"/>
  <c r="AP95" i="61" s="1"/>
  <c r="AP80" i="60"/>
  <c r="AP91" i="61" s="1"/>
  <c r="AP69" i="60"/>
  <c r="AP79" i="60"/>
  <c r="AP90" i="61" s="1"/>
  <c r="AP5" i="60"/>
  <c r="AP77" i="60"/>
  <c r="AP88" i="61" s="1"/>
  <c r="AP75" i="60"/>
  <c r="AP86" i="61" s="1"/>
  <c r="AP28" i="60"/>
  <c r="AP71" i="60"/>
  <c r="AP82" i="61" s="1"/>
  <c r="AP6" i="60"/>
  <c r="AP13" i="60"/>
  <c r="AP13" i="61" s="1"/>
  <c r="AP70" i="60"/>
  <c r="AP81" i="60"/>
  <c r="AP92" i="61" s="1"/>
  <c r="AP18" i="60"/>
  <c r="AP18" i="61" s="1"/>
  <c r="AP76" i="60"/>
  <c r="AP87" i="61" s="1"/>
  <c r="AP9" i="60"/>
  <c r="AP9" i="61" s="1"/>
  <c r="AP73" i="60"/>
  <c r="AP84" i="61" s="1"/>
  <c r="O169" i="60"/>
  <c r="AX155" i="60"/>
  <c r="Z155" i="60"/>
  <c r="BI134" i="60"/>
  <c r="BI21" i="60"/>
  <c r="BI137" i="60"/>
  <c r="BC88" i="61"/>
  <c r="BD134" i="60"/>
  <c r="BD21" i="60"/>
  <c r="BC5" i="60"/>
  <c r="BV5" i="60" s="1"/>
  <c r="D32" i="57"/>
  <c r="BC15" i="60"/>
  <c r="BV15" i="60" s="1"/>
  <c r="AM15" i="105" s="1"/>
  <c r="D42" i="57"/>
  <c r="K248" i="60"/>
  <c r="K185" i="60"/>
  <c r="K260" i="60" s="1"/>
  <c r="BK9" i="61"/>
  <c r="E36" i="57"/>
  <c r="E12" i="57" s="1"/>
  <c r="BK6" i="61"/>
  <c r="BK137" i="60"/>
  <c r="U210" i="60" s="1"/>
  <c r="E33" i="57"/>
  <c r="E9" i="57" s="1"/>
  <c r="BK11" i="61"/>
  <c r="E38" i="57"/>
  <c r="E14" i="57" s="1"/>
  <c r="BF144" i="60"/>
  <c r="BF85" i="60"/>
  <c r="BH103" i="61"/>
  <c r="BH105" i="61" s="1"/>
  <c r="BH94" i="60"/>
  <c r="W12" i="60"/>
  <c r="W12" i="61" s="1"/>
  <c r="W13" i="60"/>
  <c r="W13" i="61" s="1"/>
  <c r="W19" i="60"/>
  <c r="W19" i="61" s="1"/>
  <c r="W82" i="60"/>
  <c r="W93" i="61" s="1"/>
  <c r="W8" i="60"/>
  <c r="W8" i="61" s="1"/>
  <c r="W15" i="60"/>
  <c r="W15" i="61" s="1"/>
  <c r="W72" i="60"/>
  <c r="W83" i="61" s="1"/>
  <c r="W11" i="60"/>
  <c r="W11" i="61" s="1"/>
  <c r="W16" i="60"/>
  <c r="W16" i="61" s="1"/>
  <c r="W5" i="60"/>
  <c r="W71" i="60"/>
  <c r="W82" i="61" s="1"/>
  <c r="W79" i="60"/>
  <c r="W90" i="61" s="1"/>
  <c r="W7" i="60"/>
  <c r="W7" i="61" s="1"/>
  <c r="W69" i="60"/>
  <c r="W6" i="60"/>
  <c r="W83" i="60"/>
  <c r="W94" i="61" s="1"/>
  <c r="W84" i="60"/>
  <c r="W95" i="61" s="1"/>
  <c r="W18" i="60"/>
  <c r="W18" i="61" s="1"/>
  <c r="W81" i="60"/>
  <c r="W92" i="61" s="1"/>
  <c r="W28" i="60"/>
  <c r="W70" i="60"/>
  <c r="W76" i="60"/>
  <c r="W87" i="61" s="1"/>
  <c r="W80" i="60"/>
  <c r="W91" i="61" s="1"/>
  <c r="W17" i="60"/>
  <c r="W17" i="61" s="1"/>
  <c r="W92" i="60"/>
  <c r="W77" i="60"/>
  <c r="W88" i="61" s="1"/>
  <c r="W75" i="60"/>
  <c r="W86" i="61" s="1"/>
  <c r="W20" i="60"/>
  <c r="W20" i="61" s="1"/>
  <c r="W9" i="60"/>
  <c r="W9" i="61" s="1"/>
  <c r="W73" i="60"/>
  <c r="W84" i="61" s="1"/>
  <c r="AD16" i="60"/>
  <c r="AD16" i="61" s="1"/>
  <c r="AD19" i="60"/>
  <c r="AD19" i="61" s="1"/>
  <c r="AD82" i="60"/>
  <c r="AD93" i="61" s="1"/>
  <c r="AD92" i="60"/>
  <c r="AD8" i="60"/>
  <c r="AD8" i="61" s="1"/>
  <c r="AD72" i="60"/>
  <c r="AD83" i="61" s="1"/>
  <c r="AD17" i="60"/>
  <c r="AD17" i="61" s="1"/>
  <c r="AD12" i="60"/>
  <c r="AD12" i="61" s="1"/>
  <c r="AD7" i="60"/>
  <c r="AD7" i="61" s="1"/>
  <c r="AD20" i="60"/>
  <c r="AD20" i="61" s="1"/>
  <c r="AD15" i="60"/>
  <c r="AD15" i="61" s="1"/>
  <c r="AD28" i="60"/>
  <c r="AD79" i="60"/>
  <c r="AD90" i="61" s="1"/>
  <c r="AD76" i="60"/>
  <c r="AD87" i="61" s="1"/>
  <c r="AD6" i="60"/>
  <c r="AD13" i="60"/>
  <c r="AD13" i="61" s="1"/>
  <c r="AD69" i="60"/>
  <c r="AD70" i="60"/>
  <c r="AD81" i="60"/>
  <c r="AD92" i="61" s="1"/>
  <c r="AD18" i="60"/>
  <c r="AD18" i="61" s="1"/>
  <c r="AD83" i="60"/>
  <c r="AD94" i="61" s="1"/>
  <c r="AD84" i="60"/>
  <c r="AD95" i="61" s="1"/>
  <c r="AD71" i="60"/>
  <c r="AD82" i="61" s="1"/>
  <c r="AD11" i="60"/>
  <c r="AD11" i="61" s="1"/>
  <c r="AD80" i="60"/>
  <c r="AD91" i="61" s="1"/>
  <c r="AD5" i="60"/>
  <c r="AD77" i="60"/>
  <c r="AD88" i="61" s="1"/>
  <c r="AD75" i="60"/>
  <c r="AD86" i="61" s="1"/>
  <c r="AD9" i="60"/>
  <c r="AD9" i="61" s="1"/>
  <c r="AD73" i="60"/>
  <c r="AD84" i="61" s="1"/>
  <c r="AF7" i="60"/>
  <c r="AF7" i="61" s="1"/>
  <c r="AF20" i="60"/>
  <c r="AF20" i="61" s="1"/>
  <c r="AF16" i="60"/>
  <c r="AF16" i="61" s="1"/>
  <c r="AF19" i="60"/>
  <c r="AF19" i="61" s="1"/>
  <c r="AF72" i="60"/>
  <c r="AF83" i="61" s="1"/>
  <c r="AF28" i="60"/>
  <c r="AF69" i="60"/>
  <c r="AF79" i="60"/>
  <c r="AF90" i="61" s="1"/>
  <c r="AF13" i="60"/>
  <c r="AF13" i="61" s="1"/>
  <c r="AF82" i="60"/>
  <c r="AF93" i="61" s="1"/>
  <c r="AF15" i="60"/>
  <c r="AF15" i="61" s="1"/>
  <c r="AF70" i="60"/>
  <c r="AF71" i="60"/>
  <c r="AF82" i="61" s="1"/>
  <c r="AF81" i="60"/>
  <c r="AF92" i="61" s="1"/>
  <c r="AF77" i="60"/>
  <c r="AF88" i="61" s="1"/>
  <c r="AF76" i="60"/>
  <c r="AF87" i="61" s="1"/>
  <c r="AF5" i="60"/>
  <c r="AF12" i="60"/>
  <c r="AF12" i="61" s="1"/>
  <c r="AF8" i="60"/>
  <c r="AF8" i="61" s="1"/>
  <c r="AF80" i="60"/>
  <c r="AF91" i="61" s="1"/>
  <c r="AF11" i="60"/>
  <c r="AF11" i="61" s="1"/>
  <c r="AF83" i="60"/>
  <c r="AF94" i="61" s="1"/>
  <c r="AF84" i="60"/>
  <c r="AF95" i="61" s="1"/>
  <c r="AF17" i="60"/>
  <c r="AF17" i="61" s="1"/>
  <c r="AF92" i="60"/>
  <c r="AF18" i="60"/>
  <c r="AF18" i="61" s="1"/>
  <c r="AF6" i="60"/>
  <c r="AF75" i="60"/>
  <c r="AF86" i="61" s="1"/>
  <c r="AF9" i="60"/>
  <c r="AF9" i="61" s="1"/>
  <c r="AF73" i="60"/>
  <c r="AF84" i="61" s="1"/>
  <c r="BQ47" i="61"/>
  <c r="K244" i="60"/>
  <c r="M248" i="60"/>
  <c r="M185" i="60"/>
  <c r="M260" i="60" s="1"/>
  <c r="S248" i="60"/>
  <c r="S185" i="60"/>
  <c r="BQ41" i="61"/>
  <c r="N156" i="60"/>
  <c r="AK155" i="60"/>
  <c r="BB80" i="61"/>
  <c r="BB144" i="60"/>
  <c r="BB85" i="60"/>
  <c r="BB97" i="60" s="1"/>
  <c r="BB126" i="60" s="1"/>
  <c r="BB81" i="61"/>
  <c r="BB147" i="60"/>
  <c r="BB28" i="61"/>
  <c r="BB30" i="61" s="1"/>
  <c r="BB30" i="60"/>
  <c r="BB20" i="61"/>
  <c r="G47" i="57"/>
  <c r="G23" i="57" s="1"/>
  <c r="BB13" i="61"/>
  <c r="G40" i="57"/>
  <c r="G16" i="57" s="1"/>
  <c r="BE144" i="60"/>
  <c r="BE85" i="60"/>
  <c r="BJ103" i="61"/>
  <c r="BJ105" i="61" s="1"/>
  <c r="BJ94" i="60"/>
  <c r="AY103" i="61"/>
  <c r="AY105" i="61" s="1"/>
  <c r="AY94" i="60"/>
  <c r="AY28" i="61"/>
  <c r="AY30" i="61" s="1"/>
  <c r="AY30" i="60"/>
  <c r="AI15" i="60"/>
  <c r="AI15" i="61" s="1"/>
  <c r="AI17" i="60"/>
  <c r="AI17" i="61" s="1"/>
  <c r="AI16" i="60"/>
  <c r="AI16" i="61" s="1"/>
  <c r="AI82" i="60"/>
  <c r="AI93" i="61" s="1"/>
  <c r="AI8" i="60"/>
  <c r="AI8" i="61" s="1"/>
  <c r="AI7" i="60"/>
  <c r="AI7" i="61" s="1"/>
  <c r="AI20" i="60"/>
  <c r="AI20" i="61" s="1"/>
  <c r="AI72" i="60"/>
  <c r="AI83" i="61" s="1"/>
  <c r="AI5" i="60"/>
  <c r="AI12" i="60"/>
  <c r="AI12" i="61" s="1"/>
  <c r="AI13" i="60"/>
  <c r="AI13" i="61" s="1"/>
  <c r="AI19" i="60"/>
  <c r="AI19" i="61" s="1"/>
  <c r="AI71" i="60"/>
  <c r="AI82" i="61" s="1"/>
  <c r="AI80" i="60"/>
  <c r="AI91" i="61" s="1"/>
  <c r="AI69" i="60"/>
  <c r="AI77" i="60"/>
  <c r="AI88" i="61" s="1"/>
  <c r="AI18" i="60"/>
  <c r="AI18" i="61" s="1"/>
  <c r="AI75" i="60"/>
  <c r="AI86" i="61" s="1"/>
  <c r="AI79" i="60"/>
  <c r="AI90" i="61" s="1"/>
  <c r="AI6" i="60"/>
  <c r="AI92" i="60"/>
  <c r="AI11" i="60"/>
  <c r="AI11" i="61" s="1"/>
  <c r="AI83" i="60"/>
  <c r="AI94" i="61" s="1"/>
  <c r="AI84" i="60"/>
  <c r="AI95" i="61" s="1"/>
  <c r="AI28" i="60"/>
  <c r="AI81" i="60"/>
  <c r="AI92" i="61" s="1"/>
  <c r="AI76" i="60"/>
  <c r="AI87" i="61" s="1"/>
  <c r="AI70" i="60"/>
  <c r="AI9" i="60"/>
  <c r="AI9" i="61" s="1"/>
  <c r="AI73" i="60"/>
  <c r="AI84" i="61" s="1"/>
  <c r="AV8" i="60"/>
  <c r="AV8" i="61" s="1"/>
  <c r="AV7" i="60"/>
  <c r="AV7" i="61" s="1"/>
  <c r="AV20" i="60"/>
  <c r="AV20" i="61" s="1"/>
  <c r="AV16" i="60"/>
  <c r="AV16" i="61" s="1"/>
  <c r="AV11" i="60"/>
  <c r="AV11" i="61" s="1"/>
  <c r="AV19" i="60"/>
  <c r="AV19" i="61" s="1"/>
  <c r="AV72" i="60"/>
  <c r="AV83" i="61" s="1"/>
  <c r="AV28" i="60"/>
  <c r="AV17" i="60"/>
  <c r="AV17" i="61" s="1"/>
  <c r="AV81" i="60"/>
  <c r="AV92" i="61" s="1"/>
  <c r="AV69" i="60"/>
  <c r="AV79" i="60"/>
  <c r="AV90" i="61" s="1"/>
  <c r="AV75" i="60"/>
  <c r="AV86" i="61" s="1"/>
  <c r="AV18" i="60"/>
  <c r="AV18" i="61" s="1"/>
  <c r="AV6" i="60"/>
  <c r="AV13" i="60"/>
  <c r="AV13" i="61" s="1"/>
  <c r="AV15" i="60"/>
  <c r="AV15" i="61" s="1"/>
  <c r="AV83" i="60"/>
  <c r="AV94" i="61" s="1"/>
  <c r="AV71" i="60"/>
  <c r="AV82" i="61" s="1"/>
  <c r="AV80" i="60"/>
  <c r="AV91" i="61" s="1"/>
  <c r="AV82" i="60"/>
  <c r="AV93" i="61" s="1"/>
  <c r="AV84" i="60"/>
  <c r="AV95" i="61" s="1"/>
  <c r="AV92" i="60"/>
  <c r="AV77" i="60"/>
  <c r="AV88" i="61" s="1"/>
  <c r="AV76" i="60"/>
  <c r="AV87" i="61" s="1"/>
  <c r="AV70" i="60"/>
  <c r="AV5" i="60"/>
  <c r="AV12" i="60"/>
  <c r="AV12" i="61" s="1"/>
  <c r="AV9" i="60"/>
  <c r="AV9" i="61" s="1"/>
  <c r="AV73" i="60"/>
  <c r="AV84" i="61" s="1"/>
  <c r="AX156" i="60"/>
  <c r="O170" i="60"/>
  <c r="AR127" i="61"/>
  <c r="AF160" i="60"/>
  <c r="AI156" i="60"/>
  <c r="U156" i="60"/>
  <c r="AZ6" i="61"/>
  <c r="AZ137" i="60"/>
  <c r="Q210" i="60" s="1"/>
  <c r="AZ81" i="61"/>
  <c r="AZ147" i="60"/>
  <c r="BA6" i="61"/>
  <c r="BA137" i="60"/>
  <c r="R210" i="60" s="1"/>
  <c r="AM12" i="60"/>
  <c r="AM12" i="61" s="1"/>
  <c r="AM13" i="60"/>
  <c r="AM13" i="61" s="1"/>
  <c r="AM19" i="60"/>
  <c r="AM19" i="61" s="1"/>
  <c r="AM82" i="60"/>
  <c r="AM93" i="61" s="1"/>
  <c r="AM8" i="60"/>
  <c r="AM8" i="61" s="1"/>
  <c r="AM15" i="60"/>
  <c r="AM15" i="61" s="1"/>
  <c r="AM72" i="60"/>
  <c r="AM83" i="61" s="1"/>
  <c r="AM11" i="60"/>
  <c r="AM11" i="61" s="1"/>
  <c r="AM16" i="60"/>
  <c r="AM16" i="61" s="1"/>
  <c r="AM5" i="60"/>
  <c r="AM71" i="60"/>
  <c r="AM82" i="61" s="1"/>
  <c r="AM79" i="60"/>
  <c r="AM90" i="61" s="1"/>
  <c r="AM17" i="60"/>
  <c r="AM17" i="61" s="1"/>
  <c r="AM20" i="60"/>
  <c r="AM20" i="61" s="1"/>
  <c r="AM18" i="60"/>
  <c r="AM18" i="61" s="1"/>
  <c r="AM83" i="60"/>
  <c r="AM94" i="61" s="1"/>
  <c r="AM84" i="60"/>
  <c r="AM95" i="61" s="1"/>
  <c r="AM7" i="60"/>
  <c r="AM7" i="61" s="1"/>
  <c r="AM70" i="60"/>
  <c r="AM76" i="60"/>
  <c r="AM87" i="61" s="1"/>
  <c r="AM81" i="60"/>
  <c r="AM92" i="61" s="1"/>
  <c r="AM92" i="60"/>
  <c r="AM80" i="60"/>
  <c r="AM91" i="61" s="1"/>
  <c r="AM69" i="60"/>
  <c r="AM6" i="60"/>
  <c r="AM28" i="60"/>
  <c r="AM77" i="60"/>
  <c r="AM88" i="61" s="1"/>
  <c r="AM75" i="60"/>
  <c r="AM86" i="61" s="1"/>
  <c r="AM9" i="60"/>
  <c r="AM9" i="61" s="1"/>
  <c r="AM73" i="60"/>
  <c r="AM84" i="61" s="1"/>
  <c r="T16" i="60"/>
  <c r="T16" i="61" s="1"/>
  <c r="T72" i="60"/>
  <c r="T83" i="61" s="1"/>
  <c r="T17" i="60"/>
  <c r="T17" i="61" s="1"/>
  <c r="T19" i="60"/>
  <c r="T19" i="61" s="1"/>
  <c r="T7" i="60"/>
  <c r="T7" i="61" s="1"/>
  <c r="T20" i="60"/>
  <c r="T20" i="61" s="1"/>
  <c r="T28" i="60"/>
  <c r="T8" i="60"/>
  <c r="T8" i="61" s="1"/>
  <c r="T71" i="60"/>
  <c r="T82" i="61" s="1"/>
  <c r="T80" i="60"/>
  <c r="T91" i="61" s="1"/>
  <c r="T18" i="60"/>
  <c r="T18" i="61" s="1"/>
  <c r="T6" i="60"/>
  <c r="T77" i="60"/>
  <c r="T88" i="61" s="1"/>
  <c r="T75" i="60"/>
  <c r="T86" i="61" s="1"/>
  <c r="T11" i="60"/>
  <c r="T11" i="61" s="1"/>
  <c r="T5" i="60"/>
  <c r="T83" i="60"/>
  <c r="T94" i="61" s="1"/>
  <c r="T84" i="60"/>
  <c r="T95" i="61" s="1"/>
  <c r="T13" i="60"/>
  <c r="T13" i="61" s="1"/>
  <c r="T15" i="60"/>
  <c r="T15" i="61" s="1"/>
  <c r="T70" i="60"/>
  <c r="T76" i="60"/>
  <c r="T87" i="61" s="1"/>
  <c r="T12" i="60"/>
  <c r="T12" i="61" s="1"/>
  <c r="T81" i="60"/>
  <c r="T92" i="61" s="1"/>
  <c r="T69" i="60"/>
  <c r="T79" i="60"/>
  <c r="T90" i="61" s="1"/>
  <c r="T82" i="60"/>
  <c r="T93" i="61" s="1"/>
  <c r="T92" i="60"/>
  <c r="T9" i="60"/>
  <c r="T9" i="61" s="1"/>
  <c r="T73" i="60"/>
  <c r="T84" i="61" s="1"/>
  <c r="AV155" i="60"/>
  <c r="AF155" i="60"/>
  <c r="Y155" i="60"/>
  <c r="I174" i="60"/>
  <c r="AI160" i="60"/>
  <c r="N248" i="60"/>
  <c r="N185" i="60"/>
  <c r="N260" i="60" s="1"/>
  <c r="J169" i="60"/>
  <c r="V169" i="60" s="1"/>
  <c r="I55" i="61"/>
  <c r="J58" i="61"/>
  <c r="BC72" i="60"/>
  <c r="BC80" i="60"/>
  <c r="BC11" i="60"/>
  <c r="BV11" i="60" s="1"/>
  <c r="AM10" i="105" s="1"/>
  <c r="D38" i="57"/>
  <c r="BC20" i="60"/>
  <c r="BV20" i="60" s="1"/>
  <c r="AM26" i="105" s="1"/>
  <c r="D47" i="57"/>
  <c r="BC82" i="60"/>
  <c r="AS7" i="60"/>
  <c r="AS7" i="61" s="1"/>
  <c r="AS20" i="60"/>
  <c r="AS20" i="61" s="1"/>
  <c r="AS15" i="60"/>
  <c r="AS15" i="61" s="1"/>
  <c r="AS82" i="60"/>
  <c r="AS93" i="61" s="1"/>
  <c r="AS11" i="60"/>
  <c r="AS11" i="61" s="1"/>
  <c r="AS72" i="60"/>
  <c r="AS83" i="61" s="1"/>
  <c r="AS8" i="60"/>
  <c r="AS8" i="61" s="1"/>
  <c r="AS12" i="60"/>
  <c r="AS12" i="61" s="1"/>
  <c r="AS17" i="60"/>
  <c r="AS17" i="61" s="1"/>
  <c r="AS92" i="60"/>
  <c r="AS80" i="60"/>
  <c r="AS91" i="61" s="1"/>
  <c r="AS5" i="60"/>
  <c r="AS6" i="60"/>
  <c r="AS79" i="60"/>
  <c r="AS90" i="61" s="1"/>
  <c r="AS71" i="60"/>
  <c r="AS82" i="61" s="1"/>
  <c r="AS16" i="60"/>
  <c r="AS16" i="61" s="1"/>
  <c r="AS77" i="60"/>
  <c r="AS88" i="61" s="1"/>
  <c r="AS76" i="60"/>
  <c r="AS87" i="61" s="1"/>
  <c r="AS75" i="60"/>
  <c r="AS86" i="61" s="1"/>
  <c r="AS18" i="60"/>
  <c r="AS18" i="61" s="1"/>
  <c r="AS83" i="60"/>
  <c r="AS94" i="61" s="1"/>
  <c r="AS84" i="60"/>
  <c r="AS95" i="61" s="1"/>
  <c r="AS69" i="60"/>
  <c r="AS81" i="60"/>
  <c r="AS92" i="61" s="1"/>
  <c r="AS28" i="60"/>
  <c r="AS13" i="60"/>
  <c r="AS13" i="61" s="1"/>
  <c r="AS19" i="60"/>
  <c r="AS19" i="61" s="1"/>
  <c r="AS70" i="60"/>
  <c r="AS9" i="60"/>
  <c r="AS9" i="61" s="1"/>
  <c r="AS73" i="60"/>
  <c r="AS84" i="61" s="1"/>
  <c r="AW72" i="60"/>
  <c r="AW83" i="61" s="1"/>
  <c r="AW82" i="60"/>
  <c r="AW93" i="61" s="1"/>
  <c r="AW92" i="60"/>
  <c r="AW15" i="60"/>
  <c r="AW15" i="61" s="1"/>
  <c r="AW17" i="60"/>
  <c r="AW17" i="61" s="1"/>
  <c r="AW7" i="60"/>
  <c r="AW7" i="61" s="1"/>
  <c r="AW20" i="60"/>
  <c r="AW20" i="61" s="1"/>
  <c r="AW8" i="60"/>
  <c r="AW8" i="61" s="1"/>
  <c r="AW12" i="60"/>
  <c r="AW12" i="61" s="1"/>
  <c r="AW71" i="60"/>
  <c r="AW82" i="61" s="1"/>
  <c r="AW13" i="60"/>
  <c r="AW13" i="61" s="1"/>
  <c r="AW16" i="60"/>
  <c r="AW16" i="61" s="1"/>
  <c r="AW11" i="60"/>
  <c r="AW11" i="61" s="1"/>
  <c r="AW70" i="60"/>
  <c r="AW76" i="60"/>
  <c r="AW87" i="61" s="1"/>
  <c r="AW77" i="60"/>
  <c r="AW88" i="61" s="1"/>
  <c r="AW83" i="60"/>
  <c r="AW94" i="61" s="1"/>
  <c r="AW84" i="60"/>
  <c r="AW95" i="61" s="1"/>
  <c r="AW28" i="60"/>
  <c r="AW5" i="60"/>
  <c r="AW80" i="60"/>
  <c r="AW91" i="61" s="1"/>
  <c r="AW19" i="60"/>
  <c r="AW19" i="61" s="1"/>
  <c r="AW81" i="60"/>
  <c r="AW92" i="61" s="1"/>
  <c r="AW75" i="60"/>
  <c r="AW86" i="61" s="1"/>
  <c r="AW18" i="60"/>
  <c r="AW18" i="61" s="1"/>
  <c r="AW6" i="60"/>
  <c r="AW69" i="60"/>
  <c r="AW79" i="60"/>
  <c r="AW90" i="61" s="1"/>
  <c r="AW9" i="60"/>
  <c r="AW9" i="61" s="1"/>
  <c r="AW73" i="60"/>
  <c r="AW84" i="61" s="1"/>
  <c r="R72" i="60"/>
  <c r="R83" i="61" s="1"/>
  <c r="R15" i="60"/>
  <c r="R15" i="61" s="1"/>
  <c r="R17" i="60"/>
  <c r="R17" i="61" s="1"/>
  <c r="R16" i="60"/>
  <c r="R16" i="61" s="1"/>
  <c r="R19" i="60"/>
  <c r="R19" i="61" s="1"/>
  <c r="R92" i="60"/>
  <c r="R7" i="60"/>
  <c r="R7" i="61" s="1"/>
  <c r="R20" i="60"/>
  <c r="R20" i="61" s="1"/>
  <c r="R8" i="60"/>
  <c r="R8" i="61" s="1"/>
  <c r="R11" i="60"/>
  <c r="R11" i="61" s="1"/>
  <c r="R12" i="60"/>
  <c r="R12" i="61" s="1"/>
  <c r="R82" i="60"/>
  <c r="R93" i="61" s="1"/>
  <c r="R18" i="60"/>
  <c r="R18" i="61" s="1"/>
  <c r="R70" i="60"/>
  <c r="R5" i="60"/>
  <c r="R81" i="60"/>
  <c r="R92" i="61" s="1"/>
  <c r="R76" i="60"/>
  <c r="R87" i="61" s="1"/>
  <c r="R77" i="60"/>
  <c r="R88" i="61" s="1"/>
  <c r="R83" i="60"/>
  <c r="R94" i="61" s="1"/>
  <c r="R84" i="60"/>
  <c r="R95" i="61" s="1"/>
  <c r="R6" i="60"/>
  <c r="R28" i="60"/>
  <c r="R80" i="60"/>
  <c r="R91" i="61" s="1"/>
  <c r="R75" i="60"/>
  <c r="R86" i="61" s="1"/>
  <c r="R71" i="60"/>
  <c r="R82" i="61" s="1"/>
  <c r="R13" i="60"/>
  <c r="R13" i="61" s="1"/>
  <c r="R69" i="60"/>
  <c r="R79" i="60"/>
  <c r="R90" i="61" s="1"/>
  <c r="R9" i="60"/>
  <c r="R9" i="61" s="1"/>
  <c r="R73" i="60"/>
  <c r="R84" i="61" s="1"/>
  <c r="I122" i="61"/>
  <c r="BL122" i="61" s="1"/>
  <c r="BM122" i="61" s="1"/>
  <c r="I150" i="60"/>
  <c r="I160" i="60" s="1"/>
  <c r="BL111" i="60"/>
  <c r="BL150" i="60" s="1"/>
  <c r="I118" i="61"/>
  <c r="BL118" i="61" s="1"/>
  <c r="BM118" i="61" s="1"/>
  <c r="I145" i="60"/>
  <c r="BL107" i="60"/>
  <c r="BL145" i="60" s="1"/>
  <c r="M244" i="60"/>
  <c r="M192" i="60"/>
  <c r="BK80" i="61"/>
  <c r="BK96" i="61" s="1"/>
  <c r="BK144" i="60"/>
  <c r="BK85" i="60"/>
  <c r="BK15" i="61"/>
  <c r="E42" i="57"/>
  <c r="E18" i="57" s="1"/>
  <c r="BK20" i="61"/>
  <c r="E47" i="57"/>
  <c r="E23" i="57" s="1"/>
  <c r="BM113" i="61"/>
  <c r="J159" i="60"/>
  <c r="I136" i="60"/>
  <c r="BL55" i="60"/>
  <c r="I58" i="60"/>
  <c r="I135" i="60"/>
  <c r="BL43" i="60"/>
  <c r="BI144" i="60"/>
  <c r="BI85" i="60"/>
  <c r="BG103" i="61"/>
  <c r="BG105" i="61" s="1"/>
  <c r="BG94" i="60"/>
  <c r="BC75" i="60"/>
  <c r="BC83" i="60"/>
  <c r="BC84" i="60"/>
  <c r="BD103" i="61"/>
  <c r="BD105" i="61" s="1"/>
  <c r="BC92" i="60"/>
  <c r="BD94" i="60"/>
  <c r="BC19" i="60"/>
  <c r="BV19" i="60" s="1"/>
  <c r="AM20" i="105" s="1"/>
  <c r="D46" i="57"/>
  <c r="D34" i="57"/>
  <c r="BC7" i="60"/>
  <c r="BV7" i="60" s="1"/>
  <c r="AM6" i="105" s="1"/>
  <c r="BC28" i="60"/>
  <c r="BD30" i="60"/>
  <c r="K82" i="62"/>
  <c r="AG92" i="60"/>
  <c r="AG11" i="60"/>
  <c r="AG11" i="61" s="1"/>
  <c r="AG72" i="60"/>
  <c r="AG83" i="61" s="1"/>
  <c r="AG15" i="60"/>
  <c r="AG15" i="61" s="1"/>
  <c r="AG17" i="60"/>
  <c r="AG17" i="61" s="1"/>
  <c r="AG82" i="60"/>
  <c r="AG93" i="61" s="1"/>
  <c r="AG7" i="60"/>
  <c r="AG7" i="61" s="1"/>
  <c r="AG20" i="60"/>
  <c r="AG20" i="61" s="1"/>
  <c r="AG8" i="60"/>
  <c r="AG8" i="61" s="1"/>
  <c r="AG12" i="60"/>
  <c r="AG12" i="61" s="1"/>
  <c r="AG81" i="60"/>
  <c r="AG92" i="61" s="1"/>
  <c r="AG28" i="60"/>
  <c r="AG5" i="60"/>
  <c r="AG79" i="60"/>
  <c r="AG90" i="61" s="1"/>
  <c r="AG83" i="60"/>
  <c r="AG94" i="61" s="1"/>
  <c r="AG84" i="60"/>
  <c r="AG95" i="61" s="1"/>
  <c r="AG71" i="60"/>
  <c r="AG82" i="61" s="1"/>
  <c r="AG19" i="60"/>
  <c r="AG19" i="61" s="1"/>
  <c r="AG76" i="60"/>
  <c r="AG87" i="61" s="1"/>
  <c r="AG18" i="60"/>
  <c r="AG18" i="61" s="1"/>
  <c r="AG6" i="60"/>
  <c r="AG69" i="60"/>
  <c r="AG80" i="60"/>
  <c r="AG91" i="61" s="1"/>
  <c r="AG13" i="60"/>
  <c r="AG13" i="61" s="1"/>
  <c r="AG16" i="60"/>
  <c r="AG16" i="61" s="1"/>
  <c r="AG70" i="60"/>
  <c r="AG77" i="60"/>
  <c r="AG88" i="61" s="1"/>
  <c r="AG75" i="60"/>
  <c r="AG86" i="61" s="1"/>
  <c r="AG9" i="60"/>
  <c r="AG9" i="61" s="1"/>
  <c r="AG73" i="60"/>
  <c r="AG84" i="61" s="1"/>
  <c r="Z7" i="60"/>
  <c r="Z7" i="61" s="1"/>
  <c r="Z20" i="60"/>
  <c r="Z20" i="61" s="1"/>
  <c r="Z8" i="60"/>
  <c r="Z8" i="61" s="1"/>
  <c r="Z11" i="60"/>
  <c r="Z11" i="61" s="1"/>
  <c r="Z12" i="60"/>
  <c r="Z12" i="61" s="1"/>
  <c r="Z82" i="60"/>
  <c r="Z93" i="61" s="1"/>
  <c r="Z15" i="60"/>
  <c r="Z15" i="61" s="1"/>
  <c r="Z17" i="60"/>
  <c r="Z17" i="61" s="1"/>
  <c r="Z72" i="60"/>
  <c r="Z83" i="61" s="1"/>
  <c r="Z16" i="60"/>
  <c r="Z16" i="61" s="1"/>
  <c r="Z19" i="60"/>
  <c r="Z19" i="61" s="1"/>
  <c r="Z92" i="60"/>
  <c r="Z83" i="60"/>
  <c r="Z94" i="61" s="1"/>
  <c r="Z84" i="60"/>
  <c r="Z95" i="61" s="1"/>
  <c r="Z71" i="60"/>
  <c r="Z82" i="61" s="1"/>
  <c r="Z80" i="60"/>
  <c r="Z91" i="61" s="1"/>
  <c r="Z6" i="60"/>
  <c r="Z18" i="60"/>
  <c r="Z18" i="61" s="1"/>
  <c r="Z77" i="60"/>
  <c r="Z88" i="61" s="1"/>
  <c r="Z75" i="60"/>
  <c r="Z86" i="61" s="1"/>
  <c r="Z79" i="60"/>
  <c r="Z90" i="61" s="1"/>
  <c r="Z5" i="60"/>
  <c r="Z70" i="60"/>
  <c r="Z81" i="60"/>
  <c r="Z92" i="61" s="1"/>
  <c r="Z69" i="60"/>
  <c r="Z28" i="60"/>
  <c r="Z76" i="60"/>
  <c r="Z87" i="61" s="1"/>
  <c r="Z13" i="60"/>
  <c r="Z13" i="61" s="1"/>
  <c r="Z9" i="60"/>
  <c r="Z9" i="61" s="1"/>
  <c r="Z73" i="60"/>
  <c r="Z84" i="61" s="1"/>
  <c r="J7" i="60"/>
  <c r="J11" i="60"/>
  <c r="J20" i="60"/>
  <c r="J8" i="60"/>
  <c r="J72" i="60"/>
  <c r="J12" i="60"/>
  <c r="J82" i="60"/>
  <c r="J15" i="60"/>
  <c r="J17" i="60"/>
  <c r="J16" i="60"/>
  <c r="J19" i="60"/>
  <c r="J92" i="60"/>
  <c r="J83" i="60"/>
  <c r="J84" i="60"/>
  <c r="J80" i="60"/>
  <c r="J79" i="60"/>
  <c r="J28" i="60"/>
  <c r="J77" i="60"/>
  <c r="J75" i="60"/>
  <c r="J5" i="60"/>
  <c r="J18" i="60"/>
  <c r="J70" i="60"/>
  <c r="J69" i="60"/>
  <c r="J71" i="60"/>
  <c r="J81" i="60"/>
  <c r="J6" i="60"/>
  <c r="J13" i="60"/>
  <c r="J76" i="60"/>
  <c r="J9" i="60"/>
  <c r="J73" i="60"/>
  <c r="Q245" i="60"/>
  <c r="Q193" i="60"/>
  <c r="BK17" i="61"/>
  <c r="E44" i="57"/>
  <c r="E20" i="57" s="1"/>
  <c r="BK19" i="61"/>
  <c r="E46" i="57"/>
  <c r="E22" i="57" s="1"/>
  <c r="BK5" i="61"/>
  <c r="BK134" i="60"/>
  <c r="BK21" i="60"/>
  <c r="E32" i="57"/>
  <c r="BF157" i="60"/>
  <c r="BH147" i="60"/>
  <c r="BH157" i="60" s="1"/>
  <c r="AR19" i="60"/>
  <c r="AR19" i="61" s="1"/>
  <c r="AR7" i="60"/>
  <c r="AR7" i="61" s="1"/>
  <c r="AR20" i="60"/>
  <c r="AR20" i="61" s="1"/>
  <c r="AR28" i="60"/>
  <c r="AR8" i="60"/>
  <c r="AR8" i="61" s="1"/>
  <c r="AR16" i="60"/>
  <c r="AR16" i="61" s="1"/>
  <c r="AR72" i="60"/>
  <c r="AR83" i="61" s="1"/>
  <c r="AR12" i="60"/>
  <c r="AR12" i="61" s="1"/>
  <c r="AR81" i="60"/>
  <c r="AR92" i="61" s="1"/>
  <c r="AR92" i="60"/>
  <c r="AR17" i="60"/>
  <c r="AR17" i="61" s="1"/>
  <c r="AR83" i="60"/>
  <c r="AR94" i="61" s="1"/>
  <c r="AR84" i="60"/>
  <c r="AR95" i="61" s="1"/>
  <c r="AR18" i="60"/>
  <c r="AR18" i="61" s="1"/>
  <c r="AR82" i="60"/>
  <c r="AR93" i="61" s="1"/>
  <c r="AR11" i="60"/>
  <c r="AR11" i="61" s="1"/>
  <c r="AR69" i="60"/>
  <c r="AR79" i="60"/>
  <c r="AR90" i="61" s="1"/>
  <c r="AR77" i="60"/>
  <c r="AR88" i="61" s="1"/>
  <c r="AR75" i="60"/>
  <c r="AR86" i="61" s="1"/>
  <c r="AR71" i="60"/>
  <c r="AR82" i="61" s="1"/>
  <c r="AR13" i="60"/>
  <c r="AR13" i="61" s="1"/>
  <c r="AR6" i="60"/>
  <c r="AR80" i="60"/>
  <c r="AR91" i="61" s="1"/>
  <c r="AR5" i="60"/>
  <c r="AR15" i="60"/>
  <c r="AR15" i="61" s="1"/>
  <c r="AR70" i="60"/>
  <c r="AR76" i="60"/>
  <c r="AR87" i="61" s="1"/>
  <c r="AR9" i="60"/>
  <c r="AR9" i="61" s="1"/>
  <c r="AR73" i="60"/>
  <c r="AR84" i="61" s="1"/>
  <c r="V17" i="60"/>
  <c r="V17" i="61" s="1"/>
  <c r="V72" i="60"/>
  <c r="V83" i="61" s="1"/>
  <c r="V12" i="60"/>
  <c r="V12" i="61" s="1"/>
  <c r="V7" i="60"/>
  <c r="V7" i="61" s="1"/>
  <c r="V20" i="60"/>
  <c r="V20" i="61" s="1"/>
  <c r="V15" i="60"/>
  <c r="V15" i="61" s="1"/>
  <c r="V82" i="60"/>
  <c r="V93" i="61" s="1"/>
  <c r="V92" i="60"/>
  <c r="V16" i="60"/>
  <c r="V16" i="61" s="1"/>
  <c r="V19" i="60"/>
  <c r="V19" i="61" s="1"/>
  <c r="V8" i="60"/>
  <c r="V8" i="61" s="1"/>
  <c r="V81" i="60"/>
  <c r="V92" i="61" s="1"/>
  <c r="V69" i="60"/>
  <c r="V76" i="60"/>
  <c r="V87" i="61" s="1"/>
  <c r="V6" i="60"/>
  <c r="V18" i="60"/>
  <c r="V18" i="61" s="1"/>
  <c r="V13" i="60"/>
  <c r="V13" i="61" s="1"/>
  <c r="V83" i="60"/>
  <c r="V94" i="61" s="1"/>
  <c r="V84" i="60"/>
  <c r="V95" i="61" s="1"/>
  <c r="V80" i="60"/>
  <c r="V91" i="61" s="1"/>
  <c r="V79" i="60"/>
  <c r="V90" i="61" s="1"/>
  <c r="V70" i="60"/>
  <c r="V77" i="60"/>
  <c r="V88" i="61" s="1"/>
  <c r="V75" i="60"/>
  <c r="V86" i="61" s="1"/>
  <c r="V5" i="60"/>
  <c r="V71" i="60"/>
  <c r="V82" i="61" s="1"/>
  <c r="V11" i="60"/>
  <c r="V11" i="61" s="1"/>
  <c r="V28" i="60"/>
  <c r="V9" i="60"/>
  <c r="V9" i="61" s="1"/>
  <c r="V73" i="60"/>
  <c r="V84" i="61" s="1"/>
  <c r="R248" i="60"/>
  <c r="R185" i="60"/>
  <c r="Q155" i="60"/>
  <c r="P245" i="60"/>
  <c r="P193" i="60"/>
  <c r="AG160" i="60"/>
  <c r="K159" i="60"/>
  <c r="AX159" i="60"/>
  <c r="N244" i="60"/>
  <c r="L249" i="60"/>
  <c r="L186" i="60"/>
  <c r="L261" i="60" s="1"/>
  <c r="P248" i="60"/>
  <c r="P185" i="60"/>
  <c r="J212" i="60"/>
  <c r="J170" i="60"/>
  <c r="K156" i="60"/>
  <c r="I212" i="60"/>
  <c r="BB11" i="61"/>
  <c r="G38" i="57"/>
  <c r="G14" i="57" s="1"/>
  <c r="BB8" i="61"/>
  <c r="G35" i="57"/>
  <c r="G11" i="57" s="1"/>
  <c r="BB15" i="61"/>
  <c r="G42" i="57"/>
  <c r="G18" i="57" s="1"/>
  <c r="BB7" i="61"/>
  <c r="G34" i="57"/>
  <c r="G10" i="57" s="1"/>
  <c r="BB5" i="61"/>
  <c r="BB134" i="60"/>
  <c r="BB21" i="60"/>
  <c r="G32" i="57"/>
  <c r="BE137" i="60"/>
  <c r="BJ137" i="60"/>
  <c r="BJ157" i="60" s="1"/>
  <c r="BJ134" i="60"/>
  <c r="BJ21" i="60"/>
  <c r="AY80" i="61"/>
  <c r="AY96" i="61" s="1"/>
  <c r="AY108" i="61" s="1"/>
  <c r="AY144" i="60"/>
  <c r="AY85" i="60"/>
  <c r="K69" i="62"/>
  <c r="L8" i="60"/>
  <c r="L8" i="61" s="1"/>
  <c r="L19" i="60"/>
  <c r="L19" i="61" s="1"/>
  <c r="L7" i="60"/>
  <c r="L7" i="61" s="1"/>
  <c r="L20" i="60"/>
  <c r="L20" i="61" s="1"/>
  <c r="L28" i="60"/>
  <c r="L16" i="60"/>
  <c r="L16" i="61" s="1"/>
  <c r="L72" i="60"/>
  <c r="L83" i="61" s="1"/>
  <c r="L13" i="60"/>
  <c r="L13" i="61" s="1"/>
  <c r="L6" i="60"/>
  <c r="L80" i="60"/>
  <c r="L91" i="61" s="1"/>
  <c r="L92" i="60"/>
  <c r="L76" i="60"/>
  <c r="L87" i="61" s="1"/>
  <c r="L5" i="60"/>
  <c r="L15" i="60"/>
  <c r="L15" i="61" s="1"/>
  <c r="L69" i="60"/>
  <c r="L79" i="60"/>
  <c r="L90" i="61" s="1"/>
  <c r="L77" i="60"/>
  <c r="L88" i="61" s="1"/>
  <c r="L75" i="60"/>
  <c r="L86" i="61" s="1"/>
  <c r="L17" i="60"/>
  <c r="L17" i="61" s="1"/>
  <c r="L71" i="60"/>
  <c r="L82" i="61" s="1"/>
  <c r="L12" i="60"/>
  <c r="L12" i="61" s="1"/>
  <c r="L81" i="60"/>
  <c r="L92" i="61" s="1"/>
  <c r="L83" i="60"/>
  <c r="L94" i="61" s="1"/>
  <c r="L84" i="60"/>
  <c r="L95" i="61" s="1"/>
  <c r="L18" i="60"/>
  <c r="L18" i="61" s="1"/>
  <c r="L82" i="60"/>
  <c r="L93" i="61" s="1"/>
  <c r="L11" i="60"/>
  <c r="L11" i="61" s="1"/>
  <c r="L70" i="60"/>
  <c r="L9" i="60"/>
  <c r="L9" i="61" s="1"/>
  <c r="L73" i="60"/>
  <c r="L84" i="61" s="1"/>
  <c r="Y17" i="60"/>
  <c r="Y17" i="61" s="1"/>
  <c r="Y7" i="60"/>
  <c r="Y7" i="61" s="1"/>
  <c r="Y20" i="60"/>
  <c r="Y20" i="61" s="1"/>
  <c r="Y8" i="60"/>
  <c r="Y8" i="61" s="1"/>
  <c r="Y12" i="60"/>
  <c r="Y12" i="61" s="1"/>
  <c r="Y92" i="60"/>
  <c r="Y11" i="60"/>
  <c r="Y11" i="61" s="1"/>
  <c r="Y72" i="60"/>
  <c r="Y83" i="61" s="1"/>
  <c r="Y15" i="60"/>
  <c r="Y15" i="61" s="1"/>
  <c r="Y82" i="60"/>
  <c r="Y93" i="61" s="1"/>
  <c r="Y80" i="60"/>
  <c r="Y91" i="61" s="1"/>
  <c r="Y79" i="60"/>
  <c r="Y90" i="61" s="1"/>
  <c r="Y13" i="60"/>
  <c r="Y13" i="61" s="1"/>
  <c r="Y19" i="60"/>
  <c r="Y19" i="61" s="1"/>
  <c r="Y81" i="60"/>
  <c r="Y92" i="61" s="1"/>
  <c r="Y77" i="60"/>
  <c r="Y88" i="61" s="1"/>
  <c r="Y76" i="60"/>
  <c r="Y87" i="61" s="1"/>
  <c r="Y28" i="60"/>
  <c r="Y5" i="60"/>
  <c r="Y71" i="60"/>
  <c r="Y82" i="61" s="1"/>
  <c r="Y69" i="60"/>
  <c r="Y83" i="60"/>
  <c r="Y94" i="61" s="1"/>
  <c r="Y84" i="60"/>
  <c r="Y95" i="61" s="1"/>
  <c r="Y70" i="60"/>
  <c r="Y75" i="60"/>
  <c r="Y86" i="61" s="1"/>
  <c r="Y18" i="60"/>
  <c r="Y18" i="61" s="1"/>
  <c r="Y16" i="60"/>
  <c r="Y16" i="61" s="1"/>
  <c r="Y6" i="60"/>
  <c r="Y9" i="60"/>
  <c r="Y9" i="61" s="1"/>
  <c r="Y73" i="60"/>
  <c r="Y84" i="61" s="1"/>
  <c r="Q156" i="60"/>
  <c r="AR155" i="60"/>
  <c r="K155" i="60"/>
  <c r="K249" i="60"/>
  <c r="K186" i="60"/>
  <c r="K261" i="60" s="1"/>
  <c r="AX52" i="61"/>
  <c r="I47" i="61"/>
  <c r="BL47" i="61" s="1"/>
  <c r="BM47" i="61" s="1"/>
  <c r="M245" i="60"/>
  <c r="M193" i="60"/>
  <c r="K72" i="60"/>
  <c r="K83" i="61" s="1"/>
  <c r="K5" i="60"/>
  <c r="K12" i="60"/>
  <c r="K12" i="61" s="1"/>
  <c r="K13" i="60"/>
  <c r="K13" i="61" s="1"/>
  <c r="K19" i="60"/>
  <c r="K19" i="61" s="1"/>
  <c r="K15" i="60"/>
  <c r="K15" i="61" s="1"/>
  <c r="K16" i="60"/>
  <c r="K16" i="61" s="1"/>
  <c r="K82" i="60"/>
  <c r="K93" i="61" s="1"/>
  <c r="K83" i="60"/>
  <c r="K94" i="61" s="1"/>
  <c r="K84" i="60"/>
  <c r="K95" i="61" s="1"/>
  <c r="K71" i="60"/>
  <c r="K82" i="61" s="1"/>
  <c r="K6" i="60"/>
  <c r="K17" i="60"/>
  <c r="K17" i="61" s="1"/>
  <c r="K7" i="60"/>
  <c r="K7" i="61" s="1"/>
  <c r="K20" i="60"/>
  <c r="K20" i="61" s="1"/>
  <c r="K81" i="60"/>
  <c r="K92" i="61" s="1"/>
  <c r="K11" i="60"/>
  <c r="K11" i="61" s="1"/>
  <c r="K92" i="60"/>
  <c r="K76" i="60"/>
  <c r="K87" i="61" s="1"/>
  <c r="K77" i="60"/>
  <c r="K88" i="61" s="1"/>
  <c r="K75" i="60"/>
  <c r="K86" i="61" s="1"/>
  <c r="K80" i="60"/>
  <c r="K91" i="61" s="1"/>
  <c r="K28" i="60"/>
  <c r="K69" i="60"/>
  <c r="K18" i="60"/>
  <c r="K18" i="61" s="1"/>
  <c r="K79" i="60"/>
  <c r="K90" i="61" s="1"/>
  <c r="K70" i="60"/>
  <c r="K8" i="60"/>
  <c r="K8" i="61" s="1"/>
  <c r="K9" i="60"/>
  <c r="K9" i="61" s="1"/>
  <c r="K73" i="60"/>
  <c r="K84" i="61" s="1"/>
  <c r="M7" i="60"/>
  <c r="M7" i="61" s="1"/>
  <c r="M20" i="60"/>
  <c r="M20" i="61" s="1"/>
  <c r="M15" i="60"/>
  <c r="M15" i="61" s="1"/>
  <c r="M82" i="60"/>
  <c r="M93" i="61" s="1"/>
  <c r="M11" i="60"/>
  <c r="M11" i="61" s="1"/>
  <c r="M8" i="60"/>
  <c r="M8" i="61" s="1"/>
  <c r="M12" i="60"/>
  <c r="M12" i="61" s="1"/>
  <c r="M17" i="60"/>
  <c r="M17" i="61" s="1"/>
  <c r="M72" i="60"/>
  <c r="M83" i="61" s="1"/>
  <c r="M92" i="60"/>
  <c r="M80" i="60"/>
  <c r="M91" i="61" s="1"/>
  <c r="M69" i="60"/>
  <c r="M79" i="60"/>
  <c r="M90" i="61" s="1"/>
  <c r="M18" i="60"/>
  <c r="M18" i="61" s="1"/>
  <c r="M6" i="60"/>
  <c r="M71" i="60"/>
  <c r="M82" i="61" s="1"/>
  <c r="M28" i="60"/>
  <c r="M13" i="60"/>
  <c r="M13" i="61" s="1"/>
  <c r="M19" i="60"/>
  <c r="M19" i="61" s="1"/>
  <c r="M83" i="60"/>
  <c r="M94" i="61" s="1"/>
  <c r="M84" i="60"/>
  <c r="M95" i="61" s="1"/>
  <c r="M81" i="60"/>
  <c r="M92" i="61" s="1"/>
  <c r="M16" i="60"/>
  <c r="M16" i="61" s="1"/>
  <c r="M70" i="60"/>
  <c r="M77" i="60"/>
  <c r="M88" i="61" s="1"/>
  <c r="M76" i="60"/>
  <c r="M87" i="61" s="1"/>
  <c r="M75" i="60"/>
  <c r="M86" i="61" s="1"/>
  <c r="M5" i="60"/>
  <c r="M9" i="60"/>
  <c r="M9" i="61" s="1"/>
  <c r="M73" i="60"/>
  <c r="M84" i="61" s="1"/>
  <c r="AX160" i="60"/>
  <c r="O174" i="60"/>
  <c r="L248" i="60"/>
  <c r="L185" i="60"/>
  <c r="L260" i="60" s="1"/>
  <c r="Z160" i="60"/>
  <c r="K52" i="61"/>
  <c r="J173" i="60"/>
  <c r="I173" i="60"/>
  <c r="L244" i="60"/>
  <c r="K160" i="60"/>
  <c r="BE147" i="60"/>
  <c r="I69" i="62"/>
  <c r="AK72" i="60"/>
  <c r="AK83" i="61" s="1"/>
  <c r="AK8" i="60"/>
  <c r="AK8" i="61" s="1"/>
  <c r="AK12" i="60"/>
  <c r="AK12" i="61" s="1"/>
  <c r="AK82" i="60"/>
  <c r="AK93" i="61" s="1"/>
  <c r="AK17" i="60"/>
  <c r="AK17" i="61" s="1"/>
  <c r="AK92" i="60"/>
  <c r="AK7" i="60"/>
  <c r="AK7" i="61" s="1"/>
  <c r="AK20" i="60"/>
  <c r="AK20" i="61" s="1"/>
  <c r="AK15" i="60"/>
  <c r="AK15" i="61" s="1"/>
  <c r="AK83" i="60"/>
  <c r="AK94" i="61" s="1"/>
  <c r="AK84" i="60"/>
  <c r="AK95" i="61" s="1"/>
  <c r="AK28" i="60"/>
  <c r="AK13" i="60"/>
  <c r="AK13" i="61" s="1"/>
  <c r="AK16" i="60"/>
  <c r="AK16" i="61" s="1"/>
  <c r="AK81" i="60"/>
  <c r="AK92" i="61" s="1"/>
  <c r="AK70" i="60"/>
  <c r="AK75" i="60"/>
  <c r="AK86" i="61" s="1"/>
  <c r="AK5" i="60"/>
  <c r="AK80" i="60"/>
  <c r="AK91" i="61" s="1"/>
  <c r="AK69" i="60"/>
  <c r="AK79" i="60"/>
  <c r="AK90" i="61" s="1"/>
  <c r="AK77" i="60"/>
  <c r="AK88" i="61" s="1"/>
  <c r="AK71" i="60"/>
  <c r="AK82" i="61" s="1"/>
  <c r="AK19" i="60"/>
  <c r="AK19" i="61" s="1"/>
  <c r="AK18" i="60"/>
  <c r="AK18" i="61" s="1"/>
  <c r="AK6" i="60"/>
  <c r="AK11" i="60"/>
  <c r="AK11" i="61" s="1"/>
  <c r="AK76" i="60"/>
  <c r="AK87" i="61" s="1"/>
  <c r="AK9" i="60"/>
  <c r="AK9" i="61" s="1"/>
  <c r="AK73" i="60"/>
  <c r="AK84" i="61" s="1"/>
  <c r="U8" i="60"/>
  <c r="U8" i="61" s="1"/>
  <c r="U12" i="60"/>
  <c r="U12" i="61" s="1"/>
  <c r="U72" i="60"/>
  <c r="U83" i="61" s="1"/>
  <c r="U82" i="60"/>
  <c r="U93" i="61" s="1"/>
  <c r="U17" i="60"/>
  <c r="U17" i="61" s="1"/>
  <c r="U92" i="60"/>
  <c r="U7" i="60"/>
  <c r="U7" i="61" s="1"/>
  <c r="U20" i="60"/>
  <c r="U20" i="61" s="1"/>
  <c r="U15" i="60"/>
  <c r="U15" i="61" s="1"/>
  <c r="U83" i="60"/>
  <c r="U94" i="61" s="1"/>
  <c r="U84" i="60"/>
  <c r="U95" i="61" s="1"/>
  <c r="U5" i="60"/>
  <c r="U69" i="60"/>
  <c r="U70" i="60"/>
  <c r="U79" i="60"/>
  <c r="U90" i="61" s="1"/>
  <c r="U11" i="60"/>
  <c r="U11" i="61" s="1"/>
  <c r="U71" i="60"/>
  <c r="U82" i="61" s="1"/>
  <c r="U19" i="60"/>
  <c r="U19" i="61" s="1"/>
  <c r="U75" i="60"/>
  <c r="U86" i="61" s="1"/>
  <c r="U18" i="60"/>
  <c r="U18" i="61" s="1"/>
  <c r="U6" i="60"/>
  <c r="U81" i="60"/>
  <c r="U92" i="61" s="1"/>
  <c r="U28" i="60"/>
  <c r="U13" i="60"/>
  <c r="U13" i="61" s="1"/>
  <c r="U16" i="60"/>
  <c r="U16" i="61" s="1"/>
  <c r="U80" i="60"/>
  <c r="U91" i="61" s="1"/>
  <c r="U77" i="60"/>
  <c r="U88" i="61" s="1"/>
  <c r="U76" i="60"/>
  <c r="U87" i="61" s="1"/>
  <c r="U9" i="60"/>
  <c r="U9" i="61" s="1"/>
  <c r="U73" i="60"/>
  <c r="U84" i="61" s="1"/>
  <c r="Q248" i="60"/>
  <c r="Q185" i="60"/>
  <c r="J174" i="60"/>
  <c r="AZ103" i="61"/>
  <c r="AZ105" i="61" s="1"/>
  <c r="AZ94" i="60"/>
  <c r="BA80" i="61"/>
  <c r="BA144" i="60"/>
  <c r="BA85" i="60"/>
  <c r="BA81" i="61"/>
  <c r="BA147" i="60"/>
  <c r="BA28" i="61"/>
  <c r="BA30" i="61" s="1"/>
  <c r="BA30" i="60"/>
  <c r="P7" i="60"/>
  <c r="P7" i="61" s="1"/>
  <c r="P20" i="60"/>
  <c r="P20" i="61" s="1"/>
  <c r="P16" i="60"/>
  <c r="P16" i="61" s="1"/>
  <c r="P19" i="60"/>
  <c r="P19" i="61" s="1"/>
  <c r="P72" i="60"/>
  <c r="P83" i="61" s="1"/>
  <c r="P28" i="60"/>
  <c r="P11" i="60"/>
  <c r="P11" i="61" s="1"/>
  <c r="P84" i="60"/>
  <c r="P95" i="61" s="1"/>
  <c r="P69" i="60"/>
  <c r="P79" i="60"/>
  <c r="P90" i="61" s="1"/>
  <c r="P18" i="60"/>
  <c r="P18" i="61" s="1"/>
  <c r="P6" i="60"/>
  <c r="P75" i="60"/>
  <c r="P86" i="61" s="1"/>
  <c r="P71" i="60"/>
  <c r="P82" i="61" s="1"/>
  <c r="P8" i="60"/>
  <c r="P8" i="61" s="1"/>
  <c r="P13" i="60"/>
  <c r="P13" i="61" s="1"/>
  <c r="P82" i="60"/>
  <c r="P93" i="61" s="1"/>
  <c r="P15" i="60"/>
  <c r="P15" i="61" s="1"/>
  <c r="P70" i="60"/>
  <c r="P83" i="60"/>
  <c r="P94" i="61" s="1"/>
  <c r="P17" i="60"/>
  <c r="P17" i="61" s="1"/>
  <c r="P81" i="60"/>
  <c r="P92" i="61" s="1"/>
  <c r="P80" i="60"/>
  <c r="P91" i="61" s="1"/>
  <c r="P92" i="60"/>
  <c r="P77" i="60"/>
  <c r="P88" i="61" s="1"/>
  <c r="P76" i="60"/>
  <c r="P87" i="61" s="1"/>
  <c r="P5" i="60"/>
  <c r="P12" i="60"/>
  <c r="P12" i="61" s="1"/>
  <c r="P9" i="60"/>
  <c r="P9" i="61" s="1"/>
  <c r="P73" i="60"/>
  <c r="P84" i="61" s="1"/>
  <c r="O16" i="60"/>
  <c r="O16" i="61" s="1"/>
  <c r="O5" i="60"/>
  <c r="O19" i="60"/>
  <c r="O19" i="61" s="1"/>
  <c r="O82" i="60"/>
  <c r="O93" i="61" s="1"/>
  <c r="O12" i="60"/>
  <c r="O12" i="61" s="1"/>
  <c r="O13" i="60"/>
  <c r="O13" i="61" s="1"/>
  <c r="O8" i="60"/>
  <c r="O8" i="61" s="1"/>
  <c r="O15" i="60"/>
  <c r="O15" i="61" s="1"/>
  <c r="O72" i="60"/>
  <c r="O83" i="61" s="1"/>
  <c r="O18" i="60"/>
  <c r="O18" i="61" s="1"/>
  <c r="O81" i="60"/>
  <c r="O92" i="61" s="1"/>
  <c r="O76" i="60"/>
  <c r="O87" i="61" s="1"/>
  <c r="O6" i="60"/>
  <c r="O20" i="60"/>
  <c r="O20" i="61" s="1"/>
  <c r="O80" i="60"/>
  <c r="O91" i="61" s="1"/>
  <c r="O69" i="60"/>
  <c r="O17" i="60"/>
  <c r="O17" i="61" s="1"/>
  <c r="O77" i="60"/>
  <c r="O88" i="61" s="1"/>
  <c r="O11" i="60"/>
  <c r="O11" i="61" s="1"/>
  <c r="O75" i="60"/>
  <c r="O86" i="61" s="1"/>
  <c r="O71" i="60"/>
  <c r="O82" i="61" s="1"/>
  <c r="O7" i="60"/>
  <c r="O7" i="61" s="1"/>
  <c r="O83" i="60"/>
  <c r="O94" i="61" s="1"/>
  <c r="O84" i="60"/>
  <c r="O95" i="61" s="1"/>
  <c r="O28" i="60"/>
  <c r="O70" i="60"/>
  <c r="O92" i="60"/>
  <c r="O79" i="60"/>
  <c r="O90" i="61" s="1"/>
  <c r="O9" i="60"/>
  <c r="O9" i="61" s="1"/>
  <c r="O73" i="60"/>
  <c r="O84" i="61" s="1"/>
  <c r="AQ72" i="60"/>
  <c r="AQ83" i="61" s="1"/>
  <c r="AQ5" i="60"/>
  <c r="AQ12" i="60"/>
  <c r="AQ12" i="61" s="1"/>
  <c r="AQ13" i="60"/>
  <c r="AQ13" i="61" s="1"/>
  <c r="AQ19" i="60"/>
  <c r="AQ19" i="61" s="1"/>
  <c r="AQ17" i="60"/>
  <c r="AQ17" i="61" s="1"/>
  <c r="AQ15" i="60"/>
  <c r="AQ15" i="61" s="1"/>
  <c r="AQ16" i="60"/>
  <c r="AQ16" i="61" s="1"/>
  <c r="AQ82" i="60"/>
  <c r="AQ93" i="61" s="1"/>
  <c r="AQ83" i="60"/>
  <c r="AQ94" i="61" s="1"/>
  <c r="AQ84" i="60"/>
  <c r="AQ95" i="61" s="1"/>
  <c r="AQ18" i="60"/>
  <c r="AQ18" i="61" s="1"/>
  <c r="AQ28" i="60"/>
  <c r="AQ69" i="60"/>
  <c r="AQ7" i="60"/>
  <c r="AQ7" i="61" s="1"/>
  <c r="AQ92" i="60"/>
  <c r="AQ77" i="60"/>
  <c r="AQ88" i="61" s="1"/>
  <c r="AQ6" i="60"/>
  <c r="AQ81" i="60"/>
  <c r="AQ92" i="61" s="1"/>
  <c r="AQ20" i="60"/>
  <c r="AQ20" i="61" s="1"/>
  <c r="AQ70" i="60"/>
  <c r="AQ76" i="60"/>
  <c r="AQ87" i="61" s="1"/>
  <c r="AQ8" i="60"/>
  <c r="AQ8" i="61" s="1"/>
  <c r="AQ80" i="60"/>
  <c r="AQ91" i="61" s="1"/>
  <c r="AQ71" i="60"/>
  <c r="AQ82" i="61" s="1"/>
  <c r="AQ79" i="60"/>
  <c r="AQ90" i="61" s="1"/>
  <c r="AQ11" i="60"/>
  <c r="AQ11" i="61" s="1"/>
  <c r="AQ75" i="60"/>
  <c r="AQ86" i="61" s="1"/>
  <c r="AQ9" i="60"/>
  <c r="AQ9" i="61" s="1"/>
  <c r="AQ73" i="60"/>
  <c r="AQ84" i="61" s="1"/>
  <c r="AV156" i="60"/>
  <c r="AF156" i="60"/>
  <c r="BR52" i="61"/>
  <c r="AO52" i="61"/>
  <c r="AO155" i="60"/>
  <c r="AI159" i="60"/>
  <c r="K245" i="60"/>
  <c r="K193" i="60"/>
  <c r="AI155" i="60"/>
  <c r="BP41" i="61"/>
  <c r="N249" i="60"/>
  <c r="N186" i="60"/>
  <c r="N261" i="60" s="1"/>
  <c r="BI141" i="60" l="1"/>
  <c r="I85" i="62"/>
  <c r="I86" i="62" s="1"/>
  <c r="K8" i="80"/>
  <c r="AM29" i="105"/>
  <c r="BS41" i="61"/>
  <c r="BE157" i="60"/>
  <c r="AZ33" i="60"/>
  <c r="AZ62" i="60" s="1"/>
  <c r="AZ129" i="60" s="1"/>
  <c r="BB21" i="61"/>
  <c r="BB33" i="61" s="1"/>
  <c r="BB96" i="61"/>
  <c r="BB108" i="61" s="1"/>
  <c r="BA97" i="60"/>
  <c r="BA126" i="60" s="1"/>
  <c r="BS43" i="61"/>
  <c r="BH141" i="60"/>
  <c r="BQ52" i="61"/>
  <c r="V244" i="60"/>
  <c r="W169" i="60"/>
  <c r="U6" i="61"/>
  <c r="U137" i="60"/>
  <c r="I248" i="60"/>
  <c r="I185" i="60"/>
  <c r="V173" i="60"/>
  <c r="M103" i="61"/>
  <c r="M105" i="61" s="1"/>
  <c r="M94" i="60"/>
  <c r="K80" i="61"/>
  <c r="K144" i="60"/>
  <c r="K85" i="60"/>
  <c r="Y5" i="61"/>
  <c r="Y134" i="60"/>
  <c r="Y21" i="60"/>
  <c r="L5" i="61"/>
  <c r="L134" i="60"/>
  <c r="L21" i="60"/>
  <c r="AY151" i="60"/>
  <c r="P168" i="60"/>
  <c r="AY154" i="60"/>
  <c r="AR28" i="61"/>
  <c r="AR30" i="61" s="1"/>
  <c r="AR30" i="60"/>
  <c r="BK33" i="60"/>
  <c r="J88" i="61"/>
  <c r="I77" i="60"/>
  <c r="J16" i="61"/>
  <c r="I16" i="61" s="1"/>
  <c r="C43" i="57"/>
  <c r="I16" i="60"/>
  <c r="AC17" i="105" s="1"/>
  <c r="AS17" i="105" s="1"/>
  <c r="J12" i="61"/>
  <c r="I12" i="61" s="1"/>
  <c r="I12" i="60"/>
  <c r="AC12" i="105" s="1"/>
  <c r="AS12" i="105" s="1"/>
  <c r="C39" i="57"/>
  <c r="AQ103" i="61"/>
  <c r="AQ105" i="61" s="1"/>
  <c r="AQ94" i="60"/>
  <c r="O81" i="61"/>
  <c r="O147" i="60"/>
  <c r="P103" i="61"/>
  <c r="P105" i="61" s="1"/>
  <c r="P94" i="60"/>
  <c r="P6" i="61"/>
  <c r="P137" i="60"/>
  <c r="AK103" i="61"/>
  <c r="AK105" i="61" s="1"/>
  <c r="AK94" i="60"/>
  <c r="J248" i="60"/>
  <c r="J185" i="60"/>
  <c r="J260" i="60" s="1"/>
  <c r="M28" i="61"/>
  <c r="M30" i="61" s="1"/>
  <c r="M30" i="60"/>
  <c r="K81" i="61"/>
  <c r="K147" i="60"/>
  <c r="Y28" i="61"/>
  <c r="Y30" i="61" s="1"/>
  <c r="Y30" i="60"/>
  <c r="BB62" i="61"/>
  <c r="N192" i="60"/>
  <c r="V5" i="61"/>
  <c r="V134" i="60"/>
  <c r="V21" i="60"/>
  <c r="AR6" i="61"/>
  <c r="AR137" i="60"/>
  <c r="Q268" i="60"/>
  <c r="J18" i="61"/>
  <c r="I18" i="61" s="1"/>
  <c r="I18" i="60"/>
  <c r="AC19" i="105" s="1"/>
  <c r="AS19" i="105" s="1"/>
  <c r="C45" i="57"/>
  <c r="J28" i="61"/>
  <c r="I28" i="60"/>
  <c r="I30" i="60" s="1"/>
  <c r="J30" i="60"/>
  <c r="J17" i="61"/>
  <c r="I17" i="61" s="1"/>
  <c r="I17" i="60"/>
  <c r="AC18" i="105" s="1"/>
  <c r="AS18" i="105" s="1"/>
  <c r="C44" i="57"/>
  <c r="J7" i="61"/>
  <c r="I7" i="61" s="1"/>
  <c r="I7" i="60"/>
  <c r="AC6" i="105" s="1"/>
  <c r="C34" i="57"/>
  <c r="Z81" i="61"/>
  <c r="Z147" i="60"/>
  <c r="AG5" i="61"/>
  <c r="AG134" i="60"/>
  <c r="AG21" i="60"/>
  <c r="AG103" i="61"/>
  <c r="AG105" i="61" s="1"/>
  <c r="AG94" i="60"/>
  <c r="BC28" i="61"/>
  <c r="BL28" i="60"/>
  <c r="BC30" i="60"/>
  <c r="U168" i="60"/>
  <c r="BK151" i="60"/>
  <c r="BK154" i="60"/>
  <c r="AW6" i="61"/>
  <c r="AW137" i="60"/>
  <c r="N210" i="60" s="1"/>
  <c r="AW81" i="61"/>
  <c r="AW147" i="60"/>
  <c r="AS81" i="61"/>
  <c r="AS147" i="60"/>
  <c r="BC93" i="61"/>
  <c r="I58" i="61"/>
  <c r="BL55" i="61"/>
  <c r="T80" i="61"/>
  <c r="T144" i="60"/>
  <c r="T85" i="60"/>
  <c r="T81" i="61"/>
  <c r="T147" i="60"/>
  <c r="K268" i="60"/>
  <c r="O28" i="61"/>
  <c r="O30" i="61" s="1"/>
  <c r="O30" i="60"/>
  <c r="P5" i="61"/>
  <c r="P21" i="61" s="1"/>
  <c r="P134" i="60"/>
  <c r="P141" i="60" s="1"/>
  <c r="P21" i="60"/>
  <c r="U28" i="61"/>
  <c r="U30" i="61" s="1"/>
  <c r="U30" i="60"/>
  <c r="M5" i="61"/>
  <c r="M21" i="60"/>
  <c r="M33" i="60" s="1"/>
  <c r="M62" i="60" s="1"/>
  <c r="M129" i="60" s="1"/>
  <c r="M134" i="60"/>
  <c r="M81" i="61"/>
  <c r="M147" i="60"/>
  <c r="K103" i="61"/>
  <c r="K105" i="61" s="1"/>
  <c r="K94" i="60"/>
  <c r="K5" i="61"/>
  <c r="K134" i="60"/>
  <c r="K21" i="60"/>
  <c r="Y80" i="61"/>
  <c r="Y85" i="60"/>
  <c r="Y144" i="60"/>
  <c r="L103" i="61"/>
  <c r="L105" i="61" s="1"/>
  <c r="L94" i="60"/>
  <c r="BJ33" i="60"/>
  <c r="V212" i="60"/>
  <c r="R260" i="60"/>
  <c r="R192" i="60"/>
  <c r="V28" i="61"/>
  <c r="V30" i="61" s="1"/>
  <c r="V30" i="60"/>
  <c r="V103" i="61"/>
  <c r="V105" i="61" s="1"/>
  <c r="V94" i="60"/>
  <c r="AR103" i="61"/>
  <c r="AR105" i="61" s="1"/>
  <c r="AR94" i="60"/>
  <c r="BK21" i="61"/>
  <c r="J87" i="61"/>
  <c r="I76" i="60"/>
  <c r="I87" i="61" s="1"/>
  <c r="J82" i="61"/>
  <c r="I71" i="60"/>
  <c r="I82" i="61" s="1"/>
  <c r="J90" i="61"/>
  <c r="I79" i="60"/>
  <c r="I90" i="61" s="1"/>
  <c r="J103" i="61"/>
  <c r="J105" i="61" s="1"/>
  <c r="J94" i="60"/>
  <c r="I92" i="60"/>
  <c r="J8" i="61"/>
  <c r="I8" i="61" s="1"/>
  <c r="I8" i="60"/>
  <c r="AC7" i="105" s="1"/>
  <c r="AS7" i="105" s="1"/>
  <c r="C35" i="57"/>
  <c r="Z5" i="61"/>
  <c r="Z134" i="60"/>
  <c r="Z21" i="60"/>
  <c r="AG28" i="61"/>
  <c r="AG30" i="61" s="1"/>
  <c r="AG30" i="60"/>
  <c r="BC7" i="61"/>
  <c r="BL7" i="60"/>
  <c r="BM7" i="60" s="1"/>
  <c r="BC94" i="61"/>
  <c r="BI97" i="60"/>
  <c r="BK108" i="61"/>
  <c r="BK137" i="61" s="1"/>
  <c r="R80" i="61"/>
  <c r="R144" i="60"/>
  <c r="R85" i="60"/>
  <c r="R5" i="61"/>
  <c r="R134" i="60"/>
  <c r="R21" i="60"/>
  <c r="AS80" i="61"/>
  <c r="AS96" i="61" s="1"/>
  <c r="AS85" i="60"/>
  <c r="AS144" i="60"/>
  <c r="BC91" i="61"/>
  <c r="T5" i="61"/>
  <c r="T134" i="60"/>
  <c r="T21" i="60"/>
  <c r="AM28" i="61"/>
  <c r="AM30" i="61" s="1"/>
  <c r="AM30" i="60"/>
  <c r="AM103" i="61"/>
  <c r="AM105" i="61" s="1"/>
  <c r="AM94" i="60"/>
  <c r="AM5" i="61"/>
  <c r="AM134" i="60"/>
  <c r="AM21" i="60"/>
  <c r="Q171" i="60"/>
  <c r="AZ157" i="60"/>
  <c r="O245" i="60"/>
  <c r="O193" i="60"/>
  <c r="AV28" i="61"/>
  <c r="AV30" i="61" s="1"/>
  <c r="AV30" i="60"/>
  <c r="BB157" i="60"/>
  <c r="S171" i="60"/>
  <c r="AQ6" i="61"/>
  <c r="AQ137" i="60"/>
  <c r="AQ80" i="61"/>
  <c r="AQ144" i="60"/>
  <c r="AQ85" i="60"/>
  <c r="AQ97" i="60" s="1"/>
  <c r="AQ126" i="60" s="1"/>
  <c r="AQ5" i="61"/>
  <c r="AQ134" i="60"/>
  <c r="AQ21" i="60"/>
  <c r="O80" i="61"/>
  <c r="O96" i="61" s="1"/>
  <c r="O144" i="60"/>
  <c r="O85" i="60"/>
  <c r="P28" i="61"/>
  <c r="P30" i="61" s="1"/>
  <c r="P30" i="60"/>
  <c r="R171" i="60"/>
  <c r="BA157" i="60"/>
  <c r="BA96" i="61"/>
  <c r="BA108" i="61" s="1"/>
  <c r="BA137" i="61" s="1"/>
  <c r="J249" i="60"/>
  <c r="J186" i="60"/>
  <c r="J261" i="60" s="1"/>
  <c r="U81" i="61"/>
  <c r="U147" i="60"/>
  <c r="U157" i="60" s="1"/>
  <c r="U94" i="60"/>
  <c r="U103" i="61"/>
  <c r="U105" i="61" s="1"/>
  <c r="AK80" i="61"/>
  <c r="AK85" i="60"/>
  <c r="AK144" i="60"/>
  <c r="AK81" i="61"/>
  <c r="AK147" i="60"/>
  <c r="AK28" i="61"/>
  <c r="AK30" i="61" s="1"/>
  <c r="AK30" i="60"/>
  <c r="M6" i="61"/>
  <c r="M137" i="60"/>
  <c r="M268" i="60"/>
  <c r="Y6" i="61"/>
  <c r="Y137" i="60"/>
  <c r="Y81" i="61"/>
  <c r="Y147" i="60"/>
  <c r="AY97" i="60"/>
  <c r="AY126" i="60" s="1"/>
  <c r="BJ141" i="60"/>
  <c r="BB33" i="60"/>
  <c r="BB62" i="60" s="1"/>
  <c r="BB129" i="60" s="1"/>
  <c r="J245" i="60"/>
  <c r="J193" i="60"/>
  <c r="P268" i="60"/>
  <c r="V6" i="61"/>
  <c r="V137" i="60"/>
  <c r="K210" i="60" s="1"/>
  <c r="AR5" i="61"/>
  <c r="AR21" i="61" s="1"/>
  <c r="AR33" i="61" s="1"/>
  <c r="AR62" i="61" s="1"/>
  <c r="AR134" i="60"/>
  <c r="AR141" i="60" s="1"/>
  <c r="AR21" i="60"/>
  <c r="AR33" i="60" s="1"/>
  <c r="AR62" i="60" s="1"/>
  <c r="AR129" i="60" s="1"/>
  <c r="AR80" i="61"/>
  <c r="AR144" i="60"/>
  <c r="AR85" i="60"/>
  <c r="E8" i="57"/>
  <c r="E50" i="57"/>
  <c r="J13" i="61"/>
  <c r="I13" i="61" s="1"/>
  <c r="I13" i="60"/>
  <c r="AC13" i="105" s="1"/>
  <c r="AS13" i="105" s="1"/>
  <c r="C40" i="57"/>
  <c r="J80" i="61"/>
  <c r="J144" i="60"/>
  <c r="J85" i="60"/>
  <c r="J97" i="60" s="1"/>
  <c r="J126" i="60" s="1"/>
  <c r="I69" i="60"/>
  <c r="J86" i="61"/>
  <c r="I75" i="60"/>
  <c r="I86" i="61" s="1"/>
  <c r="J91" i="61"/>
  <c r="I80" i="60"/>
  <c r="I91" i="61" s="1"/>
  <c r="J19" i="61"/>
  <c r="I19" i="61" s="1"/>
  <c r="I19" i="60"/>
  <c r="AC20" i="105" s="1"/>
  <c r="AS20" i="105" s="1"/>
  <c r="C46" i="57"/>
  <c r="J93" i="61"/>
  <c r="I82" i="60"/>
  <c r="I93" i="61" s="1"/>
  <c r="J20" i="61"/>
  <c r="I20" i="61" s="1"/>
  <c r="I20" i="60"/>
  <c r="AC26" i="105" s="1"/>
  <c r="AS26" i="105" s="1"/>
  <c r="C47" i="57"/>
  <c r="Z80" i="61"/>
  <c r="Z96" i="61" s="1"/>
  <c r="Z144" i="60"/>
  <c r="Z85" i="60"/>
  <c r="Z6" i="61"/>
  <c r="Z137" i="60"/>
  <c r="K85" i="62"/>
  <c r="D10" i="57"/>
  <c r="J10" i="57" s="1"/>
  <c r="B57" i="57"/>
  <c r="J34" i="57"/>
  <c r="F34" i="57"/>
  <c r="BC103" i="61"/>
  <c r="BL92" i="60"/>
  <c r="BL94" i="60" s="1"/>
  <c r="BC94" i="60"/>
  <c r="BC86" i="61"/>
  <c r="BI154" i="60"/>
  <c r="BI151" i="60"/>
  <c r="BL136" i="60"/>
  <c r="BL58" i="60"/>
  <c r="BM58" i="60" s="1"/>
  <c r="BM55" i="60"/>
  <c r="M267" i="60"/>
  <c r="R28" i="61"/>
  <c r="R30" i="61" s="1"/>
  <c r="R30" i="60"/>
  <c r="R81" i="61"/>
  <c r="R147" i="60"/>
  <c r="R103" i="61"/>
  <c r="R105" i="61" s="1"/>
  <c r="R94" i="60"/>
  <c r="AW5" i="61"/>
  <c r="AW21" i="61" s="1"/>
  <c r="AW134" i="60"/>
  <c r="AW21" i="60"/>
  <c r="AS103" i="61"/>
  <c r="AS105" i="61" s="1"/>
  <c r="AS94" i="60"/>
  <c r="BC20" i="61"/>
  <c r="BL20" i="60"/>
  <c r="BM20" i="60" s="1"/>
  <c r="BC83" i="61"/>
  <c r="T28" i="61"/>
  <c r="T30" i="61" s="1"/>
  <c r="T30" i="60"/>
  <c r="AM137" i="60"/>
  <c r="AM6" i="61"/>
  <c r="AV5" i="61"/>
  <c r="AV134" i="60"/>
  <c r="AV21" i="60"/>
  <c r="AV33" i="60" s="1"/>
  <c r="AV62" i="60" s="1"/>
  <c r="AV129" i="60" s="1"/>
  <c r="AV103" i="61"/>
  <c r="AV105" i="61" s="1"/>
  <c r="AV94" i="60"/>
  <c r="AV6" i="61"/>
  <c r="AV137" i="60"/>
  <c r="AV80" i="61"/>
  <c r="AV144" i="60"/>
  <c r="AV85" i="60"/>
  <c r="AI28" i="61"/>
  <c r="AI30" i="61" s="1"/>
  <c r="AI30" i="60"/>
  <c r="AI103" i="61"/>
  <c r="AI105" i="61" s="1"/>
  <c r="AI94" i="60"/>
  <c r="AI134" i="60"/>
  <c r="AI5" i="61"/>
  <c r="AI21" i="60"/>
  <c r="AI33" i="60" s="1"/>
  <c r="AI62" i="60" s="1"/>
  <c r="AI129" i="60" s="1"/>
  <c r="BE154" i="60"/>
  <c r="BE161" i="60" s="1"/>
  <c r="BE151" i="60"/>
  <c r="BS47" i="61"/>
  <c r="AF6" i="61"/>
  <c r="AF137" i="60"/>
  <c r="AF80" i="61"/>
  <c r="AF144" i="60"/>
  <c r="AF85" i="60"/>
  <c r="AD80" i="61"/>
  <c r="AD144" i="60"/>
  <c r="AD85" i="60"/>
  <c r="W137" i="60"/>
  <c r="L210" i="60" s="1"/>
  <c r="W6" i="61"/>
  <c r="F32" i="57"/>
  <c r="D50" i="57"/>
  <c r="B70" i="57"/>
  <c r="D8" i="57"/>
  <c r="BI33" i="60"/>
  <c r="AP80" i="61"/>
  <c r="AP144" i="60"/>
  <c r="AP85" i="60"/>
  <c r="AP103" i="61"/>
  <c r="AP105" i="61" s="1"/>
  <c r="AP94" i="60"/>
  <c r="AT28" i="61"/>
  <c r="AT30" i="61" s="1"/>
  <c r="AT30" i="60"/>
  <c r="AT81" i="61"/>
  <c r="AT147" i="60"/>
  <c r="AC6" i="61"/>
  <c r="AC137" i="60"/>
  <c r="BA33" i="60"/>
  <c r="BA62" i="60" s="1"/>
  <c r="BA129" i="60" s="1"/>
  <c r="AZ96" i="61"/>
  <c r="AZ108" i="61" s="1"/>
  <c r="AZ137" i="61" s="1"/>
  <c r="X5" i="61"/>
  <c r="X134" i="60"/>
  <c r="X21" i="60"/>
  <c r="S80" i="61"/>
  <c r="S144" i="60"/>
  <c r="S85" i="60"/>
  <c r="S137" i="60"/>
  <c r="S6" i="61"/>
  <c r="AB6" i="61"/>
  <c r="AB137" i="60"/>
  <c r="AB80" i="61"/>
  <c r="AB144" i="60"/>
  <c r="AB85" i="60"/>
  <c r="AB103" i="61"/>
  <c r="AB105" i="61" s="1"/>
  <c r="AB94" i="60"/>
  <c r="AY141" i="60"/>
  <c r="P207" i="60"/>
  <c r="P214" i="60" s="1"/>
  <c r="BJ151" i="60"/>
  <c r="BJ154" i="60"/>
  <c r="BJ161" i="60" s="1"/>
  <c r="Q80" i="61"/>
  <c r="Q85" i="60"/>
  <c r="Q144" i="60"/>
  <c r="AA6" i="61"/>
  <c r="AA137" i="60"/>
  <c r="N5" i="61"/>
  <c r="N134" i="60"/>
  <c r="N21" i="60"/>
  <c r="BH154" i="60"/>
  <c r="BH161" i="60" s="1"/>
  <c r="BH151" i="60"/>
  <c r="AL6" i="61"/>
  <c r="AL137" i="60"/>
  <c r="AL144" i="60"/>
  <c r="AL85" i="60"/>
  <c r="AL80" i="61"/>
  <c r="AL81" i="61"/>
  <c r="AL147" i="60"/>
  <c r="AL103" i="61"/>
  <c r="AL105" i="61" s="1"/>
  <c r="AL94" i="60"/>
  <c r="AX28" i="61"/>
  <c r="AX30" i="61" s="1"/>
  <c r="AX30" i="60"/>
  <c r="BD157" i="60"/>
  <c r="T171" i="60"/>
  <c r="BC13" i="61"/>
  <c r="BL13" i="60"/>
  <c r="BM13" i="60" s="1"/>
  <c r="BD154" i="60"/>
  <c r="T168" i="60"/>
  <c r="BD151" i="60"/>
  <c r="BG97" i="60"/>
  <c r="BL114" i="61"/>
  <c r="I116" i="61"/>
  <c r="I127" i="61" s="1"/>
  <c r="BL146" i="60"/>
  <c r="BL156" i="60" s="1"/>
  <c r="BL122" i="60"/>
  <c r="AE80" i="61"/>
  <c r="AE144" i="60"/>
  <c r="AE85" i="60"/>
  <c r="AJ103" i="61"/>
  <c r="AJ105" i="61" s="1"/>
  <c r="AJ94" i="60"/>
  <c r="BL41" i="60"/>
  <c r="I52" i="60"/>
  <c r="T210" i="60"/>
  <c r="BC8" i="61"/>
  <c r="BL8" i="60"/>
  <c r="BM8" i="60" s="1"/>
  <c r="BC90" i="61"/>
  <c r="BL79" i="60"/>
  <c r="BG33" i="60"/>
  <c r="P80" i="61"/>
  <c r="P144" i="60"/>
  <c r="P85" i="60"/>
  <c r="P97" i="60" s="1"/>
  <c r="P126" i="60" s="1"/>
  <c r="U80" i="61"/>
  <c r="U96" i="61" s="1"/>
  <c r="U108" i="61" s="1"/>
  <c r="U137" i="61" s="1"/>
  <c r="U85" i="60"/>
  <c r="U144" i="60"/>
  <c r="L6" i="61"/>
  <c r="L137" i="60"/>
  <c r="S207" i="60"/>
  <c r="S214" i="60" s="1"/>
  <c r="BB141" i="60"/>
  <c r="S176" i="60" s="1"/>
  <c r="J81" i="61"/>
  <c r="J147" i="60"/>
  <c r="I70" i="60"/>
  <c r="J95" i="61"/>
  <c r="I84" i="60"/>
  <c r="I95" i="61" s="1"/>
  <c r="J11" i="61"/>
  <c r="I11" i="61" s="1"/>
  <c r="I11" i="60"/>
  <c r="AC10" i="105" s="1"/>
  <c r="AS10" i="105" s="1"/>
  <c r="C38" i="57"/>
  <c r="AG81" i="61"/>
  <c r="AG147" i="60"/>
  <c r="AG80" i="61"/>
  <c r="AG85" i="60"/>
  <c r="AG97" i="60" s="1"/>
  <c r="AG126" i="60" s="1"/>
  <c r="AG144" i="60"/>
  <c r="D22" i="57"/>
  <c r="J22" i="57" s="1"/>
  <c r="B65" i="57"/>
  <c r="F46" i="57"/>
  <c r="J46" i="57"/>
  <c r="BL135" i="60"/>
  <c r="BM43" i="60"/>
  <c r="BK97" i="60"/>
  <c r="R6" i="61"/>
  <c r="R137" i="60"/>
  <c r="AW80" i="61"/>
  <c r="AW96" i="61" s="1"/>
  <c r="AW144" i="60"/>
  <c r="AW85" i="60"/>
  <c r="AW28" i="61"/>
  <c r="AW30" i="61" s="1"/>
  <c r="AW30" i="60"/>
  <c r="AW103" i="61"/>
  <c r="AW105" i="61" s="1"/>
  <c r="AW94" i="60"/>
  <c r="AS28" i="61"/>
  <c r="AS30" i="61" s="1"/>
  <c r="AS30" i="60"/>
  <c r="AS6" i="61"/>
  <c r="AS137" i="60"/>
  <c r="B59" i="57"/>
  <c r="D14" i="57"/>
  <c r="J14" i="57" s="1"/>
  <c r="J38" i="57"/>
  <c r="F38" i="57"/>
  <c r="J244" i="60"/>
  <c r="J192" i="60"/>
  <c r="I249" i="60"/>
  <c r="I186" i="60"/>
  <c r="V174" i="60"/>
  <c r="AM80" i="61"/>
  <c r="AM144" i="60"/>
  <c r="AM85" i="60"/>
  <c r="AV81" i="61"/>
  <c r="AV147" i="60"/>
  <c r="AI81" i="61"/>
  <c r="AI147" i="60"/>
  <c r="AI157" i="60" s="1"/>
  <c r="AI137" i="60"/>
  <c r="AI6" i="61"/>
  <c r="BB130" i="60"/>
  <c r="S260" i="60"/>
  <c r="S192" i="60"/>
  <c r="S267" i="60" s="1"/>
  <c r="AF28" i="61"/>
  <c r="AF30" i="61" s="1"/>
  <c r="AF30" i="60"/>
  <c r="AD28" i="61"/>
  <c r="AD30" i="61" s="1"/>
  <c r="AD30" i="60"/>
  <c r="AD103" i="61"/>
  <c r="AD105" i="61" s="1"/>
  <c r="AD94" i="60"/>
  <c r="W80" i="61"/>
  <c r="W144" i="60"/>
  <c r="W85" i="60"/>
  <c r="W5" i="61"/>
  <c r="W21" i="61" s="1"/>
  <c r="W134" i="60"/>
  <c r="W21" i="60"/>
  <c r="BF97" i="60"/>
  <c r="BC5" i="61"/>
  <c r="BC134" i="60"/>
  <c r="BC21" i="60"/>
  <c r="BK22" i="60" s="1"/>
  <c r="O244" i="60"/>
  <c r="AP6" i="61"/>
  <c r="AP137" i="60"/>
  <c r="AT80" i="61"/>
  <c r="AT144" i="60"/>
  <c r="AT85" i="60"/>
  <c r="AC5" i="61"/>
  <c r="AC21" i="61" s="1"/>
  <c r="AC134" i="60"/>
  <c r="AC141" i="60" s="1"/>
  <c r="AC21" i="60"/>
  <c r="R207" i="60"/>
  <c r="R214" i="60" s="1"/>
  <c r="BA141" i="60"/>
  <c r="BL140" i="60"/>
  <c r="BL160" i="60" s="1"/>
  <c r="BM47" i="60"/>
  <c r="X80" i="61"/>
  <c r="X144" i="60"/>
  <c r="X85" i="60"/>
  <c r="X28" i="61"/>
  <c r="X30" i="61" s="1"/>
  <c r="X30" i="60"/>
  <c r="S28" i="61"/>
  <c r="S30" i="61" s="1"/>
  <c r="S30" i="60"/>
  <c r="S81" i="61"/>
  <c r="S147" i="60"/>
  <c r="S157" i="60" s="1"/>
  <c r="S5" i="61"/>
  <c r="S134" i="60"/>
  <c r="S141" i="60" s="1"/>
  <c r="S21" i="60"/>
  <c r="S33" i="60" s="1"/>
  <c r="S62" i="60" s="1"/>
  <c r="S129" i="60" s="1"/>
  <c r="AY21" i="61"/>
  <c r="AY33" i="61" s="1"/>
  <c r="BL41" i="61"/>
  <c r="I52" i="61"/>
  <c r="BS52" i="61" s="1"/>
  <c r="Q6" i="61"/>
  <c r="Q137" i="60"/>
  <c r="AA80" i="61"/>
  <c r="AA96" i="61" s="1"/>
  <c r="AA85" i="60"/>
  <c r="AA144" i="60"/>
  <c r="AA28" i="61"/>
  <c r="AA30" i="61" s="1"/>
  <c r="AA30" i="60"/>
  <c r="AA81" i="61"/>
  <c r="AA147" i="60"/>
  <c r="AA5" i="61"/>
  <c r="AA21" i="61" s="1"/>
  <c r="AA33" i="61" s="1"/>
  <c r="AA62" i="61" s="1"/>
  <c r="AA134" i="60"/>
  <c r="AA21" i="60"/>
  <c r="N81" i="61"/>
  <c r="N147" i="60"/>
  <c r="N103" i="61"/>
  <c r="N105" i="61" s="1"/>
  <c r="N94" i="60"/>
  <c r="BH33" i="60"/>
  <c r="BF33" i="60"/>
  <c r="AU6" i="61"/>
  <c r="AU137" i="60"/>
  <c r="AL5" i="61"/>
  <c r="AL21" i="61" s="1"/>
  <c r="AL134" i="60"/>
  <c r="AL21" i="60"/>
  <c r="AX6" i="61"/>
  <c r="AX137" i="60"/>
  <c r="O210" i="60" s="1"/>
  <c r="AX5" i="61"/>
  <c r="AX21" i="61" s="1"/>
  <c r="AX33" i="61" s="1"/>
  <c r="AX62" i="61" s="1"/>
  <c r="AX134" i="60"/>
  <c r="AX21" i="60"/>
  <c r="AX33" i="60" s="1"/>
  <c r="AX62" i="60" s="1"/>
  <c r="AX129" i="60" s="1"/>
  <c r="J39" i="57"/>
  <c r="F39" i="57"/>
  <c r="D15" i="57"/>
  <c r="J15" i="57" s="1"/>
  <c r="B60" i="57"/>
  <c r="B63" i="57"/>
  <c r="J43" i="57"/>
  <c r="F43" i="57"/>
  <c r="D19" i="57"/>
  <c r="J19" i="57" s="1"/>
  <c r="BC92" i="61"/>
  <c r="BC87" i="61"/>
  <c r="BL76" i="60"/>
  <c r="BG151" i="60"/>
  <c r="BG154" i="60"/>
  <c r="BG161" i="60" s="1"/>
  <c r="BL105" i="60"/>
  <c r="BL116" i="60" s="1"/>
  <c r="I116" i="60"/>
  <c r="BE33" i="60"/>
  <c r="I156" i="60"/>
  <c r="I245" i="60"/>
  <c r="I193" i="60"/>
  <c r="V170" i="60"/>
  <c r="AE103" i="61"/>
  <c r="AE105" i="61" s="1"/>
  <c r="AE94" i="60"/>
  <c r="AE28" i="61"/>
  <c r="AE30" i="61" s="1"/>
  <c r="AE30" i="60"/>
  <c r="AE5" i="61"/>
  <c r="AE134" i="60"/>
  <c r="AE21" i="60"/>
  <c r="AJ80" i="61"/>
  <c r="AJ144" i="60"/>
  <c r="AJ85" i="60"/>
  <c r="AJ81" i="61"/>
  <c r="AJ147" i="60"/>
  <c r="AH81" i="61"/>
  <c r="AH147" i="60"/>
  <c r="AN80" i="61"/>
  <c r="AN144" i="60"/>
  <c r="AN85" i="60"/>
  <c r="AN103" i="61"/>
  <c r="AN105" i="61" s="1"/>
  <c r="AN94" i="60"/>
  <c r="AN81" i="61"/>
  <c r="AN147" i="60"/>
  <c r="AN28" i="61"/>
  <c r="AN30" i="61" s="1"/>
  <c r="AN30" i="60"/>
  <c r="AO5" i="61"/>
  <c r="AO134" i="60"/>
  <c r="AO21" i="60"/>
  <c r="AO33" i="60" s="1"/>
  <c r="AO62" i="60" s="1"/>
  <c r="AO129" i="60" s="1"/>
  <c r="AO80" i="61"/>
  <c r="AO85" i="60"/>
  <c r="AO144" i="60"/>
  <c r="AO28" i="61"/>
  <c r="AO30" i="61" s="1"/>
  <c r="AO30" i="60"/>
  <c r="D20" i="57"/>
  <c r="J20" i="57" s="1"/>
  <c r="F44" i="57"/>
  <c r="B64" i="57"/>
  <c r="J44" i="57"/>
  <c r="J45" i="57"/>
  <c r="F45" i="57"/>
  <c r="D21" i="57"/>
  <c r="J21" i="57" s="1"/>
  <c r="D12" i="57"/>
  <c r="J12" i="57" s="1"/>
  <c r="J36" i="57"/>
  <c r="F36" i="57"/>
  <c r="K6" i="61"/>
  <c r="K137" i="60"/>
  <c r="L28" i="61"/>
  <c r="L30" i="61" s="1"/>
  <c r="L30" i="60"/>
  <c r="J84" i="61"/>
  <c r="I73" i="60"/>
  <c r="I84" i="61" s="1"/>
  <c r="Z103" i="61"/>
  <c r="Z105" i="61" s="1"/>
  <c r="Z94" i="60"/>
  <c r="O5" i="61"/>
  <c r="O134" i="60"/>
  <c r="O21" i="60"/>
  <c r="O33" i="60" s="1"/>
  <c r="O62" i="60" s="1"/>
  <c r="O129" i="60" s="1"/>
  <c r="Q260" i="60"/>
  <c r="Q192" i="60"/>
  <c r="AK5" i="61"/>
  <c r="AK134" i="60"/>
  <c r="AK21" i="60"/>
  <c r="Y103" i="61"/>
  <c r="Y105" i="61" s="1"/>
  <c r="Y94" i="60"/>
  <c r="V80" i="61"/>
  <c r="V144" i="60"/>
  <c r="V85" i="60"/>
  <c r="V97" i="60" s="1"/>
  <c r="V126" i="60" s="1"/>
  <c r="AR81" i="61"/>
  <c r="AR147" i="60"/>
  <c r="AR157" i="60" s="1"/>
  <c r="U207" i="60"/>
  <c r="U214" i="60" s="1"/>
  <c r="BK141" i="60"/>
  <c r="J92" i="61"/>
  <c r="I81" i="60"/>
  <c r="I92" i="61" s="1"/>
  <c r="J83" i="61"/>
  <c r="I72" i="60"/>
  <c r="I83" i="61" s="1"/>
  <c r="AG6" i="61"/>
  <c r="AG137" i="60"/>
  <c r="BC95" i="61"/>
  <c r="BL84" i="60"/>
  <c r="BC11" i="61"/>
  <c r="BL11" i="60"/>
  <c r="BM11" i="60" s="1"/>
  <c r="BB151" i="60"/>
  <c r="S168" i="60"/>
  <c r="BB154" i="60"/>
  <c r="BB161" i="60" s="1"/>
  <c r="K192" i="60"/>
  <c r="AF103" i="61"/>
  <c r="AF105" i="61" s="1"/>
  <c r="AF94" i="60"/>
  <c r="AF5" i="61"/>
  <c r="AF21" i="61" s="1"/>
  <c r="AF33" i="61" s="1"/>
  <c r="AF134" i="60"/>
  <c r="AF141" i="60" s="1"/>
  <c r="AF21" i="60"/>
  <c r="AF33" i="60" s="1"/>
  <c r="AF62" i="60" s="1"/>
  <c r="AF129" i="60" s="1"/>
  <c r="AD6" i="61"/>
  <c r="AD137" i="60"/>
  <c r="W103" i="61"/>
  <c r="W105" i="61" s="1"/>
  <c r="W94" i="60"/>
  <c r="W81" i="61"/>
  <c r="W147" i="60"/>
  <c r="BF151" i="60"/>
  <c r="BF154" i="60"/>
  <c r="BF161" i="60" s="1"/>
  <c r="BP58" i="61"/>
  <c r="D18" i="57"/>
  <c r="J18" i="57" s="1"/>
  <c r="B62" i="57"/>
  <c r="F42" i="57"/>
  <c r="J42" i="57"/>
  <c r="BD33" i="60"/>
  <c r="BH88" i="61"/>
  <c r="BD88" i="61"/>
  <c r="BG88" i="61"/>
  <c r="BI88" i="61"/>
  <c r="BE88" i="61"/>
  <c r="BJ88" i="61"/>
  <c r="BF88" i="61"/>
  <c r="AP5" i="61"/>
  <c r="AP21" i="61" s="1"/>
  <c r="AP134" i="60"/>
  <c r="AP21" i="60"/>
  <c r="AT5" i="61"/>
  <c r="AT134" i="60"/>
  <c r="AT21" i="60"/>
  <c r="AT33" i="60" s="1"/>
  <c r="AT62" i="60" s="1"/>
  <c r="AT129" i="60" s="1"/>
  <c r="AT6" i="61"/>
  <c r="AT137" i="60"/>
  <c r="AT103" i="61"/>
  <c r="AT105" i="61" s="1"/>
  <c r="AT94" i="60"/>
  <c r="AC28" i="61"/>
  <c r="AC30" i="61" s="1"/>
  <c r="AC30" i="60"/>
  <c r="AC80" i="61"/>
  <c r="AC85" i="60"/>
  <c r="AC144" i="60"/>
  <c r="AC103" i="61"/>
  <c r="AC105" i="61" s="1"/>
  <c r="AC94" i="60"/>
  <c r="BA21" i="61"/>
  <c r="BA33" i="61" s="1"/>
  <c r="BA62" i="61" s="1"/>
  <c r="Q207" i="60"/>
  <c r="Q214" i="60" s="1"/>
  <c r="AZ141" i="60"/>
  <c r="AZ97" i="60"/>
  <c r="AZ126" i="60" s="1"/>
  <c r="AZ130" i="60" s="1"/>
  <c r="N268" i="60"/>
  <c r="L268" i="60"/>
  <c r="X6" i="61"/>
  <c r="X137" i="60"/>
  <c r="X103" i="61"/>
  <c r="X105" i="61" s="1"/>
  <c r="X94" i="60"/>
  <c r="AB81" i="61"/>
  <c r="AB147" i="60"/>
  <c r="AB157" i="60" s="1"/>
  <c r="AB28" i="61"/>
  <c r="AB30" i="61" s="1"/>
  <c r="AB30" i="60"/>
  <c r="Q5" i="61"/>
  <c r="Q21" i="61" s="1"/>
  <c r="Q134" i="60"/>
  <c r="Q21" i="60"/>
  <c r="N28" i="61"/>
  <c r="N30" i="61" s="1"/>
  <c r="N30" i="60"/>
  <c r="F15" i="57"/>
  <c r="AU80" i="61"/>
  <c r="AU144" i="60"/>
  <c r="AU85" i="60"/>
  <c r="AU81" i="61"/>
  <c r="AU147" i="60"/>
  <c r="AU157" i="60" s="1"/>
  <c r="AU5" i="61"/>
  <c r="AU21" i="61" s="1"/>
  <c r="AU134" i="60"/>
  <c r="AU141" i="60" s="1"/>
  <c r="AU21" i="60"/>
  <c r="AL28" i="61"/>
  <c r="AL30" i="61" s="1"/>
  <c r="AL30" i="60"/>
  <c r="AX103" i="61"/>
  <c r="AX105" i="61" s="1"/>
  <c r="AX94" i="60"/>
  <c r="BC12" i="61"/>
  <c r="BL12" i="60"/>
  <c r="BM12" i="60" s="1"/>
  <c r="BC16" i="61"/>
  <c r="BL16" i="60"/>
  <c r="BM16" i="60" s="1"/>
  <c r="BC80" i="61"/>
  <c r="BL69" i="60"/>
  <c r="BC144" i="60"/>
  <c r="BC85" i="60"/>
  <c r="BC84" i="61"/>
  <c r="BL73" i="60"/>
  <c r="BE141" i="60"/>
  <c r="R268" i="60"/>
  <c r="AE6" i="61"/>
  <c r="AE137" i="60"/>
  <c r="AJ6" i="61"/>
  <c r="AJ137" i="60"/>
  <c r="AJ5" i="61"/>
  <c r="AJ134" i="60"/>
  <c r="AJ21" i="60"/>
  <c r="AJ33" i="60" s="1"/>
  <c r="AJ62" i="60" s="1"/>
  <c r="AJ129" i="60" s="1"/>
  <c r="AJ28" i="61"/>
  <c r="AJ30" i="61" s="1"/>
  <c r="AJ30" i="60"/>
  <c r="AH28" i="61"/>
  <c r="AH30" i="61" s="1"/>
  <c r="AH30" i="60"/>
  <c r="AH80" i="61"/>
  <c r="AH144" i="60"/>
  <c r="AH85" i="60"/>
  <c r="AH103" i="61"/>
  <c r="AH105" i="61" s="1"/>
  <c r="AH94" i="60"/>
  <c r="U171" i="60"/>
  <c r="BK157" i="60"/>
  <c r="BM39" i="60"/>
  <c r="BL139" i="60"/>
  <c r="AN6" i="61"/>
  <c r="AN137" i="60"/>
  <c r="AO6" i="61"/>
  <c r="AO137" i="60"/>
  <c r="AO103" i="61"/>
  <c r="AO105" i="61" s="1"/>
  <c r="AO94" i="60"/>
  <c r="F33" i="57"/>
  <c r="D9" i="57"/>
  <c r="F9" i="57" s="1"/>
  <c r="B71" i="57"/>
  <c r="BC17" i="61"/>
  <c r="BC18" i="61"/>
  <c r="BL18" i="60"/>
  <c r="BM18" i="60" s="1"/>
  <c r="BC9" i="61"/>
  <c r="AQ81" i="61"/>
  <c r="AQ147" i="60"/>
  <c r="AQ157" i="60" s="1"/>
  <c r="AQ28" i="61"/>
  <c r="AQ30" i="61" s="1"/>
  <c r="AQ30" i="60"/>
  <c r="O103" i="61"/>
  <c r="O105" i="61" s="1"/>
  <c r="O94" i="60"/>
  <c r="BR59" i="61"/>
  <c r="V81" i="61"/>
  <c r="V147" i="60"/>
  <c r="J6" i="61"/>
  <c r="J137" i="60"/>
  <c r="I6" i="60"/>
  <c r="I137" i="60" s="1"/>
  <c r="C33" i="57"/>
  <c r="BA130" i="60"/>
  <c r="U5" i="61"/>
  <c r="U21" i="61" s="1"/>
  <c r="U33" i="61" s="1"/>
  <c r="U62" i="61" s="1"/>
  <c r="U134" i="60"/>
  <c r="U141" i="60" s="1"/>
  <c r="U21" i="60"/>
  <c r="U33" i="60" s="1"/>
  <c r="U62" i="60" s="1"/>
  <c r="U129" i="60" s="1"/>
  <c r="AK6" i="61"/>
  <c r="AK137" i="60"/>
  <c r="K28" i="61"/>
  <c r="K30" i="61" s="1"/>
  <c r="K30" i="60"/>
  <c r="L81" i="61"/>
  <c r="L147" i="60"/>
  <c r="AY137" i="61"/>
  <c r="P260" i="60"/>
  <c r="P192" i="60"/>
  <c r="J9" i="61"/>
  <c r="I9" i="61" s="1"/>
  <c r="I9" i="60"/>
  <c r="C36" i="57"/>
  <c r="J94" i="61"/>
  <c r="I83" i="60"/>
  <c r="I94" i="61" s="1"/>
  <c r="BC19" i="61"/>
  <c r="BL19" i="60"/>
  <c r="BM19" i="60" s="1"/>
  <c r="BL155" i="60"/>
  <c r="AS5" i="61"/>
  <c r="AS21" i="61" s="1"/>
  <c r="AS33" i="61" s="1"/>
  <c r="AS62" i="61" s="1"/>
  <c r="AS21" i="60"/>
  <c r="AS134" i="60"/>
  <c r="AS141" i="60" s="1"/>
  <c r="AM81" i="61"/>
  <c r="AM147" i="60"/>
  <c r="AI80" i="61"/>
  <c r="AI96" i="61" s="1"/>
  <c r="AI108" i="61" s="1"/>
  <c r="AI137" i="61" s="1"/>
  <c r="AI144" i="60"/>
  <c r="AI85" i="60"/>
  <c r="AI97" i="60" s="1"/>
  <c r="AI126" i="60" s="1"/>
  <c r="AI130" i="60" s="1"/>
  <c r="O6" i="61"/>
  <c r="O137" i="60"/>
  <c r="P81" i="61"/>
  <c r="P147" i="60"/>
  <c r="P157" i="60" s="1"/>
  <c r="R168" i="60"/>
  <c r="BA154" i="60"/>
  <c r="BA161" i="60" s="1"/>
  <c r="BA151" i="60"/>
  <c r="L192" i="60"/>
  <c r="O249" i="60"/>
  <c r="O186" i="60"/>
  <c r="O261" i="60" s="1"/>
  <c r="M80" i="61"/>
  <c r="M96" i="61" s="1"/>
  <c r="M108" i="61" s="1"/>
  <c r="M137" i="61" s="1"/>
  <c r="M85" i="60"/>
  <c r="M97" i="60" s="1"/>
  <c r="M126" i="60" s="1"/>
  <c r="M130" i="60" s="1"/>
  <c r="M144" i="60"/>
  <c r="L80" i="61"/>
  <c r="L144" i="60"/>
  <c r="L85" i="60"/>
  <c r="L97" i="60" s="1"/>
  <c r="L126" i="60" s="1"/>
  <c r="G50" i="57"/>
  <c r="G8" i="57"/>
  <c r="G26" i="57" s="1"/>
  <c r="J5" i="61"/>
  <c r="J134" i="60"/>
  <c r="J141" i="60" s="1"/>
  <c r="J21" i="60"/>
  <c r="J33" i="60" s="1"/>
  <c r="J62" i="60" s="1"/>
  <c r="I5" i="60"/>
  <c r="C32" i="57"/>
  <c r="J15" i="61"/>
  <c r="I15" i="61" s="1"/>
  <c r="I15" i="60"/>
  <c r="C42" i="57"/>
  <c r="Z28" i="61"/>
  <c r="Z30" i="61" s="1"/>
  <c r="Z30" i="60"/>
  <c r="F18" i="57"/>
  <c r="I155" i="60"/>
  <c r="B66" i="57"/>
  <c r="J47" i="57"/>
  <c r="F47" i="57"/>
  <c r="D23" i="57"/>
  <c r="J23" i="57" s="1"/>
  <c r="T103" i="61"/>
  <c r="T105" i="61" s="1"/>
  <c r="T94" i="60"/>
  <c r="T6" i="61"/>
  <c r="T137" i="60"/>
  <c r="BE97" i="60"/>
  <c r="BB137" i="61"/>
  <c r="AF81" i="61"/>
  <c r="AF147" i="60"/>
  <c r="AF157" i="60" s="1"/>
  <c r="AD5" i="61"/>
  <c r="AD21" i="61" s="1"/>
  <c r="AD33" i="61" s="1"/>
  <c r="AD62" i="61" s="1"/>
  <c r="AD134" i="60"/>
  <c r="AD141" i="60" s="1"/>
  <c r="AD21" i="60"/>
  <c r="AD33" i="60" s="1"/>
  <c r="AD62" i="60" s="1"/>
  <c r="AD129" i="60" s="1"/>
  <c r="AD81" i="61"/>
  <c r="AD147" i="60"/>
  <c r="AD157" i="60" s="1"/>
  <c r="W28" i="61"/>
  <c r="W30" i="61" s="1"/>
  <c r="W30" i="60"/>
  <c r="F14" i="57"/>
  <c r="BC15" i="61"/>
  <c r="BD141" i="60"/>
  <c r="T207" i="60"/>
  <c r="T214" i="60" s="1"/>
  <c r="AP81" i="61"/>
  <c r="AP147" i="60"/>
  <c r="AP28" i="61"/>
  <c r="AP30" i="61" s="1"/>
  <c r="AP30" i="60"/>
  <c r="AC81" i="61"/>
  <c r="AC147" i="60"/>
  <c r="AC157" i="60" s="1"/>
  <c r="AZ21" i="61"/>
  <c r="AZ33" i="61" s="1"/>
  <c r="AZ62" i="61" s="1"/>
  <c r="Q168" i="60"/>
  <c r="AZ154" i="60"/>
  <c r="AZ161" i="60" s="1"/>
  <c r="AZ162" i="60" s="1"/>
  <c r="AZ151" i="60"/>
  <c r="BQ59" i="61"/>
  <c r="X81" i="61"/>
  <c r="X147" i="60"/>
  <c r="X157" i="60" s="1"/>
  <c r="S103" i="61"/>
  <c r="S105" i="61" s="1"/>
  <c r="S94" i="60"/>
  <c r="AB5" i="61"/>
  <c r="AB21" i="61" s="1"/>
  <c r="AB134" i="60"/>
  <c r="AB141" i="60" s="1"/>
  <c r="AB21" i="60"/>
  <c r="AB33" i="60" s="1"/>
  <c r="AB62" i="60" s="1"/>
  <c r="AB129" i="60" s="1"/>
  <c r="AY157" i="60"/>
  <c r="P171" i="60"/>
  <c r="AY33" i="60"/>
  <c r="AY62" i="60" s="1"/>
  <c r="AY129" i="60" s="1"/>
  <c r="BJ97" i="60"/>
  <c r="BJ86" i="60"/>
  <c r="Q28" i="61"/>
  <c r="Q30" i="61" s="1"/>
  <c r="Q30" i="60"/>
  <c r="Q81" i="61"/>
  <c r="Q147" i="60"/>
  <c r="Q103" i="61"/>
  <c r="Q105" i="61" s="1"/>
  <c r="Q94" i="60"/>
  <c r="AA103" i="61"/>
  <c r="AA105" i="61" s="1"/>
  <c r="AA94" i="60"/>
  <c r="N6" i="61"/>
  <c r="N137" i="60"/>
  <c r="N80" i="61"/>
  <c r="N96" i="61" s="1"/>
  <c r="N144" i="60"/>
  <c r="N85" i="60"/>
  <c r="N97" i="60" s="1"/>
  <c r="N126" i="60" s="1"/>
  <c r="BH97" i="60"/>
  <c r="AU28" i="61"/>
  <c r="AU30" i="61" s="1"/>
  <c r="AU30" i="60"/>
  <c r="AU103" i="61"/>
  <c r="AU105" i="61" s="1"/>
  <c r="AU94" i="60"/>
  <c r="AX80" i="61"/>
  <c r="AX96" i="61" s="1"/>
  <c r="AX108" i="61" s="1"/>
  <c r="AX137" i="61" s="1"/>
  <c r="AX144" i="60"/>
  <c r="AX85" i="60"/>
  <c r="AX97" i="60" s="1"/>
  <c r="AX126" i="60" s="1"/>
  <c r="AX130" i="60" s="1"/>
  <c r="AX81" i="61"/>
  <c r="AX147" i="60"/>
  <c r="BC81" i="61"/>
  <c r="BC147" i="60"/>
  <c r="BL70" i="60"/>
  <c r="D16" i="57"/>
  <c r="J16" i="57" s="1"/>
  <c r="F40" i="57"/>
  <c r="J40" i="57"/>
  <c r="B61" i="57"/>
  <c r="BD97" i="60"/>
  <c r="BI157" i="60"/>
  <c r="BL149" i="60"/>
  <c r="BL159" i="60" s="1"/>
  <c r="I133" i="61"/>
  <c r="BL130" i="61"/>
  <c r="BM130" i="61" s="1"/>
  <c r="AE81" i="61"/>
  <c r="AE147" i="60"/>
  <c r="AE157" i="60" s="1"/>
  <c r="AH6" i="61"/>
  <c r="AH137" i="60"/>
  <c r="M210" i="60" s="1"/>
  <c r="AH5" i="61"/>
  <c r="AH134" i="60"/>
  <c r="AH21" i="60"/>
  <c r="AN5" i="61"/>
  <c r="AN134" i="60"/>
  <c r="AN141" i="60" s="1"/>
  <c r="AN21" i="60"/>
  <c r="AN33" i="60" s="1"/>
  <c r="AN62" i="60" s="1"/>
  <c r="AN129" i="60" s="1"/>
  <c r="AO81" i="61"/>
  <c r="AO147" i="60"/>
  <c r="AO157" i="60" s="1"/>
  <c r="BC137" i="60"/>
  <c r="BC6" i="61"/>
  <c r="B58" i="57"/>
  <c r="J35" i="57"/>
  <c r="F35" i="57"/>
  <c r="D11" i="57"/>
  <c r="J11" i="57" s="1"/>
  <c r="BC82" i="61"/>
  <c r="BL71" i="60"/>
  <c r="BL6" i="60" l="1"/>
  <c r="AH33" i="60"/>
  <c r="AH62" i="60" s="1"/>
  <c r="AH129" i="60" s="1"/>
  <c r="AK33" i="60"/>
  <c r="AK62" i="60" s="1"/>
  <c r="AK129" i="60" s="1"/>
  <c r="AN97" i="60"/>
  <c r="AN126" i="60" s="1"/>
  <c r="AA157" i="60"/>
  <c r="U97" i="60"/>
  <c r="U126" i="60" s="1"/>
  <c r="AT96" i="61"/>
  <c r="BD161" i="60"/>
  <c r="F10" i="57"/>
  <c r="AP97" i="60"/>
  <c r="AP126" i="60" s="1"/>
  <c r="BB162" i="60"/>
  <c r="AL157" i="60"/>
  <c r="AR97" i="60"/>
  <c r="AR126" i="60" s="1"/>
  <c r="AR130" i="60" s="1"/>
  <c r="BL17" i="60"/>
  <c r="BM17" i="60" s="1"/>
  <c r="AL141" i="60"/>
  <c r="AW108" i="61"/>
  <c r="AW137" i="61" s="1"/>
  <c r="AW143" i="61" s="1"/>
  <c r="AK97" i="60"/>
  <c r="AK126" i="60" s="1"/>
  <c r="AS6" i="105"/>
  <c r="K14" i="80"/>
  <c r="K19" i="80"/>
  <c r="K12" i="80"/>
  <c r="K21" i="80"/>
  <c r="K9" i="80"/>
  <c r="K22" i="80"/>
  <c r="K10" i="80"/>
  <c r="N8" i="105" s="1"/>
  <c r="K28" i="80"/>
  <c r="K15" i="80"/>
  <c r="K17" i="80"/>
  <c r="K20" i="80"/>
  <c r="BL15" i="60"/>
  <c r="BM15" i="60" s="1"/>
  <c r="AC15" i="105"/>
  <c r="AS15" i="105" s="1"/>
  <c r="BL9" i="60"/>
  <c r="BM9" i="60" s="1"/>
  <c r="AC8" i="105"/>
  <c r="AC29" i="105" s="1"/>
  <c r="Q157" i="60"/>
  <c r="Q141" i="60"/>
  <c r="AA141" i="60"/>
  <c r="S21" i="61"/>
  <c r="S33" i="61" s="1"/>
  <c r="S62" i="61" s="1"/>
  <c r="AM97" i="60"/>
  <c r="AM126" i="60" s="1"/>
  <c r="AQ21" i="61"/>
  <c r="AQ33" i="61" s="1"/>
  <c r="AQ62" i="61" s="1"/>
  <c r="AO141" i="60"/>
  <c r="AN157" i="60"/>
  <c r="AE21" i="61"/>
  <c r="AE33" i="61" s="1"/>
  <c r="AE62" i="61" s="1"/>
  <c r="BL81" i="60"/>
  <c r="W96" i="61"/>
  <c r="AG157" i="60"/>
  <c r="AI141" i="60"/>
  <c r="AS108" i="61"/>
  <c r="AS137" i="61" s="1"/>
  <c r="AS141" i="61" s="1"/>
  <c r="AH97" i="60"/>
  <c r="AH126" i="60" s="1"/>
  <c r="AH130" i="60" s="1"/>
  <c r="AJ141" i="60"/>
  <c r="AN96" i="61"/>
  <c r="AE33" i="60"/>
  <c r="AE62" i="60" s="1"/>
  <c r="AE129" i="60" s="1"/>
  <c r="AB97" i="60"/>
  <c r="AB126" i="60" s="1"/>
  <c r="AV21" i="61"/>
  <c r="AV33" i="61" s="1"/>
  <c r="AV62" i="61" s="1"/>
  <c r="AW33" i="61"/>
  <c r="AW62" i="61" s="1"/>
  <c r="AU96" i="61"/>
  <c r="AU108" i="61" s="1"/>
  <c r="AU137" i="61" s="1"/>
  <c r="AU143" i="61" s="1"/>
  <c r="Q33" i="60"/>
  <c r="Q62" i="60" s="1"/>
  <c r="Q129" i="60" s="1"/>
  <c r="AT21" i="61"/>
  <c r="AT33" i="61" s="1"/>
  <c r="AT62" i="61" s="1"/>
  <c r="AT140" i="61" s="1"/>
  <c r="AA108" i="61"/>
  <c r="AA137" i="61" s="1"/>
  <c r="AC33" i="61"/>
  <c r="AC62" i="61" s="1"/>
  <c r="AG96" i="61"/>
  <c r="AG108" i="61" s="1"/>
  <c r="AG137" i="61" s="1"/>
  <c r="AL96" i="61"/>
  <c r="AL108" i="61" s="1"/>
  <c r="AL137" i="61" s="1"/>
  <c r="M207" i="60"/>
  <c r="M214" i="60" s="1"/>
  <c r="AH141" i="60"/>
  <c r="N151" i="60"/>
  <c r="N154" i="60"/>
  <c r="M143" i="61"/>
  <c r="BC97" i="60"/>
  <c r="BD98" i="60" s="1"/>
  <c r="BL82" i="61"/>
  <c r="BM82" i="61" s="1"/>
  <c r="BH82" i="61"/>
  <c r="BD82" i="61"/>
  <c r="BG82" i="61"/>
  <c r="BI82" i="61"/>
  <c r="BE82" i="61"/>
  <c r="BJ82" i="61"/>
  <c r="BF82" i="61"/>
  <c r="AN21" i="61"/>
  <c r="AN33" i="61" s="1"/>
  <c r="AN62" i="61" s="1"/>
  <c r="BD126" i="60"/>
  <c r="BJ81" i="61"/>
  <c r="BF81" i="61"/>
  <c r="BI81" i="61"/>
  <c r="BE81" i="61"/>
  <c r="BG81" i="61"/>
  <c r="BH81" i="61"/>
  <c r="BD81" i="61"/>
  <c r="BH86" i="60"/>
  <c r="BI15" i="61"/>
  <c r="BE15" i="61"/>
  <c r="BL15" i="61"/>
  <c r="BM15" i="61" s="1"/>
  <c r="BH15" i="61"/>
  <c r="BD15" i="61"/>
  <c r="BJ15" i="61"/>
  <c r="BF15" i="61"/>
  <c r="BG15" i="61"/>
  <c r="AD140" i="61"/>
  <c r="AD64" i="61"/>
  <c r="AD68" i="61"/>
  <c r="J129" i="60"/>
  <c r="M154" i="60"/>
  <c r="M151" i="60"/>
  <c r="R243" i="60"/>
  <c r="R175" i="60"/>
  <c r="I171" i="60"/>
  <c r="AM157" i="60"/>
  <c r="AS140" i="61"/>
  <c r="AS64" i="61"/>
  <c r="AH96" i="61"/>
  <c r="AH108" i="61" s="1"/>
  <c r="AH137" i="61" s="1"/>
  <c r="BI16" i="61"/>
  <c r="BE16" i="61"/>
  <c r="BL16" i="61"/>
  <c r="BM16" i="61" s="1"/>
  <c r="BH16" i="61"/>
  <c r="BD16" i="61"/>
  <c r="BJ16" i="61"/>
  <c r="BF16" i="61"/>
  <c r="BG16" i="61"/>
  <c r="AU97" i="60"/>
  <c r="AU126" i="60" s="1"/>
  <c r="Q33" i="61"/>
  <c r="Q62" i="61" s="1"/>
  <c r="BA140" i="61"/>
  <c r="BA64" i="61"/>
  <c r="BA68" i="61"/>
  <c r="AC97" i="60"/>
  <c r="AC126" i="60" s="1"/>
  <c r="AP141" i="60"/>
  <c r="BP59" i="61"/>
  <c r="BS58" i="61"/>
  <c r="S243" i="60"/>
  <c r="S175" i="60"/>
  <c r="S250" i="60" s="1"/>
  <c r="AK21" i="61"/>
  <c r="AK33" i="61" s="1"/>
  <c r="AK62" i="61" s="1"/>
  <c r="O141" i="60"/>
  <c r="AO96" i="61"/>
  <c r="AO108" i="61" s="1"/>
  <c r="AO137" i="61" s="1"/>
  <c r="AN108" i="61"/>
  <c r="AN137" i="61" s="1"/>
  <c r="I268" i="60"/>
  <c r="V193" i="60"/>
  <c r="BE22" i="60"/>
  <c r="O207" i="60"/>
  <c r="O214" i="60" s="1"/>
  <c r="AX141" i="60"/>
  <c r="AL33" i="60"/>
  <c r="AL62" i="60" s="1"/>
  <c r="AL129" i="60" s="1"/>
  <c r="BH22" i="60"/>
  <c r="AA151" i="60"/>
  <c r="AA154" i="60"/>
  <c r="AA161" i="60" s="1"/>
  <c r="AC33" i="60"/>
  <c r="AC62" i="60" s="1"/>
  <c r="AC129" i="60" s="1"/>
  <c r="AT151" i="60"/>
  <c r="AT154" i="60"/>
  <c r="O192" i="60"/>
  <c r="BC141" i="60"/>
  <c r="BF126" i="60"/>
  <c r="BF98" i="60"/>
  <c r="W97" i="60"/>
  <c r="W126" i="60" s="1"/>
  <c r="AV157" i="60"/>
  <c r="AM96" i="61"/>
  <c r="AM108" i="61" s="1"/>
  <c r="AM137" i="61" s="1"/>
  <c r="J267" i="60"/>
  <c r="AW97" i="60"/>
  <c r="AW126" i="60" s="1"/>
  <c r="F23" i="57"/>
  <c r="I38" i="57"/>
  <c r="K38" i="57" s="1"/>
  <c r="C14" i="57"/>
  <c r="I14" i="57" s="1"/>
  <c r="K14" i="57" s="1"/>
  <c r="U154" i="60"/>
  <c r="U161" i="60" s="1"/>
  <c r="U151" i="60"/>
  <c r="P154" i="60"/>
  <c r="P161" i="60" s="1"/>
  <c r="P151" i="60"/>
  <c r="BI8" i="61"/>
  <c r="BE8" i="61"/>
  <c r="BL8" i="61"/>
  <c r="BM8" i="61" s="1"/>
  <c r="BH8" i="61"/>
  <c r="BD8" i="61"/>
  <c r="BJ8" i="61"/>
  <c r="BF8" i="61"/>
  <c r="BG8" i="61"/>
  <c r="F21" i="57"/>
  <c r="AE97" i="60"/>
  <c r="AE126" i="60" s="1"/>
  <c r="AE130" i="60" s="1"/>
  <c r="BG86" i="60"/>
  <c r="AL151" i="60"/>
  <c r="AL154" i="60"/>
  <c r="AL161" i="60" s="1"/>
  <c r="F19" i="57"/>
  <c r="N33" i="60"/>
  <c r="N62" i="60" s="1"/>
  <c r="N129" i="60" s="1"/>
  <c r="AB96" i="61"/>
  <c r="AB108" i="61" s="1"/>
  <c r="AB137" i="61" s="1"/>
  <c r="X33" i="60"/>
  <c r="X62" i="60" s="1"/>
  <c r="X129" i="60" s="1"/>
  <c r="BI62" i="60"/>
  <c r="AF97" i="60"/>
  <c r="AF126" i="60" s="1"/>
  <c r="AF130" i="60" s="1"/>
  <c r="AV154" i="60"/>
  <c r="AV151" i="60"/>
  <c r="AV140" i="61"/>
  <c r="AV68" i="61"/>
  <c r="AV64" i="61"/>
  <c r="AW33" i="60"/>
  <c r="AW62" i="60" s="1"/>
  <c r="AW129" i="60" s="1"/>
  <c r="BL75" i="60"/>
  <c r="B67" i="57"/>
  <c r="B72" i="57" s="1"/>
  <c r="C23" i="57"/>
  <c r="I47" i="57"/>
  <c r="K47" i="57" s="1"/>
  <c r="I80" i="61"/>
  <c r="I85" i="60"/>
  <c r="I144" i="60"/>
  <c r="I40" i="57"/>
  <c r="K40" i="57" s="1"/>
  <c r="C16" i="57"/>
  <c r="AR96" i="61"/>
  <c r="AR108" i="61" s="1"/>
  <c r="AR137" i="61" s="1"/>
  <c r="J268" i="60"/>
  <c r="AK130" i="60"/>
  <c r="BA143" i="61"/>
  <c r="BA141" i="61"/>
  <c r="AQ33" i="60"/>
  <c r="AQ62" i="60" s="1"/>
  <c r="AQ129" i="60" s="1"/>
  <c r="AQ151" i="60"/>
  <c r="AQ154" i="60"/>
  <c r="AQ161" i="60" s="1"/>
  <c r="Q246" i="60"/>
  <c r="Q183" i="60"/>
  <c r="Q191" i="60" s="1"/>
  <c r="T33" i="60"/>
  <c r="T62" i="60" s="1"/>
  <c r="T129" i="60" s="1"/>
  <c r="AS154" i="60"/>
  <c r="AS151" i="60"/>
  <c r="R141" i="60"/>
  <c r="R96" i="61"/>
  <c r="R108" i="61" s="1"/>
  <c r="R137" i="61" s="1"/>
  <c r="BI98" i="60"/>
  <c r="BI126" i="60"/>
  <c r="Z33" i="60"/>
  <c r="Z62" i="60" s="1"/>
  <c r="Z129" i="60" s="1"/>
  <c r="K33" i="60"/>
  <c r="K62" i="60" s="1"/>
  <c r="K129" i="60" s="1"/>
  <c r="P33" i="60"/>
  <c r="P62" i="60" s="1"/>
  <c r="P129" i="60" s="1"/>
  <c r="BL58" i="61"/>
  <c r="BM58" i="61" s="1"/>
  <c r="BM55" i="61"/>
  <c r="BK28" i="61"/>
  <c r="BK30" i="61" s="1"/>
  <c r="BG28" i="61"/>
  <c r="BG30" i="61" s="1"/>
  <c r="BJ28" i="61"/>
  <c r="BJ30" i="61" s="1"/>
  <c r="BF28" i="61"/>
  <c r="BF30" i="61" s="1"/>
  <c r="BH28" i="61"/>
  <c r="BH30" i="61" s="1"/>
  <c r="BD28" i="61"/>
  <c r="BD30" i="61" s="1"/>
  <c r="BI28" i="61"/>
  <c r="BI30" i="61" s="1"/>
  <c r="BE28" i="61"/>
  <c r="BE30" i="61" s="1"/>
  <c r="BC30" i="61"/>
  <c r="AG141" i="60"/>
  <c r="I34" i="57"/>
  <c r="K34" i="57" s="1"/>
  <c r="C10" i="57"/>
  <c r="I10" i="57" s="1"/>
  <c r="K10" i="57" s="1"/>
  <c r="I28" i="61"/>
  <c r="I30" i="61" s="1"/>
  <c r="J30" i="61"/>
  <c r="N267" i="60"/>
  <c r="L33" i="60"/>
  <c r="L62" i="60" s="1"/>
  <c r="L129" i="60" s="1"/>
  <c r="Y141" i="60"/>
  <c r="K96" i="61"/>
  <c r="K108" i="61" s="1"/>
  <c r="K137" i="61" s="1"/>
  <c r="I260" i="60"/>
  <c r="V185" i="60"/>
  <c r="I192" i="60"/>
  <c r="AX157" i="60"/>
  <c r="O171" i="60"/>
  <c r="BE98" i="60"/>
  <c r="BE126" i="60"/>
  <c r="C50" i="57"/>
  <c r="I32" i="57"/>
  <c r="C8" i="57"/>
  <c r="J21" i="61"/>
  <c r="J33" i="61" s="1"/>
  <c r="I5" i="61"/>
  <c r="I6" i="61"/>
  <c r="BL6" i="61" s="1"/>
  <c r="BM6" i="61" s="1"/>
  <c r="BI12" i="61"/>
  <c r="BE12" i="61"/>
  <c r="BL12" i="61"/>
  <c r="BM12" i="61" s="1"/>
  <c r="BH12" i="61"/>
  <c r="BD12" i="61"/>
  <c r="BJ12" i="61"/>
  <c r="BF12" i="61"/>
  <c r="BG12" i="61"/>
  <c r="BL137" i="60"/>
  <c r="BM6" i="60"/>
  <c r="BL133" i="61"/>
  <c r="BM133" i="61" s="1"/>
  <c r="BD86" i="60"/>
  <c r="AX151" i="60"/>
  <c r="O168" i="60"/>
  <c r="AX154" i="60"/>
  <c r="N130" i="60"/>
  <c r="P246" i="60"/>
  <c r="P183" i="60"/>
  <c r="AB33" i="61"/>
  <c r="AB62" i="61" s="1"/>
  <c r="Q243" i="60"/>
  <c r="Q175" i="60"/>
  <c r="BE86" i="60"/>
  <c r="L130" i="60"/>
  <c r="L267" i="60"/>
  <c r="P267" i="60"/>
  <c r="J171" i="60"/>
  <c r="L157" i="60"/>
  <c r="U140" i="61"/>
  <c r="U68" i="61"/>
  <c r="U64" i="61"/>
  <c r="BI9" i="61"/>
  <c r="BE9" i="61"/>
  <c r="BL9" i="61"/>
  <c r="BM9" i="61" s="1"/>
  <c r="BH9" i="61"/>
  <c r="BD9" i="61"/>
  <c r="BJ9" i="61"/>
  <c r="BF9" i="61"/>
  <c r="BG9" i="61"/>
  <c r="BI17" i="61"/>
  <c r="BE17" i="61"/>
  <c r="BL17" i="61"/>
  <c r="BM17" i="61" s="1"/>
  <c r="BH17" i="61"/>
  <c r="BD17" i="61"/>
  <c r="BJ17" i="61"/>
  <c r="BF17" i="61"/>
  <c r="BG17" i="61"/>
  <c r="F16" i="57"/>
  <c r="BL84" i="61"/>
  <c r="BM84" i="61" s="1"/>
  <c r="BH84" i="61"/>
  <c r="BD84" i="61"/>
  <c r="BG84" i="61"/>
  <c r="BI84" i="61"/>
  <c r="BE84" i="61"/>
  <c r="BF84" i="61"/>
  <c r="BJ84" i="61"/>
  <c r="AU33" i="61"/>
  <c r="AU62" i="61" s="1"/>
  <c r="AU151" i="60"/>
  <c r="AU154" i="60"/>
  <c r="AU161" i="60" s="1"/>
  <c r="AC96" i="61"/>
  <c r="AC108" i="61" s="1"/>
  <c r="AC137" i="61" s="1"/>
  <c r="AT141" i="60"/>
  <c r="AP33" i="61"/>
  <c r="AP62" i="61" s="1"/>
  <c r="BB152" i="60"/>
  <c r="BB163" i="60"/>
  <c r="BJ95" i="61"/>
  <c r="BF95" i="61"/>
  <c r="BI95" i="61"/>
  <c r="BE95" i="61"/>
  <c r="BG95" i="61"/>
  <c r="BH95" i="61"/>
  <c r="BD95" i="61"/>
  <c r="BL95" i="61"/>
  <c r="BM95" i="61" s="1"/>
  <c r="Q267" i="60"/>
  <c r="O21" i="61"/>
  <c r="O33" i="61" s="1"/>
  <c r="O62" i="61" s="1"/>
  <c r="AH157" i="60"/>
  <c r="M171" i="60"/>
  <c r="AJ97" i="60"/>
  <c r="AJ126" i="60" s="1"/>
  <c r="AJ130" i="60" s="1"/>
  <c r="AE141" i="60"/>
  <c r="AX140" i="61"/>
  <c r="AX64" i="61"/>
  <c r="AX68" i="61"/>
  <c r="BF22" i="60"/>
  <c r="AA33" i="60"/>
  <c r="AA62" i="60" s="1"/>
  <c r="AA129" i="60" s="1"/>
  <c r="AA97" i="60"/>
  <c r="AA126" i="60" s="1"/>
  <c r="X97" i="60"/>
  <c r="X126" i="60" s="1"/>
  <c r="X130" i="60" s="1"/>
  <c r="AT108" i="61"/>
  <c r="AT137" i="61" s="1"/>
  <c r="BI5" i="61"/>
  <c r="BE5" i="61"/>
  <c r="BL5" i="61"/>
  <c r="BM5" i="61" s="1"/>
  <c r="BH5" i="61"/>
  <c r="BD5" i="61"/>
  <c r="BC21" i="61"/>
  <c r="BJ5" i="61"/>
  <c r="BF5" i="61"/>
  <c r="BG5" i="61"/>
  <c r="W33" i="60"/>
  <c r="W62" i="60" s="1"/>
  <c r="W129" i="60" s="1"/>
  <c r="W151" i="60"/>
  <c r="L168" i="60"/>
  <c r="W154" i="60"/>
  <c r="V249" i="60"/>
  <c r="W174" i="60"/>
  <c r="N168" i="60"/>
  <c r="AW154" i="60"/>
  <c r="AW151" i="60"/>
  <c r="AG143" i="61"/>
  <c r="I81" i="61"/>
  <c r="BL81" i="61" s="1"/>
  <c r="BM81" i="61" s="1"/>
  <c r="I147" i="60"/>
  <c r="I157" i="60" s="1"/>
  <c r="U130" i="60"/>
  <c r="P96" i="61"/>
  <c r="P108" i="61" s="1"/>
  <c r="P137" i="61" s="1"/>
  <c r="F11" i="57"/>
  <c r="AE151" i="60"/>
  <c r="AE154" i="60"/>
  <c r="AE161" i="60" s="1"/>
  <c r="AE162" i="60" s="1"/>
  <c r="BD152" i="60"/>
  <c r="BI13" i="61"/>
  <c r="BE13" i="61"/>
  <c r="BL13" i="61"/>
  <c r="BM13" i="61" s="1"/>
  <c r="BH13" i="61"/>
  <c r="BD13" i="61"/>
  <c r="BJ13" i="61"/>
  <c r="BF13" i="61"/>
  <c r="BG13" i="61"/>
  <c r="N141" i="60"/>
  <c r="Q154" i="60"/>
  <c r="Q161" i="60" s="1"/>
  <c r="Q151" i="60"/>
  <c r="S97" i="60"/>
  <c r="S126" i="60" s="1"/>
  <c r="S130" i="60" s="1"/>
  <c r="X141" i="60"/>
  <c r="BI22" i="60"/>
  <c r="F50" i="57"/>
  <c r="AD97" i="60"/>
  <c r="AD126" i="60" s="1"/>
  <c r="AD130" i="60" s="1"/>
  <c r="AF154" i="60"/>
  <c r="AF161" i="60" s="1"/>
  <c r="AF162" i="60" s="1"/>
  <c r="AF151" i="60"/>
  <c r="AI21" i="61"/>
  <c r="AI33" i="61" s="1"/>
  <c r="AI62" i="61" s="1"/>
  <c r="AV96" i="61"/>
  <c r="AV108" i="61" s="1"/>
  <c r="AV137" i="61" s="1"/>
  <c r="BL72" i="60"/>
  <c r="BI20" i="61"/>
  <c r="BE20" i="61"/>
  <c r="BL20" i="61"/>
  <c r="BM20" i="61" s="1"/>
  <c r="BH20" i="61"/>
  <c r="BD20" i="61"/>
  <c r="BJ20" i="61"/>
  <c r="BF20" i="61"/>
  <c r="BG20" i="61"/>
  <c r="N207" i="60"/>
  <c r="N214" i="60" s="1"/>
  <c r="AW141" i="60"/>
  <c r="R157" i="60"/>
  <c r="BC105" i="61"/>
  <c r="Z97" i="60"/>
  <c r="Z126" i="60" s="1"/>
  <c r="Z130" i="60" s="1"/>
  <c r="I46" i="57"/>
  <c r="K46" i="57" s="1"/>
  <c r="C22" i="57"/>
  <c r="J130" i="60"/>
  <c r="F8" i="57"/>
  <c r="E26" i="57"/>
  <c r="AK157" i="60"/>
  <c r="AK96" i="61"/>
  <c r="AK108" i="61" s="1"/>
  <c r="AK137" i="61" s="1"/>
  <c r="O97" i="60"/>
  <c r="O126" i="60" s="1"/>
  <c r="O130" i="60" s="1"/>
  <c r="AQ141" i="60"/>
  <c r="AQ96" i="61"/>
  <c r="AQ108" i="61" s="1"/>
  <c r="AQ137" i="61" s="1"/>
  <c r="S183" i="60"/>
  <c r="S191" i="60" s="1"/>
  <c r="S246" i="60"/>
  <c r="O268" i="60"/>
  <c r="AM33" i="60"/>
  <c r="AM62" i="60" s="1"/>
  <c r="AM129" i="60" s="1"/>
  <c r="AM130" i="60" s="1"/>
  <c r="T141" i="60"/>
  <c r="BL80" i="60"/>
  <c r="AS97" i="60"/>
  <c r="AS126" i="60" s="1"/>
  <c r="R21" i="61"/>
  <c r="R33" i="61" s="1"/>
  <c r="R62" i="61" s="1"/>
  <c r="BL83" i="60"/>
  <c r="BI7" i="61"/>
  <c r="BE7" i="61"/>
  <c r="BL7" i="61"/>
  <c r="BM7" i="61" s="1"/>
  <c r="BH7" i="61"/>
  <c r="BD7" i="61"/>
  <c r="BJ7" i="61"/>
  <c r="BF7" i="61"/>
  <c r="BG7" i="61"/>
  <c r="Z141" i="60"/>
  <c r="BJ22" i="60"/>
  <c r="Y154" i="60"/>
  <c r="Y151" i="60"/>
  <c r="K141" i="60"/>
  <c r="M157" i="60"/>
  <c r="M21" i="61"/>
  <c r="M33" i="61" s="1"/>
  <c r="M62" i="61" s="1"/>
  <c r="T97" i="60"/>
  <c r="T126" i="60" s="1"/>
  <c r="T130" i="60" s="1"/>
  <c r="AS157" i="60"/>
  <c r="U243" i="60"/>
  <c r="U175" i="60"/>
  <c r="AG21" i="61"/>
  <c r="AG33" i="61" s="1"/>
  <c r="AG62" i="61" s="1"/>
  <c r="C21" i="57"/>
  <c r="I21" i="57" s="1"/>
  <c r="K21" i="57" s="1"/>
  <c r="I45" i="57"/>
  <c r="K45" i="57" s="1"/>
  <c r="V33" i="60"/>
  <c r="V62" i="60" s="1"/>
  <c r="V129" i="60" s="1"/>
  <c r="V130" i="60" s="1"/>
  <c r="BB140" i="61"/>
  <c r="BB64" i="61"/>
  <c r="BB68" i="61"/>
  <c r="K157" i="60"/>
  <c r="O157" i="60"/>
  <c r="C15" i="57"/>
  <c r="I15" i="57" s="1"/>
  <c r="K15" i="57" s="1"/>
  <c r="I39" i="57"/>
  <c r="K39" i="57" s="1"/>
  <c r="C19" i="57"/>
  <c r="I19" i="57" s="1"/>
  <c r="K19" i="57" s="1"/>
  <c r="I43" i="57"/>
  <c r="K43" i="57" s="1"/>
  <c r="AY161" i="60"/>
  <c r="J207" i="60"/>
  <c r="L141" i="60"/>
  <c r="Y21" i="61"/>
  <c r="Y33" i="61" s="1"/>
  <c r="Y62" i="61" s="1"/>
  <c r="AZ140" i="61"/>
  <c r="AZ68" i="61"/>
  <c r="AZ64" i="61"/>
  <c r="AI151" i="60"/>
  <c r="AI154" i="60"/>
  <c r="AI161" i="60" s="1"/>
  <c r="AI162" i="60" s="1"/>
  <c r="AJ154" i="60"/>
  <c r="AJ151" i="60"/>
  <c r="BL92" i="61"/>
  <c r="BM92" i="61" s="1"/>
  <c r="BH92" i="61"/>
  <c r="BD92" i="61"/>
  <c r="BG92" i="61"/>
  <c r="BI92" i="61"/>
  <c r="BE92" i="61"/>
  <c r="BF92" i="61"/>
  <c r="BJ92" i="61"/>
  <c r="AL33" i="61"/>
  <c r="AL62" i="61" s="1"/>
  <c r="BF62" i="60"/>
  <c r="BM41" i="61"/>
  <c r="BL52" i="61"/>
  <c r="I60" i="61" s="1"/>
  <c r="S140" i="61"/>
  <c r="S68" i="61"/>
  <c r="S64" i="61"/>
  <c r="X154" i="60"/>
  <c r="X161" i="60" s="1"/>
  <c r="X162" i="60" s="1"/>
  <c r="X151" i="60"/>
  <c r="AC140" i="61"/>
  <c r="AC64" i="61"/>
  <c r="AC68" i="61"/>
  <c r="BC33" i="60"/>
  <c r="BI34" i="60" s="1"/>
  <c r="BC22" i="60"/>
  <c r="W141" i="60"/>
  <c r="L207" i="60"/>
  <c r="L214" i="60" s="1"/>
  <c r="W108" i="61"/>
  <c r="W137" i="61" s="1"/>
  <c r="I261" i="60"/>
  <c r="V186" i="60"/>
  <c r="BK98" i="60"/>
  <c r="BK126" i="60"/>
  <c r="J157" i="60"/>
  <c r="J210" i="60"/>
  <c r="U143" i="61"/>
  <c r="U141" i="61"/>
  <c r="BG22" i="60"/>
  <c r="BL90" i="61"/>
  <c r="BM90" i="61" s="1"/>
  <c r="BH90" i="61"/>
  <c r="BD90" i="61"/>
  <c r="BG90" i="61"/>
  <c r="BI90" i="61"/>
  <c r="BE90" i="61"/>
  <c r="BJ90" i="61"/>
  <c r="BF90" i="61"/>
  <c r="AE96" i="61"/>
  <c r="AE108" i="61" s="1"/>
  <c r="AE137" i="61" s="1"/>
  <c r="BM114" i="61"/>
  <c r="BL116" i="61"/>
  <c r="T243" i="60"/>
  <c r="T175" i="60"/>
  <c r="T246" i="60"/>
  <c r="T183" i="60"/>
  <c r="AL143" i="61"/>
  <c r="N21" i="61"/>
  <c r="N33" i="61" s="1"/>
  <c r="N62" i="61" s="1"/>
  <c r="Q97" i="60"/>
  <c r="Q126" i="60" s="1"/>
  <c r="Q130" i="60" s="1"/>
  <c r="AB130" i="60"/>
  <c r="S151" i="60"/>
  <c r="S154" i="60"/>
  <c r="S161" i="60" s="1"/>
  <c r="S162" i="60" s="1"/>
  <c r="X21" i="61"/>
  <c r="X33" i="61" s="1"/>
  <c r="X62" i="61" s="1"/>
  <c r="AP151" i="60"/>
  <c r="AP154" i="60"/>
  <c r="D26" i="57"/>
  <c r="F12" i="57"/>
  <c r="AD151" i="60"/>
  <c r="AD154" i="60"/>
  <c r="AD161" i="60" s="1"/>
  <c r="AF96" i="61"/>
  <c r="AF108" i="61" s="1"/>
  <c r="BE152" i="60"/>
  <c r="I210" i="60"/>
  <c r="BJ83" i="61"/>
  <c r="BF83" i="61"/>
  <c r="BI83" i="61"/>
  <c r="BE83" i="61"/>
  <c r="BG83" i="61"/>
  <c r="BL83" i="61"/>
  <c r="BM83" i="61" s="1"/>
  <c r="BD83" i="61"/>
  <c r="BH83" i="61"/>
  <c r="AW140" i="61"/>
  <c r="AW64" i="61"/>
  <c r="AW68" i="61"/>
  <c r="BI152" i="60"/>
  <c r="BL86" i="61"/>
  <c r="BM86" i="61" s="1"/>
  <c r="BH86" i="61"/>
  <c r="BD86" i="61"/>
  <c r="BG86" i="61"/>
  <c r="BI86" i="61"/>
  <c r="BE86" i="61"/>
  <c r="BF86" i="61"/>
  <c r="BJ86" i="61"/>
  <c r="L76" i="62"/>
  <c r="L75" i="62"/>
  <c r="L80" i="62"/>
  <c r="L79" i="62"/>
  <c r="L65" i="62"/>
  <c r="L78" i="62"/>
  <c r="L64" i="62"/>
  <c r="L74" i="62"/>
  <c r="L77" i="62"/>
  <c r="L67" i="62"/>
  <c r="L73" i="62"/>
  <c r="L66" i="62"/>
  <c r="Z151" i="60"/>
  <c r="Z154" i="60"/>
  <c r="J151" i="60"/>
  <c r="J154" i="60"/>
  <c r="AY130" i="60"/>
  <c r="AY163" i="60" s="1"/>
  <c r="R246" i="60"/>
  <c r="R183" i="60"/>
  <c r="O151" i="60"/>
  <c r="O154" i="60"/>
  <c r="O161" i="60" s="1"/>
  <c r="O162" i="60" s="1"/>
  <c r="I207" i="60"/>
  <c r="AM141" i="60"/>
  <c r="T21" i="61"/>
  <c r="T33" i="61" s="1"/>
  <c r="T62" i="61" s="1"/>
  <c r="BJ91" i="61"/>
  <c r="BF91" i="61"/>
  <c r="BI91" i="61"/>
  <c r="BE91" i="61"/>
  <c r="BG91" i="61"/>
  <c r="BL91" i="61"/>
  <c r="BM91" i="61" s="1"/>
  <c r="BD91" i="61"/>
  <c r="BH91" i="61"/>
  <c r="R97" i="60"/>
  <c r="R126" i="60" s="1"/>
  <c r="BK149" i="61"/>
  <c r="BK143" i="61"/>
  <c r="Z21" i="61"/>
  <c r="Z33" i="61" s="1"/>
  <c r="Z62" i="61" s="1"/>
  <c r="I103" i="61"/>
  <c r="I105" i="61" s="1"/>
  <c r="I94" i="60"/>
  <c r="R267" i="60"/>
  <c r="BJ62" i="60"/>
  <c r="BJ64" i="60"/>
  <c r="BJ66" i="60" s="1"/>
  <c r="Y97" i="60"/>
  <c r="Y126" i="60" s="1"/>
  <c r="K21" i="61"/>
  <c r="K33" i="61" s="1"/>
  <c r="K62" i="61" s="1"/>
  <c r="P33" i="61"/>
  <c r="P62" i="61" s="1"/>
  <c r="T154" i="60"/>
  <c r="T151" i="60"/>
  <c r="BL82" i="60"/>
  <c r="BL147" i="60" s="1"/>
  <c r="BL157" i="60" s="1"/>
  <c r="Z157" i="60"/>
  <c r="F20" i="57"/>
  <c r="K207" i="60"/>
  <c r="K214" i="60" s="1"/>
  <c r="V141" i="60"/>
  <c r="BK62" i="60"/>
  <c r="P191" i="60"/>
  <c r="P243" i="60"/>
  <c r="P175" i="60"/>
  <c r="L21" i="61"/>
  <c r="L33" i="61" s="1"/>
  <c r="L62" i="61" s="1"/>
  <c r="K97" i="60"/>
  <c r="K126" i="60" s="1"/>
  <c r="K130" i="60" s="1"/>
  <c r="BI6" i="61"/>
  <c r="BE6" i="61"/>
  <c r="BH6" i="61"/>
  <c r="BD6" i="61"/>
  <c r="BJ6" i="61"/>
  <c r="BF6" i="61"/>
  <c r="BG6" i="61"/>
  <c r="AX141" i="61"/>
  <c r="AX143" i="61"/>
  <c r="J168" i="60"/>
  <c r="L154" i="60"/>
  <c r="L161" i="60" s="1"/>
  <c r="L162" i="60" s="1"/>
  <c r="L151" i="60"/>
  <c r="BA163" i="60"/>
  <c r="BA152" i="60"/>
  <c r="I36" i="57"/>
  <c r="K36" i="57" s="1"/>
  <c r="C12" i="57"/>
  <c r="I12" i="57" s="1"/>
  <c r="K12" i="57" s="1"/>
  <c r="BL80" i="61"/>
  <c r="BM80" i="61" s="1"/>
  <c r="BH80" i="61"/>
  <c r="BD80" i="61"/>
  <c r="BG80" i="61"/>
  <c r="BC96" i="61"/>
  <c r="BI80" i="61"/>
  <c r="BE80" i="61"/>
  <c r="BJ80" i="61"/>
  <c r="BF80" i="61"/>
  <c r="BD62" i="60"/>
  <c r="BF152" i="60"/>
  <c r="K267" i="60"/>
  <c r="V151" i="60"/>
  <c r="K168" i="60"/>
  <c r="V154" i="60"/>
  <c r="AO154" i="60"/>
  <c r="AO161" i="60" s="1"/>
  <c r="AO151" i="60"/>
  <c r="AN130" i="60"/>
  <c r="AE140" i="61"/>
  <c r="AE64" i="61"/>
  <c r="AE68" i="61"/>
  <c r="BJ87" i="61"/>
  <c r="BF87" i="61"/>
  <c r="BI87" i="61"/>
  <c r="BE87" i="61"/>
  <c r="BG87" i="61"/>
  <c r="BH87" i="61"/>
  <c r="BD87" i="61"/>
  <c r="BL87" i="61"/>
  <c r="BM87" i="61" s="1"/>
  <c r="AA143" i="61"/>
  <c r="AH21" i="61"/>
  <c r="AH33" i="61" s="1"/>
  <c r="BC157" i="60"/>
  <c r="BH126" i="60"/>
  <c r="BH98" i="60"/>
  <c r="N108" i="61"/>
  <c r="N137" i="61" s="1"/>
  <c r="BJ126" i="60"/>
  <c r="BJ98" i="60"/>
  <c r="AZ163" i="60"/>
  <c r="AZ152" i="60"/>
  <c r="AP157" i="60"/>
  <c r="BB141" i="61"/>
  <c r="BB143" i="61"/>
  <c r="I42" i="57"/>
  <c r="K42" i="57" s="1"/>
  <c r="C18" i="57"/>
  <c r="I18" i="57" s="1"/>
  <c r="K18" i="57" s="1"/>
  <c r="I134" i="60"/>
  <c r="I141" i="60" s="1"/>
  <c r="I21" i="60"/>
  <c r="L96" i="61"/>
  <c r="L108" i="61" s="1"/>
  <c r="L137" i="61" s="1"/>
  <c r="BA162" i="60"/>
  <c r="AI143" i="61"/>
  <c r="AS33" i="60"/>
  <c r="AS62" i="60" s="1"/>
  <c r="AS129" i="60" s="1"/>
  <c r="BI19" i="61"/>
  <c r="BE19" i="61"/>
  <c r="BL19" i="61"/>
  <c r="BM19" i="61" s="1"/>
  <c r="BH19" i="61"/>
  <c r="BD19" i="61"/>
  <c r="BJ19" i="61"/>
  <c r="BF19" i="61"/>
  <c r="BG19" i="61"/>
  <c r="AY143" i="61"/>
  <c r="I33" i="57"/>
  <c r="K33" i="57" s="1"/>
  <c r="C9" i="57"/>
  <c r="I9" i="57" s="1"/>
  <c r="K9" i="57" s="1"/>
  <c r="V157" i="60"/>
  <c r="K171" i="60"/>
  <c r="BI18" i="61"/>
  <c r="BE18" i="61"/>
  <c r="BL18" i="61"/>
  <c r="BM18" i="61" s="1"/>
  <c r="BH18" i="61"/>
  <c r="BD18" i="61"/>
  <c r="BJ18" i="61"/>
  <c r="BF18" i="61"/>
  <c r="BG18" i="61"/>
  <c r="U246" i="60"/>
  <c r="U183" i="60"/>
  <c r="AH151" i="60"/>
  <c r="M168" i="60"/>
  <c r="AH154" i="60"/>
  <c r="AH161" i="60" s="1"/>
  <c r="AH162" i="60" s="1"/>
  <c r="AJ21" i="61"/>
  <c r="AJ33" i="61" s="1"/>
  <c r="AJ62" i="61" s="1"/>
  <c r="BC151" i="60"/>
  <c r="BC154" i="60"/>
  <c r="AU33" i="60"/>
  <c r="AU62" i="60" s="1"/>
  <c r="AU129" i="60" s="1"/>
  <c r="AC154" i="60"/>
  <c r="AC161" i="60" s="1"/>
  <c r="AC151" i="60"/>
  <c r="AP33" i="60"/>
  <c r="AP62" i="60" s="1"/>
  <c r="AP129" i="60" s="1"/>
  <c r="AP130" i="60" s="1"/>
  <c r="BN88" i="61"/>
  <c r="BD22" i="60"/>
  <c r="W157" i="60"/>
  <c r="L171" i="60"/>
  <c r="AF62" i="61"/>
  <c r="BI11" i="61"/>
  <c r="BE11" i="61"/>
  <c r="BL11" i="61"/>
  <c r="BM11" i="61" s="1"/>
  <c r="BH11" i="61"/>
  <c r="BD11" i="61"/>
  <c r="BJ11" i="61"/>
  <c r="BF11" i="61"/>
  <c r="BG11" i="61"/>
  <c r="V96" i="61"/>
  <c r="V108" i="61" s="1"/>
  <c r="V137" i="61" s="1"/>
  <c r="AK141" i="60"/>
  <c r="AO97" i="60"/>
  <c r="AO126" i="60" s="1"/>
  <c r="AO130" i="60" s="1"/>
  <c r="AO21" i="61"/>
  <c r="AO33" i="61" s="1"/>
  <c r="AO62" i="61" s="1"/>
  <c r="AN154" i="60"/>
  <c r="AN161" i="60" s="1"/>
  <c r="AN162" i="60" s="1"/>
  <c r="AN151" i="60"/>
  <c r="AJ157" i="60"/>
  <c r="AJ96" i="61"/>
  <c r="AJ108" i="61" s="1"/>
  <c r="AJ137" i="61" s="1"/>
  <c r="W170" i="60"/>
  <c r="V245" i="60"/>
  <c r="BE62" i="60"/>
  <c r="BE64" i="60"/>
  <c r="BE66" i="60" s="1"/>
  <c r="BH34" i="60"/>
  <c r="BH62" i="60"/>
  <c r="N157" i="60"/>
  <c r="AA140" i="61"/>
  <c r="AA141" i="61" s="1"/>
  <c r="AA68" i="61"/>
  <c r="AA64" i="61"/>
  <c r="BR33" i="61"/>
  <c r="AY62" i="61"/>
  <c r="X96" i="61"/>
  <c r="X108" i="61" s="1"/>
  <c r="X137" i="61" s="1"/>
  <c r="AT97" i="60"/>
  <c r="AT126" i="60" s="1"/>
  <c r="AT130" i="60" s="1"/>
  <c r="BL5" i="60"/>
  <c r="BF86" i="60"/>
  <c r="W33" i="61"/>
  <c r="W62" i="61" s="1"/>
  <c r="I168" i="60"/>
  <c r="AM151" i="60"/>
  <c r="AM154" i="60"/>
  <c r="AM161" i="60" s="1"/>
  <c r="BK86" i="60"/>
  <c r="AG154" i="60"/>
  <c r="AG161" i="60" s="1"/>
  <c r="AG151" i="60"/>
  <c r="P130" i="60"/>
  <c r="BG64" i="60"/>
  <c r="BG66" i="60" s="1"/>
  <c r="BG34" i="60"/>
  <c r="BG62" i="60"/>
  <c r="BM41" i="60"/>
  <c r="BL52" i="60"/>
  <c r="BG126" i="60"/>
  <c r="BG98" i="60"/>
  <c r="AL97" i="60"/>
  <c r="AL126" i="60" s="1"/>
  <c r="AL130" i="60" s="1"/>
  <c r="Q96" i="61"/>
  <c r="Q108" i="61" s="1"/>
  <c r="Q137" i="61" s="1"/>
  <c r="AB154" i="60"/>
  <c r="AB161" i="60" s="1"/>
  <c r="AB162" i="60" s="1"/>
  <c r="AB151" i="60"/>
  <c r="S96" i="61"/>
  <c r="S108" i="61" s="1"/>
  <c r="S137" i="61" s="1"/>
  <c r="AZ143" i="61"/>
  <c r="AZ141" i="61"/>
  <c r="AT157" i="60"/>
  <c r="AP96" i="61"/>
  <c r="AP108" i="61" s="1"/>
  <c r="AP137" i="61" s="1"/>
  <c r="AD96" i="61"/>
  <c r="AD108" i="61" s="1"/>
  <c r="AD137" i="61" s="1"/>
  <c r="AV97" i="60"/>
  <c r="AV126" i="60" s="1"/>
  <c r="AV130" i="60" s="1"/>
  <c r="AV141" i="60"/>
  <c r="BI161" i="60"/>
  <c r="Z108" i="61"/>
  <c r="Z137" i="61" s="1"/>
  <c r="J96" i="61"/>
  <c r="J108" i="61" s="1"/>
  <c r="F22" i="57"/>
  <c r="AR154" i="60"/>
  <c r="AR161" i="60" s="1"/>
  <c r="AR162" i="60" s="1"/>
  <c r="AR151" i="60"/>
  <c r="AR140" i="61"/>
  <c r="AR68" i="61"/>
  <c r="AR64" i="61"/>
  <c r="Y157" i="60"/>
  <c r="AK154" i="60"/>
  <c r="AK151" i="60"/>
  <c r="O108" i="61"/>
  <c r="O137" i="61" s="1"/>
  <c r="AQ130" i="60"/>
  <c r="AM21" i="61"/>
  <c r="AM33" i="61" s="1"/>
  <c r="AM62" i="61" s="1"/>
  <c r="R33" i="60"/>
  <c r="R62" i="60" s="1"/>
  <c r="R129" i="60" s="1"/>
  <c r="R151" i="60"/>
  <c r="R154" i="60"/>
  <c r="BI86" i="60"/>
  <c r="BL94" i="61"/>
  <c r="BM94" i="61" s="1"/>
  <c r="BH94" i="61"/>
  <c r="BD94" i="61"/>
  <c r="BG94" i="61"/>
  <c r="BI94" i="61"/>
  <c r="BE94" i="61"/>
  <c r="BF94" i="61"/>
  <c r="BJ94" i="61"/>
  <c r="I35" i="57"/>
  <c r="K35" i="57" s="1"/>
  <c r="C11" i="57"/>
  <c r="I11" i="57" s="1"/>
  <c r="K11" i="57" s="1"/>
  <c r="BK33" i="61"/>
  <c r="BK62" i="61" s="1"/>
  <c r="Y96" i="61"/>
  <c r="Y108" i="61" s="1"/>
  <c r="Y137" i="61" s="1"/>
  <c r="M141" i="60"/>
  <c r="T157" i="60"/>
  <c r="T96" i="61"/>
  <c r="T108" i="61" s="1"/>
  <c r="T137" i="61" s="1"/>
  <c r="BJ93" i="61"/>
  <c r="BF93" i="61"/>
  <c r="BI93" i="61"/>
  <c r="BE93" i="61"/>
  <c r="BG93" i="61"/>
  <c r="BD93" i="61"/>
  <c r="BH93" i="61"/>
  <c r="BL93" i="61"/>
  <c r="BM93" i="61" s="1"/>
  <c r="N171" i="60"/>
  <c r="AW157" i="60"/>
  <c r="BK161" i="60"/>
  <c r="BM28" i="60"/>
  <c r="BL30" i="60"/>
  <c r="BM30" i="60" s="1"/>
  <c r="AG33" i="60"/>
  <c r="AG62" i="60" s="1"/>
  <c r="AG129" i="60" s="1"/>
  <c r="AG130" i="60" s="1"/>
  <c r="I44" i="57"/>
  <c r="K44" i="57" s="1"/>
  <c r="C20" i="57"/>
  <c r="I20" i="57" s="1"/>
  <c r="K20" i="57" s="1"/>
  <c r="V21" i="61"/>
  <c r="V33" i="61" s="1"/>
  <c r="V62" i="61" s="1"/>
  <c r="I88" i="61"/>
  <c r="BL88" i="61" s="1"/>
  <c r="BM88" i="61" s="1"/>
  <c r="BL77" i="60"/>
  <c r="AY152" i="60"/>
  <c r="Y33" i="60"/>
  <c r="Y62" i="60" s="1"/>
  <c r="Y129" i="60" s="1"/>
  <c r="K151" i="60"/>
  <c r="K154" i="60"/>
  <c r="V248" i="60"/>
  <c r="W173" i="60"/>
  <c r="AT68" i="61" l="1"/>
  <c r="BN17" i="61"/>
  <c r="BN12" i="61"/>
  <c r="BN8" i="61"/>
  <c r="BN15" i="61"/>
  <c r="AT64" i="61"/>
  <c r="AV161" i="60"/>
  <c r="AW141" i="61"/>
  <c r="AK161" i="60"/>
  <c r="AK162" i="60" s="1"/>
  <c r="AS143" i="61"/>
  <c r="AS8" i="105"/>
  <c r="AE8" i="105"/>
  <c r="N10" i="80" s="1"/>
  <c r="U10" i="80" s="1"/>
  <c r="P8" i="105"/>
  <c r="E37" i="80" s="1"/>
  <c r="Q8" i="105"/>
  <c r="R8" i="105" s="1"/>
  <c r="AS29" i="105"/>
  <c r="AS30" i="105" s="1"/>
  <c r="K161" i="60"/>
  <c r="K162" i="60" s="1"/>
  <c r="R161" i="60"/>
  <c r="BN11" i="61"/>
  <c r="AY162" i="60"/>
  <c r="BN20" i="61"/>
  <c r="AC130" i="60"/>
  <c r="AC162" i="60" s="1"/>
  <c r="BN18" i="61"/>
  <c r="BL144" i="60"/>
  <c r="BL151" i="60" s="1"/>
  <c r="BN9" i="61"/>
  <c r="BN16" i="61"/>
  <c r="J161" i="60"/>
  <c r="J162" i="60" s="1"/>
  <c r="V210" i="60"/>
  <c r="BN95" i="61"/>
  <c r="BQ33" i="61"/>
  <c r="BN19" i="61"/>
  <c r="BN6" i="61"/>
  <c r="J214" i="60"/>
  <c r="BN7" i="61"/>
  <c r="BN13" i="61"/>
  <c r="BN5" i="61"/>
  <c r="BL28" i="61"/>
  <c r="Q266" i="60"/>
  <c r="Q273" i="60" s="1"/>
  <c r="Q198" i="60"/>
  <c r="Q199" i="60" s="1"/>
  <c r="S266" i="60"/>
  <c r="S273" i="60" s="1"/>
  <c r="S198" i="60"/>
  <c r="S199" i="60" s="1"/>
  <c r="J18" i="65"/>
  <c r="BK140" i="61"/>
  <c r="BK141" i="61" s="1"/>
  <c r="BK64" i="61"/>
  <c r="BK68" i="61"/>
  <c r="I243" i="60"/>
  <c r="I175" i="60"/>
  <c r="V168" i="60"/>
  <c r="BJ150" i="61"/>
  <c r="BF96" i="61"/>
  <c r="J19" i="65"/>
  <c r="BK69" i="61"/>
  <c r="BK129" i="60"/>
  <c r="BN93" i="61"/>
  <c r="AK163" i="60"/>
  <c r="AK152" i="60"/>
  <c r="AP143" i="61"/>
  <c r="S141" i="61"/>
  <c r="S143" i="61"/>
  <c r="AM162" i="60"/>
  <c r="AY140" i="61"/>
  <c r="AY141" i="61" s="1"/>
  <c r="AY68" i="61"/>
  <c r="AY64" i="61"/>
  <c r="BR62" i="61"/>
  <c r="D19" i="65"/>
  <c r="BE69" i="61"/>
  <c r="BE129" i="60"/>
  <c r="AJ143" i="61"/>
  <c r="AO140" i="61"/>
  <c r="AO64" i="61"/>
  <c r="AO68" i="61"/>
  <c r="AC163" i="60"/>
  <c r="AC152" i="60"/>
  <c r="AH152" i="60"/>
  <c r="AH163" i="60"/>
  <c r="K246" i="60"/>
  <c r="K183" i="60"/>
  <c r="I33" i="60"/>
  <c r="I22" i="60"/>
  <c r="I23" i="60" s="1"/>
  <c r="V161" i="60"/>
  <c r="V162" i="60" s="1"/>
  <c r="BD34" i="60"/>
  <c r="BE96" i="61"/>
  <c r="BD96" i="61"/>
  <c r="BN80" i="61"/>
  <c r="BK64" i="60"/>
  <c r="BK66" i="60" s="1"/>
  <c r="T163" i="60"/>
  <c r="T152" i="60"/>
  <c r="Y130" i="60"/>
  <c r="Z140" i="61"/>
  <c r="Z64" i="61"/>
  <c r="Z68" i="61"/>
  <c r="R130" i="60"/>
  <c r="R162" i="60" s="1"/>
  <c r="BN91" i="61"/>
  <c r="O152" i="60"/>
  <c r="O163" i="60"/>
  <c r="Z161" i="60"/>
  <c r="Z162" i="60" s="1"/>
  <c r="BN83" i="61"/>
  <c r="AD152" i="60"/>
  <c r="AD163" i="60"/>
  <c r="AP152" i="60"/>
  <c r="AP163" i="60"/>
  <c r="BM116" i="61"/>
  <c r="BL127" i="61"/>
  <c r="BM127" i="61" s="1"/>
  <c r="BM52" i="61"/>
  <c r="BL60" i="61"/>
  <c r="BC60" i="61"/>
  <c r="E19" i="65"/>
  <c r="BF69" i="61"/>
  <c r="BF129" i="60"/>
  <c r="U250" i="60"/>
  <c r="Y163" i="60"/>
  <c r="Y152" i="60"/>
  <c r="I22" i="57"/>
  <c r="K22" i="57" s="1"/>
  <c r="BL103" i="61"/>
  <c r="AF163" i="60"/>
  <c r="AF152" i="60"/>
  <c r="W152" i="60"/>
  <c r="BJ21" i="61"/>
  <c r="BJ33" i="61" s="1"/>
  <c r="BJ62" i="61" s="1"/>
  <c r="BH21" i="61"/>
  <c r="BH33" i="61" s="1"/>
  <c r="BH62" i="61" s="1"/>
  <c r="AT141" i="61"/>
  <c r="AT143" i="61"/>
  <c r="AP140" i="61"/>
  <c r="AP141" i="61" s="1"/>
  <c r="AP64" i="61"/>
  <c r="AP68" i="61"/>
  <c r="AU152" i="60"/>
  <c r="Q250" i="60"/>
  <c r="P258" i="60"/>
  <c r="P187" i="60"/>
  <c r="P262" i="60" s="1"/>
  <c r="O243" i="60"/>
  <c r="O175" i="60"/>
  <c r="K32" i="57"/>
  <c r="I50" i="57"/>
  <c r="K50" i="57" s="1"/>
  <c r="O246" i="60"/>
  <c r="O183" i="60"/>
  <c r="O191" i="60" s="1"/>
  <c r="BM28" i="61"/>
  <c r="BL30" i="61"/>
  <c r="BM30" i="61" s="1"/>
  <c r="AQ162" i="60"/>
  <c r="AR143" i="61"/>
  <c r="AR141" i="61"/>
  <c r="I97" i="60"/>
  <c r="I86" i="60"/>
  <c r="H86" i="60"/>
  <c r="P162" i="60"/>
  <c r="W130" i="60"/>
  <c r="W163" i="60" s="1"/>
  <c r="O267" i="60"/>
  <c r="AN143" i="61"/>
  <c r="I129" i="60"/>
  <c r="BN81" i="61"/>
  <c r="BN82" i="61"/>
  <c r="BC86" i="60"/>
  <c r="N152" i="60"/>
  <c r="N163" i="60"/>
  <c r="AR163" i="60"/>
  <c r="AR152" i="60"/>
  <c r="AG162" i="60"/>
  <c r="AN163" i="60"/>
  <c r="AN152" i="60"/>
  <c r="V152" i="60"/>
  <c r="V163" i="60"/>
  <c r="BC108" i="61"/>
  <c r="BC97" i="61"/>
  <c r="BK97" i="61"/>
  <c r="P140" i="61"/>
  <c r="P68" i="61"/>
  <c r="P64" i="61"/>
  <c r="K152" i="60"/>
  <c r="K163" i="60"/>
  <c r="V140" i="61"/>
  <c r="V64" i="61"/>
  <c r="V68" i="61"/>
  <c r="N246" i="60"/>
  <c r="N183" i="60"/>
  <c r="Y143" i="61"/>
  <c r="AM140" i="61"/>
  <c r="AM64" i="61"/>
  <c r="AM68" i="61"/>
  <c r="BT108" i="61"/>
  <c r="J137" i="61"/>
  <c r="AB163" i="60"/>
  <c r="AB152" i="60"/>
  <c r="F19" i="65"/>
  <c r="BG69" i="61"/>
  <c r="BG129" i="60"/>
  <c r="BG130" i="60" s="1"/>
  <c r="AG163" i="60"/>
  <c r="AG152" i="60"/>
  <c r="AM152" i="60"/>
  <c r="AM163" i="60"/>
  <c r="BL134" i="60"/>
  <c r="BL141" i="60" s="1"/>
  <c r="BM5" i="60"/>
  <c r="BH64" i="60"/>
  <c r="BH66" i="60" s="1"/>
  <c r="BE34" i="60"/>
  <c r="AF140" i="61"/>
  <c r="AF68" i="61"/>
  <c r="AF64" i="61"/>
  <c r="BQ62" i="61"/>
  <c r="AJ140" i="61"/>
  <c r="AJ141" i="61" s="1"/>
  <c r="AJ68" i="61"/>
  <c r="AJ64" i="61"/>
  <c r="U258" i="60"/>
  <c r="U187" i="60"/>
  <c r="U262" i="60" s="1"/>
  <c r="BH150" i="61"/>
  <c r="K243" i="60"/>
  <c r="K191" i="60"/>
  <c r="K175" i="60"/>
  <c r="BD64" i="60"/>
  <c r="BD66" i="60" s="1"/>
  <c r="BI96" i="61"/>
  <c r="BH96" i="61"/>
  <c r="J243" i="60"/>
  <c r="J175" i="60"/>
  <c r="P266" i="60"/>
  <c r="P273" i="60" s="1"/>
  <c r="P198" i="60"/>
  <c r="P199" i="60" s="1"/>
  <c r="T161" i="60"/>
  <c r="T162" i="60" s="1"/>
  <c r="BJ34" i="60"/>
  <c r="I214" i="60"/>
  <c r="V207" i="60"/>
  <c r="V214" i="60" s="1"/>
  <c r="R187" i="60"/>
  <c r="R262" i="60" s="1"/>
  <c r="R258" i="60"/>
  <c r="Z152" i="60"/>
  <c r="Z163" i="60"/>
  <c r="X140" i="61"/>
  <c r="X68" i="61"/>
  <c r="X64" i="61"/>
  <c r="T250" i="60"/>
  <c r="BN90" i="61"/>
  <c r="BK150" i="61"/>
  <c r="BK130" i="60"/>
  <c r="BK163" i="60" s="1"/>
  <c r="AL140" i="61"/>
  <c r="AL141" i="61" s="1"/>
  <c r="AL64" i="61"/>
  <c r="AL68" i="61"/>
  <c r="U191" i="60"/>
  <c r="M140" i="61"/>
  <c r="M141" i="61" s="1"/>
  <c r="M68" i="61"/>
  <c r="M64" i="61"/>
  <c r="Y161" i="60"/>
  <c r="Y162" i="60" s="1"/>
  <c r="F26" i="57"/>
  <c r="BJ152" i="60"/>
  <c r="AE152" i="60"/>
  <c r="AE163" i="60"/>
  <c r="AW152" i="60"/>
  <c r="O140" i="61"/>
  <c r="O141" i="61" s="1"/>
  <c r="O64" i="61"/>
  <c r="O68" i="61"/>
  <c r="AU140" i="61"/>
  <c r="AU141" i="61" s="1"/>
  <c r="AU64" i="61"/>
  <c r="AU68" i="61"/>
  <c r="J246" i="60"/>
  <c r="J183" i="60"/>
  <c r="AX152" i="60"/>
  <c r="AX163" i="60"/>
  <c r="I21" i="61"/>
  <c r="K143" i="61"/>
  <c r="BI150" i="61"/>
  <c r="AS152" i="60"/>
  <c r="AQ152" i="60"/>
  <c r="AQ163" i="60"/>
  <c r="I16" i="57"/>
  <c r="K16" i="57" s="1"/>
  <c r="I96" i="61"/>
  <c r="BC98" i="61" s="1"/>
  <c r="BI64" i="60"/>
  <c r="BI66" i="60" s="1"/>
  <c r="AB143" i="61"/>
  <c r="AL162" i="60"/>
  <c r="U163" i="60"/>
  <c r="U152" i="60"/>
  <c r="AT161" i="60"/>
  <c r="AT162" i="60" s="1"/>
  <c r="AA152" i="60"/>
  <c r="AO143" i="61"/>
  <c r="AO141" i="61"/>
  <c r="AS68" i="61"/>
  <c r="I246" i="60"/>
  <c r="I183" i="60"/>
  <c r="V171" i="60"/>
  <c r="M163" i="60"/>
  <c r="M152" i="60"/>
  <c r="BD150" i="61"/>
  <c r="BC126" i="60"/>
  <c r="T143" i="61"/>
  <c r="BG150" i="61"/>
  <c r="L140" i="61"/>
  <c r="L141" i="61" s="1"/>
  <c r="L68" i="61"/>
  <c r="L64" i="61"/>
  <c r="BU108" i="61"/>
  <c r="AF137" i="61"/>
  <c r="N140" i="61"/>
  <c r="N64" i="61"/>
  <c r="N68" i="61"/>
  <c r="AE143" i="61"/>
  <c r="AE141" i="61"/>
  <c r="W143" i="61"/>
  <c r="BF34" i="60"/>
  <c r="AJ163" i="60"/>
  <c r="AJ152" i="60"/>
  <c r="R140" i="61"/>
  <c r="R64" i="61"/>
  <c r="R68" i="61"/>
  <c r="S258" i="60"/>
  <c r="S187" i="60"/>
  <c r="S262" i="60" s="1"/>
  <c r="AK143" i="61"/>
  <c r="I126" i="60"/>
  <c r="AV143" i="61"/>
  <c r="AV141" i="61"/>
  <c r="Q163" i="60"/>
  <c r="Q152" i="60"/>
  <c r="AW161" i="60"/>
  <c r="W161" i="60"/>
  <c r="W162" i="60" s="1"/>
  <c r="BG21" i="61"/>
  <c r="BG33" i="61" s="1"/>
  <c r="BG62" i="61" s="1"/>
  <c r="BC22" i="61"/>
  <c r="BC33" i="61"/>
  <c r="BL21" i="61"/>
  <c r="BE21" i="61"/>
  <c r="BE33" i="61" s="1"/>
  <c r="BE62" i="61" s="1"/>
  <c r="AC141" i="61"/>
  <c r="AC143" i="61"/>
  <c r="J62" i="61"/>
  <c r="BE150" i="61"/>
  <c r="BE130" i="60"/>
  <c r="I267" i="60"/>
  <c r="V267" i="60" s="1"/>
  <c r="V192" i="60"/>
  <c r="AS161" i="60"/>
  <c r="Q258" i="60"/>
  <c r="Q187" i="60"/>
  <c r="Q262" i="60" s="1"/>
  <c r="AV163" i="60"/>
  <c r="AV152" i="60"/>
  <c r="H19" i="65"/>
  <c r="BI69" i="61"/>
  <c r="BI129" i="60"/>
  <c r="BI130" i="60" s="1"/>
  <c r="AL152" i="60"/>
  <c r="AL163" i="60"/>
  <c r="U162" i="60"/>
  <c r="AM141" i="61"/>
  <c r="AM143" i="61"/>
  <c r="BF150" i="61"/>
  <c r="BF130" i="60"/>
  <c r="AT152" i="60"/>
  <c r="AT163" i="60"/>
  <c r="W193" i="60"/>
  <c r="Q140" i="61"/>
  <c r="Q141" i="61" s="1"/>
  <c r="Q68" i="61"/>
  <c r="Q64" i="61"/>
  <c r="AH143" i="61"/>
  <c r="R250" i="60"/>
  <c r="M161" i="60"/>
  <c r="M162" i="60" s="1"/>
  <c r="AN140" i="61"/>
  <c r="AN141" i="61" s="1"/>
  <c r="AN68" i="61"/>
  <c r="AN64" i="61"/>
  <c r="BN94" i="61"/>
  <c r="Z141" i="61"/>
  <c r="Z143" i="61"/>
  <c r="AO163" i="60"/>
  <c r="AO152" i="60"/>
  <c r="AQ140" i="61"/>
  <c r="AQ141" i="61" s="1"/>
  <c r="AQ68" i="61"/>
  <c r="AQ64" i="61"/>
  <c r="R152" i="60"/>
  <c r="R163" i="60"/>
  <c r="O143" i="61"/>
  <c r="AD141" i="61"/>
  <c r="AD143" i="61"/>
  <c r="Q143" i="61"/>
  <c r="BL60" i="60"/>
  <c r="BM52" i="60"/>
  <c r="BC60" i="60"/>
  <c r="W140" i="61"/>
  <c r="W141" i="61" s="1"/>
  <c r="W68" i="61"/>
  <c r="W64" i="61"/>
  <c r="X143" i="61"/>
  <c r="X141" i="61"/>
  <c r="G19" i="65"/>
  <c r="BH69" i="61"/>
  <c r="BH129" i="60"/>
  <c r="BH130" i="60" s="1"/>
  <c r="V141" i="61"/>
  <c r="V143" i="61"/>
  <c r="L246" i="60"/>
  <c r="L183" i="60"/>
  <c r="BC161" i="60"/>
  <c r="M243" i="60"/>
  <c r="M175" i="60"/>
  <c r="L143" i="61"/>
  <c r="N141" i="61"/>
  <c r="N143" i="61"/>
  <c r="BP33" i="61"/>
  <c r="AH62" i="61"/>
  <c r="BN87" i="61"/>
  <c r="AO162" i="60"/>
  <c r="C19" i="65"/>
  <c r="BD69" i="61"/>
  <c r="BD129" i="60"/>
  <c r="BC62" i="60"/>
  <c r="BJ96" i="61"/>
  <c r="BG96" i="61"/>
  <c r="L163" i="60"/>
  <c r="L152" i="60"/>
  <c r="P250" i="60"/>
  <c r="BK34" i="60"/>
  <c r="K140" i="61"/>
  <c r="K141" i="61" s="1"/>
  <c r="K68" i="61"/>
  <c r="K64" i="61"/>
  <c r="I19" i="65"/>
  <c r="BJ69" i="61"/>
  <c r="BJ129" i="60"/>
  <c r="BJ130" i="60" s="1"/>
  <c r="BK151" i="61"/>
  <c r="BK152" i="61" s="1"/>
  <c r="BK153" i="61"/>
  <c r="T140" i="61"/>
  <c r="T141" i="61" s="1"/>
  <c r="T68" i="61"/>
  <c r="T64" i="61"/>
  <c r="J152" i="60"/>
  <c r="J163" i="60"/>
  <c r="L82" i="62"/>
  <c r="L69" i="62"/>
  <c r="BN86" i="61"/>
  <c r="AD162" i="60"/>
  <c r="AP161" i="60"/>
  <c r="AP162" i="60" s="1"/>
  <c r="S152" i="60"/>
  <c r="S163" i="60"/>
  <c r="BH152" i="60"/>
  <c r="T258" i="60"/>
  <c r="T187" i="60"/>
  <c r="T262" i="60" s="1"/>
  <c r="T191" i="60"/>
  <c r="I60" i="60"/>
  <c r="V261" i="60"/>
  <c r="W186" i="60"/>
  <c r="BL21" i="60"/>
  <c r="X163" i="60"/>
  <c r="X152" i="60"/>
  <c r="BF64" i="60"/>
  <c r="BF66" i="60" s="1"/>
  <c r="BN92" i="61"/>
  <c r="AJ161" i="60"/>
  <c r="AJ162" i="60" s="1"/>
  <c r="AI152" i="60"/>
  <c r="AI163" i="60"/>
  <c r="Y140" i="61"/>
  <c r="Y141" i="61" s="1"/>
  <c r="Y68" i="61"/>
  <c r="Y64" i="61"/>
  <c r="AG140" i="61"/>
  <c r="AG141" i="61" s="1"/>
  <c r="AG64" i="61"/>
  <c r="AG68" i="61"/>
  <c r="AS130" i="60"/>
  <c r="AS163" i="60" s="1"/>
  <c r="AQ143" i="61"/>
  <c r="AI140" i="61"/>
  <c r="AI141" i="61" s="1"/>
  <c r="AI68" i="61"/>
  <c r="AI64" i="61"/>
  <c r="Q162" i="60"/>
  <c r="P143" i="61"/>
  <c r="P141" i="61"/>
  <c r="N243" i="60"/>
  <c r="N191" i="60"/>
  <c r="N175" i="60"/>
  <c r="L243" i="60"/>
  <c r="L175" i="60"/>
  <c r="L191" i="60"/>
  <c r="BF21" i="61"/>
  <c r="BF33" i="61" s="1"/>
  <c r="BF62" i="61" s="1"/>
  <c r="BD21" i="61"/>
  <c r="BD33" i="61" s="1"/>
  <c r="BI21" i="61"/>
  <c r="BI33" i="61" s="1"/>
  <c r="BI62" i="61" s="1"/>
  <c r="AA130" i="60"/>
  <c r="AA162" i="60" s="1"/>
  <c r="M246" i="60"/>
  <c r="M183" i="60"/>
  <c r="AU162" i="60"/>
  <c r="BN84" i="61"/>
  <c r="AB140" i="61"/>
  <c r="AB141" i="61" s="1"/>
  <c r="AB68" i="61"/>
  <c r="AB64" i="61"/>
  <c r="AX161" i="60"/>
  <c r="AX162" i="60" s="1"/>
  <c r="I8" i="57"/>
  <c r="C26" i="57"/>
  <c r="V260" i="60"/>
  <c r="W185" i="60"/>
  <c r="BN28" i="61"/>
  <c r="BK152" i="60"/>
  <c r="R141" i="61"/>
  <c r="R143" i="61"/>
  <c r="I154" i="60"/>
  <c r="I161" i="60" s="1"/>
  <c r="I151" i="60"/>
  <c r="I23" i="57"/>
  <c r="K23" i="57" s="1"/>
  <c r="AV162" i="60"/>
  <c r="P163" i="60"/>
  <c r="P152" i="60"/>
  <c r="AW130" i="60"/>
  <c r="AW163" i="60" s="1"/>
  <c r="BG152" i="60"/>
  <c r="V268" i="60"/>
  <c r="AK140" i="61"/>
  <c r="AK141" i="61" s="1"/>
  <c r="AK64" i="61"/>
  <c r="AK68" i="61"/>
  <c r="AU130" i="60"/>
  <c r="AU163" i="60" s="1"/>
  <c r="R191" i="60"/>
  <c r="I62" i="60"/>
  <c r="BL85" i="60"/>
  <c r="BL97" i="60" s="1"/>
  <c r="N161" i="60"/>
  <c r="N162" i="60" s="1"/>
  <c r="BC23" i="60" l="1"/>
  <c r="BL23" i="60" s="1"/>
  <c r="BM23" i="60" s="1"/>
  <c r="BL22" i="60"/>
  <c r="BM22" i="60" s="1"/>
  <c r="C37" i="80"/>
  <c r="G37" i="80" s="1"/>
  <c r="K37" i="80" s="1"/>
  <c r="AP8" i="105"/>
  <c r="BL69" i="61"/>
  <c r="K19" i="65"/>
  <c r="BJ162" i="60"/>
  <c r="BJ163" i="60"/>
  <c r="BH163" i="60"/>
  <c r="BH162" i="60"/>
  <c r="BI163" i="60"/>
  <c r="BI162" i="60"/>
  <c r="K8" i="57"/>
  <c r="I26" i="57"/>
  <c r="K26" i="57" s="1"/>
  <c r="M258" i="60"/>
  <c r="M187" i="60"/>
  <c r="M262" i="60" s="1"/>
  <c r="BD62" i="61"/>
  <c r="I130" i="60"/>
  <c r="BM21" i="60"/>
  <c r="BL33" i="60"/>
  <c r="BM33" i="60" s="1"/>
  <c r="BC129" i="60"/>
  <c r="BL129" i="60" s="1"/>
  <c r="M191" i="60"/>
  <c r="BL150" i="61"/>
  <c r="I258" i="60"/>
  <c r="I187" i="60"/>
  <c r="I262" i="60" s="1"/>
  <c r="V183" i="60"/>
  <c r="I33" i="61"/>
  <c r="BS33" i="61" s="1"/>
  <c r="I22" i="61"/>
  <c r="I23" i="61" s="1"/>
  <c r="K250" i="60"/>
  <c r="J143" i="61"/>
  <c r="N187" i="60"/>
  <c r="N262" i="60" s="1"/>
  <c r="N258" i="60"/>
  <c r="BL86" i="60"/>
  <c r="BL97" i="61" s="1"/>
  <c r="BC87" i="60"/>
  <c r="BD108" i="61"/>
  <c r="BD137" i="61" s="1"/>
  <c r="BD97" i="61"/>
  <c r="I191" i="60"/>
  <c r="BL154" i="60"/>
  <c r="BL161" i="60" s="1"/>
  <c r="R266" i="60"/>
  <c r="R273" i="60" s="1"/>
  <c r="R198" i="60"/>
  <c r="R199" i="60" s="1"/>
  <c r="BL62" i="60"/>
  <c r="E18" i="65"/>
  <c r="E20" i="65" s="1"/>
  <c r="E22" i="65" s="1"/>
  <c r="BF140" i="61"/>
  <c r="BF64" i="61"/>
  <c r="BF68" i="61"/>
  <c r="N250" i="60"/>
  <c r="T266" i="60"/>
  <c r="T273" i="60" s="1"/>
  <c r="T198" i="60"/>
  <c r="T199" i="60" s="1"/>
  <c r="BG108" i="61"/>
  <c r="BG137" i="61" s="1"/>
  <c r="BG97" i="61"/>
  <c r="AH140" i="61"/>
  <c r="AH141" i="61" s="1"/>
  <c r="AH64" i="61"/>
  <c r="BP62" i="61"/>
  <c r="AH68" i="61"/>
  <c r="AS162" i="60"/>
  <c r="BE163" i="60"/>
  <c r="BE162" i="60"/>
  <c r="BL22" i="61"/>
  <c r="BM22" i="61" s="1"/>
  <c r="BC23" i="61"/>
  <c r="BL23" i="61" s="1"/>
  <c r="BM23" i="61" s="1"/>
  <c r="AW162" i="60"/>
  <c r="AF143" i="61"/>
  <c r="AF141" i="61"/>
  <c r="AA163" i="60"/>
  <c r="BH108" i="61"/>
  <c r="BH137" i="61" s="1"/>
  <c r="BH97" i="61"/>
  <c r="K266" i="60"/>
  <c r="K273" i="60" s="1"/>
  <c r="K198" i="60"/>
  <c r="K199" i="60" s="1"/>
  <c r="BM141" i="60"/>
  <c r="BL142" i="60"/>
  <c r="I87" i="60"/>
  <c r="O258" i="60"/>
  <c r="O187" i="60"/>
  <c r="O262" i="60" s="1"/>
  <c r="O250" i="60"/>
  <c r="G18" i="65"/>
  <c r="G20" i="65" s="1"/>
  <c r="G22" i="65" s="1"/>
  <c r="BH140" i="61"/>
  <c r="BH68" i="61"/>
  <c r="BH64" i="61"/>
  <c r="BE97" i="61"/>
  <c r="BE108" i="61"/>
  <c r="BE137" i="61" s="1"/>
  <c r="N266" i="60"/>
  <c r="N273" i="60" s="1"/>
  <c r="N198" i="60"/>
  <c r="N199" i="60" s="1"/>
  <c r="D18" i="65"/>
  <c r="D20" i="65" s="1"/>
  <c r="D22" i="65" s="1"/>
  <c r="BE140" i="61"/>
  <c r="BE64" i="61"/>
  <c r="BE68" i="61"/>
  <c r="BN21" i="61"/>
  <c r="BL126" i="60"/>
  <c r="I127" i="60"/>
  <c r="I138" i="61" s="1"/>
  <c r="H127" i="60"/>
  <c r="BG162" i="60"/>
  <c r="BG163" i="60"/>
  <c r="BC127" i="60"/>
  <c r="BC138" i="61" s="1"/>
  <c r="I108" i="61"/>
  <c r="I137" i="61" s="1"/>
  <c r="I97" i="61"/>
  <c r="I98" i="61"/>
  <c r="U266" i="60"/>
  <c r="U273" i="60" s="1"/>
  <c r="U198" i="60"/>
  <c r="U199" i="60" s="1"/>
  <c r="J250" i="60"/>
  <c r="BI108" i="61"/>
  <c r="BI137" i="61" s="1"/>
  <c r="BI97" i="61"/>
  <c r="BC137" i="61"/>
  <c r="O266" i="60"/>
  <c r="O273" i="60" s="1"/>
  <c r="O198" i="60"/>
  <c r="O199" i="60" s="1"/>
  <c r="I18" i="65"/>
  <c r="I20" i="65" s="1"/>
  <c r="I22" i="65" s="1"/>
  <c r="BJ140" i="61"/>
  <c r="BJ64" i="61"/>
  <c r="BJ68" i="61"/>
  <c r="K258" i="60"/>
  <c r="K187" i="60"/>
  <c r="K262" i="60" s="1"/>
  <c r="V243" i="60"/>
  <c r="V175" i="60"/>
  <c r="W168" i="60"/>
  <c r="J20" i="65"/>
  <c r="J22" i="65" s="1"/>
  <c r="L266" i="60"/>
  <c r="L273" i="60" s="1"/>
  <c r="L198" i="60"/>
  <c r="L199" i="60" s="1"/>
  <c r="BJ108" i="61"/>
  <c r="BJ137" i="61" s="1"/>
  <c r="BJ97" i="61"/>
  <c r="H18" i="65"/>
  <c r="H20" i="65" s="1"/>
  <c r="H22" i="65" s="1"/>
  <c r="BI140" i="61"/>
  <c r="BI64" i="61"/>
  <c r="BI68" i="61"/>
  <c r="L250" i="60"/>
  <c r="L85" i="62"/>
  <c r="BC63" i="60"/>
  <c r="M250" i="60"/>
  <c r="L258" i="60"/>
  <c r="L187" i="60"/>
  <c r="L262" i="60" s="1"/>
  <c r="BF162" i="60"/>
  <c r="BF163" i="60"/>
  <c r="W192" i="60"/>
  <c r="J140" i="61"/>
  <c r="J141" i="61" s="1"/>
  <c r="J64" i="61"/>
  <c r="I64" i="61" s="1"/>
  <c r="J68" i="61"/>
  <c r="I62" i="61"/>
  <c r="BS62" i="61" s="1"/>
  <c r="BM21" i="61"/>
  <c r="BL33" i="61"/>
  <c r="BM33" i="61" s="1"/>
  <c r="F18" i="65"/>
  <c r="F20" i="65" s="1"/>
  <c r="F22" i="65" s="1"/>
  <c r="BG68" i="61"/>
  <c r="BG140" i="61"/>
  <c r="BG64" i="61"/>
  <c r="BD130" i="60"/>
  <c r="V246" i="60"/>
  <c r="W171" i="60"/>
  <c r="J187" i="60"/>
  <c r="J262" i="60" s="1"/>
  <c r="J258" i="60"/>
  <c r="J191" i="60"/>
  <c r="BL96" i="61"/>
  <c r="BM96" i="61" s="1"/>
  <c r="BM103" i="61"/>
  <c r="BL105" i="61"/>
  <c r="BM105" i="61" s="1"/>
  <c r="BC152" i="60"/>
  <c r="BK162" i="60"/>
  <c r="BF97" i="61"/>
  <c r="BF108" i="61"/>
  <c r="BF137" i="61" s="1"/>
  <c r="I250" i="60"/>
  <c r="BK70" i="61"/>
  <c r="BK71" i="61" s="1"/>
  <c r="BK72" i="61"/>
  <c r="BL152" i="60"/>
  <c r="BF141" i="61" l="1"/>
  <c r="BF143" i="61"/>
  <c r="BF149" i="61"/>
  <c r="BG70" i="61"/>
  <c r="BG71" i="61" s="1"/>
  <c r="BG72" i="61"/>
  <c r="BI149" i="61"/>
  <c r="BI143" i="61"/>
  <c r="BI141" i="61"/>
  <c r="BH149" i="61"/>
  <c r="BH143" i="61"/>
  <c r="BH141" i="61"/>
  <c r="BD149" i="61"/>
  <c r="BD143" i="61"/>
  <c r="C18" i="65"/>
  <c r="BD140" i="61"/>
  <c r="BD141" i="61" s="1"/>
  <c r="BD68" i="61"/>
  <c r="BD64" i="61"/>
  <c r="BC64" i="61" s="1"/>
  <c r="BC62" i="61"/>
  <c r="BG74" i="61" s="1"/>
  <c r="BG76" i="61" s="1"/>
  <c r="J266" i="60"/>
  <c r="J273" i="60" s="1"/>
  <c r="J198" i="60"/>
  <c r="J199" i="60" s="1"/>
  <c r="BC130" i="60"/>
  <c r="BD163" i="60"/>
  <c r="BD162" i="60"/>
  <c r="I140" i="61"/>
  <c r="I141" i="61" s="1"/>
  <c r="I68" i="61"/>
  <c r="BL62" i="61"/>
  <c r="BJ141" i="61"/>
  <c r="BJ149" i="61"/>
  <c r="BJ143" i="61"/>
  <c r="BJ70" i="61"/>
  <c r="BJ71" i="61" s="1"/>
  <c r="BJ74" i="61"/>
  <c r="BJ76" i="61" s="1"/>
  <c r="BJ72" i="61"/>
  <c r="BL108" i="61"/>
  <c r="BM108" i="61" s="1"/>
  <c r="BE149" i="61"/>
  <c r="BE143" i="61"/>
  <c r="BE141" i="61"/>
  <c r="BL87" i="60"/>
  <c r="BL98" i="61" s="1"/>
  <c r="I143" i="61"/>
  <c r="BE74" i="61"/>
  <c r="BE76" i="61" s="1"/>
  <c r="BE72" i="61"/>
  <c r="BE70" i="61"/>
  <c r="BE71" i="61" s="1"/>
  <c r="BG149" i="61"/>
  <c r="BG143" i="61"/>
  <c r="BG141" i="61"/>
  <c r="BF70" i="61"/>
  <c r="BF71" i="61" s="1"/>
  <c r="BF74" i="61"/>
  <c r="BF76" i="61" s="1"/>
  <c r="BF72" i="61"/>
  <c r="BM62" i="60"/>
  <c r="H63" i="60"/>
  <c r="I266" i="60"/>
  <c r="I198" i="60"/>
  <c r="I199" i="60" s="1"/>
  <c r="V191" i="60"/>
  <c r="H138" i="61"/>
  <c r="BL127" i="60"/>
  <c r="BL138" i="61" s="1"/>
  <c r="BL64" i="61"/>
  <c r="BM64" i="61" s="1"/>
  <c r="BI74" i="61"/>
  <c r="BI76" i="61" s="1"/>
  <c r="BI72" i="61"/>
  <c r="BI70" i="61"/>
  <c r="BI71" i="61" s="1"/>
  <c r="V176" i="60"/>
  <c r="W175" i="60"/>
  <c r="V250" i="60"/>
  <c r="BL137" i="61"/>
  <c r="BM137" i="61" s="1"/>
  <c r="BH70" i="61"/>
  <c r="BH71" i="61" s="1"/>
  <c r="BH74" i="61"/>
  <c r="BH76" i="61" s="1"/>
  <c r="BH72" i="61"/>
  <c r="I63" i="60"/>
  <c r="V258" i="60"/>
  <c r="W183" i="60"/>
  <c r="V187" i="60"/>
  <c r="M266" i="60"/>
  <c r="M273" i="60" s="1"/>
  <c r="M198" i="60"/>
  <c r="M199" i="60" s="1"/>
  <c r="BL130" i="60"/>
  <c r="I163" i="60"/>
  <c r="BL63" i="60" l="1"/>
  <c r="V262" i="60"/>
  <c r="BC163" i="60"/>
  <c r="BC162" i="60"/>
  <c r="V198" i="60"/>
  <c r="W191" i="60"/>
  <c r="I273" i="60"/>
  <c r="V266" i="60"/>
  <c r="V273" i="60" s="1"/>
  <c r="W273" i="60" s="1"/>
  <c r="BE153" i="61"/>
  <c r="BE151" i="61"/>
  <c r="BE152" i="61" s="1"/>
  <c r="BD74" i="61"/>
  <c r="BD76" i="61" s="1"/>
  <c r="BD72" i="61"/>
  <c r="BD70" i="61"/>
  <c r="BL68" i="61"/>
  <c r="BM62" i="61"/>
  <c r="H63" i="61"/>
  <c r="BC143" i="61"/>
  <c r="BH153" i="61"/>
  <c r="BH151" i="61"/>
  <c r="BH152" i="61" s="1"/>
  <c r="BI155" i="61"/>
  <c r="BI157" i="61" s="1"/>
  <c r="BI153" i="61"/>
  <c r="BI151" i="61"/>
  <c r="BI152" i="61" s="1"/>
  <c r="BG151" i="61"/>
  <c r="BG152" i="61" s="1"/>
  <c r="BG153" i="61"/>
  <c r="BG155" i="61"/>
  <c r="BG157" i="61" s="1"/>
  <c r="BL141" i="61"/>
  <c r="BM141" i="61" s="1"/>
  <c r="BL163" i="60"/>
  <c r="BL162" i="60"/>
  <c r="BJ151" i="61"/>
  <c r="BJ152" i="61" s="1"/>
  <c r="BJ155" i="61"/>
  <c r="BJ157" i="61" s="1"/>
  <c r="BJ153" i="61"/>
  <c r="I63" i="61"/>
  <c r="BC140" i="61"/>
  <c r="BC63" i="61"/>
  <c r="BC68" i="61"/>
  <c r="C20" i="65"/>
  <c r="K18" i="65"/>
  <c r="BD155" i="61"/>
  <c r="BD157" i="61" s="1"/>
  <c r="BD153" i="61"/>
  <c r="BD151" i="61"/>
  <c r="BF151" i="61"/>
  <c r="BF152" i="61" s="1"/>
  <c r="BF155" i="61"/>
  <c r="BF157" i="61" s="1"/>
  <c r="BF153" i="61"/>
  <c r="BL140" i="61" l="1"/>
  <c r="BM140" i="61" s="1"/>
  <c r="BC141" i="61"/>
  <c r="BK155" i="61"/>
  <c r="BK157" i="61" s="1"/>
  <c r="BD152" i="61"/>
  <c r="BL151" i="61"/>
  <c r="C22" i="65"/>
  <c r="K20" i="65"/>
  <c r="BE155" i="61"/>
  <c r="BE157" i="61" s="1"/>
  <c r="V199" i="60"/>
  <c r="W198" i="60"/>
  <c r="BD71" i="61"/>
  <c r="BL70" i="61"/>
  <c r="BH155" i="61"/>
  <c r="BH157" i="61" s="1"/>
  <c r="BL63" i="61"/>
  <c r="G71" i="37" l="1"/>
  <c r="G70" i="37"/>
  <c r="P67" i="37"/>
  <c r="F67" i="37"/>
  <c r="M67" i="37"/>
  <c r="C67" i="37"/>
  <c r="D43" i="27" l="1"/>
  <c r="D44" i="27"/>
  <c r="D45" i="27"/>
  <c r="D46" i="27"/>
  <c r="D47" i="27"/>
  <c r="D48" i="27"/>
  <c r="D49" i="27"/>
  <c r="D50" i="27"/>
  <c r="D51" i="27"/>
  <c r="D52" i="27"/>
  <c r="D53" i="27"/>
  <c r="D54" i="27"/>
  <c r="D55" i="27"/>
  <c r="D56" i="27"/>
  <c r="D57" i="27"/>
  <c r="D58" i="27"/>
  <c r="D59" i="27"/>
  <c r="C60" i="27"/>
  <c r="D60" i="27"/>
  <c r="E53" i="46" l="1"/>
  <c r="R28" i="37" l="1"/>
  <c r="S27" i="37"/>
  <c r="F3" i="46"/>
  <c r="C122" i="27" l="1"/>
  <c r="E65" i="30"/>
  <c r="B65" i="30"/>
  <c r="E65" i="45"/>
  <c r="C62" i="27"/>
  <c r="E20" i="45" l="1"/>
  <c r="E19" i="45"/>
  <c r="E18" i="45"/>
  <c r="E17" i="45"/>
  <c r="E16" i="45"/>
  <c r="E15" i="45"/>
  <c r="E14" i="45"/>
  <c r="E13" i="45"/>
  <c r="E12" i="45"/>
  <c r="E11" i="45"/>
  <c r="E10" i="45"/>
  <c r="E9" i="45"/>
  <c r="E8" i="45"/>
  <c r="E7" i="45"/>
  <c r="E6" i="45"/>
  <c r="E5" i="45"/>
  <c r="E4" i="45"/>
  <c r="E3" i="45"/>
  <c r="E52" i="45"/>
  <c r="E53" i="45"/>
  <c r="E54" i="45"/>
  <c r="E55" i="45"/>
  <c r="E56" i="45"/>
  <c r="E57" i="45"/>
  <c r="E58" i="45"/>
  <c r="E59" i="45"/>
  <c r="E60" i="45"/>
  <c r="E61" i="45"/>
  <c r="E62" i="45"/>
  <c r="E63" i="45"/>
  <c r="E64" i="45"/>
  <c r="E66" i="45"/>
  <c r="E51" i="45"/>
  <c r="E49" i="45"/>
  <c r="E24" i="45"/>
  <c r="E25" i="45"/>
  <c r="E26" i="45"/>
  <c r="E27" i="45"/>
  <c r="E28" i="45"/>
  <c r="E29" i="45"/>
  <c r="E30" i="45"/>
  <c r="E31" i="45"/>
  <c r="E32" i="45"/>
  <c r="E33" i="45"/>
  <c r="E34" i="45"/>
  <c r="E35" i="45"/>
  <c r="E36" i="45"/>
  <c r="E37" i="45"/>
  <c r="E41" i="45"/>
  <c r="E42" i="45"/>
  <c r="E43" i="45"/>
  <c r="E44" i="45"/>
  <c r="E45" i="45"/>
  <c r="E46" i="45"/>
  <c r="E47" i="45"/>
  <c r="E48" i="45"/>
  <c r="E23" i="45"/>
  <c r="D36" i="27" l="1"/>
  <c r="D37" i="27"/>
  <c r="D38" i="27"/>
  <c r="D39" i="27"/>
  <c r="D40" i="27"/>
  <c r="D41" i="27"/>
  <c r="D42" i="27"/>
  <c r="X131" i="46"/>
  <c r="W131" i="46"/>
  <c r="X130" i="46"/>
  <c r="W130" i="46"/>
  <c r="X129" i="46"/>
  <c r="W129" i="46"/>
  <c r="X128" i="46"/>
  <c r="W128" i="46"/>
  <c r="X127" i="46"/>
  <c r="W127" i="46"/>
  <c r="X126" i="46"/>
  <c r="W126" i="46"/>
  <c r="X125" i="46"/>
  <c r="W125" i="46"/>
  <c r="X124" i="46"/>
  <c r="W124" i="46"/>
  <c r="X123" i="46"/>
  <c r="W123" i="46"/>
  <c r="X122" i="46"/>
  <c r="W122" i="46"/>
  <c r="X121" i="46"/>
  <c r="W121" i="46"/>
  <c r="X120" i="46"/>
  <c r="W120" i="46"/>
  <c r="X119" i="46"/>
  <c r="W119" i="46"/>
  <c r="X118" i="46"/>
  <c r="W118" i="46"/>
  <c r="X117" i="46"/>
  <c r="W117" i="46"/>
  <c r="F53" i="46"/>
  <c r="X68" i="46"/>
  <c r="W68" i="46"/>
  <c r="O68" i="46"/>
  <c r="N68" i="46"/>
  <c r="X46" i="46"/>
  <c r="W46" i="46"/>
  <c r="O46" i="46"/>
  <c r="N46" i="46"/>
  <c r="AK53" i="26" l="1"/>
  <c r="AK52" i="26"/>
  <c r="AK51" i="26"/>
  <c r="AK50" i="26"/>
  <c r="AK48" i="26"/>
  <c r="AK47" i="26"/>
  <c r="AK45" i="26"/>
  <c r="AK38" i="26"/>
  <c r="AK37" i="26"/>
  <c r="AK36" i="26"/>
  <c r="AK34" i="26"/>
  <c r="AK33" i="26"/>
  <c r="AK32" i="26"/>
  <c r="AK28" i="26"/>
  <c r="AJ53" i="26"/>
  <c r="AB48" i="26"/>
  <c r="AC49" i="46" l="1"/>
  <c r="AB49" i="46"/>
  <c r="T49" i="46"/>
  <c r="S49" i="46"/>
  <c r="K49" i="46"/>
  <c r="J49" i="46"/>
  <c r="AC27" i="46"/>
  <c r="AB27" i="46"/>
  <c r="T27" i="46"/>
  <c r="S27" i="46"/>
  <c r="K27" i="46"/>
  <c r="J27" i="46"/>
  <c r="B66" i="43" l="1"/>
  <c r="I17" i="48" l="1"/>
  <c r="F65" i="48" l="1"/>
  <c r="G65" i="48"/>
  <c r="G80" i="48" s="1"/>
  <c r="H65" i="48"/>
  <c r="I65" i="48"/>
  <c r="J65" i="48"/>
  <c r="K65" i="48"/>
  <c r="K80" i="48" s="1"/>
  <c r="L65" i="48"/>
  <c r="L80" i="48" s="1"/>
  <c r="M65" i="48"/>
  <c r="M80" i="48" s="1"/>
  <c r="N65" i="48"/>
  <c r="O65" i="48"/>
  <c r="O80" i="48" s="1"/>
  <c r="P65" i="48"/>
  <c r="P80" i="48" s="1"/>
  <c r="E65" i="48"/>
  <c r="E80" i="48" s="1"/>
  <c r="F30" i="48"/>
  <c r="G30" i="48"/>
  <c r="G27" i="48" s="1"/>
  <c r="G42" i="48" s="1"/>
  <c r="H30" i="48"/>
  <c r="I30" i="48"/>
  <c r="J30" i="48"/>
  <c r="K30" i="48"/>
  <c r="K27" i="48" s="1"/>
  <c r="K42" i="48" s="1"/>
  <c r="L30" i="48"/>
  <c r="M30" i="48"/>
  <c r="N30" i="48"/>
  <c r="O30" i="48"/>
  <c r="O27" i="48" s="1"/>
  <c r="O42" i="48" s="1"/>
  <c r="P30" i="48"/>
  <c r="F31" i="48"/>
  <c r="C31" i="48" s="1"/>
  <c r="G31" i="48"/>
  <c r="H31" i="48"/>
  <c r="I31" i="48"/>
  <c r="J31" i="48"/>
  <c r="K31" i="48"/>
  <c r="L31" i="48"/>
  <c r="M31" i="48"/>
  <c r="N31" i="48"/>
  <c r="O31" i="48"/>
  <c r="P31" i="48"/>
  <c r="E31" i="48"/>
  <c r="E30" i="48"/>
  <c r="C3" i="48"/>
  <c r="E85" i="48"/>
  <c r="C85" i="48" s="1"/>
  <c r="F85" i="48"/>
  <c r="G85" i="48"/>
  <c r="H85" i="48"/>
  <c r="I85" i="48"/>
  <c r="J85" i="48"/>
  <c r="K85" i="48"/>
  <c r="L85" i="48"/>
  <c r="M85" i="48"/>
  <c r="N85" i="48"/>
  <c r="O85" i="48"/>
  <c r="P85" i="48"/>
  <c r="E86" i="48"/>
  <c r="F86" i="48"/>
  <c r="G86" i="48"/>
  <c r="H86" i="48"/>
  <c r="I86" i="48"/>
  <c r="J86" i="48"/>
  <c r="K86" i="48"/>
  <c r="L86" i="48"/>
  <c r="M86" i="48"/>
  <c r="N86" i="48"/>
  <c r="O86" i="48"/>
  <c r="P86" i="48"/>
  <c r="E87" i="48"/>
  <c r="F87" i="48"/>
  <c r="G87" i="48"/>
  <c r="H87" i="48"/>
  <c r="I87" i="48"/>
  <c r="J87" i="48"/>
  <c r="K87" i="48"/>
  <c r="L87" i="48"/>
  <c r="M87" i="48"/>
  <c r="N87" i="48"/>
  <c r="O87" i="48"/>
  <c r="P87" i="48"/>
  <c r="E88" i="48"/>
  <c r="F88" i="48"/>
  <c r="G88" i="48"/>
  <c r="H88" i="48"/>
  <c r="I88" i="48"/>
  <c r="J88" i="48"/>
  <c r="K88" i="48"/>
  <c r="L88" i="48"/>
  <c r="M88" i="48"/>
  <c r="N88" i="48"/>
  <c r="O88" i="48"/>
  <c r="P88" i="48"/>
  <c r="E89" i="48"/>
  <c r="F89" i="48"/>
  <c r="G89" i="48"/>
  <c r="H89" i="48"/>
  <c r="I89" i="48"/>
  <c r="J89" i="48"/>
  <c r="K89" i="48"/>
  <c r="L89" i="48"/>
  <c r="M89" i="48"/>
  <c r="N89" i="48"/>
  <c r="O89" i="48"/>
  <c r="P89" i="48"/>
  <c r="E90" i="48"/>
  <c r="F90" i="48"/>
  <c r="G90" i="48"/>
  <c r="H90" i="48"/>
  <c r="I90" i="48"/>
  <c r="J90" i="48"/>
  <c r="K90" i="48"/>
  <c r="L90" i="48"/>
  <c r="M90" i="48"/>
  <c r="N90" i="48"/>
  <c r="O90" i="48"/>
  <c r="P90" i="48"/>
  <c r="E91" i="48"/>
  <c r="F91" i="48"/>
  <c r="G91" i="48"/>
  <c r="H91" i="48"/>
  <c r="I91" i="48"/>
  <c r="J91" i="48"/>
  <c r="K91" i="48"/>
  <c r="L91" i="48"/>
  <c r="M91" i="48"/>
  <c r="N91" i="48"/>
  <c r="O91" i="48"/>
  <c r="P91" i="48"/>
  <c r="K92" i="48"/>
  <c r="F54" i="48"/>
  <c r="G54" i="48"/>
  <c r="H54" i="48"/>
  <c r="I54" i="48"/>
  <c r="J54" i="48"/>
  <c r="K54" i="48"/>
  <c r="L54" i="48"/>
  <c r="M54" i="48"/>
  <c r="N54" i="48"/>
  <c r="O54" i="48"/>
  <c r="P54" i="48"/>
  <c r="F55" i="48"/>
  <c r="G55" i="48"/>
  <c r="H55" i="48"/>
  <c r="I55" i="48"/>
  <c r="J55" i="48"/>
  <c r="K55" i="48"/>
  <c r="L55" i="48"/>
  <c r="M55" i="48"/>
  <c r="N55" i="48"/>
  <c r="O55" i="48"/>
  <c r="P55" i="48"/>
  <c r="F56" i="48"/>
  <c r="G56" i="48"/>
  <c r="H56" i="48"/>
  <c r="I56" i="48"/>
  <c r="J56" i="48"/>
  <c r="K56" i="48"/>
  <c r="L56" i="48"/>
  <c r="M56" i="48"/>
  <c r="N56" i="48"/>
  <c r="O56" i="48"/>
  <c r="P56" i="48"/>
  <c r="F57" i="48"/>
  <c r="G57" i="48"/>
  <c r="H57" i="48"/>
  <c r="I57" i="48"/>
  <c r="J57" i="48"/>
  <c r="K57" i="48"/>
  <c r="L57" i="48"/>
  <c r="M57" i="48"/>
  <c r="N57" i="48"/>
  <c r="O57" i="48"/>
  <c r="P57" i="48"/>
  <c r="F58" i="48"/>
  <c r="G58" i="48"/>
  <c r="H58" i="48"/>
  <c r="I58" i="48"/>
  <c r="J58" i="48"/>
  <c r="K58" i="48"/>
  <c r="L58" i="48"/>
  <c r="M58" i="48"/>
  <c r="N58" i="48"/>
  <c r="O58" i="48"/>
  <c r="P58" i="48"/>
  <c r="F59" i="48"/>
  <c r="G59" i="48"/>
  <c r="H59" i="48"/>
  <c r="I59" i="48"/>
  <c r="J59" i="48"/>
  <c r="K59" i="48"/>
  <c r="L59" i="48"/>
  <c r="M59" i="48"/>
  <c r="N59" i="48"/>
  <c r="O59" i="48"/>
  <c r="P59" i="48"/>
  <c r="F60" i="48"/>
  <c r="G60" i="48"/>
  <c r="H60" i="48"/>
  <c r="I60" i="48"/>
  <c r="J60" i="48"/>
  <c r="K60" i="48"/>
  <c r="L60" i="48"/>
  <c r="M60" i="48"/>
  <c r="N60" i="48"/>
  <c r="O60" i="48"/>
  <c r="P60" i="48"/>
  <c r="E55" i="48"/>
  <c r="E56" i="48"/>
  <c r="Q56" i="48" s="1"/>
  <c r="P65" i="37" s="1"/>
  <c r="E57" i="48"/>
  <c r="E58" i="48"/>
  <c r="E59" i="48"/>
  <c r="E60" i="48"/>
  <c r="E54" i="48"/>
  <c r="F16" i="48"/>
  <c r="F92" i="48" s="1"/>
  <c r="G16" i="48"/>
  <c r="H16" i="48"/>
  <c r="H92" i="48" s="1"/>
  <c r="I16" i="48"/>
  <c r="J16" i="48"/>
  <c r="K16" i="48"/>
  <c r="L16" i="48"/>
  <c r="L92" i="48" s="1"/>
  <c r="M16" i="48"/>
  <c r="N16" i="48"/>
  <c r="N92" i="48" s="1"/>
  <c r="O16" i="48"/>
  <c r="O92" i="48" s="1"/>
  <c r="P16" i="48"/>
  <c r="P92" i="48" s="1"/>
  <c r="F17" i="48"/>
  <c r="G17" i="48"/>
  <c r="H17" i="48"/>
  <c r="H93" i="48" s="1"/>
  <c r="I93" i="48"/>
  <c r="J17" i="48"/>
  <c r="J93" i="48" s="1"/>
  <c r="K17" i="48"/>
  <c r="K93" i="48" s="1"/>
  <c r="L17" i="48"/>
  <c r="L93" i="48" s="1"/>
  <c r="M17" i="48"/>
  <c r="M93" i="48" s="1"/>
  <c r="N17" i="48"/>
  <c r="N93" i="48" s="1"/>
  <c r="O17" i="48"/>
  <c r="P17" i="48"/>
  <c r="P93" i="48" s="1"/>
  <c r="F18" i="48"/>
  <c r="F94" i="48" s="1"/>
  <c r="G18" i="48"/>
  <c r="H18" i="48"/>
  <c r="H94" i="48" s="1"/>
  <c r="I18" i="48"/>
  <c r="I94" i="48" s="1"/>
  <c r="J18" i="48"/>
  <c r="J94" i="48" s="1"/>
  <c r="K18" i="48"/>
  <c r="K94" i="48" s="1"/>
  <c r="L18" i="48"/>
  <c r="M18" i="48"/>
  <c r="M94" i="48" s="1"/>
  <c r="N18" i="48"/>
  <c r="N94" i="48" s="1"/>
  <c r="O18" i="48"/>
  <c r="O94" i="48" s="1"/>
  <c r="P18" i="48"/>
  <c r="P94" i="48" s="1"/>
  <c r="F19" i="48"/>
  <c r="F95" i="48" s="1"/>
  <c r="G19" i="48"/>
  <c r="G95" i="48" s="1"/>
  <c r="H19" i="48"/>
  <c r="H95" i="48" s="1"/>
  <c r="I19" i="48"/>
  <c r="J19" i="48"/>
  <c r="J95" i="48" s="1"/>
  <c r="K19" i="48"/>
  <c r="K95" i="48" s="1"/>
  <c r="L19" i="48"/>
  <c r="L95" i="48" s="1"/>
  <c r="M19" i="48"/>
  <c r="N19" i="48"/>
  <c r="N95" i="48" s="1"/>
  <c r="O19" i="48"/>
  <c r="O95" i="48" s="1"/>
  <c r="P19" i="48"/>
  <c r="F20" i="48"/>
  <c r="G20" i="48"/>
  <c r="G96" i="48" s="1"/>
  <c r="H20" i="48"/>
  <c r="H96" i="48" s="1"/>
  <c r="I20" i="48"/>
  <c r="I96" i="48" s="1"/>
  <c r="J20" i="48"/>
  <c r="J96" i="48" s="1"/>
  <c r="K20" i="48"/>
  <c r="K96" i="48" s="1"/>
  <c r="L20" i="48"/>
  <c r="L96" i="48" s="1"/>
  <c r="M20" i="48"/>
  <c r="M96" i="48" s="1"/>
  <c r="N20" i="48"/>
  <c r="O20" i="48"/>
  <c r="O96" i="48" s="1"/>
  <c r="P20" i="48"/>
  <c r="P96" i="48" s="1"/>
  <c r="F21" i="48"/>
  <c r="F97" i="48" s="1"/>
  <c r="G21" i="48"/>
  <c r="G97" i="48" s="1"/>
  <c r="H21" i="48"/>
  <c r="H97" i="48" s="1"/>
  <c r="I21" i="48"/>
  <c r="I97" i="48" s="1"/>
  <c r="J21" i="48"/>
  <c r="J97" i="48" s="1"/>
  <c r="K21" i="48"/>
  <c r="L21" i="48"/>
  <c r="L97" i="48" s="1"/>
  <c r="M21" i="48"/>
  <c r="M97" i="48" s="1"/>
  <c r="N21" i="48"/>
  <c r="N97" i="48" s="1"/>
  <c r="O21" i="48"/>
  <c r="O97" i="48" s="1"/>
  <c r="P21" i="48"/>
  <c r="P97" i="48" s="1"/>
  <c r="F22" i="48"/>
  <c r="F98" i="48" s="1"/>
  <c r="G22" i="48"/>
  <c r="H22" i="48"/>
  <c r="I22" i="48"/>
  <c r="I98" i="48" s="1"/>
  <c r="J22" i="48"/>
  <c r="J98" i="48" s="1"/>
  <c r="K22" i="48"/>
  <c r="K98" i="48" s="1"/>
  <c r="L22" i="48"/>
  <c r="L98" i="48" s="1"/>
  <c r="M22" i="48"/>
  <c r="M98" i="48" s="1"/>
  <c r="N22" i="48"/>
  <c r="N98" i="48" s="1"/>
  <c r="O22" i="48"/>
  <c r="O98" i="48" s="1"/>
  <c r="P22" i="48"/>
  <c r="E17" i="48"/>
  <c r="E93" i="48" s="1"/>
  <c r="E18" i="48"/>
  <c r="E94" i="48" s="1"/>
  <c r="E19" i="48"/>
  <c r="E20" i="48"/>
  <c r="E96" i="48" s="1"/>
  <c r="E21" i="48"/>
  <c r="E97" i="48" s="1"/>
  <c r="E22" i="48"/>
  <c r="E98" i="48" s="1"/>
  <c r="E16" i="48"/>
  <c r="N80" i="48"/>
  <c r="J80" i="48"/>
  <c r="H80" i="48"/>
  <c r="F80" i="48"/>
  <c r="Q66" i="48"/>
  <c r="F59" i="37" s="1"/>
  <c r="Q67" i="48"/>
  <c r="F61" i="37" s="1"/>
  <c r="Q68" i="48"/>
  <c r="F55" i="37" s="1"/>
  <c r="Q69" i="48"/>
  <c r="F56" i="37" s="1"/>
  <c r="Q70" i="48"/>
  <c r="F58" i="37" s="1"/>
  <c r="Q71" i="48"/>
  <c r="F57" i="37" s="1"/>
  <c r="Q72" i="48"/>
  <c r="F60" i="37" s="1"/>
  <c r="Q73" i="48"/>
  <c r="F53" i="37" s="1"/>
  <c r="F74" i="37" s="1"/>
  <c r="Q74" i="48"/>
  <c r="F66" i="37" s="1"/>
  <c r="Q75" i="48"/>
  <c r="F65" i="37" s="1"/>
  <c r="Q76" i="48"/>
  <c r="F62" i="37" s="1"/>
  <c r="Q77" i="48"/>
  <c r="F64" i="37" s="1"/>
  <c r="Q78" i="48"/>
  <c r="F63" i="37" s="1"/>
  <c r="Q79" i="48"/>
  <c r="F54" i="37" s="1"/>
  <c r="C79" i="48"/>
  <c r="N76" i="46" s="1"/>
  <c r="C78" i="48"/>
  <c r="N85" i="46" s="1"/>
  <c r="C77" i="48"/>
  <c r="N86" i="46" s="1"/>
  <c r="C76" i="48"/>
  <c r="N84" i="46" s="1"/>
  <c r="C75" i="48"/>
  <c r="N87" i="46" s="1"/>
  <c r="C74" i="48"/>
  <c r="N88" i="46" s="1"/>
  <c r="C73" i="48"/>
  <c r="N75" i="46" s="1"/>
  <c r="C72" i="48"/>
  <c r="N82" i="46" s="1"/>
  <c r="C71" i="48"/>
  <c r="N79" i="46" s="1"/>
  <c r="C70" i="48"/>
  <c r="N80" i="46" s="1"/>
  <c r="C69" i="48"/>
  <c r="N78" i="46" s="1"/>
  <c r="C68" i="48"/>
  <c r="N77" i="46" s="1"/>
  <c r="C67" i="48"/>
  <c r="N83" i="46" s="1"/>
  <c r="C66" i="48"/>
  <c r="N81" i="46" s="1"/>
  <c r="Q47" i="48"/>
  <c r="P59" i="37" s="1"/>
  <c r="Q48" i="48"/>
  <c r="P61" i="37" s="1"/>
  <c r="Q49" i="48"/>
  <c r="P55" i="37" s="1"/>
  <c r="Q50" i="48"/>
  <c r="P56" i="37" s="1"/>
  <c r="Q51" i="48"/>
  <c r="P58" i="37" s="1"/>
  <c r="Q52" i="48"/>
  <c r="P57" i="37" s="1"/>
  <c r="Q53" i="48"/>
  <c r="P60" i="37" s="1"/>
  <c r="C60" i="48"/>
  <c r="O76" i="46" s="1"/>
  <c r="C53" i="48"/>
  <c r="O82" i="46" s="1"/>
  <c r="C52" i="48"/>
  <c r="O79" i="46" s="1"/>
  <c r="C51" i="48"/>
  <c r="O80" i="46" s="1"/>
  <c r="C50" i="48"/>
  <c r="O78" i="46" s="1"/>
  <c r="C49" i="48"/>
  <c r="O77" i="46" s="1"/>
  <c r="C48" i="48"/>
  <c r="O83" i="46" s="1"/>
  <c r="C47" i="48"/>
  <c r="O81" i="46" s="1"/>
  <c r="C39" i="48"/>
  <c r="Q41" i="48"/>
  <c r="C54" i="37" s="1"/>
  <c r="Q40" i="48"/>
  <c r="C63" i="37" s="1"/>
  <c r="Q39" i="48"/>
  <c r="C64" i="37" s="1"/>
  <c r="Q38" i="48"/>
  <c r="C62" i="37" s="1"/>
  <c r="Q37" i="48"/>
  <c r="C65" i="37" s="1"/>
  <c r="Q36" i="48"/>
  <c r="C66" i="37" s="1"/>
  <c r="Q35" i="48"/>
  <c r="C53" i="37" s="1"/>
  <c r="C74" i="37" s="1"/>
  <c r="Q34" i="48"/>
  <c r="C60" i="37" s="1"/>
  <c r="Q33" i="48"/>
  <c r="C57" i="37" s="1"/>
  <c r="Q32" i="48"/>
  <c r="C58" i="37" s="1"/>
  <c r="Q29" i="48"/>
  <c r="C61" i="37" s="1"/>
  <c r="Q28" i="48"/>
  <c r="C59" i="37" s="1"/>
  <c r="C28" i="48"/>
  <c r="C29" i="48"/>
  <c r="C32" i="48"/>
  <c r="C33" i="48"/>
  <c r="C34" i="48"/>
  <c r="C35" i="48"/>
  <c r="C36" i="48"/>
  <c r="C37" i="48"/>
  <c r="C38" i="48"/>
  <c r="C40" i="48"/>
  <c r="C41" i="48"/>
  <c r="Q9" i="48"/>
  <c r="M59" i="37" s="1"/>
  <c r="Q10" i="48"/>
  <c r="M61" i="37" s="1"/>
  <c r="Q11" i="48"/>
  <c r="Q12" i="48"/>
  <c r="M56" i="37" s="1"/>
  <c r="Q13" i="48"/>
  <c r="M58" i="37" s="1"/>
  <c r="Q14" i="48"/>
  <c r="M57" i="37" s="1"/>
  <c r="Q15" i="48"/>
  <c r="M60" i="37" s="1"/>
  <c r="Q18" i="48"/>
  <c r="M65" i="37" s="1"/>
  <c r="C9" i="48"/>
  <c r="C10" i="48"/>
  <c r="C11" i="48"/>
  <c r="C12" i="48"/>
  <c r="C13" i="48"/>
  <c r="C14" i="48"/>
  <c r="C15" i="48"/>
  <c r="C22" i="48"/>
  <c r="G74" i="37" l="1"/>
  <c r="C65" i="48"/>
  <c r="N74" i="46" s="1"/>
  <c r="P98" i="48"/>
  <c r="H98" i="48"/>
  <c r="K97" i="48"/>
  <c r="N96" i="48"/>
  <c r="F96" i="48"/>
  <c r="I95" i="48"/>
  <c r="L94" i="48"/>
  <c r="O93" i="48"/>
  <c r="G93" i="48"/>
  <c r="J92" i="48"/>
  <c r="M27" i="48"/>
  <c r="T11" i="48"/>
  <c r="M55" i="37"/>
  <c r="O12" i="46"/>
  <c r="O121" i="46" s="1"/>
  <c r="P27" i="48"/>
  <c r="P42" i="48" s="1"/>
  <c r="L27" i="48"/>
  <c r="L42" i="48" s="1"/>
  <c r="H27" i="48"/>
  <c r="H42" i="48" s="1"/>
  <c r="O10" i="46"/>
  <c r="O119" i="46" s="1"/>
  <c r="N10" i="46"/>
  <c r="N119" i="46" s="1"/>
  <c r="N20" i="46"/>
  <c r="N129" i="46" s="1"/>
  <c r="N9" i="46"/>
  <c r="N118" i="46" s="1"/>
  <c r="O13" i="46"/>
  <c r="O122" i="46" s="1"/>
  <c r="P122" i="46" s="1"/>
  <c r="O17" i="46"/>
  <c r="O126" i="46" s="1"/>
  <c r="N18" i="46"/>
  <c r="N127" i="46" s="1"/>
  <c r="N16" i="46"/>
  <c r="N125" i="46" s="1"/>
  <c r="O14" i="46"/>
  <c r="O123" i="46" s="1"/>
  <c r="N21" i="46"/>
  <c r="N130" i="46" s="1"/>
  <c r="N13" i="46"/>
  <c r="N122" i="46" s="1"/>
  <c r="O15" i="46"/>
  <c r="O124" i="46" s="1"/>
  <c r="N15" i="46"/>
  <c r="N124" i="46" s="1"/>
  <c r="N22" i="46"/>
  <c r="N131" i="46" s="1"/>
  <c r="N14" i="46"/>
  <c r="N123" i="46" s="1"/>
  <c r="Q86" i="48"/>
  <c r="N17" i="46"/>
  <c r="N126" i="46" s="1"/>
  <c r="O16" i="46"/>
  <c r="O125" i="46" s="1"/>
  <c r="O11" i="46"/>
  <c r="O120" i="46" s="1"/>
  <c r="N19" i="46"/>
  <c r="N128" i="46" s="1"/>
  <c r="N12" i="46"/>
  <c r="N121" i="46" s="1"/>
  <c r="C58" i="48"/>
  <c r="O86" i="46" s="1"/>
  <c r="Q91" i="48"/>
  <c r="C86" i="48"/>
  <c r="Q85" i="48"/>
  <c r="C19" i="48"/>
  <c r="C18" i="48"/>
  <c r="J46" i="48"/>
  <c r="J61" i="48" s="1"/>
  <c r="F46" i="48"/>
  <c r="F61" i="48" s="1"/>
  <c r="E8" i="48"/>
  <c r="Q22" i="48"/>
  <c r="M54" i="37" s="1"/>
  <c r="P8" i="48"/>
  <c r="P23" i="48" s="1"/>
  <c r="C17" i="48"/>
  <c r="M8" i="48"/>
  <c r="C59" i="48"/>
  <c r="O85" i="46" s="1"/>
  <c r="M46" i="48"/>
  <c r="M61" i="48" s="1"/>
  <c r="Q90" i="48"/>
  <c r="C91" i="48"/>
  <c r="E27" i="48"/>
  <c r="E42" i="48" s="1"/>
  <c r="C30" i="48"/>
  <c r="Q65" i="48"/>
  <c r="I80" i="48"/>
  <c r="C80" i="48"/>
  <c r="M95" i="48"/>
  <c r="N46" i="48"/>
  <c r="N61" i="48" s="1"/>
  <c r="Y117" i="46"/>
  <c r="I8" i="48"/>
  <c r="C55" i="48"/>
  <c r="O88" i="46" s="1"/>
  <c r="I46" i="48"/>
  <c r="I61" i="48" s="1"/>
  <c r="C89" i="48"/>
  <c r="C90" i="48"/>
  <c r="Q89" i="48"/>
  <c r="Q31" i="48"/>
  <c r="C56" i="37" s="1"/>
  <c r="Q60" i="48"/>
  <c r="P54" i="37" s="1"/>
  <c r="Q59" i="48"/>
  <c r="P63" i="37" s="1"/>
  <c r="Q58" i="48"/>
  <c r="P64" i="37" s="1"/>
  <c r="C56" i="48"/>
  <c r="Q55" i="48"/>
  <c r="P66" i="37" s="1"/>
  <c r="P46" i="48"/>
  <c r="P61" i="48" s="1"/>
  <c r="L46" i="48"/>
  <c r="L61" i="48" s="1"/>
  <c r="H46" i="48"/>
  <c r="H61" i="48" s="1"/>
  <c r="O8" i="48"/>
  <c r="O84" i="48" s="1"/>
  <c r="O99" i="48" s="1"/>
  <c r="K8" i="48"/>
  <c r="G8" i="48"/>
  <c r="G23" i="48" s="1"/>
  <c r="O46" i="48"/>
  <c r="O61" i="48" s="1"/>
  <c r="K46" i="48"/>
  <c r="K61" i="48" s="1"/>
  <c r="G46" i="48"/>
  <c r="G61" i="48" s="1"/>
  <c r="G92" i="48"/>
  <c r="N27" i="48"/>
  <c r="N42" i="48" s="1"/>
  <c r="J27" i="48"/>
  <c r="J42" i="48" s="1"/>
  <c r="F27" i="48"/>
  <c r="F42" i="48" s="1"/>
  <c r="L8" i="48"/>
  <c r="H8" i="48"/>
  <c r="H84" i="48" s="1"/>
  <c r="H99" i="48" s="1"/>
  <c r="N8" i="48"/>
  <c r="J8" i="48"/>
  <c r="F8" i="48"/>
  <c r="G98" i="48"/>
  <c r="C98" i="48" s="1"/>
  <c r="P95" i="48"/>
  <c r="G94" i="48"/>
  <c r="F93" i="48"/>
  <c r="Q93" i="48" s="1"/>
  <c r="M92" i="48"/>
  <c r="I92" i="48"/>
  <c r="Q21" i="48"/>
  <c r="M63" i="37" s="1"/>
  <c r="Q57" i="48"/>
  <c r="P62" i="37" s="1"/>
  <c r="C16" i="48"/>
  <c r="C57" i="48"/>
  <c r="E95" i="48"/>
  <c r="C95" i="48" s="1"/>
  <c r="Q19" i="48"/>
  <c r="M62" i="37" s="1"/>
  <c r="E92" i="48"/>
  <c r="E46" i="48"/>
  <c r="E61" i="48" s="1"/>
  <c r="Q30" i="48"/>
  <c r="C55" i="37" s="1"/>
  <c r="I27" i="48"/>
  <c r="I42" i="48" s="1"/>
  <c r="M42" i="48"/>
  <c r="Q98" i="48"/>
  <c r="Q94" i="48"/>
  <c r="C97" i="48"/>
  <c r="Q96" i="48"/>
  <c r="C94" i="48"/>
  <c r="C93" i="48"/>
  <c r="C96" i="48"/>
  <c r="Q97" i="48"/>
  <c r="C54" i="48"/>
  <c r="Q54" i="48"/>
  <c r="P53" i="37" s="1"/>
  <c r="Q88" i="48"/>
  <c r="C87" i="48"/>
  <c r="C88" i="48"/>
  <c r="Q87" i="48"/>
  <c r="I23" i="48"/>
  <c r="C21" i="48"/>
  <c r="Q17" i="48"/>
  <c r="M66" i="37" s="1"/>
  <c r="Q16" i="48"/>
  <c r="M53" i="37" s="1"/>
  <c r="Q20" i="48"/>
  <c r="M64" i="37" s="1"/>
  <c r="C20" i="48"/>
  <c r="B3" i="30"/>
  <c r="L84" i="48" l="1"/>
  <c r="L99" i="48" s="1"/>
  <c r="Q80" i="48"/>
  <c r="F52" i="37"/>
  <c r="F73" i="37" s="1"/>
  <c r="P123" i="46"/>
  <c r="N11" i="46"/>
  <c r="N120" i="46" s="1"/>
  <c r="O20" i="46"/>
  <c r="O21" i="46"/>
  <c r="L23" i="48"/>
  <c r="C92" i="48"/>
  <c r="O9" i="46"/>
  <c r="O18" i="46"/>
  <c r="O127" i="46" s="1"/>
  <c r="P124" i="46"/>
  <c r="O75" i="46"/>
  <c r="C27" i="48"/>
  <c r="P126" i="46"/>
  <c r="P125" i="46"/>
  <c r="M84" i="48"/>
  <c r="E23" i="48"/>
  <c r="C8" i="48"/>
  <c r="C23" i="48" s="1"/>
  <c r="H23" i="48"/>
  <c r="O19" i="46"/>
  <c r="K84" i="48"/>
  <c r="K99" i="48" s="1"/>
  <c r="P121" i="46"/>
  <c r="O22" i="46"/>
  <c r="O84" i="46"/>
  <c r="O87" i="46"/>
  <c r="Q8" i="48"/>
  <c r="M52" i="37" s="1"/>
  <c r="Q92" i="48"/>
  <c r="P84" i="48"/>
  <c r="P99" i="48" s="1"/>
  <c r="K23" i="48"/>
  <c r="M99" i="48"/>
  <c r="M23" i="48"/>
  <c r="Q95" i="48"/>
  <c r="P119" i="46"/>
  <c r="O23" i="48"/>
  <c r="I84" i="48"/>
  <c r="I99" i="48" s="1"/>
  <c r="P120" i="46"/>
  <c r="Q27" i="48"/>
  <c r="G84" i="48"/>
  <c r="G99" i="48" s="1"/>
  <c r="J84" i="48"/>
  <c r="J99" i="48" s="1"/>
  <c r="J23" i="48"/>
  <c r="N84" i="48"/>
  <c r="N99" i="48" s="1"/>
  <c r="N23" i="48"/>
  <c r="F84" i="48"/>
  <c r="F99" i="48" s="1"/>
  <c r="F23" i="48"/>
  <c r="Q46" i="48"/>
  <c r="E84" i="48"/>
  <c r="E99" i="48" s="1"/>
  <c r="C46" i="48"/>
  <c r="O74" i="46" s="1"/>
  <c r="AC71" i="46"/>
  <c r="AB71" i="46"/>
  <c r="T71" i="46"/>
  <c r="S71" i="46"/>
  <c r="K71" i="46"/>
  <c r="J71" i="46"/>
  <c r="AC5" i="46"/>
  <c r="AB5" i="46"/>
  <c r="T5" i="46"/>
  <c r="S5" i="46"/>
  <c r="K5" i="46"/>
  <c r="J5" i="46"/>
  <c r="Q23" i="48" l="1"/>
  <c r="O130" i="46"/>
  <c r="Q42" i="48"/>
  <c r="C52" i="37"/>
  <c r="C73" i="37" s="1"/>
  <c r="G73" i="37" s="1"/>
  <c r="O129" i="46"/>
  <c r="P129" i="46" s="1"/>
  <c r="O131" i="46"/>
  <c r="P131" i="46" s="1"/>
  <c r="O128" i="46"/>
  <c r="P128" i="46" s="1"/>
  <c r="Q61" i="48"/>
  <c r="P52" i="37"/>
  <c r="O118" i="46"/>
  <c r="P127" i="46"/>
  <c r="P130" i="46"/>
  <c r="P118" i="46"/>
  <c r="C42" i="48"/>
  <c r="O8" i="46"/>
  <c r="O117" i="46" s="1"/>
  <c r="N8" i="46"/>
  <c r="N117" i="46" s="1"/>
  <c r="Q84" i="48"/>
  <c r="Q99" i="48" s="1"/>
  <c r="C84" i="48"/>
  <c r="C99" i="48" s="1"/>
  <c r="C61" i="48"/>
  <c r="AH49" i="26"/>
  <c r="G133" i="5"/>
  <c r="G131" i="5"/>
  <c r="E131" i="5"/>
  <c r="C120" i="5"/>
  <c r="C119" i="5"/>
  <c r="F106" i="5"/>
  <c r="F107" i="5"/>
  <c r="Y131" i="46"/>
  <c r="Y121" i="46"/>
  <c r="Y119" i="46"/>
  <c r="W132" i="46"/>
  <c r="X90" i="46"/>
  <c r="W90" i="46"/>
  <c r="X24" i="46"/>
  <c r="W24" i="46"/>
  <c r="P117" i="46" l="1"/>
  <c r="Y120" i="46"/>
  <c r="Y130" i="46"/>
  <c r="N90" i="46"/>
  <c r="Y122" i="46"/>
  <c r="Y118" i="46"/>
  <c r="O90" i="46"/>
  <c r="Y129" i="46"/>
  <c r="Y125" i="46"/>
  <c r="Y127" i="46"/>
  <c r="Y126" i="46"/>
  <c r="N132" i="46"/>
  <c r="N24" i="46"/>
  <c r="O132" i="46"/>
  <c r="O24" i="46"/>
  <c r="Y128" i="46"/>
  <c r="X132" i="46"/>
  <c r="Y123" i="46"/>
  <c r="Y124" i="46"/>
  <c r="D6" i="27" l="1"/>
  <c r="B66" i="45" l="1"/>
  <c r="D102" i="27" l="1"/>
  <c r="B57" i="30"/>
  <c r="B58" i="30"/>
  <c r="B59" i="30"/>
  <c r="B60" i="30"/>
  <c r="B61" i="30"/>
  <c r="B62" i="30"/>
  <c r="B63" i="30"/>
  <c r="E57" i="30"/>
  <c r="E58" i="30"/>
  <c r="C37" i="27" s="1"/>
  <c r="E59" i="30"/>
  <c r="C38" i="27" s="1"/>
  <c r="E60" i="30"/>
  <c r="C39" i="27" s="1"/>
  <c r="E61" i="30"/>
  <c r="E62" i="30"/>
  <c r="E63" i="30"/>
  <c r="C42" i="27" s="1"/>
  <c r="C36" i="27"/>
  <c r="C40" i="27"/>
  <c r="C41" i="27"/>
  <c r="G53" i="40"/>
  <c r="G54" i="40"/>
  <c r="G55" i="40"/>
  <c r="G56" i="40"/>
  <c r="G57" i="40"/>
  <c r="G58" i="40"/>
  <c r="G59" i="40"/>
  <c r="M53" i="40"/>
  <c r="M54" i="40"/>
  <c r="M55" i="40"/>
  <c r="M56" i="40"/>
  <c r="M57" i="40"/>
  <c r="M58" i="40"/>
  <c r="M59" i="40"/>
  <c r="A54" i="40"/>
  <c r="A55" i="40"/>
  <c r="A56" i="40"/>
  <c r="A57" i="40"/>
  <c r="A58" i="40"/>
  <c r="A59" i="40"/>
  <c r="A53" i="40"/>
  <c r="D99" i="27" l="1"/>
  <c r="D100" i="27"/>
  <c r="D98" i="27"/>
  <c r="D101" i="27"/>
  <c r="D97" i="27"/>
  <c r="D96" i="27"/>
  <c r="C102" i="27"/>
  <c r="C97" i="27"/>
  <c r="C100" i="27"/>
  <c r="C101" i="27"/>
  <c r="C99" i="27"/>
  <c r="C98" i="27"/>
  <c r="C96" i="27"/>
  <c r="G50" i="36"/>
  <c r="H50" i="36" s="1"/>
  <c r="B121" i="27"/>
  <c r="B120" i="27"/>
  <c r="B119" i="27"/>
  <c r="B118" i="27"/>
  <c r="B117" i="27"/>
  <c r="B116" i="27"/>
  <c r="B115" i="27"/>
  <c r="B114" i="27"/>
  <c r="B113" i="27"/>
  <c r="B112" i="27"/>
  <c r="B111" i="27"/>
  <c r="B110" i="27"/>
  <c r="B109" i="27"/>
  <c r="B108" i="27"/>
  <c r="B107" i="27"/>
  <c r="B106" i="27"/>
  <c r="B105" i="27"/>
  <c r="B104" i="27"/>
  <c r="B103" i="27"/>
  <c r="B95" i="27"/>
  <c r="B94" i="27"/>
  <c r="B93" i="27"/>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D61" i="27"/>
  <c r="E64" i="30"/>
  <c r="C61" i="27" s="1"/>
  <c r="B64" i="30"/>
  <c r="D121" i="27" l="1"/>
  <c r="C121" i="27"/>
  <c r="G51" i="36"/>
  <c r="H51" i="36" s="1"/>
  <c r="G49" i="36"/>
  <c r="H49" i="36" s="1"/>
  <c r="G48" i="36"/>
  <c r="H48" i="36" s="1"/>
  <c r="G47" i="36"/>
  <c r="H47" i="36" s="1"/>
  <c r="G46" i="36"/>
  <c r="H46" i="36" s="1"/>
  <c r="G45" i="36"/>
  <c r="H45" i="36" s="1"/>
  <c r="G44" i="36"/>
  <c r="H44" i="36" s="1"/>
  <c r="G43" i="36"/>
  <c r="H43" i="36" s="1"/>
  <c r="G42" i="36"/>
  <c r="H42" i="36" s="1"/>
  <c r="G41" i="36"/>
  <c r="H41" i="36" s="1"/>
  <c r="G40" i="36"/>
  <c r="H40" i="36" s="1"/>
  <c r="G39" i="36"/>
  <c r="H39" i="36" s="1"/>
  <c r="G38" i="36"/>
  <c r="H38" i="36" s="1"/>
  <c r="G37" i="36"/>
  <c r="H37" i="36" s="1"/>
  <c r="G36" i="36"/>
  <c r="H36" i="36" s="1"/>
  <c r="G35" i="36"/>
  <c r="H35" i="36" s="1"/>
  <c r="G34" i="36"/>
  <c r="H34" i="36" s="1"/>
  <c r="G33" i="36"/>
  <c r="H33" i="36" s="1"/>
  <c r="G32" i="36"/>
  <c r="H32" i="36" s="1"/>
  <c r="G31" i="36"/>
  <c r="H31" i="36" s="1"/>
  <c r="G30" i="36"/>
  <c r="H30" i="36" s="1"/>
  <c r="G29" i="36"/>
  <c r="H29" i="36" s="1"/>
  <c r="G28" i="36"/>
  <c r="H28" i="36" s="1"/>
  <c r="G27" i="36"/>
  <c r="H27" i="36" s="1"/>
  <c r="G26" i="36"/>
  <c r="H26" i="36" s="1"/>
  <c r="G25" i="36"/>
  <c r="H25" i="36" s="1"/>
  <c r="G24" i="36"/>
  <c r="H24" i="36" s="1"/>
  <c r="G23" i="36"/>
  <c r="H23" i="36" s="1"/>
  <c r="G22" i="36"/>
  <c r="H22" i="36" s="1"/>
  <c r="G21" i="36"/>
  <c r="H21" i="36" s="1"/>
  <c r="M52" i="40" l="1"/>
  <c r="G52" i="40"/>
  <c r="Q5" i="40" l="1"/>
  <c r="O5" i="40"/>
  <c r="M5" i="40"/>
  <c r="M6" i="40"/>
  <c r="M7" i="40"/>
  <c r="M8" i="40"/>
  <c r="M9" i="40"/>
  <c r="M10" i="40"/>
  <c r="M11" i="40"/>
  <c r="M12"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B56" i="30" l="1"/>
  <c r="B55" i="30"/>
  <c r="B54" i="30"/>
  <c r="B53" i="30"/>
  <c r="B52" i="30"/>
  <c r="B51" i="30"/>
  <c r="B49" i="30"/>
  <c r="B48" i="30"/>
  <c r="B47" i="30"/>
  <c r="B46" i="30"/>
  <c r="B45" i="30"/>
  <c r="B44" i="30"/>
  <c r="B43" i="30"/>
  <c r="B42" i="30"/>
  <c r="B41" i="30"/>
  <c r="B37" i="30"/>
  <c r="B36" i="30"/>
  <c r="B35" i="30"/>
  <c r="B34" i="30"/>
  <c r="B33" i="30"/>
  <c r="B32" i="30"/>
  <c r="B31" i="30"/>
  <c r="B30" i="30"/>
  <c r="B29" i="30"/>
  <c r="B28" i="30"/>
  <c r="B27" i="30"/>
  <c r="B26" i="30"/>
  <c r="B25" i="30"/>
  <c r="B24" i="30"/>
  <c r="B23" i="30"/>
  <c r="B20" i="30"/>
  <c r="B19" i="30"/>
  <c r="B18" i="30"/>
  <c r="B17" i="30"/>
  <c r="B16" i="30"/>
  <c r="B15" i="30"/>
  <c r="B14" i="30"/>
  <c r="B13" i="30"/>
  <c r="B12" i="30"/>
  <c r="B11" i="30"/>
  <c r="B10" i="30"/>
  <c r="B9" i="30"/>
  <c r="B8" i="30"/>
  <c r="B7" i="30"/>
  <c r="B6" i="30"/>
  <c r="B5" i="30"/>
  <c r="B4" i="30"/>
  <c r="E56" i="30"/>
  <c r="E55" i="30"/>
  <c r="E54" i="30"/>
  <c r="E53" i="30"/>
  <c r="E52" i="30"/>
  <c r="E51" i="30"/>
  <c r="E49" i="30"/>
  <c r="E48" i="30"/>
  <c r="E47" i="30"/>
  <c r="E46" i="30"/>
  <c r="E45" i="30"/>
  <c r="E44" i="30"/>
  <c r="E43" i="30"/>
  <c r="E42" i="30"/>
  <c r="E41" i="30"/>
  <c r="E37" i="30"/>
  <c r="E36" i="30"/>
  <c r="E35" i="30"/>
  <c r="E34" i="30"/>
  <c r="E33" i="30"/>
  <c r="E32" i="30"/>
  <c r="E31" i="30"/>
  <c r="E30" i="30"/>
  <c r="E29" i="30"/>
  <c r="E28" i="30"/>
  <c r="E27" i="30"/>
  <c r="E26" i="30"/>
  <c r="E25" i="30"/>
  <c r="E24" i="30"/>
  <c r="E23" i="30"/>
  <c r="E19" i="30"/>
  <c r="C59" i="27" s="1"/>
  <c r="E18" i="30"/>
  <c r="C58" i="27" s="1"/>
  <c r="E17" i="30"/>
  <c r="C57" i="27" s="1"/>
  <c r="E16" i="30"/>
  <c r="C56" i="27" s="1"/>
  <c r="E15" i="30"/>
  <c r="C55" i="27" s="1"/>
  <c r="E14" i="30"/>
  <c r="C54" i="27" s="1"/>
  <c r="E13" i="30"/>
  <c r="C53" i="27" s="1"/>
  <c r="E12" i="30"/>
  <c r="C52" i="27" s="1"/>
  <c r="E11" i="30"/>
  <c r="C51" i="27" s="1"/>
  <c r="E10" i="30"/>
  <c r="C50" i="27" s="1"/>
  <c r="E9" i="30"/>
  <c r="C49" i="27" s="1"/>
  <c r="E8" i="30"/>
  <c r="C48" i="27" s="1"/>
  <c r="E7" i="30"/>
  <c r="C47" i="27" s="1"/>
  <c r="E6" i="30"/>
  <c r="C46" i="27" s="1"/>
  <c r="E5" i="30"/>
  <c r="C45" i="27" s="1"/>
  <c r="E4" i="30"/>
  <c r="C44" i="27" s="1"/>
  <c r="E3" i="30"/>
  <c r="C43" i="27" s="1"/>
  <c r="G51" i="40"/>
  <c r="K5" i="40"/>
  <c r="I5" i="40"/>
  <c r="G5" i="40"/>
  <c r="G6" i="40"/>
  <c r="G7" i="40"/>
  <c r="G8" i="40"/>
  <c r="G9" i="40"/>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37" i="40"/>
  <c r="G38" i="40"/>
  <c r="G39" i="40"/>
  <c r="G40" i="40"/>
  <c r="G41" i="40"/>
  <c r="G42" i="40"/>
  <c r="G43" i="40"/>
  <c r="G44" i="40"/>
  <c r="G45" i="40"/>
  <c r="G46" i="40"/>
  <c r="G47" i="40"/>
  <c r="G48" i="40"/>
  <c r="G49" i="40"/>
  <c r="G50" i="40"/>
  <c r="B66" i="44"/>
  <c r="E5" i="40"/>
  <c r="E6" i="40"/>
  <c r="C5" i="40"/>
  <c r="A5" i="40"/>
  <c r="A6" i="40"/>
  <c r="A7" i="40"/>
  <c r="A8" i="40"/>
  <c r="A9"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B66" i="30" l="1"/>
  <c r="B67" i="30" s="1"/>
  <c r="D105" i="27" l="1"/>
  <c r="C105" i="27" l="1"/>
  <c r="D120" i="27"/>
  <c r="C120" i="27" l="1"/>
  <c r="U53" i="26"/>
  <c r="U52" i="26"/>
  <c r="U51" i="26"/>
  <c r="U50" i="26"/>
  <c r="U49" i="26"/>
  <c r="U48" i="26"/>
  <c r="U46" i="26"/>
  <c r="U44" i="26"/>
  <c r="U43" i="26"/>
  <c r="U42" i="26"/>
  <c r="U41" i="26"/>
  <c r="U40" i="26"/>
  <c r="U39" i="26"/>
  <c r="U35" i="26"/>
  <c r="U31" i="26"/>
  <c r="U30" i="26"/>
  <c r="U29" i="26"/>
  <c r="U27" i="26"/>
  <c r="U26" i="26"/>
  <c r="U25" i="26"/>
  <c r="U24" i="26"/>
  <c r="U23" i="26"/>
  <c r="U22" i="26"/>
  <c r="U21" i="26"/>
  <c r="U20" i="26"/>
  <c r="U19" i="26"/>
  <c r="U18" i="26"/>
  <c r="U17" i="26"/>
  <c r="U16" i="26"/>
  <c r="U15" i="26"/>
  <c r="U14" i="26"/>
  <c r="U13" i="26"/>
  <c r="U12" i="26"/>
  <c r="U11" i="26"/>
  <c r="U10" i="26"/>
  <c r="U9" i="26"/>
  <c r="U8" i="26"/>
  <c r="U7" i="26"/>
  <c r="U6" i="26"/>
  <c r="E88" i="5" l="1"/>
  <c r="B1" i="37" l="1"/>
  <c r="D119" i="27" l="1"/>
  <c r="D118" i="27"/>
  <c r="D115" i="27"/>
  <c r="D114" i="27"/>
  <c r="D113" i="27"/>
  <c r="D112" i="27"/>
  <c r="D111" i="27"/>
  <c r="D110" i="27"/>
  <c r="D109" i="27"/>
  <c r="D108" i="27"/>
  <c r="D107" i="27"/>
  <c r="D106" i="27"/>
  <c r="D104" i="27"/>
  <c r="D103" i="27"/>
  <c r="D35" i="27"/>
  <c r="D95" i="27" s="1"/>
  <c r="D34" i="27"/>
  <c r="D94" i="27" s="1"/>
  <c r="D33" i="27"/>
  <c r="D93" i="27" s="1"/>
  <c r="D32" i="27"/>
  <c r="D92" i="27" s="1"/>
  <c r="D31" i="27"/>
  <c r="D91" i="27" s="1"/>
  <c r="D30" i="27"/>
  <c r="D90" i="27" s="1"/>
  <c r="D29" i="27"/>
  <c r="D89" i="27" s="1"/>
  <c r="D28" i="27"/>
  <c r="D88" i="27" s="1"/>
  <c r="D87" i="27"/>
  <c r="D26" i="27"/>
  <c r="D86" i="27" s="1"/>
  <c r="D25" i="27"/>
  <c r="D85" i="27" s="1"/>
  <c r="D24" i="27"/>
  <c r="D84" i="27" s="1"/>
  <c r="D23" i="27"/>
  <c r="D83" i="27" s="1"/>
  <c r="D22" i="27"/>
  <c r="D82" i="27" s="1"/>
  <c r="D21" i="27"/>
  <c r="D81" i="27" s="1"/>
  <c r="D20" i="27"/>
  <c r="D80" i="27" s="1"/>
  <c r="D19" i="27"/>
  <c r="D79" i="27" s="1"/>
  <c r="D18" i="27"/>
  <c r="D78" i="27" s="1"/>
  <c r="D17" i="27"/>
  <c r="D77" i="27" s="1"/>
  <c r="D16" i="27"/>
  <c r="D15" i="27"/>
  <c r="D75" i="27" s="1"/>
  <c r="D14" i="27"/>
  <c r="D74" i="27" s="1"/>
  <c r="D13" i="27"/>
  <c r="D73" i="27" s="1"/>
  <c r="D12" i="27"/>
  <c r="D11" i="27"/>
  <c r="D71" i="27" s="1"/>
  <c r="D10" i="27"/>
  <c r="D70" i="27" s="1"/>
  <c r="D9" i="27"/>
  <c r="D69" i="27" s="1"/>
  <c r="D8" i="27"/>
  <c r="D68" i="27" s="1"/>
  <c r="D7" i="27"/>
  <c r="C119" i="27"/>
  <c r="C118" i="27"/>
  <c r="C117" i="27"/>
  <c r="C116" i="27"/>
  <c r="C115" i="27"/>
  <c r="C114" i="27"/>
  <c r="C113" i="27"/>
  <c r="C112" i="27"/>
  <c r="C111" i="27"/>
  <c r="C110" i="27"/>
  <c r="C109" i="27"/>
  <c r="C108" i="27"/>
  <c r="C107" i="27"/>
  <c r="C106" i="27"/>
  <c r="C104" i="27"/>
  <c r="C103" i="27"/>
  <c r="C35" i="27"/>
  <c r="C95" i="27" s="1"/>
  <c r="C34" i="27"/>
  <c r="C94" i="27" s="1"/>
  <c r="C33" i="27"/>
  <c r="C93" i="27" s="1"/>
  <c r="C32" i="27"/>
  <c r="C92" i="27" s="1"/>
  <c r="C31" i="27"/>
  <c r="C91" i="27" s="1"/>
  <c r="C30" i="27"/>
  <c r="C90" i="27" s="1"/>
  <c r="C29" i="27"/>
  <c r="C89" i="27" s="1"/>
  <c r="C28" i="27"/>
  <c r="C88" i="27" s="1"/>
  <c r="C27" i="27"/>
  <c r="C87" i="27" s="1"/>
  <c r="C26" i="27"/>
  <c r="C86" i="27" s="1"/>
  <c r="C25" i="27"/>
  <c r="C85" i="27" s="1"/>
  <c r="C24" i="27"/>
  <c r="C84" i="27" s="1"/>
  <c r="C23" i="27"/>
  <c r="C83" i="27" s="1"/>
  <c r="C22" i="27"/>
  <c r="C82" i="27" s="1"/>
  <c r="C21" i="27"/>
  <c r="C81" i="27" s="1"/>
  <c r="C20" i="27"/>
  <c r="C80" i="27" s="1"/>
  <c r="C19" i="27"/>
  <c r="C79" i="27" s="1"/>
  <c r="C18" i="27"/>
  <c r="C78" i="27" s="1"/>
  <c r="C17" i="27"/>
  <c r="C77" i="27" s="1"/>
  <c r="C16" i="27"/>
  <c r="C76" i="27" s="1"/>
  <c r="C15" i="27"/>
  <c r="C75" i="27" s="1"/>
  <c r="C14" i="27"/>
  <c r="C74" i="27" s="1"/>
  <c r="C13" i="27"/>
  <c r="C73" i="27" s="1"/>
  <c r="C12" i="27"/>
  <c r="C11" i="27"/>
  <c r="C71" i="27" s="1"/>
  <c r="C10" i="27"/>
  <c r="C70" i="27" s="1"/>
  <c r="C9" i="27"/>
  <c r="C69" i="27" s="1"/>
  <c r="C8" i="27"/>
  <c r="C7" i="27"/>
  <c r="C67" i="27" s="1"/>
  <c r="C6" i="27"/>
  <c r="C66" i="27" s="1"/>
  <c r="C72" i="27" l="1"/>
  <c r="E12" i="27"/>
  <c r="D116" i="27"/>
  <c r="D117" i="27"/>
  <c r="D72" i="27"/>
  <c r="D76" i="27"/>
  <c r="D67" i="27"/>
  <c r="C68" i="27"/>
  <c r="E8" i="27"/>
  <c r="D66" i="27"/>
  <c r="AI53" i="26"/>
  <c r="AH53" i="26" l="1"/>
  <c r="AH52" i="26"/>
  <c r="AH51" i="26"/>
  <c r="AH50" i="26"/>
  <c r="AH48" i="26"/>
  <c r="C3" i="31" l="1"/>
  <c r="C21" i="31" l="1"/>
  <c r="J2" i="27"/>
  <c r="K2" i="27"/>
  <c r="L2" i="27"/>
  <c r="M2" i="27"/>
  <c r="N2" i="27"/>
  <c r="O2" i="27"/>
  <c r="P2" i="27"/>
  <c r="Q2" i="27"/>
  <c r="R2" i="27"/>
  <c r="S2" i="27"/>
  <c r="T2" i="27"/>
  <c r="U2" i="27"/>
  <c r="V2" i="27"/>
  <c r="W2" i="27"/>
  <c r="X2" i="27"/>
  <c r="Y2" i="27"/>
  <c r="Z2" i="27"/>
  <c r="AA2" i="27"/>
  <c r="AB2" i="27"/>
  <c r="AC2" i="27"/>
  <c r="AD2" i="27"/>
  <c r="AE2" i="27"/>
  <c r="AF2" i="27"/>
  <c r="AG2" i="27"/>
  <c r="AH2" i="27"/>
  <c r="AI2" i="27"/>
  <c r="AJ2" i="27"/>
  <c r="AK2" i="27"/>
  <c r="AL2" i="27"/>
  <c r="AM2" i="27"/>
  <c r="AN2" i="27"/>
  <c r="AO2" i="27"/>
  <c r="AP2" i="27"/>
  <c r="AQ2" i="27"/>
  <c r="AR2" i="27"/>
  <c r="AS2" i="27"/>
  <c r="AT2" i="27"/>
  <c r="AU2" i="27"/>
  <c r="AV2" i="27"/>
  <c r="AW2" i="27"/>
  <c r="AX2" i="27"/>
  <c r="AY2" i="27"/>
  <c r="AZ2" i="27"/>
  <c r="BA2" i="27"/>
  <c r="BB2" i="27"/>
  <c r="BC2" i="27"/>
  <c r="BD2" i="27"/>
  <c r="BE2" i="27"/>
  <c r="I2" i="27"/>
  <c r="E16" i="13" l="1"/>
  <c r="D16" i="13"/>
  <c r="C16" i="13"/>
  <c r="AA52" i="26" l="1"/>
  <c r="AA51" i="26"/>
  <c r="AA50" i="26"/>
  <c r="AA49" i="26"/>
  <c r="AA48" i="26"/>
  <c r="AA47" i="26"/>
  <c r="AA46" i="26"/>
  <c r="AA45" i="26"/>
  <c r="AA44" i="26"/>
  <c r="AA43" i="26"/>
  <c r="AA42" i="26"/>
  <c r="AA41" i="26"/>
  <c r="AA40" i="26"/>
  <c r="AA39" i="26"/>
  <c r="AA38" i="26"/>
  <c r="AA37" i="26"/>
  <c r="AA36" i="26"/>
  <c r="AA35" i="26"/>
  <c r="AA34" i="26"/>
  <c r="AA33" i="26"/>
  <c r="AA32" i="26"/>
  <c r="AA31" i="26"/>
  <c r="AA30" i="26"/>
  <c r="AA29" i="26"/>
  <c r="AA28" i="26"/>
  <c r="AA27" i="26"/>
  <c r="AA26" i="26"/>
  <c r="AA25" i="26"/>
  <c r="AA24" i="26"/>
  <c r="AA23" i="26"/>
  <c r="AA22" i="26"/>
  <c r="AA21" i="26"/>
  <c r="AA20" i="26"/>
  <c r="AA19" i="26"/>
  <c r="AA18" i="26"/>
  <c r="AA17" i="26"/>
  <c r="AA16" i="26"/>
  <c r="AA15" i="26"/>
  <c r="AA14" i="26"/>
  <c r="AA13" i="26"/>
  <c r="AA12" i="26"/>
  <c r="AA11" i="26"/>
  <c r="AA10" i="26"/>
  <c r="AA9" i="26"/>
  <c r="AA8" i="26"/>
  <c r="AA7" i="26"/>
  <c r="AA6" i="26"/>
  <c r="AG49" i="26" l="1"/>
  <c r="AG48" i="26"/>
  <c r="AG47" i="26"/>
  <c r="AG46" i="26"/>
  <c r="AG45" i="26"/>
  <c r="AG44" i="26"/>
  <c r="AG43" i="26"/>
  <c r="AG42" i="26"/>
  <c r="AG41" i="26"/>
  <c r="AG40" i="26"/>
  <c r="AG39" i="26"/>
  <c r="AG38" i="26"/>
  <c r="AG37" i="26"/>
  <c r="AG36" i="26"/>
  <c r="AG35" i="26"/>
  <c r="AG34" i="26"/>
  <c r="AG33" i="26"/>
  <c r="AG32" i="26"/>
  <c r="AG31" i="26"/>
  <c r="AG30" i="26"/>
  <c r="AG29" i="26"/>
  <c r="AG28" i="26"/>
  <c r="AG27" i="26"/>
  <c r="AG26" i="26"/>
  <c r="AG25" i="26"/>
  <c r="AG24" i="26"/>
  <c r="AG23" i="26"/>
  <c r="AG22" i="26"/>
  <c r="AG21" i="26"/>
  <c r="AG20" i="26"/>
  <c r="AG19" i="26"/>
  <c r="AG18" i="26"/>
  <c r="AG17" i="26"/>
  <c r="AG16" i="26"/>
  <c r="AG15" i="26"/>
  <c r="AG14" i="26"/>
  <c r="AG13" i="26"/>
  <c r="AG12" i="26"/>
  <c r="AG11" i="26"/>
  <c r="AG10" i="26"/>
  <c r="AG9" i="26"/>
  <c r="AG8" i="26"/>
  <c r="AG7" i="26"/>
  <c r="AG6" i="26"/>
  <c r="AF49" i="26"/>
  <c r="AF48" i="26"/>
  <c r="AF47" i="26"/>
  <c r="AF46" i="26"/>
  <c r="AF45" i="26"/>
  <c r="AF44" i="26"/>
  <c r="AF43" i="26"/>
  <c r="AF42" i="26"/>
  <c r="AF41" i="26"/>
  <c r="AF40" i="26"/>
  <c r="AF39" i="26"/>
  <c r="AF38" i="26"/>
  <c r="AF37" i="26"/>
  <c r="AF36" i="26"/>
  <c r="AF35" i="26"/>
  <c r="AF34" i="26"/>
  <c r="AF33" i="26"/>
  <c r="AF32" i="26"/>
  <c r="AF31" i="26"/>
  <c r="AF30" i="26"/>
  <c r="AF29" i="26"/>
  <c r="AF28" i="26"/>
  <c r="AF27" i="26"/>
  <c r="AF26" i="26"/>
  <c r="AF25" i="26"/>
  <c r="AF24" i="26"/>
  <c r="AF23" i="26"/>
  <c r="AF22" i="26"/>
  <c r="AF21" i="26"/>
  <c r="AF20" i="26"/>
  <c r="AF19" i="26"/>
  <c r="AF18" i="26"/>
  <c r="AF17" i="26"/>
  <c r="AF16" i="26"/>
  <c r="AF15" i="26"/>
  <c r="AF14" i="26"/>
  <c r="AF13" i="26"/>
  <c r="AF12" i="26"/>
  <c r="AF11" i="26"/>
  <c r="AF10" i="26"/>
  <c r="AF9" i="26"/>
  <c r="AF8" i="26"/>
  <c r="AF7" i="26"/>
  <c r="AF6" i="26"/>
  <c r="F4" i="27"/>
  <c r="BE3" i="27"/>
  <c r="BD3" i="27"/>
  <c r="BC3" i="27"/>
  <c r="BB3" i="27"/>
  <c r="BA3" i="27"/>
  <c r="AZ3" i="27"/>
  <c r="AY3" i="27"/>
  <c r="AX3" i="27"/>
  <c r="AW3" i="27"/>
  <c r="AV3" i="27"/>
  <c r="AU3" i="27"/>
  <c r="AT3" i="27"/>
  <c r="AS3" i="27"/>
  <c r="AR3" i="27"/>
  <c r="AQ3" i="27"/>
  <c r="AP3" i="27"/>
  <c r="AO3" i="27"/>
  <c r="AN3" i="27"/>
  <c r="AM3" i="27"/>
  <c r="AL3" i="27"/>
  <c r="AK3" i="27"/>
  <c r="AJ3" i="27"/>
  <c r="AI3" i="27"/>
  <c r="AH3" i="27"/>
  <c r="AG3" i="27"/>
  <c r="AF3" i="27"/>
  <c r="AE3" i="27"/>
  <c r="AD3" i="27"/>
  <c r="AC3" i="27"/>
  <c r="AB3" i="27"/>
  <c r="AA3" i="27"/>
  <c r="Z3" i="27"/>
  <c r="Y3" i="27"/>
  <c r="X3" i="27"/>
  <c r="W3" i="27"/>
  <c r="V3" i="27"/>
  <c r="U3" i="27"/>
  <c r="T3" i="27"/>
  <c r="S3" i="27"/>
  <c r="R3" i="27"/>
  <c r="Q3" i="27"/>
  <c r="P3" i="27"/>
  <c r="O3" i="27"/>
  <c r="N3" i="27"/>
  <c r="M3" i="27"/>
  <c r="L3" i="27"/>
  <c r="K3" i="27"/>
  <c r="J3" i="27"/>
  <c r="I3" i="27"/>
  <c r="BE5" i="27"/>
  <c r="BE122" i="27" s="1"/>
  <c r="BD5" i="27"/>
  <c r="BD122" i="27" s="1"/>
  <c r="BC5" i="27"/>
  <c r="BB5" i="27"/>
  <c r="BA5" i="27"/>
  <c r="BA122" i="27" s="1"/>
  <c r="AZ5" i="27"/>
  <c r="AZ122" i="27" s="1"/>
  <c r="AY5" i="27"/>
  <c r="AX5" i="27"/>
  <c r="AW5" i="27"/>
  <c r="AV5" i="27"/>
  <c r="AU5" i="27"/>
  <c r="AT5" i="27"/>
  <c r="AS5" i="27"/>
  <c r="AR5" i="27"/>
  <c r="AQ5" i="27"/>
  <c r="AP5" i="27"/>
  <c r="AO5" i="27"/>
  <c r="AN5" i="27"/>
  <c r="AM5" i="27"/>
  <c r="AL5" i="27"/>
  <c r="AK5" i="27"/>
  <c r="AJ5" i="27"/>
  <c r="AI5" i="27"/>
  <c r="AH5" i="27"/>
  <c r="AG5" i="27"/>
  <c r="AF5" i="27"/>
  <c r="AE5" i="27"/>
  <c r="AD5" i="27"/>
  <c r="AC5" i="27"/>
  <c r="AB5" i="27"/>
  <c r="AA5" i="27"/>
  <c r="Z5" i="27"/>
  <c r="Y5" i="27"/>
  <c r="X5" i="27"/>
  <c r="W5" i="27"/>
  <c r="V5" i="27"/>
  <c r="U5" i="27"/>
  <c r="T5" i="27"/>
  <c r="S5" i="27"/>
  <c r="R5" i="27"/>
  <c r="Q5" i="27"/>
  <c r="P5" i="27"/>
  <c r="O5" i="27"/>
  <c r="N5" i="27"/>
  <c r="M5" i="27"/>
  <c r="L5" i="27"/>
  <c r="K5" i="27"/>
  <c r="J5" i="27"/>
  <c r="I5" i="27"/>
  <c r="I122" i="27" s="1"/>
  <c r="AE53" i="26"/>
  <c r="AD53" i="26"/>
  <c r="AE52" i="26"/>
  <c r="AD52" i="26"/>
  <c r="AE51" i="26"/>
  <c r="AD51" i="26"/>
  <c r="AE50" i="26"/>
  <c r="AD50" i="26"/>
  <c r="AD49" i="26"/>
  <c r="AE48" i="26"/>
  <c r="AE47" i="26"/>
  <c r="AD47" i="26"/>
  <c r="AE46" i="26"/>
  <c r="AD46" i="26"/>
  <c r="AE45" i="26"/>
  <c r="AD45" i="26"/>
  <c r="AE44" i="26"/>
  <c r="AD44" i="26"/>
  <c r="AE43" i="26"/>
  <c r="AD43" i="26"/>
  <c r="AE42" i="26"/>
  <c r="AD42" i="26"/>
  <c r="AE41" i="26"/>
  <c r="AD41" i="26"/>
  <c r="AE40" i="26"/>
  <c r="AD40" i="26"/>
  <c r="AE39" i="26"/>
  <c r="AD39" i="26"/>
  <c r="AE38" i="26"/>
  <c r="AD38" i="26"/>
  <c r="AE37" i="26"/>
  <c r="AD37" i="26"/>
  <c r="AE36" i="26"/>
  <c r="AD36" i="26"/>
  <c r="AE35" i="26"/>
  <c r="AD35" i="26"/>
  <c r="AE34" i="26"/>
  <c r="AD34" i="26"/>
  <c r="AE33" i="26"/>
  <c r="AD33" i="26"/>
  <c r="AE32" i="26"/>
  <c r="AD32" i="26"/>
  <c r="AE31" i="26"/>
  <c r="AD31" i="26"/>
  <c r="AE30" i="26"/>
  <c r="AD30" i="26"/>
  <c r="AE29" i="26"/>
  <c r="AD29" i="26"/>
  <c r="AE28" i="26"/>
  <c r="AD28" i="26"/>
  <c r="AE27" i="26"/>
  <c r="AD27" i="26"/>
  <c r="AE26" i="26"/>
  <c r="AD26" i="26"/>
  <c r="AE25" i="26"/>
  <c r="AD25" i="26"/>
  <c r="AE24" i="26"/>
  <c r="AD24" i="26"/>
  <c r="AE23" i="26"/>
  <c r="AD23" i="26"/>
  <c r="AE22" i="26"/>
  <c r="AD22" i="26"/>
  <c r="AE21" i="26"/>
  <c r="AD21" i="26"/>
  <c r="AE20" i="26"/>
  <c r="AD20" i="26"/>
  <c r="AE19" i="26"/>
  <c r="AD19" i="26"/>
  <c r="AE18" i="26"/>
  <c r="AD18" i="26"/>
  <c r="AE17" i="26"/>
  <c r="AD17" i="26"/>
  <c r="AE16" i="26"/>
  <c r="AD16" i="26"/>
  <c r="AE15" i="26"/>
  <c r="AD15" i="26"/>
  <c r="AE14" i="26"/>
  <c r="AD14" i="26"/>
  <c r="AE13" i="26"/>
  <c r="AD13" i="26"/>
  <c r="AE12" i="26"/>
  <c r="AD12" i="26"/>
  <c r="AE11" i="26"/>
  <c r="AD11" i="26"/>
  <c r="AE10" i="26"/>
  <c r="AD10" i="26"/>
  <c r="AE9" i="26"/>
  <c r="AD9" i="26"/>
  <c r="AE8" i="26"/>
  <c r="AD8" i="26"/>
  <c r="AE7" i="26"/>
  <c r="AD7" i="26"/>
  <c r="AE6" i="26"/>
  <c r="AD6" i="26"/>
  <c r="AC49" i="26"/>
  <c r="AC48" i="26"/>
  <c r="Z53" i="26"/>
  <c r="Y53" i="26"/>
  <c r="X53" i="26"/>
  <c r="W53" i="26"/>
  <c r="V53" i="26"/>
  <c r="T53" i="26"/>
  <c r="Y52" i="26"/>
  <c r="X52" i="26"/>
  <c r="W52" i="26"/>
  <c r="V52" i="26"/>
  <c r="T52" i="26"/>
  <c r="Z51" i="26"/>
  <c r="X51" i="26"/>
  <c r="W51" i="26"/>
  <c r="V51" i="26"/>
  <c r="T51" i="26"/>
  <c r="Z50" i="26"/>
  <c r="Y50" i="26"/>
  <c r="W50" i="26"/>
  <c r="V50" i="26"/>
  <c r="T50" i="26"/>
  <c r="Z49" i="26"/>
  <c r="Y49" i="26"/>
  <c r="X49" i="26"/>
  <c r="V49" i="26"/>
  <c r="T49" i="26"/>
  <c r="Z48" i="26"/>
  <c r="Y48" i="26"/>
  <c r="X48" i="26"/>
  <c r="W48" i="26"/>
  <c r="T48" i="26"/>
  <c r="Z47" i="26"/>
  <c r="Y47" i="26"/>
  <c r="X47" i="26"/>
  <c r="W47" i="26"/>
  <c r="V47" i="26"/>
  <c r="Z46" i="26"/>
  <c r="Y46" i="26"/>
  <c r="X46" i="26"/>
  <c r="W46" i="26"/>
  <c r="V46" i="26"/>
  <c r="T46" i="26"/>
  <c r="Z45" i="26"/>
  <c r="Y45" i="26"/>
  <c r="X45" i="26"/>
  <c r="W45" i="26"/>
  <c r="V45" i="26"/>
  <c r="T45" i="26"/>
  <c r="Z44" i="26"/>
  <c r="Y44" i="26"/>
  <c r="X44" i="26"/>
  <c r="W44" i="26"/>
  <c r="V44" i="26"/>
  <c r="T44" i="26"/>
  <c r="Z43" i="26"/>
  <c r="Y43" i="26"/>
  <c r="X43" i="26"/>
  <c r="W43" i="26"/>
  <c r="V43" i="26"/>
  <c r="T43" i="26"/>
  <c r="Z42" i="26"/>
  <c r="Y42" i="26"/>
  <c r="X42" i="26"/>
  <c r="W42" i="26"/>
  <c r="V42" i="26"/>
  <c r="T42" i="26"/>
  <c r="Z41" i="26"/>
  <c r="Y41" i="26"/>
  <c r="X41" i="26"/>
  <c r="W41" i="26"/>
  <c r="V41" i="26"/>
  <c r="T41" i="26"/>
  <c r="Z40" i="26"/>
  <c r="Y40" i="26"/>
  <c r="X40" i="26"/>
  <c r="W40" i="26"/>
  <c r="V40" i="26"/>
  <c r="T40" i="26"/>
  <c r="Z39" i="26"/>
  <c r="Y39" i="26"/>
  <c r="X39" i="26"/>
  <c r="W39" i="26"/>
  <c r="V39" i="26"/>
  <c r="T39" i="26"/>
  <c r="Z38" i="26"/>
  <c r="Y38" i="26"/>
  <c r="X38" i="26"/>
  <c r="W38" i="26"/>
  <c r="V38" i="26"/>
  <c r="Z37" i="26"/>
  <c r="Y37" i="26"/>
  <c r="X37" i="26"/>
  <c r="W37" i="26"/>
  <c r="V37" i="26"/>
  <c r="Z36" i="26"/>
  <c r="Y36" i="26"/>
  <c r="X36" i="26"/>
  <c r="W36" i="26"/>
  <c r="V36" i="26"/>
  <c r="Z35" i="26"/>
  <c r="Y35" i="26"/>
  <c r="X35" i="26"/>
  <c r="W35" i="26"/>
  <c r="V35" i="26"/>
  <c r="T35" i="26"/>
  <c r="Z34" i="26"/>
  <c r="Y34" i="26"/>
  <c r="X34" i="26"/>
  <c r="W34" i="26"/>
  <c r="V34" i="26"/>
  <c r="Z33" i="26"/>
  <c r="Y33" i="26"/>
  <c r="X33" i="26"/>
  <c r="W33" i="26"/>
  <c r="V33" i="26"/>
  <c r="Z32" i="26"/>
  <c r="Y32" i="26"/>
  <c r="X32" i="26"/>
  <c r="W32" i="26"/>
  <c r="V32" i="26"/>
  <c r="Z31" i="26"/>
  <c r="Y31" i="26"/>
  <c r="X31" i="26"/>
  <c r="W31" i="26"/>
  <c r="V31" i="26"/>
  <c r="T31" i="26"/>
  <c r="Z30" i="26"/>
  <c r="Y30" i="26"/>
  <c r="X30" i="26"/>
  <c r="W30" i="26"/>
  <c r="V30" i="26"/>
  <c r="T30" i="26"/>
  <c r="Z29" i="26"/>
  <c r="Y29" i="26"/>
  <c r="X29" i="26"/>
  <c r="W29" i="26"/>
  <c r="V29" i="26"/>
  <c r="T29" i="26"/>
  <c r="Z28" i="26"/>
  <c r="Y28" i="26"/>
  <c r="X28" i="26"/>
  <c r="W28" i="26"/>
  <c r="V28" i="26"/>
  <c r="Z27" i="26"/>
  <c r="Y27" i="26"/>
  <c r="X27" i="26"/>
  <c r="W27" i="26"/>
  <c r="V27" i="26"/>
  <c r="T27" i="26"/>
  <c r="Z26" i="26"/>
  <c r="Y26" i="26"/>
  <c r="X26" i="26"/>
  <c r="W26" i="26"/>
  <c r="V26" i="26"/>
  <c r="T26" i="26"/>
  <c r="Z25" i="26"/>
  <c r="Y25" i="26"/>
  <c r="X25" i="26"/>
  <c r="W25" i="26"/>
  <c r="V25" i="26"/>
  <c r="T25" i="26"/>
  <c r="Z24" i="26"/>
  <c r="Y24" i="26"/>
  <c r="X24" i="26"/>
  <c r="W24" i="26"/>
  <c r="V24" i="26"/>
  <c r="T24" i="26"/>
  <c r="Z23" i="26"/>
  <c r="Y23" i="26"/>
  <c r="X23" i="26"/>
  <c r="W23" i="26"/>
  <c r="V23" i="26"/>
  <c r="T23" i="26"/>
  <c r="Z22" i="26"/>
  <c r="Y22" i="26"/>
  <c r="X22" i="26"/>
  <c r="W22" i="26"/>
  <c r="V22" i="26"/>
  <c r="T22" i="26"/>
  <c r="Z21" i="26"/>
  <c r="Y21" i="26"/>
  <c r="X21" i="26"/>
  <c r="W21" i="26"/>
  <c r="V21" i="26"/>
  <c r="T21" i="26"/>
  <c r="Z20" i="26"/>
  <c r="Y20" i="26"/>
  <c r="X20" i="26"/>
  <c r="W20" i="26"/>
  <c r="V20" i="26"/>
  <c r="T20" i="26"/>
  <c r="Z19" i="26"/>
  <c r="Y19" i="26"/>
  <c r="X19" i="26"/>
  <c r="W19" i="26"/>
  <c r="V19" i="26"/>
  <c r="T19" i="26"/>
  <c r="Z18" i="26"/>
  <c r="Y18" i="26"/>
  <c r="X18" i="26"/>
  <c r="W18" i="26"/>
  <c r="V18" i="26"/>
  <c r="T18" i="26"/>
  <c r="Z17" i="26"/>
  <c r="Y17" i="26"/>
  <c r="X17" i="26"/>
  <c r="W17" i="26"/>
  <c r="V17" i="26"/>
  <c r="T17" i="26"/>
  <c r="Z16" i="26"/>
  <c r="Y16" i="26"/>
  <c r="X16" i="26"/>
  <c r="W16" i="26"/>
  <c r="V16" i="26"/>
  <c r="T16" i="26"/>
  <c r="Z15" i="26"/>
  <c r="Y15" i="26"/>
  <c r="X15" i="26"/>
  <c r="W15" i="26"/>
  <c r="V15" i="26"/>
  <c r="T15" i="26"/>
  <c r="Z14" i="26"/>
  <c r="Y14" i="26"/>
  <c r="X14" i="26"/>
  <c r="W14" i="26"/>
  <c r="V14" i="26"/>
  <c r="T14" i="26"/>
  <c r="Z13" i="26"/>
  <c r="Y13" i="26"/>
  <c r="X13" i="26"/>
  <c r="W13" i="26"/>
  <c r="V13" i="26"/>
  <c r="T13" i="26"/>
  <c r="Z12" i="26"/>
  <c r="Y12" i="26"/>
  <c r="X12" i="26"/>
  <c r="W12" i="26"/>
  <c r="V12" i="26"/>
  <c r="T12" i="26"/>
  <c r="Z11" i="26"/>
  <c r="Y11" i="26"/>
  <c r="X11" i="26"/>
  <c r="W11" i="26"/>
  <c r="V11" i="26"/>
  <c r="T11" i="26"/>
  <c r="Z10" i="26"/>
  <c r="Y10" i="26"/>
  <c r="X10" i="26"/>
  <c r="W10" i="26"/>
  <c r="V10" i="26"/>
  <c r="T10" i="26"/>
  <c r="Z9" i="26"/>
  <c r="Y9" i="26"/>
  <c r="X9" i="26"/>
  <c r="W9" i="26"/>
  <c r="V9" i="26"/>
  <c r="T9" i="26"/>
  <c r="Z8" i="26"/>
  <c r="Y8" i="26"/>
  <c r="X8" i="26"/>
  <c r="W8" i="26"/>
  <c r="V8" i="26"/>
  <c r="T8" i="26"/>
  <c r="Z7" i="26"/>
  <c r="Y7" i="26"/>
  <c r="X7" i="26"/>
  <c r="W7" i="26"/>
  <c r="V7" i="26"/>
  <c r="T7" i="26"/>
  <c r="Z6" i="26"/>
  <c r="Y6" i="26"/>
  <c r="X6" i="26"/>
  <c r="W6" i="26"/>
  <c r="V6" i="26"/>
  <c r="T6" i="26"/>
  <c r="S28" i="26"/>
  <c r="S32" i="26"/>
  <c r="S33" i="26"/>
  <c r="S34" i="26"/>
  <c r="S36" i="26"/>
  <c r="S37" i="26"/>
  <c r="S38" i="26"/>
  <c r="S47" i="26"/>
  <c r="S48" i="26"/>
  <c r="S49" i="26"/>
  <c r="S50" i="26"/>
  <c r="S51" i="26"/>
  <c r="S52" i="26"/>
  <c r="S53" i="26"/>
  <c r="M2" i="26"/>
  <c r="F60" i="27" l="1"/>
  <c r="F50" i="27"/>
  <c r="F51" i="27"/>
  <c r="F56" i="27"/>
  <c r="F54" i="27"/>
  <c r="F52" i="27"/>
  <c r="F53" i="27"/>
  <c r="F47" i="27"/>
  <c r="F44" i="27"/>
  <c r="F59" i="27"/>
  <c r="F58" i="27"/>
  <c r="F46" i="27"/>
  <c r="F55" i="27"/>
  <c r="F48" i="27"/>
  <c r="F43" i="27"/>
  <c r="F57" i="27"/>
  <c r="F49" i="27"/>
  <c r="F45" i="27"/>
  <c r="F62" i="27"/>
  <c r="C28" i="105" s="1"/>
  <c r="BC122" i="27"/>
  <c r="BB122" i="27"/>
  <c r="AT67" i="27"/>
  <c r="AX66" i="27"/>
  <c r="I121" i="27"/>
  <c r="I101" i="27"/>
  <c r="I100" i="27"/>
  <c r="I97" i="27"/>
  <c r="I99" i="27"/>
  <c r="I98" i="27"/>
  <c r="I102" i="27"/>
  <c r="I96" i="27"/>
  <c r="BA121" i="27"/>
  <c r="BA100" i="27"/>
  <c r="BA101" i="27"/>
  <c r="BA99" i="27"/>
  <c r="BA102" i="27"/>
  <c r="BA96" i="27"/>
  <c r="BA97" i="27"/>
  <c r="BA98" i="27"/>
  <c r="BE121" i="27"/>
  <c r="BE96" i="27"/>
  <c r="BE100" i="27"/>
  <c r="BE97" i="27"/>
  <c r="BE101" i="27"/>
  <c r="BE99" i="27"/>
  <c r="BE98" i="27"/>
  <c r="BE102" i="27"/>
  <c r="BD121" i="27"/>
  <c r="BD99" i="27"/>
  <c r="BD101" i="27"/>
  <c r="BD102" i="27"/>
  <c r="BD100" i="27"/>
  <c r="BD97" i="27"/>
  <c r="BD98" i="27"/>
  <c r="BD96" i="27"/>
  <c r="BB121" i="27"/>
  <c r="BB101" i="27"/>
  <c r="BB98" i="27"/>
  <c r="BB100" i="27"/>
  <c r="BB97" i="27"/>
  <c r="BB99" i="27"/>
  <c r="BB102" i="27"/>
  <c r="BB96" i="27"/>
  <c r="AZ121" i="27"/>
  <c r="AZ97" i="27"/>
  <c r="AZ99" i="27"/>
  <c r="AZ101" i="27"/>
  <c r="AZ102" i="27"/>
  <c r="AZ98" i="27"/>
  <c r="AZ96" i="27"/>
  <c r="AZ100" i="27"/>
  <c r="BC97" i="27"/>
  <c r="BC96" i="27"/>
  <c r="BC99" i="27"/>
  <c r="BC102" i="27"/>
  <c r="BC98" i="27"/>
  <c r="BC100" i="27"/>
  <c r="BC101" i="27"/>
  <c r="F39" i="27"/>
  <c r="F37" i="27"/>
  <c r="F40" i="27"/>
  <c r="F42" i="27"/>
  <c r="F38" i="27"/>
  <c r="F41" i="27"/>
  <c r="F36" i="27"/>
  <c r="G4" i="27"/>
  <c r="F61" i="27"/>
  <c r="BC121" i="27"/>
  <c r="P70" i="27"/>
  <c r="P67" i="27"/>
  <c r="P83" i="27"/>
  <c r="P75" i="27"/>
  <c r="P74" i="27"/>
  <c r="P78" i="27"/>
  <c r="P76" i="27"/>
  <c r="P88" i="27"/>
  <c r="P66" i="27"/>
  <c r="P68" i="27"/>
  <c r="P82" i="27"/>
  <c r="P72" i="27"/>
  <c r="P79" i="27"/>
  <c r="P87" i="27"/>
  <c r="P86" i="27"/>
  <c r="P71" i="27"/>
  <c r="P84" i="27"/>
  <c r="P73" i="27"/>
  <c r="P85" i="27"/>
  <c r="P80" i="27"/>
  <c r="P69" i="27"/>
  <c r="P81" i="27"/>
  <c r="P77" i="27"/>
  <c r="P89" i="27"/>
  <c r="X67" i="27"/>
  <c r="X75" i="27"/>
  <c r="X78" i="27"/>
  <c r="X83" i="27"/>
  <c r="X68" i="27"/>
  <c r="X76" i="27"/>
  <c r="X66" i="27"/>
  <c r="X88" i="27"/>
  <c r="X70" i="27"/>
  <c r="X82" i="27"/>
  <c r="X87" i="27"/>
  <c r="X74" i="27"/>
  <c r="X79" i="27"/>
  <c r="X77" i="27"/>
  <c r="X84" i="27"/>
  <c r="X69" i="27"/>
  <c r="X86" i="27"/>
  <c r="X89" i="27"/>
  <c r="X71" i="27"/>
  <c r="X72" i="27"/>
  <c r="X80" i="27"/>
  <c r="X73" i="27"/>
  <c r="X81" i="27"/>
  <c r="X85" i="27"/>
  <c r="AN70" i="27"/>
  <c r="AN67" i="27"/>
  <c r="AN83" i="27"/>
  <c r="AN66" i="27"/>
  <c r="AN75" i="27"/>
  <c r="AN68" i="27"/>
  <c r="AN74" i="27"/>
  <c r="AN78" i="27"/>
  <c r="AN88" i="27"/>
  <c r="AN82" i="27"/>
  <c r="AN86" i="27"/>
  <c r="AN76" i="27"/>
  <c r="AN79" i="27"/>
  <c r="AN84" i="27"/>
  <c r="AN89" i="27"/>
  <c r="AN87" i="27"/>
  <c r="AN69" i="27"/>
  <c r="AN77" i="27"/>
  <c r="AN81" i="27"/>
  <c r="AN85" i="27"/>
  <c r="AN80" i="27"/>
  <c r="AN73" i="27"/>
  <c r="AN71" i="27"/>
  <c r="AN72" i="27"/>
  <c r="AZ105" i="27"/>
  <c r="AZ120" i="27"/>
  <c r="AZ118" i="27"/>
  <c r="AZ106" i="27"/>
  <c r="AZ95" i="27"/>
  <c r="AZ115" i="27"/>
  <c r="AZ116" i="27"/>
  <c r="AZ108" i="27"/>
  <c r="AZ110" i="27"/>
  <c r="AZ111" i="27"/>
  <c r="AZ119" i="27"/>
  <c r="AZ112" i="27"/>
  <c r="AZ104" i="27"/>
  <c r="AZ117" i="27"/>
  <c r="AZ93" i="27"/>
  <c r="AZ109" i="27"/>
  <c r="AZ114" i="27"/>
  <c r="AZ107" i="27"/>
  <c r="AZ113" i="27"/>
  <c r="AZ103" i="27"/>
  <c r="AZ92" i="27"/>
  <c r="AZ94" i="27"/>
  <c r="I105" i="27"/>
  <c r="I120" i="27"/>
  <c r="I106" i="27"/>
  <c r="I118" i="27"/>
  <c r="I108" i="27"/>
  <c r="I116" i="27"/>
  <c r="I95" i="27"/>
  <c r="I103" i="27"/>
  <c r="I110" i="27"/>
  <c r="I107" i="27"/>
  <c r="I111" i="27"/>
  <c r="I115" i="27"/>
  <c r="I112" i="27"/>
  <c r="I114" i="27"/>
  <c r="I119" i="27"/>
  <c r="I113" i="27"/>
  <c r="I94" i="27"/>
  <c r="I93" i="27"/>
  <c r="I109" i="27"/>
  <c r="I104" i="27"/>
  <c r="I92" i="27"/>
  <c r="I117" i="27"/>
  <c r="M78" i="27"/>
  <c r="M67" i="27"/>
  <c r="M70" i="27"/>
  <c r="M75" i="27"/>
  <c r="M83" i="27"/>
  <c r="M88" i="27"/>
  <c r="M68" i="27"/>
  <c r="M76" i="27"/>
  <c r="M74" i="27"/>
  <c r="M86" i="27"/>
  <c r="M71" i="27"/>
  <c r="M72" i="27"/>
  <c r="M79" i="27"/>
  <c r="M82" i="27"/>
  <c r="M87" i="27"/>
  <c r="M80" i="27"/>
  <c r="M84" i="27"/>
  <c r="M77" i="27"/>
  <c r="M66" i="27"/>
  <c r="M69" i="27"/>
  <c r="M73" i="27"/>
  <c r="M89" i="27"/>
  <c r="M81" i="27"/>
  <c r="M85" i="27"/>
  <c r="Q67" i="27"/>
  <c r="Q78" i="27"/>
  <c r="Q70" i="27"/>
  <c r="Q75" i="27"/>
  <c r="Q83" i="27"/>
  <c r="Q68" i="27"/>
  <c r="Q88" i="27"/>
  <c r="Q76" i="27"/>
  <c r="Q66" i="27"/>
  <c r="Q74" i="27"/>
  <c r="Q82" i="27"/>
  <c r="Q86" i="27"/>
  <c r="Q71" i="27"/>
  <c r="Q72" i="27"/>
  <c r="Q69" i="27"/>
  <c r="Q73" i="27"/>
  <c r="Q85" i="27"/>
  <c r="Q79" i="27"/>
  <c r="Q80" i="27"/>
  <c r="Q84" i="27"/>
  <c r="Q77" i="27"/>
  <c r="Q87" i="27"/>
  <c r="Q81" i="27"/>
  <c r="Q89" i="27"/>
  <c r="U78" i="27"/>
  <c r="U75" i="27"/>
  <c r="U68" i="27"/>
  <c r="U67" i="27"/>
  <c r="U70" i="27"/>
  <c r="U66" i="27"/>
  <c r="U74" i="27"/>
  <c r="U82" i="27"/>
  <c r="U76" i="27"/>
  <c r="U79" i="27"/>
  <c r="U87" i="27"/>
  <c r="U72" i="27"/>
  <c r="U86" i="27"/>
  <c r="U71" i="27"/>
  <c r="U69" i="27"/>
  <c r="U81" i="27"/>
  <c r="U80" i="27"/>
  <c r="U73" i="27"/>
  <c r="U77" i="27"/>
  <c r="U83" i="27"/>
  <c r="U84" i="27"/>
  <c r="U88" i="27"/>
  <c r="U85" i="27"/>
  <c r="U89" i="27"/>
  <c r="Y70" i="27"/>
  <c r="Y76" i="27"/>
  <c r="Y78" i="27"/>
  <c r="Y75" i="27"/>
  <c r="Y67" i="27"/>
  <c r="Y68" i="27"/>
  <c r="Y88" i="27"/>
  <c r="Y74" i="27"/>
  <c r="Y83" i="27"/>
  <c r="Y71" i="27"/>
  <c r="Y79" i="27"/>
  <c r="Y87" i="27"/>
  <c r="Y86" i="27"/>
  <c r="Y80" i="27"/>
  <c r="Y69" i="27"/>
  <c r="Y84" i="27"/>
  <c r="Y77" i="27"/>
  <c r="Y72" i="27"/>
  <c r="Y81" i="27"/>
  <c r="Y82" i="27"/>
  <c r="Y66" i="27"/>
  <c r="Y73" i="27"/>
  <c r="Y85" i="27"/>
  <c r="Y89" i="27"/>
  <c r="AC78" i="27"/>
  <c r="AC67" i="27"/>
  <c r="AC68" i="27"/>
  <c r="AC75" i="27"/>
  <c r="AC76" i="27"/>
  <c r="AC66" i="27"/>
  <c r="AC74" i="27"/>
  <c r="AC70" i="27"/>
  <c r="AC88" i="27"/>
  <c r="AC86" i="27"/>
  <c r="AC71" i="27"/>
  <c r="AC83" i="27"/>
  <c r="AC82" i="27"/>
  <c r="AC79" i="27"/>
  <c r="AC69" i="27"/>
  <c r="AC72" i="27"/>
  <c r="AC80" i="27"/>
  <c r="AC81" i="27"/>
  <c r="AC89" i="27"/>
  <c r="AC73" i="27"/>
  <c r="AC87" i="27"/>
  <c r="AC84" i="27"/>
  <c r="AC77" i="27"/>
  <c r="AC85" i="27"/>
  <c r="AG78" i="27"/>
  <c r="AG67" i="27"/>
  <c r="AG68" i="27"/>
  <c r="AG70" i="27"/>
  <c r="AG83" i="27"/>
  <c r="AG75" i="27"/>
  <c r="AG66" i="27"/>
  <c r="AG74" i="27"/>
  <c r="AG79" i="27"/>
  <c r="AG86" i="27"/>
  <c r="AG87" i="27"/>
  <c r="AG88" i="27"/>
  <c r="AG82" i="27"/>
  <c r="AG71" i="27"/>
  <c r="AG76" i="27"/>
  <c r="AG80" i="27"/>
  <c r="AG73" i="27"/>
  <c r="AG72" i="27"/>
  <c r="AG69" i="27"/>
  <c r="AG81" i="27"/>
  <c r="AG84" i="27"/>
  <c r="AG77" i="27"/>
  <c r="AG89" i="27"/>
  <c r="AG85" i="27"/>
  <c r="AK70" i="27"/>
  <c r="AK67" i="27"/>
  <c r="AK83" i="27"/>
  <c r="AK76" i="27"/>
  <c r="AK75" i="27"/>
  <c r="AK74" i="27"/>
  <c r="AK78" i="27"/>
  <c r="AK66" i="27"/>
  <c r="AK71" i="27"/>
  <c r="AK87" i="27"/>
  <c r="AK88" i="27"/>
  <c r="AK68" i="27"/>
  <c r="AK86" i="27"/>
  <c r="AK79" i="27"/>
  <c r="AK80" i="27"/>
  <c r="AK82" i="27"/>
  <c r="AK84" i="27"/>
  <c r="AK89" i="27"/>
  <c r="AK72" i="27"/>
  <c r="AK69" i="27"/>
  <c r="AK73" i="27"/>
  <c r="AK77" i="27"/>
  <c r="AK85" i="27"/>
  <c r="AK81" i="27"/>
  <c r="AO67" i="27"/>
  <c r="AO78" i="27"/>
  <c r="AO83" i="27"/>
  <c r="AO70" i="27"/>
  <c r="AO88" i="27"/>
  <c r="AO68" i="27"/>
  <c r="AO66" i="27"/>
  <c r="AO75" i="27"/>
  <c r="AO76" i="27"/>
  <c r="AO86" i="27"/>
  <c r="AO79" i="27"/>
  <c r="AO87" i="27"/>
  <c r="AO74" i="27"/>
  <c r="AO82" i="27"/>
  <c r="AO71" i="27"/>
  <c r="AO80" i="27"/>
  <c r="AO77" i="27"/>
  <c r="AO81" i="27"/>
  <c r="AO85" i="27"/>
  <c r="AO73" i="27"/>
  <c r="AO84" i="27"/>
  <c r="AO69" i="27"/>
  <c r="AO72" i="27"/>
  <c r="AO89" i="27"/>
  <c r="AS70" i="27"/>
  <c r="AS67" i="27"/>
  <c r="AS83" i="27"/>
  <c r="AS76" i="27"/>
  <c r="AS78" i="27"/>
  <c r="AS74" i="27"/>
  <c r="AS68" i="27"/>
  <c r="AS88" i="27"/>
  <c r="AS82" i="27"/>
  <c r="AS71" i="27"/>
  <c r="AS72" i="27"/>
  <c r="AS66" i="27"/>
  <c r="AS75" i="27"/>
  <c r="AS79" i="27"/>
  <c r="AS87" i="27"/>
  <c r="AS84" i="27"/>
  <c r="AS89" i="27"/>
  <c r="AS73" i="27"/>
  <c r="AS85" i="27"/>
  <c r="AS86" i="27"/>
  <c r="AS69" i="27"/>
  <c r="AS80" i="27"/>
  <c r="AS77" i="27"/>
  <c r="AS81" i="27"/>
  <c r="AW70" i="27"/>
  <c r="AW78" i="27"/>
  <c r="AW67" i="27"/>
  <c r="AW75" i="27"/>
  <c r="AW83" i="27"/>
  <c r="AW76" i="27"/>
  <c r="AW74" i="27"/>
  <c r="AW66" i="27"/>
  <c r="AW68" i="27"/>
  <c r="AW82" i="27"/>
  <c r="AW88" i="27"/>
  <c r="AW86" i="27"/>
  <c r="AW87" i="27"/>
  <c r="AW72" i="27"/>
  <c r="AW79" i="27"/>
  <c r="AW69" i="27"/>
  <c r="AW81" i="27"/>
  <c r="AW80" i="27"/>
  <c r="AW73" i="27"/>
  <c r="AW77" i="27"/>
  <c r="AW85" i="27"/>
  <c r="AW71" i="27"/>
  <c r="AW84" i="27"/>
  <c r="AW89" i="27"/>
  <c r="BA105" i="27"/>
  <c r="BA120" i="27"/>
  <c r="BA106" i="27"/>
  <c r="BA118" i="27"/>
  <c r="BA95" i="27"/>
  <c r="BA108" i="27"/>
  <c r="BA116" i="27"/>
  <c r="BA115" i="27"/>
  <c r="BA103" i="27"/>
  <c r="BA112" i="27"/>
  <c r="BA111" i="27"/>
  <c r="BA94" i="27"/>
  <c r="BA114" i="27"/>
  <c r="BA107" i="27"/>
  <c r="BA119" i="27"/>
  <c r="BA92" i="27"/>
  <c r="BA93" i="27"/>
  <c r="BA104" i="27"/>
  <c r="BA109" i="27"/>
  <c r="BA117" i="27"/>
  <c r="BA113" i="27"/>
  <c r="BA110" i="27"/>
  <c r="BE120" i="27"/>
  <c r="BE116" i="27"/>
  <c r="BE112" i="27"/>
  <c r="BE108" i="27"/>
  <c r="BE104" i="27"/>
  <c r="BE93" i="27"/>
  <c r="BE89" i="27"/>
  <c r="BE85" i="27"/>
  <c r="BE79" i="27"/>
  <c r="BE75" i="27"/>
  <c r="BE71" i="27"/>
  <c r="BE119" i="27"/>
  <c r="BE117" i="27"/>
  <c r="BE115" i="27"/>
  <c r="BE113" i="27"/>
  <c r="BE111" i="27"/>
  <c r="BE109" i="27"/>
  <c r="BE107" i="27"/>
  <c r="BE105" i="27"/>
  <c r="BE103" i="27"/>
  <c r="BE94" i="27"/>
  <c r="BE92" i="27"/>
  <c r="BE90" i="27"/>
  <c r="BE88" i="27"/>
  <c r="BE86" i="27"/>
  <c r="BE84" i="27"/>
  <c r="BE82" i="27"/>
  <c r="BE80" i="27"/>
  <c r="BE78" i="27"/>
  <c r="BE76" i="27"/>
  <c r="BE74" i="27"/>
  <c r="BE72" i="27"/>
  <c r="BE70" i="27"/>
  <c r="BE68" i="27"/>
  <c r="BE66" i="27"/>
  <c r="BE118" i="27"/>
  <c r="BE81" i="27"/>
  <c r="BE67" i="27"/>
  <c r="BE114" i="27"/>
  <c r="BE110" i="27"/>
  <c r="BE106" i="27"/>
  <c r="BE95" i="27"/>
  <c r="BE91" i="27"/>
  <c r="BE129" i="27" s="1"/>
  <c r="BE87" i="27"/>
  <c r="BE83" i="27"/>
  <c r="BE77" i="27"/>
  <c r="BE73" i="27"/>
  <c r="BE69" i="27"/>
  <c r="T70" i="27"/>
  <c r="T76" i="27"/>
  <c r="T67" i="27"/>
  <c r="T88" i="27"/>
  <c r="T74" i="27"/>
  <c r="T75" i="27"/>
  <c r="T83" i="27"/>
  <c r="T66" i="27"/>
  <c r="T68" i="27"/>
  <c r="T82" i="27"/>
  <c r="T86" i="27"/>
  <c r="T71" i="27"/>
  <c r="T79" i="27"/>
  <c r="T78" i="27"/>
  <c r="T89" i="27"/>
  <c r="T87" i="27"/>
  <c r="T72" i="27"/>
  <c r="T80" i="27"/>
  <c r="T69" i="27"/>
  <c r="T85" i="27"/>
  <c r="T73" i="27"/>
  <c r="T77" i="27"/>
  <c r="T84" i="27"/>
  <c r="T81" i="27"/>
  <c r="AF70" i="27"/>
  <c r="AF67" i="27"/>
  <c r="AF76" i="27"/>
  <c r="AF78" i="27"/>
  <c r="AF75" i="27"/>
  <c r="AF74" i="27"/>
  <c r="AF83" i="27"/>
  <c r="AF68" i="27"/>
  <c r="AF66" i="27"/>
  <c r="AF86" i="27"/>
  <c r="AF71" i="27"/>
  <c r="AF82" i="27"/>
  <c r="AF87" i="27"/>
  <c r="AF72" i="27"/>
  <c r="AF73" i="27"/>
  <c r="AF77" i="27"/>
  <c r="AF88" i="27"/>
  <c r="AF69" i="27"/>
  <c r="AF81" i="27"/>
  <c r="AF89" i="27"/>
  <c r="AF80" i="27"/>
  <c r="AF84" i="27"/>
  <c r="AF79" i="27"/>
  <c r="AF85" i="27"/>
  <c r="AR78" i="27"/>
  <c r="AR70" i="27"/>
  <c r="AR67" i="27"/>
  <c r="AR88" i="27"/>
  <c r="AR83" i="27"/>
  <c r="AR68" i="27"/>
  <c r="AR76" i="27"/>
  <c r="AR74" i="27"/>
  <c r="AR87" i="27"/>
  <c r="AR66" i="27"/>
  <c r="AR82" i="27"/>
  <c r="AR71" i="27"/>
  <c r="AR79" i="27"/>
  <c r="AR86" i="27"/>
  <c r="AR69" i="27"/>
  <c r="AR73" i="27"/>
  <c r="AR84" i="27"/>
  <c r="AR85" i="27"/>
  <c r="AR75" i="27"/>
  <c r="AR72" i="27"/>
  <c r="AR80" i="27"/>
  <c r="AR77" i="27"/>
  <c r="AR81" i="27"/>
  <c r="AR89" i="27"/>
  <c r="BD105" i="27"/>
  <c r="BD120" i="27"/>
  <c r="BD118" i="27"/>
  <c r="BD116" i="27"/>
  <c r="BD106" i="27"/>
  <c r="BD108" i="27"/>
  <c r="BD115" i="27"/>
  <c r="BD103" i="27"/>
  <c r="BD112" i="27"/>
  <c r="BD95" i="27"/>
  <c r="BD94" i="27"/>
  <c r="BD110" i="27"/>
  <c r="BD114" i="27"/>
  <c r="BD113" i="27"/>
  <c r="BD117" i="27"/>
  <c r="BD107" i="27"/>
  <c r="BD92" i="27"/>
  <c r="BD119" i="27"/>
  <c r="BD111" i="27"/>
  <c r="BD93" i="27"/>
  <c r="BD104" i="27"/>
  <c r="BD109" i="27"/>
  <c r="J70" i="27"/>
  <c r="J75" i="27"/>
  <c r="J78" i="27"/>
  <c r="J88" i="27"/>
  <c r="J68" i="27"/>
  <c r="J76" i="27"/>
  <c r="J74" i="27"/>
  <c r="J82" i="27"/>
  <c r="J71" i="27"/>
  <c r="J87" i="27"/>
  <c r="J83" i="27"/>
  <c r="J66" i="27"/>
  <c r="J86" i="27"/>
  <c r="J67" i="27"/>
  <c r="J79" i="27"/>
  <c r="J72" i="27"/>
  <c r="J85" i="27"/>
  <c r="J89" i="27"/>
  <c r="J81" i="27"/>
  <c r="J73" i="27"/>
  <c r="J77" i="27"/>
  <c r="J80" i="27"/>
  <c r="J84" i="27"/>
  <c r="J69" i="27"/>
  <c r="N70" i="27"/>
  <c r="N67" i="27"/>
  <c r="N83" i="27"/>
  <c r="N78" i="27"/>
  <c r="N76" i="27"/>
  <c r="N66" i="27"/>
  <c r="N75" i="27"/>
  <c r="N68" i="27"/>
  <c r="N72" i="27"/>
  <c r="N88" i="27"/>
  <c r="N87" i="27"/>
  <c r="N86" i="27"/>
  <c r="N71" i="27"/>
  <c r="N74" i="27"/>
  <c r="N84" i="27"/>
  <c r="N73" i="27"/>
  <c r="N80" i="27"/>
  <c r="N79" i="27"/>
  <c r="N77" i="27"/>
  <c r="N81" i="27"/>
  <c r="N82" i="27"/>
  <c r="N69" i="27"/>
  <c r="N89" i="27"/>
  <c r="N85" i="27"/>
  <c r="R67" i="27"/>
  <c r="R75" i="27"/>
  <c r="R76" i="27"/>
  <c r="R70" i="27"/>
  <c r="R83" i="27"/>
  <c r="R88" i="27"/>
  <c r="R74" i="27"/>
  <c r="R82" i="27"/>
  <c r="R68" i="27"/>
  <c r="R86" i="27"/>
  <c r="R79" i="27"/>
  <c r="R78" i="27"/>
  <c r="R66" i="27"/>
  <c r="R87" i="27"/>
  <c r="R84" i="27"/>
  <c r="R77" i="27"/>
  <c r="R80" i="27"/>
  <c r="R81" i="27"/>
  <c r="R71" i="27"/>
  <c r="R73" i="27"/>
  <c r="R85" i="27"/>
  <c r="R72" i="27"/>
  <c r="R69" i="27"/>
  <c r="R89" i="27"/>
  <c r="V78" i="27"/>
  <c r="V70" i="27"/>
  <c r="V76" i="27"/>
  <c r="V67" i="27"/>
  <c r="V88" i="27"/>
  <c r="V74" i="27"/>
  <c r="V75" i="27"/>
  <c r="V83" i="27"/>
  <c r="V68" i="27"/>
  <c r="V66" i="27"/>
  <c r="V82" i="27"/>
  <c r="V86" i="27"/>
  <c r="V79" i="27"/>
  <c r="V71" i="27"/>
  <c r="V72" i="27"/>
  <c r="V84" i="27"/>
  <c r="V73" i="27"/>
  <c r="V77" i="27"/>
  <c r="V81" i="27"/>
  <c r="V89" i="27"/>
  <c r="V80" i="27"/>
  <c r="V87" i="27"/>
  <c r="V69" i="27"/>
  <c r="V85" i="27"/>
  <c r="Z83" i="27"/>
  <c r="Z68" i="27"/>
  <c r="Z78" i="27"/>
  <c r="Z70" i="27"/>
  <c r="Z67" i="27"/>
  <c r="Z66" i="27"/>
  <c r="Z76" i="27"/>
  <c r="Z75" i="27"/>
  <c r="Z74" i="27"/>
  <c r="Z71" i="27"/>
  <c r="Z72" i="27"/>
  <c r="Z88" i="27"/>
  <c r="Z77" i="27"/>
  <c r="Z80" i="27"/>
  <c r="Z82" i="27"/>
  <c r="Z87" i="27"/>
  <c r="Z85" i="27"/>
  <c r="Z89" i="27"/>
  <c r="Z84" i="27"/>
  <c r="Z69" i="27"/>
  <c r="Z73" i="27"/>
  <c r="Z86" i="27"/>
  <c r="Z79" i="27"/>
  <c r="Z81" i="27"/>
  <c r="AD78" i="27"/>
  <c r="AD67" i="27"/>
  <c r="AD75" i="27"/>
  <c r="AD76" i="27"/>
  <c r="AD70" i="27"/>
  <c r="AD68" i="27"/>
  <c r="AD88" i="27"/>
  <c r="AD74" i="27"/>
  <c r="AD86" i="27"/>
  <c r="AD79" i="27"/>
  <c r="AD82" i="27"/>
  <c r="AD87" i="27"/>
  <c r="AD66" i="27"/>
  <c r="AD72" i="27"/>
  <c r="AD83" i="27"/>
  <c r="AD80" i="27"/>
  <c r="AD84" i="27"/>
  <c r="AD81" i="27"/>
  <c r="AD85" i="27"/>
  <c r="AD77" i="27"/>
  <c r="AD69" i="27"/>
  <c r="AD73" i="27"/>
  <c r="AD71" i="27"/>
  <c r="AD89" i="27"/>
  <c r="AH70" i="27"/>
  <c r="AH78" i="27"/>
  <c r="AH83" i="27"/>
  <c r="AH67" i="27"/>
  <c r="AH76" i="27"/>
  <c r="AH66" i="27"/>
  <c r="AH68" i="27"/>
  <c r="AH74" i="27"/>
  <c r="AH88" i="27"/>
  <c r="AH79" i="27"/>
  <c r="AH87" i="27"/>
  <c r="AH75" i="27"/>
  <c r="AH71" i="27"/>
  <c r="AH72" i="27"/>
  <c r="AH86" i="27"/>
  <c r="AH80" i="27"/>
  <c r="AH73" i="27"/>
  <c r="AH84" i="27"/>
  <c r="AH69" i="27"/>
  <c r="AH82" i="27"/>
  <c r="AH77" i="27"/>
  <c r="AH81" i="27"/>
  <c r="AH85" i="27"/>
  <c r="AH89" i="27"/>
  <c r="AL78" i="27"/>
  <c r="AL75" i="27"/>
  <c r="AL88" i="27"/>
  <c r="AL70" i="27"/>
  <c r="AL67" i="27"/>
  <c r="AL83" i="27"/>
  <c r="AL66" i="27"/>
  <c r="AL74" i="27"/>
  <c r="AL76" i="27"/>
  <c r="AL82" i="27"/>
  <c r="AL71" i="27"/>
  <c r="AL87" i="27"/>
  <c r="AL72" i="27"/>
  <c r="AL79" i="27"/>
  <c r="AL85" i="27"/>
  <c r="AL68" i="27"/>
  <c r="AL84" i="27"/>
  <c r="AL69" i="27"/>
  <c r="AL89" i="27"/>
  <c r="AL86" i="27"/>
  <c r="AL80" i="27"/>
  <c r="AL73" i="27"/>
  <c r="AL77" i="27"/>
  <c r="AL81" i="27"/>
  <c r="AP83" i="27"/>
  <c r="AP68" i="27"/>
  <c r="AP70" i="27"/>
  <c r="AP78" i="27"/>
  <c r="AP67" i="27"/>
  <c r="AP75" i="27"/>
  <c r="AP88" i="27"/>
  <c r="AP66" i="27"/>
  <c r="AP74" i="27"/>
  <c r="AP76" i="27"/>
  <c r="AP86" i="27"/>
  <c r="AP71" i="27"/>
  <c r="AP82" i="27"/>
  <c r="AP87" i="27"/>
  <c r="AP72" i="27"/>
  <c r="AP84" i="27"/>
  <c r="AP81" i="27"/>
  <c r="AP79" i="27"/>
  <c r="AP80" i="27"/>
  <c r="AP69" i="27"/>
  <c r="AP77" i="27"/>
  <c r="AP73" i="27"/>
  <c r="AP85" i="27"/>
  <c r="AP89" i="27"/>
  <c r="AT70" i="27"/>
  <c r="AT78" i="27"/>
  <c r="AT75" i="27"/>
  <c r="AT68" i="27"/>
  <c r="AT76" i="27"/>
  <c r="AT88" i="27"/>
  <c r="AT66" i="27"/>
  <c r="AT71" i="27"/>
  <c r="AT87" i="27"/>
  <c r="AT83" i="27"/>
  <c r="AT74" i="27"/>
  <c r="AT82" i="27"/>
  <c r="AT86" i="27"/>
  <c r="AT79" i="27"/>
  <c r="AT80" i="27"/>
  <c r="AT77" i="27"/>
  <c r="AT84" i="27"/>
  <c r="AT85" i="27"/>
  <c r="AT72" i="27"/>
  <c r="AT69" i="27"/>
  <c r="AT73" i="27"/>
  <c r="AT81" i="27"/>
  <c r="AT89" i="27"/>
  <c r="AX70" i="27"/>
  <c r="AX75" i="27"/>
  <c r="AX68" i="27"/>
  <c r="AX88" i="27"/>
  <c r="AX78" i="27"/>
  <c r="AX83" i="27"/>
  <c r="AX74" i="27"/>
  <c r="AX67" i="27"/>
  <c r="AX76" i="27"/>
  <c r="AX82" i="27"/>
  <c r="AX79" i="27"/>
  <c r="AX86" i="27"/>
  <c r="AX71" i="27"/>
  <c r="AX87" i="27"/>
  <c r="AX72" i="27"/>
  <c r="AX69" i="27"/>
  <c r="AX84" i="27"/>
  <c r="AX73" i="27"/>
  <c r="AX81" i="27"/>
  <c r="AX85" i="27"/>
  <c r="AX80" i="27"/>
  <c r="AX77" i="27"/>
  <c r="AX89" i="27"/>
  <c r="BB105" i="27"/>
  <c r="BB120" i="27"/>
  <c r="BB106" i="27"/>
  <c r="BB115" i="27"/>
  <c r="BB112" i="27"/>
  <c r="BB95" i="27"/>
  <c r="BB108" i="27"/>
  <c r="BB118" i="27"/>
  <c r="BB116" i="27"/>
  <c r="BB103" i="27"/>
  <c r="BB110" i="27"/>
  <c r="BB114" i="27"/>
  <c r="BB119" i="27"/>
  <c r="BB94" i="27"/>
  <c r="BB93" i="27"/>
  <c r="BB109" i="27"/>
  <c r="BB117" i="27"/>
  <c r="BB104" i="27"/>
  <c r="BB111" i="27"/>
  <c r="BB92" i="27"/>
  <c r="BB107" i="27"/>
  <c r="BB113" i="27"/>
  <c r="L78" i="27"/>
  <c r="L75" i="27"/>
  <c r="L70" i="27"/>
  <c r="L67" i="27"/>
  <c r="L83" i="27"/>
  <c r="L76" i="27"/>
  <c r="L82" i="27"/>
  <c r="L79" i="27"/>
  <c r="L74" i="27"/>
  <c r="L86" i="27"/>
  <c r="L71" i="27"/>
  <c r="L87" i="27"/>
  <c r="L88" i="27"/>
  <c r="L84" i="27"/>
  <c r="L73" i="27"/>
  <c r="L81" i="27"/>
  <c r="L66" i="27"/>
  <c r="L72" i="27"/>
  <c r="L80" i="27"/>
  <c r="L69" i="27"/>
  <c r="L77" i="27"/>
  <c r="L68" i="27"/>
  <c r="L85" i="27"/>
  <c r="L89" i="27"/>
  <c r="AB70" i="27"/>
  <c r="AB78" i="27"/>
  <c r="AB67" i="27"/>
  <c r="AB83" i="27"/>
  <c r="AB75" i="27"/>
  <c r="AB68" i="27"/>
  <c r="AB76" i="27"/>
  <c r="AB74" i="27"/>
  <c r="AB88" i="27"/>
  <c r="AB86" i="27"/>
  <c r="AB72" i="27"/>
  <c r="AB82" i="27"/>
  <c r="AB79" i="27"/>
  <c r="AB66" i="27"/>
  <c r="AB71" i="27"/>
  <c r="AB87" i="27"/>
  <c r="AB69" i="27"/>
  <c r="AB73" i="27"/>
  <c r="AB89" i="27"/>
  <c r="AB84" i="27"/>
  <c r="AB77" i="27"/>
  <c r="AB80" i="27"/>
  <c r="AB81" i="27"/>
  <c r="AB85" i="27"/>
  <c r="AJ83" i="27"/>
  <c r="AJ70" i="27"/>
  <c r="AJ78" i="27"/>
  <c r="AJ75" i="27"/>
  <c r="AJ88" i="27"/>
  <c r="AJ68" i="27"/>
  <c r="AJ66" i="27"/>
  <c r="AJ74" i="27"/>
  <c r="AJ79" i="27"/>
  <c r="AJ82" i="27"/>
  <c r="AJ71" i="27"/>
  <c r="AJ87" i="27"/>
  <c r="AJ72" i="27"/>
  <c r="AJ80" i="27"/>
  <c r="AJ69" i="27"/>
  <c r="AJ73" i="27"/>
  <c r="AJ77" i="27"/>
  <c r="AJ85" i="27"/>
  <c r="AJ76" i="27"/>
  <c r="AJ81" i="27"/>
  <c r="AJ67" i="27"/>
  <c r="AJ86" i="27"/>
  <c r="AJ84" i="27"/>
  <c r="AJ89" i="27"/>
  <c r="AV70" i="27"/>
  <c r="AV67" i="27"/>
  <c r="AV68" i="27"/>
  <c r="AV74" i="27"/>
  <c r="AV78" i="27"/>
  <c r="AV75" i="27"/>
  <c r="AV83" i="27"/>
  <c r="AV88" i="27"/>
  <c r="AV76" i="27"/>
  <c r="AV66" i="27"/>
  <c r="AV82" i="27"/>
  <c r="AV86" i="27"/>
  <c r="AV71" i="27"/>
  <c r="AV87" i="27"/>
  <c r="AV77" i="27"/>
  <c r="AV81" i="27"/>
  <c r="AV85" i="27"/>
  <c r="AV79" i="27"/>
  <c r="AV72" i="27"/>
  <c r="AV80" i="27"/>
  <c r="AV84" i="27"/>
  <c r="AV69" i="27"/>
  <c r="AV73" i="27"/>
  <c r="AV89" i="27"/>
  <c r="K70" i="27"/>
  <c r="K78" i="27"/>
  <c r="K83" i="27"/>
  <c r="K88" i="27"/>
  <c r="K67" i="27"/>
  <c r="K66" i="27"/>
  <c r="K76" i="27"/>
  <c r="K74" i="27"/>
  <c r="K68" i="27"/>
  <c r="K82" i="27"/>
  <c r="K75" i="27"/>
  <c r="K86" i="27"/>
  <c r="K71" i="27"/>
  <c r="K79" i="27"/>
  <c r="K87" i="27"/>
  <c r="K73" i="27"/>
  <c r="K77" i="27"/>
  <c r="K89" i="27"/>
  <c r="K72" i="27"/>
  <c r="K85" i="27"/>
  <c r="K80" i="27"/>
  <c r="K84" i="27"/>
  <c r="K69" i="27"/>
  <c r="K81" i="27"/>
  <c r="O78" i="27"/>
  <c r="O68" i="27"/>
  <c r="O70" i="27"/>
  <c r="O67" i="27"/>
  <c r="O75" i="27"/>
  <c r="O88" i="27"/>
  <c r="O83" i="27"/>
  <c r="O66" i="27"/>
  <c r="O82" i="27"/>
  <c r="O76" i="27"/>
  <c r="O74" i="27"/>
  <c r="O86" i="27"/>
  <c r="O87" i="27"/>
  <c r="O71" i="27"/>
  <c r="O79" i="27"/>
  <c r="O81" i="27"/>
  <c r="O77" i="27"/>
  <c r="O84" i="27"/>
  <c r="O73" i="27"/>
  <c r="O69" i="27"/>
  <c r="O72" i="27"/>
  <c r="O80" i="27"/>
  <c r="O85" i="27"/>
  <c r="O89" i="27"/>
  <c r="S78" i="27"/>
  <c r="S67" i="27"/>
  <c r="S83" i="27"/>
  <c r="S66" i="27"/>
  <c r="S75" i="27"/>
  <c r="S68" i="27"/>
  <c r="S76" i="27"/>
  <c r="S88" i="27"/>
  <c r="S70" i="27"/>
  <c r="S87" i="27"/>
  <c r="S86" i="27"/>
  <c r="S71" i="27"/>
  <c r="S84" i="27"/>
  <c r="S73" i="27"/>
  <c r="S89" i="27"/>
  <c r="S69" i="27"/>
  <c r="S74" i="27"/>
  <c r="S72" i="27"/>
  <c r="S82" i="27"/>
  <c r="S79" i="27"/>
  <c r="S80" i="27"/>
  <c r="S77" i="27"/>
  <c r="S85" i="27"/>
  <c r="S81" i="27"/>
  <c r="W67" i="27"/>
  <c r="W75" i="27"/>
  <c r="W70" i="27"/>
  <c r="W83" i="27"/>
  <c r="W88" i="27"/>
  <c r="W78" i="27"/>
  <c r="W66" i="27"/>
  <c r="W74" i="27"/>
  <c r="W76" i="27"/>
  <c r="W82" i="27"/>
  <c r="W86" i="27"/>
  <c r="W68" i="27"/>
  <c r="W87" i="27"/>
  <c r="W72" i="27"/>
  <c r="W85" i="27"/>
  <c r="W71" i="27"/>
  <c r="W80" i="27"/>
  <c r="W84" i="27"/>
  <c r="W77" i="27"/>
  <c r="W81" i="27"/>
  <c r="W89" i="27"/>
  <c r="W79" i="27"/>
  <c r="W69" i="27"/>
  <c r="W73" i="27"/>
  <c r="AA70" i="27"/>
  <c r="AA67" i="27"/>
  <c r="AA78" i="27"/>
  <c r="AA75" i="27"/>
  <c r="AA83" i="27"/>
  <c r="AA68" i="27"/>
  <c r="AA76" i="27"/>
  <c r="AA88" i="27"/>
  <c r="AA66" i="27"/>
  <c r="AA74" i="27"/>
  <c r="AA86" i="27"/>
  <c r="AA71" i="27"/>
  <c r="AA82" i="27"/>
  <c r="AA79" i="27"/>
  <c r="AA72" i="27"/>
  <c r="AA80" i="27"/>
  <c r="AA69" i="27"/>
  <c r="AA89" i="27"/>
  <c r="AA87" i="27"/>
  <c r="AA73" i="27"/>
  <c r="AA77" i="27"/>
  <c r="AA84" i="27"/>
  <c r="AA81" i="27"/>
  <c r="AA85" i="27"/>
  <c r="AE70" i="27"/>
  <c r="AE67" i="27"/>
  <c r="AE68" i="27"/>
  <c r="AE88" i="27"/>
  <c r="AE75" i="27"/>
  <c r="AE83" i="27"/>
  <c r="AE76" i="27"/>
  <c r="AE78" i="27"/>
  <c r="AE66" i="27"/>
  <c r="AE82" i="27"/>
  <c r="AE71" i="27"/>
  <c r="AE87" i="27"/>
  <c r="AE79" i="27"/>
  <c r="AE74" i="27"/>
  <c r="AE86" i="27"/>
  <c r="AE77" i="27"/>
  <c r="AE80" i="27"/>
  <c r="AE72" i="27"/>
  <c r="AE84" i="27"/>
  <c r="AE69" i="27"/>
  <c r="AE73" i="27"/>
  <c r="AE81" i="27"/>
  <c r="AE85" i="27"/>
  <c r="AE89" i="27"/>
  <c r="AI70" i="27"/>
  <c r="AI78" i="27"/>
  <c r="AI76" i="27"/>
  <c r="AI68" i="27"/>
  <c r="AI74" i="27"/>
  <c r="AI67" i="27"/>
  <c r="AI83" i="27"/>
  <c r="AI88" i="27"/>
  <c r="AI66" i="27"/>
  <c r="AI82" i="27"/>
  <c r="AI75" i="27"/>
  <c r="AI79" i="27"/>
  <c r="AI87" i="27"/>
  <c r="AI69" i="27"/>
  <c r="AI81" i="27"/>
  <c r="AI84" i="27"/>
  <c r="AI86" i="27"/>
  <c r="AI72" i="27"/>
  <c r="AI73" i="27"/>
  <c r="AI89" i="27"/>
  <c r="AI71" i="27"/>
  <c r="AI77" i="27"/>
  <c r="AI80" i="27"/>
  <c r="AI85" i="27"/>
  <c r="AM78" i="27"/>
  <c r="AM83" i="27"/>
  <c r="AM75" i="27"/>
  <c r="AM70" i="27"/>
  <c r="AM76" i="27"/>
  <c r="AM67" i="27"/>
  <c r="AM88" i="27"/>
  <c r="AM66" i="27"/>
  <c r="AM68" i="27"/>
  <c r="AM82" i="27"/>
  <c r="AM74" i="27"/>
  <c r="AM86" i="27"/>
  <c r="AM71" i="27"/>
  <c r="AM79" i="27"/>
  <c r="AM87" i="27"/>
  <c r="AM85" i="27"/>
  <c r="AM89" i="27"/>
  <c r="AM72" i="27"/>
  <c r="AM80" i="27"/>
  <c r="AM84" i="27"/>
  <c r="AM81" i="27"/>
  <c r="AM73" i="27"/>
  <c r="AM69" i="27"/>
  <c r="AM77" i="27"/>
  <c r="AQ70" i="27"/>
  <c r="AQ75" i="27"/>
  <c r="AQ68" i="27"/>
  <c r="AQ76" i="27"/>
  <c r="AQ78" i="27"/>
  <c r="AQ67" i="27"/>
  <c r="AQ88" i="27"/>
  <c r="AQ66" i="27"/>
  <c r="AQ83" i="27"/>
  <c r="AQ79" i="27"/>
  <c r="AQ87" i="27"/>
  <c r="AQ82" i="27"/>
  <c r="AQ89" i="27"/>
  <c r="AQ69" i="27"/>
  <c r="AQ72" i="27"/>
  <c r="AQ80" i="27"/>
  <c r="AQ73" i="27"/>
  <c r="AQ77" i="27"/>
  <c r="AQ85" i="27"/>
  <c r="AQ74" i="27"/>
  <c r="AQ86" i="27"/>
  <c r="AQ71" i="27"/>
  <c r="AQ84" i="27"/>
  <c r="AQ81" i="27"/>
  <c r="AU78" i="27"/>
  <c r="AU67" i="27"/>
  <c r="AU68" i="27"/>
  <c r="AU66" i="27"/>
  <c r="AU70" i="27"/>
  <c r="AU75" i="27"/>
  <c r="AU83" i="27"/>
  <c r="AU76" i="27"/>
  <c r="AU88" i="27"/>
  <c r="AU74" i="27"/>
  <c r="AU82" i="27"/>
  <c r="AU86" i="27"/>
  <c r="AU71" i="27"/>
  <c r="AU79" i="27"/>
  <c r="AU87" i="27"/>
  <c r="AU72" i="27"/>
  <c r="AU80" i="27"/>
  <c r="AU85" i="27"/>
  <c r="AU89" i="27"/>
  <c r="AU73" i="27"/>
  <c r="AU69" i="27"/>
  <c r="AU77" i="27"/>
  <c r="AU84" i="27"/>
  <c r="AU81" i="27"/>
  <c r="AY67" i="27"/>
  <c r="AY70" i="27"/>
  <c r="AY75" i="27"/>
  <c r="AY68" i="27"/>
  <c r="AY76" i="27"/>
  <c r="AY78" i="27"/>
  <c r="AY88" i="27"/>
  <c r="AY66" i="27"/>
  <c r="AY83" i="27"/>
  <c r="AY74" i="27"/>
  <c r="AY79" i="27"/>
  <c r="AY87" i="27"/>
  <c r="AY82" i="27"/>
  <c r="AY86" i="27"/>
  <c r="AY71" i="27"/>
  <c r="AY69" i="27"/>
  <c r="AY77" i="27"/>
  <c r="AY81" i="27"/>
  <c r="AY80" i="27"/>
  <c r="AY84" i="27"/>
  <c r="AY72" i="27"/>
  <c r="AY73" i="27"/>
  <c r="AY85" i="27"/>
  <c r="AY89" i="27"/>
  <c r="BC105" i="27"/>
  <c r="BC120" i="27"/>
  <c r="BC106" i="27"/>
  <c r="BC115" i="27"/>
  <c r="BC103" i="27"/>
  <c r="BC95" i="27"/>
  <c r="BC112" i="27"/>
  <c r="BC108" i="27"/>
  <c r="BC116" i="27"/>
  <c r="BC118" i="27"/>
  <c r="BC94" i="27"/>
  <c r="BC110" i="27"/>
  <c r="BC114" i="27"/>
  <c r="BC107" i="27"/>
  <c r="BC111" i="27"/>
  <c r="BC109" i="27"/>
  <c r="BC117" i="27"/>
  <c r="BC119" i="27"/>
  <c r="BC92" i="27"/>
  <c r="BC93" i="27"/>
  <c r="BC104" i="27"/>
  <c r="BC113" i="27"/>
  <c r="R49" i="26"/>
  <c r="R48" i="26"/>
  <c r="R46" i="26"/>
  <c r="R44" i="26"/>
  <c r="R43" i="26"/>
  <c r="R42" i="26"/>
  <c r="R41" i="26"/>
  <c r="R40" i="26"/>
  <c r="R39" i="26"/>
  <c r="R35" i="26"/>
  <c r="R31" i="26"/>
  <c r="R30" i="26"/>
  <c r="R29" i="26"/>
  <c r="R27" i="26"/>
  <c r="R26" i="26"/>
  <c r="R25" i="26"/>
  <c r="R24" i="26"/>
  <c r="R23" i="26"/>
  <c r="R22" i="26"/>
  <c r="R21" i="26"/>
  <c r="R20" i="26"/>
  <c r="R19" i="26"/>
  <c r="R18" i="26"/>
  <c r="R17" i="26"/>
  <c r="R16" i="26"/>
  <c r="R15" i="26"/>
  <c r="R14" i="26"/>
  <c r="R13" i="26"/>
  <c r="R12" i="26"/>
  <c r="R11" i="26"/>
  <c r="R10" i="26"/>
  <c r="R9" i="26"/>
  <c r="R8" i="26"/>
  <c r="R7" i="26"/>
  <c r="R6" i="26"/>
  <c r="Q53" i="26"/>
  <c r="Q52" i="26"/>
  <c r="Q51" i="26"/>
  <c r="Q50" i="26"/>
  <c r="Q47" i="26"/>
  <c r="Q38" i="26"/>
  <c r="Q37" i="26"/>
  <c r="Q36" i="26"/>
  <c r="Q34" i="26"/>
  <c r="Q33" i="26"/>
  <c r="Q32" i="26"/>
  <c r="Q28" i="26"/>
  <c r="P47" i="26"/>
  <c r="P46" i="26"/>
  <c r="P45" i="26"/>
  <c r="P44" i="26"/>
  <c r="P43" i="26"/>
  <c r="P42" i="26"/>
  <c r="P41" i="26"/>
  <c r="P40" i="26"/>
  <c r="P39" i="26"/>
  <c r="P38" i="26"/>
  <c r="P37" i="26"/>
  <c r="P36" i="26"/>
  <c r="P35" i="26"/>
  <c r="P34" i="26"/>
  <c r="P33" i="26"/>
  <c r="P32" i="26"/>
  <c r="P31" i="26"/>
  <c r="P30" i="26"/>
  <c r="P29" i="26"/>
  <c r="P28" i="26"/>
  <c r="P27" i="26"/>
  <c r="P26" i="26"/>
  <c r="P25" i="26"/>
  <c r="P24" i="26"/>
  <c r="P23" i="26"/>
  <c r="P22" i="26"/>
  <c r="P21" i="26"/>
  <c r="P20" i="26"/>
  <c r="P19" i="26"/>
  <c r="P18" i="26"/>
  <c r="P17" i="26"/>
  <c r="P16" i="26"/>
  <c r="P15" i="26"/>
  <c r="P14" i="26"/>
  <c r="P13" i="26"/>
  <c r="P12" i="26"/>
  <c r="P11" i="26"/>
  <c r="P10" i="26"/>
  <c r="P9" i="26"/>
  <c r="P8" i="26"/>
  <c r="P7" i="26"/>
  <c r="P6" i="26"/>
  <c r="O53" i="26"/>
  <c r="O52" i="26"/>
  <c r="O51" i="26"/>
  <c r="O50" i="26"/>
  <c r="O49" i="26"/>
  <c r="O48" i="26"/>
  <c r="AP43" i="27" l="1"/>
  <c r="N43" i="27"/>
  <c r="Z43" i="27"/>
  <c r="AL43" i="27"/>
  <c r="BB43" i="27"/>
  <c r="V43" i="27"/>
  <c r="AD43" i="27"/>
  <c r="AJ43" i="27"/>
  <c r="Q43" i="27"/>
  <c r="AW43" i="27"/>
  <c r="BC43" i="27"/>
  <c r="AA43" i="27"/>
  <c r="BE43" i="27"/>
  <c r="AX43" i="27"/>
  <c r="K43" i="27"/>
  <c r="AN43" i="27"/>
  <c r="U43" i="27"/>
  <c r="BA43" i="27"/>
  <c r="W43" i="27"/>
  <c r="Y43" i="27"/>
  <c r="AY43" i="27"/>
  <c r="AH43" i="27"/>
  <c r="L43" i="27"/>
  <c r="AR43" i="27"/>
  <c r="S43" i="27"/>
  <c r="M43" i="27"/>
  <c r="R43" i="27"/>
  <c r="P43" i="27"/>
  <c r="AV43" i="27"/>
  <c r="AC43" i="27"/>
  <c r="AI43" i="27"/>
  <c r="O43" i="27"/>
  <c r="AK43" i="27"/>
  <c r="AS43" i="27"/>
  <c r="T43" i="27"/>
  <c r="AG43" i="27"/>
  <c r="AM43" i="27"/>
  <c r="J43" i="27"/>
  <c r="X43" i="27"/>
  <c r="BD43" i="27"/>
  <c r="AQ43" i="27"/>
  <c r="AF43" i="27"/>
  <c r="AE43" i="27"/>
  <c r="AB43" i="27"/>
  <c r="I43" i="27"/>
  <c r="AO43" i="27"/>
  <c r="AU43" i="27"/>
  <c r="AT43" i="27"/>
  <c r="E43" i="27"/>
  <c r="E53" i="27"/>
  <c r="Z53" i="27"/>
  <c r="AF53" i="27"/>
  <c r="AK53" i="27"/>
  <c r="AQ53" i="27"/>
  <c r="S53" i="27"/>
  <c r="AN53" i="27"/>
  <c r="I53" i="27"/>
  <c r="AO53" i="27"/>
  <c r="AU53" i="27"/>
  <c r="O53" i="27"/>
  <c r="R53" i="27"/>
  <c r="K53" i="27"/>
  <c r="AV53" i="27"/>
  <c r="M53" i="27"/>
  <c r="AS53" i="27"/>
  <c r="AY53" i="27"/>
  <c r="V53" i="27"/>
  <c r="BD53" i="27"/>
  <c r="Q53" i="27"/>
  <c r="AW53" i="27"/>
  <c r="BC53" i="27"/>
  <c r="AH53" i="27"/>
  <c r="AX53" i="27"/>
  <c r="AP53" i="27"/>
  <c r="AL53" i="27"/>
  <c r="L53" i="27"/>
  <c r="U53" i="27"/>
  <c r="BA53" i="27"/>
  <c r="AB53" i="27"/>
  <c r="AD53" i="27"/>
  <c r="AT53" i="27"/>
  <c r="P53" i="27"/>
  <c r="Y53" i="27"/>
  <c r="BE53" i="27"/>
  <c r="AJ53" i="27"/>
  <c r="AE53" i="27"/>
  <c r="N53" i="27"/>
  <c r="BB53" i="27"/>
  <c r="T53" i="27"/>
  <c r="AC53" i="27"/>
  <c r="AI53" i="27"/>
  <c r="AA53" i="27"/>
  <c r="J53" i="27"/>
  <c r="W53" i="27"/>
  <c r="AR53" i="27"/>
  <c r="X53" i="27"/>
  <c r="AG53" i="27"/>
  <c r="AM53" i="27"/>
  <c r="E47" i="27"/>
  <c r="I47" i="27"/>
  <c r="G12" i="27"/>
  <c r="G60" i="27"/>
  <c r="G44" i="27"/>
  <c r="G54" i="27"/>
  <c r="G47" i="27"/>
  <c r="G48" i="27"/>
  <c r="G50" i="27"/>
  <c r="G51" i="27"/>
  <c r="G56" i="27"/>
  <c r="G55" i="27"/>
  <c r="G52" i="27"/>
  <c r="G53" i="27"/>
  <c r="G59" i="27"/>
  <c r="G58" i="27"/>
  <c r="G49" i="27"/>
  <c r="G46" i="27"/>
  <c r="G43" i="27"/>
  <c r="G57" i="27"/>
  <c r="G45" i="27"/>
  <c r="AN48" i="27"/>
  <c r="AT48" i="27"/>
  <c r="AD48" i="27"/>
  <c r="BD48" i="27"/>
  <c r="BA48" i="27"/>
  <c r="J48" i="27"/>
  <c r="AG48" i="27"/>
  <c r="Q48" i="27"/>
  <c r="N48" i="27"/>
  <c r="BB48" i="27"/>
  <c r="R48" i="27"/>
  <c r="M48" i="27"/>
  <c r="V48" i="27"/>
  <c r="T48" i="27"/>
  <c r="AC48" i="27"/>
  <c r="I48" i="27"/>
  <c r="L48" i="27"/>
  <c r="AB48" i="27"/>
  <c r="AJ48" i="27"/>
  <c r="Y48" i="27"/>
  <c r="AL48" i="27"/>
  <c r="AH48" i="27"/>
  <c r="AR48" i="27"/>
  <c r="Z48" i="27"/>
  <c r="AE48" i="27"/>
  <c r="X48" i="27"/>
  <c r="AO48" i="27"/>
  <c r="AX48" i="27"/>
  <c r="U48" i="27"/>
  <c r="AM48" i="27"/>
  <c r="P48" i="27"/>
  <c r="AQ48" i="27"/>
  <c r="K48" i="27"/>
  <c r="AU48" i="27"/>
  <c r="O48" i="27"/>
  <c r="AY48" i="27"/>
  <c r="AF48" i="27"/>
  <c r="AV48" i="27"/>
  <c r="S48" i="27"/>
  <c r="BC48" i="27"/>
  <c r="AS48" i="27"/>
  <c r="AP48" i="27"/>
  <c r="W48" i="27"/>
  <c r="AW48" i="27"/>
  <c r="AK48" i="27"/>
  <c r="AA48" i="27"/>
  <c r="BE48" i="27"/>
  <c r="AI48" i="27"/>
  <c r="E48" i="27"/>
  <c r="AF52" i="27"/>
  <c r="AN52" i="27"/>
  <c r="BE52" i="27"/>
  <c r="AJ52" i="27"/>
  <c r="BB52" i="27"/>
  <c r="BD52" i="27"/>
  <c r="AK52" i="27"/>
  <c r="AY52" i="27"/>
  <c r="AL52" i="27"/>
  <c r="AP52" i="27"/>
  <c r="I52" i="27"/>
  <c r="AO52" i="27"/>
  <c r="BC52" i="27"/>
  <c r="E52" i="27"/>
  <c r="E57" i="27"/>
  <c r="AS57" i="27"/>
  <c r="L57" i="27"/>
  <c r="V57" i="27"/>
  <c r="AA57" i="27"/>
  <c r="AF57" i="27"/>
  <c r="P57" i="27"/>
  <c r="AT57" i="27"/>
  <c r="BC57" i="27"/>
  <c r="W57" i="27"/>
  <c r="J57" i="27"/>
  <c r="R57" i="27"/>
  <c r="BB57" i="27"/>
  <c r="AO57" i="27"/>
  <c r="AY57" i="27"/>
  <c r="S57" i="27"/>
  <c r="AW57" i="27"/>
  <c r="AJ57" i="27"/>
  <c r="AU57" i="27"/>
  <c r="O57" i="27"/>
  <c r="AN57" i="27"/>
  <c r="BD57" i="27"/>
  <c r="AX57" i="27"/>
  <c r="BE57" i="27"/>
  <c r="AR57" i="27"/>
  <c r="AD57" i="27"/>
  <c r="I57" i="27"/>
  <c r="AQ57" i="27"/>
  <c r="X57" i="27"/>
  <c r="AP57" i="27"/>
  <c r="AH57" i="27"/>
  <c r="AV57" i="27"/>
  <c r="AL57" i="27"/>
  <c r="Y57" i="27"/>
  <c r="M57" i="27"/>
  <c r="AM57" i="27"/>
  <c r="BA57" i="27"/>
  <c r="N57" i="27"/>
  <c r="AC57" i="27"/>
  <c r="U57" i="27"/>
  <c r="AK57" i="27"/>
  <c r="AG57" i="27"/>
  <c r="T57" i="27"/>
  <c r="Q57" i="27"/>
  <c r="AI57" i="27"/>
  <c r="Z57" i="27"/>
  <c r="K57" i="27"/>
  <c r="AB57" i="27"/>
  <c r="AE57" i="27"/>
  <c r="U55" i="27"/>
  <c r="BA55" i="27"/>
  <c r="BD55" i="27"/>
  <c r="AT55" i="27"/>
  <c r="AY55" i="27"/>
  <c r="S55" i="27"/>
  <c r="AR55" i="27"/>
  <c r="Y55" i="27"/>
  <c r="BE55" i="27"/>
  <c r="AV55" i="27"/>
  <c r="AL55" i="27"/>
  <c r="AU55" i="27"/>
  <c r="O55" i="27"/>
  <c r="AJ55" i="27"/>
  <c r="AC55" i="27"/>
  <c r="AN55" i="27"/>
  <c r="AD55" i="27"/>
  <c r="AQ55" i="27"/>
  <c r="AX55" i="27"/>
  <c r="AB55" i="27"/>
  <c r="AG55" i="27"/>
  <c r="AF55" i="27"/>
  <c r="R55" i="27"/>
  <c r="V55" i="27"/>
  <c r="AM55" i="27"/>
  <c r="AH55" i="27"/>
  <c r="T55" i="27"/>
  <c r="AK55" i="27"/>
  <c r="X55" i="27"/>
  <c r="N55" i="27"/>
  <c r="AI55" i="27"/>
  <c r="Z55" i="27"/>
  <c r="K55" i="27"/>
  <c r="I55" i="27"/>
  <c r="AO55" i="27"/>
  <c r="P55" i="27"/>
  <c r="AE55" i="27"/>
  <c r="AP55" i="27"/>
  <c r="J55" i="27"/>
  <c r="M55" i="27"/>
  <c r="AS55" i="27"/>
  <c r="AA55" i="27"/>
  <c r="L55" i="27"/>
  <c r="BC55" i="27"/>
  <c r="Q55" i="27"/>
  <c r="W55" i="27"/>
  <c r="AW55" i="27"/>
  <c r="BB55" i="27"/>
  <c r="E55" i="27"/>
  <c r="I54" i="27"/>
  <c r="E54" i="27"/>
  <c r="AJ46" i="27"/>
  <c r="M46" i="27"/>
  <c r="AC46" i="27"/>
  <c r="Q46" i="27"/>
  <c r="R46" i="27"/>
  <c r="T46" i="27"/>
  <c r="J46" i="27"/>
  <c r="V46" i="27"/>
  <c r="L46" i="27"/>
  <c r="AT46" i="27"/>
  <c r="BB46" i="27"/>
  <c r="AB46" i="27"/>
  <c r="AR46" i="27"/>
  <c r="AS46" i="27"/>
  <c r="BE46" i="27"/>
  <c r="AH46" i="27"/>
  <c r="AL46" i="27"/>
  <c r="I46" i="27"/>
  <c r="AX46" i="27"/>
  <c r="AW46" i="27"/>
  <c r="Y46" i="27"/>
  <c r="AD46" i="27"/>
  <c r="AO46" i="27"/>
  <c r="N46" i="27"/>
  <c r="AK46" i="27"/>
  <c r="W46" i="27"/>
  <c r="BC46" i="27"/>
  <c r="AY46" i="27"/>
  <c r="BD46" i="27"/>
  <c r="AF46" i="27"/>
  <c r="AA46" i="27"/>
  <c r="AG46" i="27"/>
  <c r="X46" i="27"/>
  <c r="Z46" i="27"/>
  <c r="AE46" i="27"/>
  <c r="S46" i="27"/>
  <c r="U46" i="27"/>
  <c r="AI46" i="27"/>
  <c r="AN46" i="27"/>
  <c r="P46" i="27"/>
  <c r="AM46" i="27"/>
  <c r="BA46" i="27"/>
  <c r="K46" i="27"/>
  <c r="AQ46" i="27"/>
  <c r="AP46" i="27"/>
  <c r="AV46" i="27"/>
  <c r="O46" i="27"/>
  <c r="AU46" i="27"/>
  <c r="E46" i="27"/>
  <c r="E56" i="27"/>
  <c r="X56" i="27"/>
  <c r="AR56" i="27"/>
  <c r="AL56" i="27"/>
  <c r="AC56" i="27"/>
  <c r="AM56" i="27"/>
  <c r="K56" i="27"/>
  <c r="AF56" i="27"/>
  <c r="AB56" i="27"/>
  <c r="AX56" i="27"/>
  <c r="AG56" i="27"/>
  <c r="AI56" i="27"/>
  <c r="V56" i="27"/>
  <c r="P56" i="27"/>
  <c r="AP56" i="27"/>
  <c r="AK56" i="27"/>
  <c r="AE56" i="27"/>
  <c r="L56" i="27"/>
  <c r="AH56" i="27"/>
  <c r="I56" i="27"/>
  <c r="AO56" i="27"/>
  <c r="AA56" i="27"/>
  <c r="Z56" i="27"/>
  <c r="M56" i="27"/>
  <c r="AS56" i="27"/>
  <c r="BC56" i="27"/>
  <c r="W56" i="27"/>
  <c r="AJ56" i="27"/>
  <c r="AD56" i="27"/>
  <c r="AN56" i="27"/>
  <c r="R56" i="27"/>
  <c r="Q56" i="27"/>
  <c r="AW56" i="27"/>
  <c r="AY56" i="27"/>
  <c r="S56" i="27"/>
  <c r="N56" i="27"/>
  <c r="T56" i="27"/>
  <c r="J56" i="27"/>
  <c r="U56" i="27"/>
  <c r="BA56" i="27"/>
  <c r="AU56" i="27"/>
  <c r="O56" i="27"/>
  <c r="AQ56" i="27"/>
  <c r="AT56" i="27"/>
  <c r="BB56" i="27"/>
  <c r="Y56" i="27"/>
  <c r="BE56" i="27"/>
  <c r="BD56" i="27"/>
  <c r="AV56" i="27"/>
  <c r="E58" i="27"/>
  <c r="BE58" i="27"/>
  <c r="I58" i="27"/>
  <c r="E51" i="27"/>
  <c r="AA51" i="27"/>
  <c r="BC51" i="27"/>
  <c r="AQ51" i="27"/>
  <c r="AR51" i="27"/>
  <c r="AC51" i="27"/>
  <c r="AW51" i="27"/>
  <c r="AP51" i="27"/>
  <c r="AB51" i="27"/>
  <c r="Q51" i="27"/>
  <c r="AL51" i="27"/>
  <c r="V51" i="27"/>
  <c r="AH51" i="27"/>
  <c r="J51" i="27"/>
  <c r="BA51" i="27"/>
  <c r="AT51" i="27"/>
  <c r="AF51" i="27"/>
  <c r="R51" i="27"/>
  <c r="W51" i="27"/>
  <c r="S51" i="27"/>
  <c r="BE51" i="27"/>
  <c r="AX51" i="27"/>
  <c r="K51" i="27"/>
  <c r="AJ51" i="27"/>
  <c r="M51" i="27"/>
  <c r="AY51" i="27"/>
  <c r="I51" i="27"/>
  <c r="Y51" i="27"/>
  <c r="N51" i="27"/>
  <c r="BB51" i="27"/>
  <c r="O51" i="27"/>
  <c r="AN51" i="27"/>
  <c r="AG51" i="27"/>
  <c r="AD51" i="27"/>
  <c r="U51" i="27"/>
  <c r="L51" i="27"/>
  <c r="BD51" i="27"/>
  <c r="AI51" i="27"/>
  <c r="Z51" i="27"/>
  <c r="P51" i="27"/>
  <c r="AV51" i="27"/>
  <c r="AO51" i="27"/>
  <c r="AE51" i="27"/>
  <c r="T51" i="27"/>
  <c r="AM51" i="27"/>
  <c r="AU51" i="27"/>
  <c r="AS51" i="27"/>
  <c r="AK51" i="27"/>
  <c r="X51" i="27"/>
  <c r="AL45" i="27"/>
  <c r="Y45" i="27"/>
  <c r="BB45" i="27"/>
  <c r="BE45" i="27"/>
  <c r="J45" i="27"/>
  <c r="AT45" i="27"/>
  <c r="AB45" i="27"/>
  <c r="AV45" i="27"/>
  <c r="AJ45" i="27"/>
  <c r="T45" i="27"/>
  <c r="AW45" i="27"/>
  <c r="Z45" i="27"/>
  <c r="AR45" i="27"/>
  <c r="AO45" i="27"/>
  <c r="P45" i="27"/>
  <c r="AK45" i="27"/>
  <c r="N45" i="27"/>
  <c r="AF45" i="27"/>
  <c r="AD45" i="27"/>
  <c r="AP45" i="27"/>
  <c r="U45" i="27"/>
  <c r="V45" i="27"/>
  <c r="R45" i="27"/>
  <c r="AA45" i="27"/>
  <c r="AE45" i="27"/>
  <c r="AG45" i="27"/>
  <c r="BD45" i="27"/>
  <c r="M45" i="27"/>
  <c r="BC45" i="27"/>
  <c r="W45" i="27"/>
  <c r="S45" i="27"/>
  <c r="AX45" i="27"/>
  <c r="AY45" i="27"/>
  <c r="I45" i="27"/>
  <c r="AS45" i="27"/>
  <c r="AU45" i="27"/>
  <c r="O45" i="27"/>
  <c r="BA45" i="27"/>
  <c r="AN45" i="27"/>
  <c r="AQ45" i="27"/>
  <c r="AH45" i="27"/>
  <c r="Q45" i="27"/>
  <c r="AM45" i="27"/>
  <c r="K45" i="27"/>
  <c r="AC45" i="27"/>
  <c r="L45" i="27"/>
  <c r="AI45" i="27"/>
  <c r="X45" i="27"/>
  <c r="E45" i="27"/>
  <c r="I59" i="27"/>
  <c r="E59" i="27"/>
  <c r="BA50" i="27"/>
  <c r="V50" i="27"/>
  <c r="K50" i="27"/>
  <c r="AQ50" i="27"/>
  <c r="AB50" i="27"/>
  <c r="AC50" i="27"/>
  <c r="J50" i="27"/>
  <c r="AK50" i="27"/>
  <c r="N50" i="27"/>
  <c r="O50" i="27"/>
  <c r="AU50" i="27"/>
  <c r="AF50" i="27"/>
  <c r="AS50" i="27"/>
  <c r="AG50" i="27"/>
  <c r="U50" i="27"/>
  <c r="S50" i="27"/>
  <c r="AY50" i="27"/>
  <c r="AX50" i="27"/>
  <c r="W50" i="27"/>
  <c r="BC50" i="27"/>
  <c r="AN50" i="27"/>
  <c r="I50" i="27"/>
  <c r="AW50" i="27"/>
  <c r="BB50" i="27"/>
  <c r="AP50" i="27"/>
  <c r="AA50" i="27"/>
  <c r="L50" i="27"/>
  <c r="AR50" i="27"/>
  <c r="M50" i="27"/>
  <c r="Y50" i="27"/>
  <c r="Q50" i="27"/>
  <c r="AT50" i="27"/>
  <c r="AH50" i="27"/>
  <c r="AE50" i="27"/>
  <c r="P50" i="27"/>
  <c r="AV50" i="27"/>
  <c r="AO50" i="27"/>
  <c r="AL50" i="27"/>
  <c r="Z50" i="27"/>
  <c r="AI50" i="27"/>
  <c r="T50" i="27"/>
  <c r="BE50" i="27"/>
  <c r="AM50" i="27"/>
  <c r="X50" i="27"/>
  <c r="AJ50" i="27"/>
  <c r="BD50" i="27"/>
  <c r="R50" i="27"/>
  <c r="AD50" i="27"/>
  <c r="E50" i="27"/>
  <c r="E49" i="27"/>
  <c r="AE49" i="27"/>
  <c r="AY49" i="27"/>
  <c r="X49" i="27"/>
  <c r="I49" i="27"/>
  <c r="AW49" i="27"/>
  <c r="AX49" i="27"/>
  <c r="O49" i="27"/>
  <c r="AH49" i="27"/>
  <c r="AU49" i="27"/>
  <c r="L49" i="27"/>
  <c r="P49" i="27"/>
  <c r="AN49" i="27"/>
  <c r="J49" i="27"/>
  <c r="Y49" i="27"/>
  <c r="BE49" i="27"/>
  <c r="Q49" i="27"/>
  <c r="AI49" i="27"/>
  <c r="AF49" i="27"/>
  <c r="AJ49" i="27"/>
  <c r="BD49" i="27"/>
  <c r="N49" i="27"/>
  <c r="AL49" i="27"/>
  <c r="U49" i="27"/>
  <c r="AO49" i="27"/>
  <c r="T49" i="27"/>
  <c r="AB49" i="27"/>
  <c r="K49" i="27"/>
  <c r="R49" i="27"/>
  <c r="AT49" i="27"/>
  <c r="AK49" i="27"/>
  <c r="AQ49" i="27"/>
  <c r="AV49" i="27"/>
  <c r="V49" i="27"/>
  <c r="BB49" i="27"/>
  <c r="AS49" i="27"/>
  <c r="AR49" i="27"/>
  <c r="W49" i="27"/>
  <c r="Z49" i="27"/>
  <c r="M49" i="27"/>
  <c r="BA49" i="27"/>
  <c r="BC49" i="27"/>
  <c r="AA49" i="27"/>
  <c r="S49" i="27"/>
  <c r="AM49" i="27"/>
  <c r="AD49" i="27"/>
  <c r="AC49" i="27"/>
  <c r="AG49" i="27"/>
  <c r="AP49" i="27"/>
  <c r="E44" i="27"/>
  <c r="I44" i="27"/>
  <c r="E60" i="27"/>
  <c r="I60" i="27"/>
  <c r="O28" i="105"/>
  <c r="C29" i="105"/>
  <c r="F28" i="105"/>
  <c r="I42" i="37"/>
  <c r="E62" i="27"/>
  <c r="BE62" i="27"/>
  <c r="BJ62" i="27" s="1"/>
  <c r="AB28" i="105" s="1"/>
  <c r="G62" i="27"/>
  <c r="AW122" i="27" s="1"/>
  <c r="BE134" i="27"/>
  <c r="X61" i="27"/>
  <c r="AN61" i="27"/>
  <c r="BD61" i="27"/>
  <c r="AY61" i="27"/>
  <c r="U61" i="27"/>
  <c r="AK61" i="27"/>
  <c r="J61" i="27"/>
  <c r="Z61" i="27"/>
  <c r="AP61" i="27"/>
  <c r="K61" i="27"/>
  <c r="AU61" i="27"/>
  <c r="AJ61" i="27"/>
  <c r="Q61" i="27"/>
  <c r="AW61" i="27"/>
  <c r="V61" i="27"/>
  <c r="BB61" i="27"/>
  <c r="L61" i="27"/>
  <c r="AB61" i="27"/>
  <c r="AR61" i="27"/>
  <c r="S61" i="27"/>
  <c r="I61" i="27"/>
  <c r="W27" i="105" s="1"/>
  <c r="Y61" i="27"/>
  <c r="AO61" i="27"/>
  <c r="BE61" i="27"/>
  <c r="N61" i="27"/>
  <c r="AD61" i="27"/>
  <c r="AT61" i="27"/>
  <c r="O61" i="27"/>
  <c r="BC61" i="27"/>
  <c r="P61" i="27"/>
  <c r="AF61" i="27"/>
  <c r="AV61" i="27"/>
  <c r="AE61" i="27"/>
  <c r="M61" i="27"/>
  <c r="AC61" i="27"/>
  <c r="AS61" i="27"/>
  <c r="W61" i="27"/>
  <c r="R61" i="27"/>
  <c r="AH61" i="27"/>
  <c r="AX61" i="27"/>
  <c r="AA61" i="27"/>
  <c r="T61" i="27"/>
  <c r="AM61" i="27"/>
  <c r="AG61" i="27"/>
  <c r="AQ61" i="27"/>
  <c r="AL61" i="27"/>
  <c r="AI61" i="27"/>
  <c r="AZ61" i="27"/>
  <c r="G13" i="27"/>
  <c r="G18" i="27"/>
  <c r="G29" i="27"/>
  <c r="G24" i="27"/>
  <c r="G34" i="27"/>
  <c r="G7" i="27"/>
  <c r="G23" i="27"/>
  <c r="G61" i="27"/>
  <c r="AY121" i="27" s="1"/>
  <c r="G6" i="27"/>
  <c r="G36" i="27"/>
  <c r="G40" i="27"/>
  <c r="G39" i="27"/>
  <c r="G42" i="27"/>
  <c r="G38" i="27"/>
  <c r="G41" i="27"/>
  <c r="G37" i="27"/>
  <c r="E42" i="27"/>
  <c r="I42" i="27"/>
  <c r="E36" i="27"/>
  <c r="I36" i="27"/>
  <c r="E40" i="27"/>
  <c r="I40" i="27"/>
  <c r="I41" i="27"/>
  <c r="E41" i="27"/>
  <c r="E37" i="27"/>
  <c r="I37" i="27"/>
  <c r="W24" i="105" s="1"/>
  <c r="I38" i="27"/>
  <c r="W25" i="105" s="1"/>
  <c r="E38" i="27"/>
  <c r="I39" i="27"/>
  <c r="W16" i="105" s="1"/>
  <c r="E39" i="27"/>
  <c r="G31" i="27"/>
  <c r="G22" i="27"/>
  <c r="G15" i="27"/>
  <c r="G28" i="27"/>
  <c r="G19" i="27"/>
  <c r="G17" i="27"/>
  <c r="G33" i="27"/>
  <c r="G10" i="27"/>
  <c r="G26" i="27"/>
  <c r="G16" i="27"/>
  <c r="G32" i="27"/>
  <c r="G27" i="27"/>
  <c r="G8" i="27"/>
  <c r="G21" i="27"/>
  <c r="G11" i="27"/>
  <c r="G14" i="27"/>
  <c r="G30" i="27"/>
  <c r="G20" i="27"/>
  <c r="G35" i="27"/>
  <c r="G9" i="27"/>
  <c r="G25" i="27"/>
  <c r="E61" i="27"/>
  <c r="BE123" i="27"/>
  <c r="F11" i="13"/>
  <c r="E11" i="13"/>
  <c r="I48" i="26" s="1"/>
  <c r="D11" i="13"/>
  <c r="H48" i="26" s="1"/>
  <c r="C11" i="13"/>
  <c r="G48" i="26" s="1"/>
  <c r="I49" i="26"/>
  <c r="I50" i="26"/>
  <c r="I51" i="26"/>
  <c r="I52" i="26"/>
  <c r="H52" i="26"/>
  <c r="H51" i="26"/>
  <c r="H50" i="26"/>
  <c r="H49" i="26"/>
  <c r="G49" i="26"/>
  <c r="G50" i="26"/>
  <c r="G51" i="26"/>
  <c r="G52" i="26"/>
  <c r="BJ45" i="27" l="1"/>
  <c r="BJ55" i="27"/>
  <c r="BJ48" i="27"/>
  <c r="BJ53" i="27"/>
  <c r="BJ43" i="27"/>
  <c r="BJ50" i="27"/>
  <c r="BJ56" i="27"/>
  <c r="BJ49" i="27"/>
  <c r="BJ51" i="27"/>
  <c r="BJ46" i="27"/>
  <c r="BJ57" i="27"/>
  <c r="AR28" i="105"/>
  <c r="C34" i="105"/>
  <c r="C35" i="105" s="1"/>
  <c r="M28" i="105"/>
  <c r="M29" i="105" s="1"/>
  <c r="H29" i="105"/>
  <c r="H34" i="105" s="1"/>
  <c r="H35" i="105" s="1"/>
  <c r="K28" i="105"/>
  <c r="T28" i="105" s="1"/>
  <c r="T29" i="105" s="1"/>
  <c r="C30" i="80"/>
  <c r="G30" i="80" s="1"/>
  <c r="F29" i="105"/>
  <c r="W9" i="105"/>
  <c r="W11" i="105"/>
  <c r="BJ61" i="27"/>
  <c r="F51" i="36"/>
  <c r="AL27" i="105"/>
  <c r="AO27" i="105" s="1"/>
  <c r="Z24" i="105"/>
  <c r="Z16" i="105"/>
  <c r="Z27" i="105"/>
  <c r="Z25" i="105"/>
  <c r="BG62" i="27"/>
  <c r="BH62" i="27" s="1"/>
  <c r="AE27" i="105"/>
  <c r="N29" i="80" s="1"/>
  <c r="F42" i="37"/>
  <c r="P42" i="37" s="1"/>
  <c r="S42" i="37"/>
  <c r="T122" i="27"/>
  <c r="O122" i="27"/>
  <c r="AE122" i="27"/>
  <c r="AU122" i="27"/>
  <c r="N122" i="27"/>
  <c r="AD122" i="27"/>
  <c r="AT122" i="27"/>
  <c r="S122" i="27"/>
  <c r="AI122" i="27"/>
  <c r="AY122" i="27"/>
  <c r="R122" i="27"/>
  <c r="AH122" i="27"/>
  <c r="AX122" i="27"/>
  <c r="W122" i="27"/>
  <c r="AM122" i="27"/>
  <c r="V122" i="27"/>
  <c r="AL122" i="27"/>
  <c r="AF122" i="27"/>
  <c r="AO122" i="27"/>
  <c r="AC122" i="27"/>
  <c r="J122" i="27"/>
  <c r="X122" i="27"/>
  <c r="P122" i="27"/>
  <c r="AK122" i="27"/>
  <c r="AB122" i="27"/>
  <c r="Y122" i="27"/>
  <c r="K122" i="27"/>
  <c r="Z122" i="27"/>
  <c r="L122" i="27"/>
  <c r="AR122" i="27"/>
  <c r="M122" i="27"/>
  <c r="AS122" i="27"/>
  <c r="AA122" i="27"/>
  <c r="AP122" i="27"/>
  <c r="AG122" i="27"/>
  <c r="AN122" i="27"/>
  <c r="AJ122" i="27"/>
  <c r="Q122" i="27"/>
  <c r="U122" i="27"/>
  <c r="AQ122" i="27"/>
  <c r="AV122" i="27"/>
  <c r="Z121" i="27"/>
  <c r="AK121" i="27"/>
  <c r="Q121" i="27"/>
  <c r="AL121" i="27"/>
  <c r="AV121" i="27"/>
  <c r="AE121" i="27"/>
  <c r="S121" i="27"/>
  <c r="P121" i="27"/>
  <c r="J121" i="27"/>
  <c r="AQ121" i="27"/>
  <c r="L121" i="27"/>
  <c r="AB121" i="27"/>
  <c r="AG121" i="27"/>
  <c r="M121" i="27"/>
  <c r="AX121" i="27"/>
  <c r="AH121" i="27"/>
  <c r="K121" i="27"/>
  <c r="Y121" i="27"/>
  <c r="AT121" i="27"/>
  <c r="AM121" i="27"/>
  <c r="AW121" i="27"/>
  <c r="AD121" i="27"/>
  <c r="U121" i="27"/>
  <c r="T121" i="27"/>
  <c r="AA121" i="27"/>
  <c r="AP121" i="27"/>
  <c r="AJ121" i="27"/>
  <c r="AF121" i="27"/>
  <c r="W121" i="27"/>
  <c r="AR121" i="27"/>
  <c r="AN121" i="27"/>
  <c r="O121" i="27"/>
  <c r="AS121" i="27"/>
  <c r="AO121" i="27"/>
  <c r="R121" i="27"/>
  <c r="AU121" i="27"/>
  <c r="AC121" i="27"/>
  <c r="V121" i="27"/>
  <c r="X121" i="27"/>
  <c r="AI121" i="27"/>
  <c r="N121" i="27"/>
  <c r="G63" i="27"/>
  <c r="AE49" i="26"/>
  <c r="AE55" i="26" s="1"/>
  <c r="V48" i="26"/>
  <c r="AD48" i="26"/>
  <c r="AD55" i="26" s="1"/>
  <c r="Y51" i="26"/>
  <c r="Y55" i="26" s="1"/>
  <c r="Z52" i="26"/>
  <c r="Z55" i="26" s="1"/>
  <c r="X50" i="26"/>
  <c r="X55" i="26" s="1"/>
  <c r="W49" i="26"/>
  <c r="BA61" i="27" s="1"/>
  <c r="AG27" i="105" s="1"/>
  <c r="AJ27" i="105" s="1"/>
  <c r="S29" i="80" s="1"/>
  <c r="I53" i="26"/>
  <c r="AG53" i="26" s="1"/>
  <c r="H53" i="26"/>
  <c r="G53" i="26"/>
  <c r="AZ50" i="27" l="1"/>
  <c r="BG50" i="27" s="1"/>
  <c r="BH50" i="27" s="1"/>
  <c r="AZ48" i="27"/>
  <c r="BG48" i="27" s="1"/>
  <c r="BH48" i="27" s="1"/>
  <c r="AZ57" i="27"/>
  <c r="BG57" i="27" s="1"/>
  <c r="BH57" i="27" s="1"/>
  <c r="AZ43" i="27"/>
  <c r="BG43" i="27" s="1"/>
  <c r="BH43" i="27" s="1"/>
  <c r="AZ53" i="27"/>
  <c r="BG53" i="27" s="1"/>
  <c r="BH53" i="27" s="1"/>
  <c r="AZ56" i="27"/>
  <c r="BG56" i="27" s="1"/>
  <c r="BH56" i="27" s="1"/>
  <c r="AZ45" i="27"/>
  <c r="BG45" i="27" s="1"/>
  <c r="BH45" i="27" s="1"/>
  <c r="AZ49" i="27"/>
  <c r="BG49" i="27" s="1"/>
  <c r="BH49" i="27" s="1"/>
  <c r="AZ46" i="27"/>
  <c r="BG46" i="27" s="1"/>
  <c r="BH46" i="27" s="1"/>
  <c r="AZ51" i="27"/>
  <c r="BG51" i="27" s="1"/>
  <c r="BH51" i="27" s="1"/>
  <c r="AZ55" i="27"/>
  <c r="BG55" i="27" s="1"/>
  <c r="BH55" i="27" s="1"/>
  <c r="BG61" i="27"/>
  <c r="BH61" i="27" s="1"/>
  <c r="F34" i="105"/>
  <c r="AR27" i="105"/>
  <c r="Z9" i="105"/>
  <c r="C31" i="80"/>
  <c r="P28" i="105"/>
  <c r="E57" i="80" s="1"/>
  <c r="K29" i="105"/>
  <c r="K34" i="105" s="1"/>
  <c r="I30" i="80"/>
  <c r="I31" i="80" s="1"/>
  <c r="G31" i="80"/>
  <c r="AE28" i="105"/>
  <c r="Z11" i="105"/>
  <c r="U29" i="80"/>
  <c r="C56" i="80" s="1"/>
  <c r="F122" i="27"/>
  <c r="E122" i="27" s="1"/>
  <c r="BG122" i="27"/>
  <c r="BG121" i="27"/>
  <c r="W55" i="26"/>
  <c r="V55" i="26"/>
  <c r="F121" i="27"/>
  <c r="E121" i="27" s="1"/>
  <c r="AA53" i="26"/>
  <c r="AA55" i="26" s="1"/>
  <c r="AF53" i="26"/>
  <c r="AF50" i="26"/>
  <c r="AF51" i="26"/>
  <c r="AG51" i="26"/>
  <c r="AG50" i="26"/>
  <c r="AG52" i="26"/>
  <c r="AF52" i="26"/>
  <c r="P53" i="26"/>
  <c r="P52" i="26"/>
  <c r="P48" i="26"/>
  <c r="P50" i="26"/>
  <c r="P51" i="26"/>
  <c r="P49" i="26"/>
  <c r="T30" i="105" l="1"/>
  <c r="Q28" i="105"/>
  <c r="R28" i="105" s="1"/>
  <c r="O27" i="105"/>
  <c r="AP27" i="105"/>
  <c r="N30" i="80"/>
  <c r="U30" i="80" s="1"/>
  <c r="AP28" i="105" s="1"/>
  <c r="BH122" i="27"/>
  <c r="BH121" i="27"/>
  <c r="AF55" i="26"/>
  <c r="P55" i="26"/>
  <c r="AG55" i="26"/>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6" i="5"/>
  <c r="P27" i="105" l="1"/>
  <c r="C57" i="80"/>
  <c r="G57" i="80" s="1"/>
  <c r="K57" i="80" s="1"/>
  <c r="H293" i="5"/>
  <c r="G293" i="5"/>
  <c r="B318" i="5"/>
  <c r="E318" i="5"/>
  <c r="G318" i="5"/>
  <c r="H318" i="5"/>
  <c r="B319" i="5"/>
  <c r="E319" i="5"/>
  <c r="G319" i="5"/>
  <c r="H319" i="5"/>
  <c r="B364" i="5"/>
  <c r="B411" i="5" s="1"/>
  <c r="J293" i="5"/>
  <c r="E293" i="5"/>
  <c r="B293" i="5"/>
  <c r="B307" i="5" s="1"/>
  <c r="Q27" i="105" l="1"/>
  <c r="R27" i="105" s="1"/>
  <c r="E56" i="80"/>
  <c r="G56" i="80" s="1"/>
  <c r="K56" i="80" s="1"/>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319" i="5" s="1"/>
  <c r="J99" i="5"/>
  <c r="J100" i="5"/>
  <c r="J102" i="5"/>
  <c r="J103" i="5"/>
  <c r="J104" i="5"/>
  <c r="J318" i="5" s="1"/>
  <c r="J55" i="5"/>
  <c r="G226" i="5" l="1"/>
  <c r="G285" i="5"/>
  <c r="J291" i="5"/>
  <c r="J292" i="5"/>
  <c r="J290" i="5"/>
  <c r="J288" i="5"/>
  <c r="J289" i="5"/>
  <c r="J287" i="5"/>
  <c r="J286" i="5"/>
  <c r="J285" i="5"/>
  <c r="G291" i="5"/>
  <c r="G292" i="5"/>
  <c r="G290" i="5"/>
  <c r="G288" i="5"/>
  <c r="G289" i="5"/>
  <c r="G287" i="5"/>
  <c r="G286" i="5"/>
  <c r="H291" i="5"/>
  <c r="H292" i="5"/>
  <c r="H290" i="5"/>
  <c r="H288" i="5"/>
  <c r="H289" i="5"/>
  <c r="H287" i="5"/>
  <c r="H286" i="5"/>
  <c r="H285" i="5"/>
  <c r="J155" i="5"/>
  <c r="J156" i="5"/>
  <c r="J157" i="5"/>
  <c r="J158" i="5"/>
  <c r="J159" i="5"/>
  <c r="J160" i="5"/>
  <c r="J154" i="5"/>
  <c r="J181" i="5"/>
  <c r="J180" i="5"/>
  <c r="B362" i="5"/>
  <c r="B409" i="5" s="1"/>
  <c r="B363" i="5"/>
  <c r="B410" i="5" s="1"/>
  <c r="B324" i="5"/>
  <c r="B371" i="5" s="1"/>
  <c r="B325" i="5"/>
  <c r="B372" i="5" s="1"/>
  <c r="B326" i="5"/>
  <c r="B373" i="5" s="1"/>
  <c r="B327" i="5"/>
  <c r="B374" i="5" s="1"/>
  <c r="B328" i="5"/>
  <c r="B375" i="5" s="1"/>
  <c r="B329" i="5"/>
  <c r="B376" i="5" s="1"/>
  <c r="B330" i="5"/>
  <c r="B377" i="5" s="1"/>
  <c r="B331" i="5"/>
  <c r="B378" i="5" s="1"/>
  <c r="B332" i="5"/>
  <c r="B379" i="5" s="1"/>
  <c r="B333" i="5"/>
  <c r="B380" i="5" s="1"/>
  <c r="B334" i="5"/>
  <c r="B381" i="5" s="1"/>
  <c r="B335" i="5"/>
  <c r="B382" i="5" s="1"/>
  <c r="B336" i="5"/>
  <c r="B383" i="5" s="1"/>
  <c r="B337" i="5"/>
  <c r="B384" i="5" s="1"/>
  <c r="B338" i="5"/>
  <c r="B385" i="5" s="1"/>
  <c r="B339" i="5"/>
  <c r="B386" i="5" s="1"/>
  <c r="B340" i="5"/>
  <c r="B387" i="5" s="1"/>
  <c r="B341" i="5"/>
  <c r="B388" i="5" s="1"/>
  <c r="B342" i="5"/>
  <c r="B389" i="5" s="1"/>
  <c r="B343" i="5"/>
  <c r="B390" i="5" s="1"/>
  <c r="B344" i="5"/>
  <c r="B391" i="5" s="1"/>
  <c r="B345" i="5"/>
  <c r="B392" i="5" s="1"/>
  <c r="B346" i="5"/>
  <c r="B393" i="5" s="1"/>
  <c r="B347" i="5"/>
  <c r="B394" i="5" s="1"/>
  <c r="B348" i="5"/>
  <c r="B395" i="5" s="1"/>
  <c r="B349" i="5"/>
  <c r="B396" i="5" s="1"/>
  <c r="B350" i="5"/>
  <c r="B397" i="5" s="1"/>
  <c r="B351" i="5"/>
  <c r="B398" i="5" s="1"/>
  <c r="B352" i="5"/>
  <c r="B399" i="5" s="1"/>
  <c r="B353" i="5"/>
  <c r="B400" i="5" s="1"/>
  <c r="B354" i="5"/>
  <c r="B401" i="5" s="1"/>
  <c r="B355" i="5"/>
  <c r="B402" i="5" s="1"/>
  <c r="B356" i="5"/>
  <c r="B403" i="5" s="1"/>
  <c r="B357" i="5"/>
  <c r="B404" i="5" s="1"/>
  <c r="B358" i="5"/>
  <c r="B405" i="5" s="1"/>
  <c r="B359" i="5"/>
  <c r="B406" i="5" s="1"/>
  <c r="B360" i="5"/>
  <c r="B407" i="5" s="1"/>
  <c r="B361" i="5"/>
  <c r="B408" i="5" s="1"/>
  <c r="B323" i="5"/>
  <c r="B370" i="5" s="1"/>
  <c r="J317" i="5"/>
  <c r="H317" i="5"/>
  <c r="G317" i="5"/>
  <c r="E317" i="5"/>
  <c r="B317" i="5"/>
  <c r="E291" i="5"/>
  <c r="E292" i="5"/>
  <c r="E290" i="5"/>
  <c r="E288" i="5"/>
  <c r="E289" i="5"/>
  <c r="E287" i="5"/>
  <c r="E286" i="5"/>
  <c r="E285" i="5"/>
  <c r="B291" i="5"/>
  <c r="B305" i="5" s="1"/>
  <c r="B292" i="5"/>
  <c r="B306" i="5" s="1"/>
  <c r="B290" i="5"/>
  <c r="B304" i="5" s="1"/>
  <c r="B288" i="5"/>
  <c r="B302" i="5" s="1"/>
  <c r="B289" i="5"/>
  <c r="B303" i="5" s="1"/>
  <c r="B287" i="5"/>
  <c r="B301" i="5" s="1"/>
  <c r="B286" i="5"/>
  <c r="B300" i="5" s="1"/>
  <c r="B285" i="5"/>
  <c r="B299" i="5" s="1"/>
  <c r="J283" i="5"/>
  <c r="H283" i="5"/>
  <c r="G283" i="5"/>
  <c r="E283" i="5"/>
  <c r="B276" i="5"/>
  <c r="J236" i="5"/>
  <c r="J235" i="5"/>
  <c r="J230" i="5"/>
  <c r="J231" i="5"/>
  <c r="J232" i="5"/>
  <c r="J229" i="5"/>
  <c r="J228" i="5"/>
  <c r="J227" i="5"/>
  <c r="J226" i="5"/>
  <c r="J217" i="5"/>
  <c r="J218" i="5"/>
  <c r="J219" i="5"/>
  <c r="J220" i="5"/>
  <c r="J221" i="5"/>
  <c r="J222" i="5"/>
  <c r="J223" i="5"/>
  <c r="J224" i="5"/>
  <c r="J225" i="5"/>
  <c r="J216" i="5"/>
  <c r="H181" i="5"/>
  <c r="H180" i="5"/>
  <c r="H236" i="5"/>
  <c r="H235" i="5"/>
  <c r="H232" i="5"/>
  <c r="H231" i="5"/>
  <c r="H230" i="5"/>
  <c r="H229" i="5"/>
  <c r="H228" i="5"/>
  <c r="H227" i="5"/>
  <c r="H226" i="5"/>
  <c r="H225" i="5"/>
  <c r="H224" i="5"/>
  <c r="H223" i="5"/>
  <c r="H222" i="5"/>
  <c r="H221" i="5"/>
  <c r="H220" i="5"/>
  <c r="H219" i="5"/>
  <c r="H218" i="5"/>
  <c r="H217" i="5"/>
  <c r="H216" i="5"/>
  <c r="G236" i="5"/>
  <c r="G235" i="5"/>
  <c r="G230" i="5"/>
  <c r="G231" i="5"/>
  <c r="G232" i="5"/>
  <c r="G229" i="5"/>
  <c r="G228" i="5"/>
  <c r="G227" i="5"/>
  <c r="G225" i="5"/>
  <c r="G224" i="5"/>
  <c r="G223" i="5"/>
  <c r="G222" i="5"/>
  <c r="G221" i="5"/>
  <c r="G220" i="5"/>
  <c r="G218" i="5"/>
  <c r="G219" i="5"/>
  <c r="E295" i="5" l="1"/>
  <c r="F293" i="5" s="1"/>
  <c r="G295" i="5"/>
  <c r="I293" i="5" s="1"/>
  <c r="J320" i="5"/>
  <c r="H320" i="5"/>
  <c r="E320" i="5"/>
  <c r="G320" i="5"/>
  <c r="G217" i="5"/>
  <c r="G216" i="5"/>
  <c r="E216" i="5"/>
  <c r="E236" i="5"/>
  <c r="E235" i="5"/>
  <c r="E230" i="5"/>
  <c r="E231" i="5"/>
  <c r="E232" i="5"/>
  <c r="E229" i="5"/>
  <c r="E228" i="5"/>
  <c r="E227" i="5"/>
  <c r="E226" i="5"/>
  <c r="E217" i="5"/>
  <c r="E218" i="5"/>
  <c r="E219" i="5"/>
  <c r="E220" i="5"/>
  <c r="E221" i="5"/>
  <c r="E222" i="5"/>
  <c r="E223" i="5"/>
  <c r="E224" i="5"/>
  <c r="E225" i="5"/>
  <c r="J202" i="5"/>
  <c r="G202" i="5"/>
  <c r="E202" i="5"/>
  <c r="B236" i="5"/>
  <c r="B275" i="5" s="1"/>
  <c r="B233" i="5"/>
  <c r="B272" i="5" s="1"/>
  <c r="B234" i="5"/>
  <c r="B273" i="5" s="1"/>
  <c r="B235" i="5"/>
  <c r="B274" i="5" s="1"/>
  <c r="B228" i="5"/>
  <c r="B267" i="5" s="1"/>
  <c r="B229" i="5"/>
  <c r="B268" i="5" s="1"/>
  <c r="B230" i="5"/>
  <c r="B269" i="5" s="1"/>
  <c r="B231" i="5"/>
  <c r="B270" i="5" s="1"/>
  <c r="B232" i="5"/>
  <c r="B271" i="5" s="1"/>
  <c r="B227" i="5"/>
  <c r="B266" i="5" s="1"/>
  <c r="B223" i="5"/>
  <c r="B262" i="5" s="1"/>
  <c r="B224" i="5"/>
  <c r="B263" i="5" s="1"/>
  <c r="B225" i="5"/>
  <c r="B264" i="5" s="1"/>
  <c r="B226" i="5"/>
  <c r="B265" i="5" s="1"/>
  <c r="B221" i="5"/>
  <c r="B260" i="5" s="1"/>
  <c r="B222" i="5"/>
  <c r="B261" i="5" s="1"/>
  <c r="B217" i="5"/>
  <c r="B256" i="5" s="1"/>
  <c r="B218" i="5"/>
  <c r="B257" i="5" s="1"/>
  <c r="B219" i="5"/>
  <c r="B258" i="5" s="1"/>
  <c r="B220" i="5"/>
  <c r="B259" i="5" s="1"/>
  <c r="B216" i="5"/>
  <c r="B255" i="5" s="1"/>
  <c r="B202" i="5"/>
  <c r="H202" i="5"/>
  <c r="G181" i="5"/>
  <c r="G180" i="5"/>
  <c r="E181" i="5"/>
  <c r="E180" i="5"/>
  <c r="B181" i="5"/>
  <c r="B186" i="5" s="1"/>
  <c r="B180" i="5"/>
  <c r="B185" i="5" s="1"/>
  <c r="J178" i="5"/>
  <c r="H178" i="5"/>
  <c r="G178" i="5"/>
  <c r="E178" i="5"/>
  <c r="F288" i="5" l="1"/>
  <c r="F287" i="5"/>
  <c r="F291" i="5"/>
  <c r="F292" i="5"/>
  <c r="F286" i="5"/>
  <c r="F289" i="5"/>
  <c r="F285" i="5"/>
  <c r="F290" i="5"/>
  <c r="G182" i="5"/>
  <c r="I180" i="5" s="1"/>
  <c r="H182" i="5"/>
  <c r="E182" i="5"/>
  <c r="F180" i="5" s="1"/>
  <c r="J182" i="5"/>
  <c r="H155" i="5"/>
  <c r="H156" i="5"/>
  <c r="H157" i="5"/>
  <c r="H158" i="5"/>
  <c r="H159" i="5"/>
  <c r="H160" i="5"/>
  <c r="H154" i="5"/>
  <c r="G155" i="5"/>
  <c r="G156" i="5"/>
  <c r="G157" i="5"/>
  <c r="G158" i="5"/>
  <c r="G159" i="5"/>
  <c r="G160" i="5"/>
  <c r="G154" i="5"/>
  <c r="E155" i="5"/>
  <c r="E156" i="5"/>
  <c r="E157" i="5"/>
  <c r="E158" i="5"/>
  <c r="E159" i="5"/>
  <c r="E160" i="5"/>
  <c r="E154" i="5"/>
  <c r="J152" i="5"/>
  <c r="H152" i="5"/>
  <c r="G152" i="5"/>
  <c r="E152" i="5"/>
  <c r="C152" i="5"/>
  <c r="C155" i="5"/>
  <c r="C165" i="5" s="1"/>
  <c r="C156" i="5"/>
  <c r="C166" i="5" s="1"/>
  <c r="C157" i="5"/>
  <c r="C167" i="5" s="1"/>
  <c r="C158" i="5"/>
  <c r="C168" i="5" s="1"/>
  <c r="C159" i="5"/>
  <c r="C169" i="5" s="1"/>
  <c r="C160" i="5"/>
  <c r="C170" i="5" s="1"/>
  <c r="C154" i="5"/>
  <c r="C164" i="5" s="1"/>
  <c r="B159" i="5"/>
  <c r="B169" i="5" s="1"/>
  <c r="B214" i="5" s="1"/>
  <c r="B253" i="5" s="1"/>
  <c r="B160" i="5"/>
  <c r="B170" i="5" s="1"/>
  <c r="B215" i="5" s="1"/>
  <c r="B254" i="5" s="1"/>
  <c r="B155" i="5"/>
  <c r="B165" i="5" s="1"/>
  <c r="B210" i="5" s="1"/>
  <c r="B249" i="5" s="1"/>
  <c r="B156" i="5"/>
  <c r="B166" i="5" s="1"/>
  <c r="B211" i="5" s="1"/>
  <c r="B250" i="5" s="1"/>
  <c r="B157" i="5"/>
  <c r="B167" i="5" s="1"/>
  <c r="B212" i="5" s="1"/>
  <c r="B251" i="5" s="1"/>
  <c r="B158" i="5"/>
  <c r="B168" i="5" s="1"/>
  <c r="B213" i="5" s="1"/>
  <c r="B252" i="5" s="1"/>
  <c r="B154" i="5"/>
  <c r="B164" i="5" s="1"/>
  <c r="B209" i="5" s="1"/>
  <c r="B248" i="5" s="1"/>
  <c r="J106" i="5"/>
  <c r="I106" i="5"/>
  <c r="H106" i="5"/>
  <c r="G106" i="5"/>
  <c r="E106" i="5"/>
  <c r="F295" i="5" l="1"/>
  <c r="I181" i="5"/>
  <c r="K181" i="5"/>
  <c r="K180" i="5"/>
  <c r="F181" i="5"/>
  <c r="G161" i="5"/>
  <c r="I158" i="5" s="1"/>
  <c r="E161" i="5"/>
  <c r="J161" i="5"/>
  <c r="H161" i="5"/>
  <c r="I156" i="5" l="1"/>
  <c r="I159" i="5"/>
  <c r="I157" i="5"/>
  <c r="I155" i="5"/>
  <c r="I154" i="5"/>
  <c r="I160" i="5"/>
  <c r="F156" i="5"/>
  <c r="F160" i="5"/>
  <c r="F154" i="5"/>
  <c r="F155" i="5"/>
  <c r="F157" i="5"/>
  <c r="F158" i="5"/>
  <c r="F159" i="5"/>
  <c r="F182" i="5" l="1"/>
  <c r="F161" i="5"/>
  <c r="I127" i="5" l="1"/>
  <c r="L157" i="5" s="1"/>
  <c r="G137" i="5"/>
  <c r="J137" i="5"/>
  <c r="J136" i="5"/>
  <c r="J135" i="5"/>
  <c r="J134" i="5"/>
  <c r="J133" i="5"/>
  <c r="H137" i="5"/>
  <c r="H136" i="5"/>
  <c r="H135" i="5"/>
  <c r="H134" i="5"/>
  <c r="H133" i="5"/>
  <c r="G136" i="5"/>
  <c r="G135" i="5"/>
  <c r="G134" i="5"/>
  <c r="E137" i="5"/>
  <c r="E136" i="5"/>
  <c r="E135" i="5"/>
  <c r="E134" i="5"/>
  <c r="E133" i="5"/>
  <c r="C137" i="5"/>
  <c r="C144" i="5" s="1"/>
  <c r="C136" i="5"/>
  <c r="C143" i="5" s="1"/>
  <c r="C135" i="5"/>
  <c r="C142" i="5" s="1"/>
  <c r="C134" i="5"/>
  <c r="C141" i="5" s="1"/>
  <c r="C133" i="5"/>
  <c r="C140" i="5" s="1"/>
  <c r="C131" i="5"/>
  <c r="B134" i="5"/>
  <c r="B135" i="5"/>
  <c r="B136" i="5"/>
  <c r="B137" i="5"/>
  <c r="B133" i="5"/>
  <c r="J131" i="5"/>
  <c r="H131" i="5"/>
  <c r="E138" i="5" l="1"/>
  <c r="F133" i="5" s="1"/>
  <c r="B143" i="5"/>
  <c r="B207" i="5"/>
  <c r="B246" i="5" s="1"/>
  <c r="B140" i="5"/>
  <c r="B204" i="5"/>
  <c r="B243" i="5" s="1"/>
  <c r="B141" i="5"/>
  <c r="B205" i="5"/>
  <c r="B244" i="5" s="1"/>
  <c r="B144" i="5"/>
  <c r="B208" i="5"/>
  <c r="B247" i="5" s="1"/>
  <c r="B142" i="5"/>
  <c r="B206" i="5"/>
  <c r="B245" i="5" s="1"/>
  <c r="G138" i="5"/>
  <c r="J138" i="5"/>
  <c r="F136" i="5"/>
  <c r="H138" i="5"/>
  <c r="I135" i="5" l="1"/>
  <c r="L181" i="5"/>
  <c r="H186" i="5" s="1"/>
  <c r="H234" i="5" s="1"/>
  <c r="L156" i="5"/>
  <c r="H166" i="5" s="1"/>
  <c r="H211" i="5" s="1"/>
  <c r="L159" i="5"/>
  <c r="H169" i="5" s="1"/>
  <c r="H214" i="5" s="1"/>
  <c r="L158" i="5"/>
  <c r="H168" i="5" s="1"/>
  <c r="H213" i="5" s="1"/>
  <c r="L154" i="5"/>
  <c r="H164" i="5" s="1"/>
  <c r="H209" i="5" s="1"/>
  <c r="H167" i="5"/>
  <c r="H212" i="5" s="1"/>
  <c r="L155" i="5"/>
  <c r="H165" i="5" s="1"/>
  <c r="H210" i="5" s="1"/>
  <c r="L160" i="5"/>
  <c r="H170" i="5" s="1"/>
  <c r="H215" i="5" s="1"/>
  <c r="I137" i="5"/>
  <c r="I136" i="5"/>
  <c r="L136" i="5" s="1"/>
  <c r="J143" i="5" s="1"/>
  <c r="J207" i="5" s="1"/>
  <c r="I133" i="5"/>
  <c r="L133" i="5" s="1"/>
  <c r="E140" i="5" s="1"/>
  <c r="I134" i="5"/>
  <c r="F135" i="5"/>
  <c r="F134" i="5"/>
  <c r="F137" i="5"/>
  <c r="L135" i="5" l="1"/>
  <c r="J142" i="5" s="1"/>
  <c r="J206" i="5" s="1"/>
  <c r="J168" i="5"/>
  <c r="J213" i="5" s="1"/>
  <c r="E170" i="5"/>
  <c r="E215" i="5" s="1"/>
  <c r="E168" i="5"/>
  <c r="E213" i="5" s="1"/>
  <c r="E186" i="5"/>
  <c r="E234" i="5" s="1"/>
  <c r="E165" i="5"/>
  <c r="E210" i="5" s="1"/>
  <c r="J186" i="5"/>
  <c r="J234" i="5" s="1"/>
  <c r="J165" i="5"/>
  <c r="J210" i="5" s="1"/>
  <c r="G170" i="5"/>
  <c r="G215" i="5" s="1"/>
  <c r="G186" i="5"/>
  <c r="G234" i="5" s="1"/>
  <c r="G165" i="5"/>
  <c r="G210" i="5" s="1"/>
  <c r="J170" i="5"/>
  <c r="J215" i="5" s="1"/>
  <c r="E169" i="5"/>
  <c r="E214" i="5" s="1"/>
  <c r="I161" i="5"/>
  <c r="G166" i="5"/>
  <c r="G211" i="5" s="1"/>
  <c r="G169" i="5"/>
  <c r="G214" i="5" s="1"/>
  <c r="G167" i="5"/>
  <c r="G212" i="5" s="1"/>
  <c r="J169" i="5"/>
  <c r="J214" i="5" s="1"/>
  <c r="L180" i="5"/>
  <c r="I182" i="5"/>
  <c r="E166" i="5"/>
  <c r="E211" i="5" s="1"/>
  <c r="E167" i="5"/>
  <c r="E212" i="5" s="1"/>
  <c r="G168" i="5"/>
  <c r="G213" i="5" s="1"/>
  <c r="J166" i="5"/>
  <c r="J211" i="5" s="1"/>
  <c r="J167" i="5"/>
  <c r="J212" i="5" s="1"/>
  <c r="L137" i="5"/>
  <c r="J144" i="5" s="1"/>
  <c r="J208" i="5" s="1"/>
  <c r="L134" i="5"/>
  <c r="E141" i="5" s="1"/>
  <c r="E205" i="5" s="1"/>
  <c r="I138" i="5"/>
  <c r="E204" i="5"/>
  <c r="J164" i="5"/>
  <c r="J209" i="5" s="1"/>
  <c r="G164" i="5"/>
  <c r="G209" i="5" s="1"/>
  <c r="E164" i="5"/>
  <c r="L161" i="5"/>
  <c r="H171" i="5"/>
  <c r="H173" i="5" s="1"/>
  <c r="H143" i="5"/>
  <c r="H207" i="5" s="1"/>
  <c r="G143" i="5"/>
  <c r="G207" i="5" s="1"/>
  <c r="E143" i="5"/>
  <c r="E207" i="5" s="1"/>
  <c r="F138" i="5"/>
  <c r="E142" i="5" l="1"/>
  <c r="E206" i="5" s="1"/>
  <c r="H142" i="5"/>
  <c r="H206" i="5" s="1"/>
  <c r="G142" i="5"/>
  <c r="G206" i="5" s="1"/>
  <c r="H185" i="5"/>
  <c r="J185" i="5"/>
  <c r="E185" i="5"/>
  <c r="L182" i="5"/>
  <c r="G185" i="5"/>
  <c r="E209" i="5"/>
  <c r="E144" i="5"/>
  <c r="E208" i="5" s="1"/>
  <c r="G141" i="5"/>
  <c r="G205" i="5" s="1"/>
  <c r="J141" i="5"/>
  <c r="J205" i="5" s="1"/>
  <c r="H144" i="5"/>
  <c r="H208" i="5" s="1"/>
  <c r="H141" i="5"/>
  <c r="H205" i="5" s="1"/>
  <c r="G144" i="5"/>
  <c r="G208" i="5" s="1"/>
  <c r="L138" i="5"/>
  <c r="H140" i="5"/>
  <c r="H204" i="5" s="1"/>
  <c r="J140" i="5"/>
  <c r="G140" i="5"/>
  <c r="G204" i="5" s="1"/>
  <c r="J171" i="5"/>
  <c r="G171" i="5"/>
  <c r="E171" i="5"/>
  <c r="J204" i="5" l="1"/>
  <c r="G233" i="5"/>
  <c r="G187" i="5"/>
  <c r="E233" i="5"/>
  <c r="E187" i="5"/>
  <c r="J233" i="5"/>
  <c r="J239" i="5" s="1"/>
  <c r="J187" i="5"/>
  <c r="H233" i="5"/>
  <c r="H239" i="5" s="1"/>
  <c r="H187" i="5"/>
  <c r="H189" i="5" s="1"/>
  <c r="G239" i="5"/>
  <c r="E145" i="5"/>
  <c r="E147" i="5" s="1"/>
  <c r="H145" i="5"/>
  <c r="H147" i="5" s="1"/>
  <c r="J145" i="5"/>
  <c r="K141" i="5" s="1"/>
  <c r="G145" i="5"/>
  <c r="K164" i="5"/>
  <c r="F164" i="5"/>
  <c r="I164" i="5"/>
  <c r="J173" i="5"/>
  <c r="K165" i="5"/>
  <c r="K166" i="5"/>
  <c r="K167" i="5"/>
  <c r="K169" i="5"/>
  <c r="K170" i="5"/>
  <c r="K168" i="5"/>
  <c r="E173" i="5"/>
  <c r="G173" i="5"/>
  <c r="I168" i="5"/>
  <c r="I170" i="5"/>
  <c r="I167" i="5"/>
  <c r="I165" i="5"/>
  <c r="I169" i="5"/>
  <c r="I166" i="5"/>
  <c r="F170" i="5"/>
  <c r="F167" i="5"/>
  <c r="F168" i="5"/>
  <c r="F169" i="5"/>
  <c r="F166" i="5"/>
  <c r="F165" i="5"/>
  <c r="J107" i="5"/>
  <c r="K140" i="5" l="1"/>
  <c r="K186" i="5"/>
  <c r="J189" i="5"/>
  <c r="K185" i="5"/>
  <c r="G189" i="5"/>
  <c r="I185" i="5"/>
  <c r="I186" i="5"/>
  <c r="F185" i="5"/>
  <c r="E189" i="5"/>
  <c r="F186" i="5"/>
  <c r="I205" i="5"/>
  <c r="I213" i="5"/>
  <c r="I210" i="5"/>
  <c r="I208" i="5"/>
  <c r="I204" i="5"/>
  <c r="I229" i="5"/>
  <c r="I220" i="5"/>
  <c r="I231" i="5"/>
  <c r="I209" i="5"/>
  <c r="I222" i="5"/>
  <c r="I215" i="5"/>
  <c r="I225" i="5"/>
  <c r="I235" i="5"/>
  <c r="I217" i="5"/>
  <c r="I214" i="5"/>
  <c r="I233" i="5"/>
  <c r="I211" i="5"/>
  <c r="I236" i="5"/>
  <c r="I218" i="5"/>
  <c r="I230" i="5"/>
  <c r="I212" i="5"/>
  <c r="I224" i="5"/>
  <c r="I219" i="5"/>
  <c r="I206" i="5"/>
  <c r="I227" i="5"/>
  <c r="I140" i="5"/>
  <c r="I207" i="5"/>
  <c r="I228" i="5"/>
  <c r="I232" i="5"/>
  <c r="I223" i="5"/>
  <c r="I221" i="5"/>
  <c r="I234" i="5"/>
  <c r="I216" i="5"/>
  <c r="I226" i="5"/>
  <c r="F144" i="5"/>
  <c r="F143" i="5"/>
  <c r="F141" i="5"/>
  <c r="F142" i="5"/>
  <c r="F140" i="5"/>
  <c r="K205" i="5"/>
  <c r="K204" i="5"/>
  <c r="K218" i="5"/>
  <c r="K219" i="5"/>
  <c r="K227" i="5"/>
  <c r="K235" i="5"/>
  <c r="K221" i="5"/>
  <c r="K229" i="5"/>
  <c r="K231" i="5"/>
  <c r="K216" i="5"/>
  <c r="K232" i="5"/>
  <c r="K217" i="5"/>
  <c r="K225" i="5"/>
  <c r="K226" i="5"/>
  <c r="K228" i="5"/>
  <c r="K236" i="5"/>
  <c r="K222" i="5"/>
  <c r="K230" i="5"/>
  <c r="K223" i="5"/>
  <c r="K224" i="5"/>
  <c r="K220" i="5"/>
  <c r="K233" i="5"/>
  <c r="K234" i="5"/>
  <c r="K215" i="5"/>
  <c r="K206" i="5"/>
  <c r="K210" i="5"/>
  <c r="K214" i="5"/>
  <c r="K211" i="5"/>
  <c r="K212" i="5"/>
  <c r="K207" i="5"/>
  <c r="K213" i="5"/>
  <c r="K209" i="5"/>
  <c r="K208" i="5"/>
  <c r="K142" i="5"/>
  <c r="I144" i="5"/>
  <c r="K143" i="5"/>
  <c r="J147" i="5"/>
  <c r="I141" i="5"/>
  <c r="L141" i="5" s="1"/>
  <c r="G147" i="5"/>
  <c r="I143" i="5"/>
  <c r="I142" i="5"/>
  <c r="K144" i="5"/>
  <c r="E239" i="5"/>
  <c r="L170" i="5"/>
  <c r="L167" i="5"/>
  <c r="K171" i="5"/>
  <c r="L165" i="5"/>
  <c r="L166" i="5"/>
  <c r="L169" i="5"/>
  <c r="I171" i="5"/>
  <c r="L168" i="5"/>
  <c r="F171" i="5"/>
  <c r="L164" i="5"/>
  <c r="A6" i="13"/>
  <c r="L140" i="5" l="1"/>
  <c r="A7" i="13"/>
  <c r="A8" i="13" s="1"/>
  <c r="A9" i="13" s="1"/>
  <c r="A10" i="13" s="1"/>
  <c r="A12" i="13" s="1"/>
  <c r="A13" i="13" s="1"/>
  <c r="A14" i="13" s="1"/>
  <c r="A15" i="13" s="1"/>
  <c r="A16" i="13" s="1"/>
  <c r="I187" i="5"/>
  <c r="K187" i="5"/>
  <c r="L185" i="5"/>
  <c r="F187" i="5"/>
  <c r="L186" i="5"/>
  <c r="I239" i="5"/>
  <c r="L144" i="5"/>
  <c r="L142" i="5"/>
  <c r="F145" i="5"/>
  <c r="L143" i="5"/>
  <c r="F204" i="5"/>
  <c r="F207" i="5"/>
  <c r="L207" i="5" s="1"/>
  <c r="F215" i="5"/>
  <c r="L215" i="5" s="1"/>
  <c r="F223" i="5"/>
  <c r="L223" i="5" s="1"/>
  <c r="F231" i="5"/>
  <c r="L231" i="5" s="1"/>
  <c r="F226" i="5"/>
  <c r="L226" i="5" s="1"/>
  <c r="F212" i="5"/>
  <c r="L212" i="5" s="1"/>
  <c r="F205" i="5"/>
  <c r="L205" i="5" s="1"/>
  <c r="F208" i="5"/>
  <c r="L208" i="5" s="1"/>
  <c r="F216" i="5"/>
  <c r="L216" i="5" s="1"/>
  <c r="F224" i="5"/>
  <c r="L224" i="5" s="1"/>
  <c r="F232" i="5"/>
  <c r="L232" i="5" s="1"/>
  <c r="F218" i="5"/>
  <c r="L218" i="5" s="1"/>
  <c r="F220" i="5"/>
  <c r="L220" i="5" s="1"/>
  <c r="F213" i="5"/>
  <c r="L213" i="5" s="1"/>
  <c r="F206" i="5"/>
  <c r="L206" i="5" s="1"/>
  <c r="E245" i="5" s="1"/>
  <c r="F209" i="5"/>
  <c r="L209" i="5" s="1"/>
  <c r="F217" i="5"/>
  <c r="L217" i="5" s="1"/>
  <c r="F225" i="5"/>
  <c r="L225" i="5" s="1"/>
  <c r="F228" i="5"/>
  <c r="L228" i="5" s="1"/>
  <c r="F221" i="5"/>
  <c r="L221" i="5" s="1"/>
  <c r="F214" i="5"/>
  <c r="L214" i="5" s="1"/>
  <c r="F210" i="5"/>
  <c r="L210" i="5" s="1"/>
  <c r="F229" i="5"/>
  <c r="L229" i="5" s="1"/>
  <c r="F222" i="5"/>
  <c r="L222" i="5" s="1"/>
  <c r="F211" i="5"/>
  <c r="L211" i="5" s="1"/>
  <c r="F219" i="5"/>
  <c r="L219" i="5" s="1"/>
  <c r="F227" i="5"/>
  <c r="L227" i="5" s="1"/>
  <c r="F235" i="5"/>
  <c r="L235" i="5" s="1"/>
  <c r="F236" i="5"/>
  <c r="L236" i="5" s="1"/>
  <c r="F230" i="5"/>
  <c r="L230" i="5" s="1"/>
  <c r="F233" i="5"/>
  <c r="L233" i="5" s="1"/>
  <c r="F234" i="5"/>
  <c r="L234" i="5" s="1"/>
  <c r="K145" i="5"/>
  <c r="K147" i="5" s="1"/>
  <c r="I145" i="5"/>
  <c r="L171" i="5"/>
  <c r="L187" i="5" l="1"/>
  <c r="G265" i="5"/>
  <c r="G347" i="5" s="1"/>
  <c r="L145" i="5"/>
  <c r="G269" i="5"/>
  <c r="G357" i="5" s="1"/>
  <c r="H269" i="5"/>
  <c r="H357" i="5" s="1"/>
  <c r="J269" i="5"/>
  <c r="J357" i="5" s="1"/>
  <c r="E269" i="5"/>
  <c r="E357" i="5" s="1"/>
  <c r="H252" i="5"/>
  <c r="H332" i="5" s="1"/>
  <c r="E252" i="5"/>
  <c r="E332" i="5" s="1"/>
  <c r="J252" i="5"/>
  <c r="J332" i="5" s="1"/>
  <c r="G252" i="5"/>
  <c r="G332" i="5" s="1"/>
  <c r="G275" i="5"/>
  <c r="G363" i="5" s="1"/>
  <c r="H275" i="5"/>
  <c r="H363" i="5" s="1"/>
  <c r="J275" i="5"/>
  <c r="J363" i="5" s="1"/>
  <c r="E275" i="5"/>
  <c r="E363" i="5" s="1"/>
  <c r="J265" i="5"/>
  <c r="J347" i="5" s="1"/>
  <c r="H265" i="5"/>
  <c r="H347" i="5" s="1"/>
  <c r="E265" i="5"/>
  <c r="E347" i="5" s="1"/>
  <c r="H260" i="5"/>
  <c r="H340" i="5" s="1"/>
  <c r="J260" i="5"/>
  <c r="J340" i="5" s="1"/>
  <c r="G260" i="5"/>
  <c r="G340" i="5" s="1"/>
  <c r="E260" i="5"/>
  <c r="E340" i="5" s="1"/>
  <c r="G270" i="5"/>
  <c r="G358" i="5" s="1"/>
  <c r="H270" i="5"/>
  <c r="H358" i="5" s="1"/>
  <c r="J270" i="5"/>
  <c r="J358" i="5" s="1"/>
  <c r="E270" i="5"/>
  <c r="E358" i="5" s="1"/>
  <c r="H249" i="5"/>
  <c r="H329" i="5" s="1"/>
  <c r="E249" i="5"/>
  <c r="E329" i="5" s="1"/>
  <c r="J249" i="5"/>
  <c r="J329" i="5" s="1"/>
  <c r="G249" i="5"/>
  <c r="G329" i="5" s="1"/>
  <c r="H251" i="5"/>
  <c r="H331" i="5" s="1"/>
  <c r="J251" i="5"/>
  <c r="J331" i="5" s="1"/>
  <c r="E251" i="5"/>
  <c r="E331" i="5" s="1"/>
  <c r="G251" i="5"/>
  <c r="G331" i="5" s="1"/>
  <c r="G267" i="5"/>
  <c r="G352" i="5" s="1"/>
  <c r="J267" i="5"/>
  <c r="J352" i="5" s="1"/>
  <c r="H267" i="5"/>
  <c r="H352" i="5" s="1"/>
  <c r="E267" i="5"/>
  <c r="E352" i="5" s="1"/>
  <c r="H271" i="5"/>
  <c r="H359" i="5" s="1"/>
  <c r="J271" i="5"/>
  <c r="J359" i="5" s="1"/>
  <c r="G271" i="5"/>
  <c r="G359" i="5" s="1"/>
  <c r="E271" i="5"/>
  <c r="E359" i="5" s="1"/>
  <c r="G262" i="5"/>
  <c r="G342" i="5" s="1"/>
  <c r="H262" i="5"/>
  <c r="H342" i="5" s="1"/>
  <c r="J262" i="5"/>
  <c r="J342" i="5" s="1"/>
  <c r="E262" i="5"/>
  <c r="E342" i="5" s="1"/>
  <c r="H253" i="5"/>
  <c r="H333" i="5" s="1"/>
  <c r="J253" i="5"/>
  <c r="J333" i="5" s="1"/>
  <c r="E253" i="5"/>
  <c r="E333" i="5" s="1"/>
  <c r="G253" i="5"/>
  <c r="G333" i="5" s="1"/>
  <c r="G259" i="5"/>
  <c r="G339" i="5" s="1"/>
  <c r="J259" i="5"/>
  <c r="J339" i="5" s="1"/>
  <c r="H259" i="5"/>
  <c r="H339" i="5" s="1"/>
  <c r="E259" i="5"/>
  <c r="E339" i="5" s="1"/>
  <c r="G274" i="5"/>
  <c r="G362" i="5" s="1"/>
  <c r="H274" i="5"/>
  <c r="H362" i="5" s="1"/>
  <c r="J274" i="5"/>
  <c r="J362" i="5" s="1"/>
  <c r="E274" i="5"/>
  <c r="E362" i="5" s="1"/>
  <c r="G257" i="5"/>
  <c r="G337" i="5" s="1"/>
  <c r="H257" i="5"/>
  <c r="H337" i="5" s="1"/>
  <c r="J257" i="5"/>
  <c r="J337" i="5" s="1"/>
  <c r="E257" i="5"/>
  <c r="E337" i="5" s="1"/>
  <c r="H266" i="5"/>
  <c r="H348" i="5" s="1"/>
  <c r="J266" i="5"/>
  <c r="J348" i="5" s="1"/>
  <c r="G266" i="5"/>
  <c r="G348" i="5" s="1"/>
  <c r="E266" i="5"/>
  <c r="E348" i="5" s="1"/>
  <c r="H258" i="5"/>
  <c r="H338" i="5" s="1"/>
  <c r="G258" i="5"/>
  <c r="G338" i="5" s="1"/>
  <c r="J258" i="5"/>
  <c r="J338" i="5" s="1"/>
  <c r="E258" i="5"/>
  <c r="E338" i="5" s="1"/>
  <c r="H264" i="5"/>
  <c r="H344" i="5" s="1"/>
  <c r="G264" i="5"/>
  <c r="G344" i="5" s="1"/>
  <c r="J264" i="5"/>
  <c r="J344" i="5" s="1"/>
  <c r="E264" i="5"/>
  <c r="E344" i="5" s="1"/>
  <c r="H263" i="5"/>
  <c r="H343" i="5" s="1"/>
  <c r="G263" i="5"/>
  <c r="G343" i="5" s="1"/>
  <c r="J263" i="5"/>
  <c r="J343" i="5" s="1"/>
  <c r="E263" i="5"/>
  <c r="E343" i="5" s="1"/>
  <c r="H254" i="5"/>
  <c r="H334" i="5" s="1"/>
  <c r="E254" i="5"/>
  <c r="E334" i="5" s="1"/>
  <c r="G254" i="5"/>
  <c r="G334" i="5" s="1"/>
  <c r="J254" i="5"/>
  <c r="J334" i="5" s="1"/>
  <c r="H250" i="5"/>
  <c r="H330" i="5" s="1"/>
  <c r="E250" i="5"/>
  <c r="E330" i="5" s="1"/>
  <c r="G250" i="5"/>
  <c r="G330" i="5" s="1"/>
  <c r="J250" i="5"/>
  <c r="J330" i="5" s="1"/>
  <c r="H256" i="5"/>
  <c r="H336" i="5" s="1"/>
  <c r="J256" i="5"/>
  <c r="J336" i="5" s="1"/>
  <c r="G256" i="5"/>
  <c r="G336" i="5" s="1"/>
  <c r="E256" i="5"/>
  <c r="E336" i="5" s="1"/>
  <c r="H255" i="5"/>
  <c r="H335" i="5" s="1"/>
  <c r="J255" i="5"/>
  <c r="J335" i="5" s="1"/>
  <c r="E255" i="5"/>
  <c r="E335" i="5" s="1"/>
  <c r="G255" i="5"/>
  <c r="G335" i="5" s="1"/>
  <c r="H246" i="5"/>
  <c r="G246" i="5"/>
  <c r="G326" i="5" s="1"/>
  <c r="J246" i="5"/>
  <c r="J326" i="5" s="1"/>
  <c r="E246" i="5"/>
  <c r="E326" i="5" s="1"/>
  <c r="E273" i="5"/>
  <c r="E361" i="5" s="1"/>
  <c r="G273" i="5"/>
  <c r="G361" i="5" s="1"/>
  <c r="J273" i="5"/>
  <c r="J361" i="5" s="1"/>
  <c r="H273" i="5"/>
  <c r="H361" i="5" s="1"/>
  <c r="J261" i="5"/>
  <c r="J341" i="5" s="1"/>
  <c r="H261" i="5"/>
  <c r="H341" i="5" s="1"/>
  <c r="G261" i="5"/>
  <c r="G341" i="5" s="1"/>
  <c r="E261" i="5"/>
  <c r="E341" i="5" s="1"/>
  <c r="H248" i="5"/>
  <c r="J248" i="5"/>
  <c r="J328" i="5" s="1"/>
  <c r="G248" i="5"/>
  <c r="G328" i="5" s="1"/>
  <c r="E248" i="5"/>
  <c r="E328" i="5" s="1"/>
  <c r="H247" i="5"/>
  <c r="G247" i="5"/>
  <c r="G327" i="5" s="1"/>
  <c r="J247" i="5"/>
  <c r="J327" i="5" s="1"/>
  <c r="E247" i="5"/>
  <c r="E327" i="5" s="1"/>
  <c r="J272" i="5"/>
  <c r="J360" i="5" s="1"/>
  <c r="H272" i="5"/>
  <c r="H360" i="5" s="1"/>
  <c r="E272" i="5"/>
  <c r="E360" i="5" s="1"/>
  <c r="G272" i="5"/>
  <c r="G360" i="5" s="1"/>
  <c r="H268" i="5"/>
  <c r="H356" i="5" s="1"/>
  <c r="J268" i="5"/>
  <c r="J356" i="5" s="1"/>
  <c r="G268" i="5"/>
  <c r="G356" i="5" s="1"/>
  <c r="E268" i="5"/>
  <c r="E356" i="5" s="1"/>
  <c r="G245" i="5"/>
  <c r="G325" i="5" s="1"/>
  <c r="H245" i="5"/>
  <c r="H325" i="5" s="1"/>
  <c r="J245" i="5"/>
  <c r="J325" i="5" s="1"/>
  <c r="E325" i="5"/>
  <c r="H244" i="5"/>
  <c r="H324" i="5" s="1"/>
  <c r="G244" i="5"/>
  <c r="G324" i="5" s="1"/>
  <c r="E244" i="5"/>
  <c r="E324" i="5" s="1"/>
  <c r="J244" i="5"/>
  <c r="J324" i="5" s="1"/>
  <c r="L204" i="5"/>
  <c r="L239" i="5" s="1"/>
  <c r="F239" i="5"/>
  <c r="H327" i="5" l="1"/>
  <c r="H326" i="5"/>
  <c r="H328" i="5"/>
  <c r="H295" i="5"/>
  <c r="H243" i="5"/>
  <c r="G243" i="5"/>
  <c r="G323" i="5" s="1"/>
  <c r="E243" i="5"/>
  <c r="E323" i="5" s="1"/>
  <c r="J243" i="5"/>
  <c r="J323" i="5" s="1"/>
  <c r="H276" i="5" l="1"/>
  <c r="H278" i="5" s="1"/>
  <c r="H323" i="5"/>
  <c r="J276" i="5"/>
  <c r="J278" i="5" s="1"/>
  <c r="G276" i="5"/>
  <c r="E276" i="5"/>
  <c r="E278" i="5" s="1"/>
  <c r="I292" i="5"/>
  <c r="J295" i="5"/>
  <c r="K292" i="5" l="1"/>
  <c r="L292" i="5" s="1"/>
  <c r="J306" i="5" s="1"/>
  <c r="J355" i="5" s="1"/>
  <c r="K293" i="5"/>
  <c r="L293" i="5" s="1"/>
  <c r="I259" i="5"/>
  <c r="K247" i="5"/>
  <c r="G278" i="5"/>
  <c r="K268" i="5"/>
  <c r="K245" i="5"/>
  <c r="K252" i="5"/>
  <c r="K269" i="5"/>
  <c r="K260" i="5"/>
  <c r="K274" i="5"/>
  <c r="K248" i="5"/>
  <c r="I250" i="5"/>
  <c r="K264" i="5"/>
  <c r="I261" i="5"/>
  <c r="K258" i="5"/>
  <c r="K246" i="5"/>
  <c r="K271" i="5"/>
  <c r="K254" i="5"/>
  <c r="K273" i="5"/>
  <c r="K244" i="5"/>
  <c r="K253" i="5"/>
  <c r="K270" i="5"/>
  <c r="K255" i="5"/>
  <c r="K262" i="5"/>
  <c r="K250" i="5"/>
  <c r="I263" i="5"/>
  <c r="I264" i="5"/>
  <c r="I245" i="5"/>
  <c r="I258" i="5"/>
  <c r="I271" i="5"/>
  <c r="I267" i="5"/>
  <c r="I270" i="5"/>
  <c r="I262" i="5"/>
  <c r="I256" i="5"/>
  <c r="I243" i="5"/>
  <c r="I275" i="5"/>
  <c r="I246" i="5"/>
  <c r="I269" i="5"/>
  <c r="I249" i="5"/>
  <c r="I260" i="5"/>
  <c r="I274" i="5"/>
  <c r="I244" i="5"/>
  <c r="I251" i="5"/>
  <c r="I268" i="5"/>
  <c r="I265" i="5"/>
  <c r="I254" i="5"/>
  <c r="I253" i="5"/>
  <c r="I272" i="5"/>
  <c r="I252" i="5"/>
  <c r="I247" i="5"/>
  <c r="I273" i="5"/>
  <c r="I266" i="5"/>
  <c r="I248" i="5"/>
  <c r="I255" i="5"/>
  <c r="K243" i="5"/>
  <c r="K265" i="5"/>
  <c r="K251" i="5"/>
  <c r="K267" i="5"/>
  <c r="K259" i="5"/>
  <c r="K249" i="5"/>
  <c r="K275" i="5"/>
  <c r="K263" i="5"/>
  <c r="K256" i="5"/>
  <c r="K266" i="5"/>
  <c r="K272" i="5"/>
  <c r="K257" i="5"/>
  <c r="F251" i="5"/>
  <c r="I257" i="5"/>
  <c r="K261" i="5"/>
  <c r="F243" i="5"/>
  <c r="F244" i="5"/>
  <c r="F268" i="5"/>
  <c r="F271" i="5"/>
  <c r="F263" i="5"/>
  <c r="F273" i="5"/>
  <c r="F250" i="5"/>
  <c r="F252" i="5"/>
  <c r="F245" i="5"/>
  <c r="F274" i="5"/>
  <c r="F258" i="5"/>
  <c r="F248" i="5"/>
  <c r="F275" i="5"/>
  <c r="F265" i="5"/>
  <c r="F262" i="5"/>
  <c r="F253" i="5"/>
  <c r="F259" i="5"/>
  <c r="F257" i="5"/>
  <c r="F261" i="5"/>
  <c r="F267" i="5"/>
  <c r="F254" i="5"/>
  <c r="F255" i="5"/>
  <c r="F247" i="5"/>
  <c r="F260" i="5"/>
  <c r="F272" i="5"/>
  <c r="F270" i="5"/>
  <c r="F264" i="5"/>
  <c r="F266" i="5"/>
  <c r="F269" i="5"/>
  <c r="F246" i="5"/>
  <c r="F256" i="5"/>
  <c r="F249" i="5"/>
  <c r="I291" i="5"/>
  <c r="I289" i="5"/>
  <c r="I285" i="5"/>
  <c r="I286" i="5"/>
  <c r="I287" i="5"/>
  <c r="I288" i="5"/>
  <c r="K285" i="5"/>
  <c r="K286" i="5"/>
  <c r="K287" i="5"/>
  <c r="K288" i="5"/>
  <c r="K289" i="5"/>
  <c r="K290" i="5"/>
  <c r="I290" i="5"/>
  <c r="K291" i="5"/>
  <c r="J307" i="5" l="1"/>
  <c r="J364" i="5" s="1"/>
  <c r="H307" i="5"/>
  <c r="H364" i="5" s="1"/>
  <c r="G307" i="5"/>
  <c r="G364" i="5" s="1"/>
  <c r="E307" i="5"/>
  <c r="E364" i="5" s="1"/>
  <c r="L264" i="5"/>
  <c r="L262" i="5"/>
  <c r="L250" i="5"/>
  <c r="L273" i="5"/>
  <c r="L258" i="5"/>
  <c r="L268" i="5"/>
  <c r="L270" i="5"/>
  <c r="L245" i="5"/>
  <c r="H306" i="5"/>
  <c r="H355" i="5" s="1"/>
  <c r="L291" i="5"/>
  <c r="G305" i="5" s="1"/>
  <c r="G354" i="5" s="1"/>
  <c r="L271" i="5"/>
  <c r="E306" i="5"/>
  <c r="E355" i="5" s="1"/>
  <c r="L246" i="5"/>
  <c r="G306" i="5"/>
  <c r="G355" i="5" s="1"/>
  <c r="L269" i="5"/>
  <c r="L254" i="5"/>
  <c r="L274" i="5"/>
  <c r="L243" i="5"/>
  <c r="L260" i="5"/>
  <c r="L252" i="5"/>
  <c r="L244" i="5"/>
  <c r="L253" i="5"/>
  <c r="L247" i="5"/>
  <c r="L256" i="5"/>
  <c r="I276" i="5"/>
  <c r="L255" i="5"/>
  <c r="L266" i="5"/>
  <c r="L248" i="5"/>
  <c r="L272" i="5"/>
  <c r="L261" i="5"/>
  <c r="L265" i="5"/>
  <c r="L251" i="5"/>
  <c r="L259" i="5"/>
  <c r="L275" i="5"/>
  <c r="L263" i="5"/>
  <c r="L290" i="5"/>
  <c r="E304" i="5" s="1"/>
  <c r="E353" i="5" s="1"/>
  <c r="K276" i="5"/>
  <c r="L267" i="5"/>
  <c r="L257" i="5"/>
  <c r="L249" i="5"/>
  <c r="F276" i="5"/>
  <c r="L289" i="5"/>
  <c r="J303" i="5" s="1"/>
  <c r="J351" i="5" s="1"/>
  <c r="L286" i="5"/>
  <c r="G300" i="5" s="1"/>
  <c r="G346" i="5" s="1"/>
  <c r="I295" i="5"/>
  <c r="L285" i="5"/>
  <c r="H299" i="5" s="1"/>
  <c r="K295" i="5"/>
  <c r="L288" i="5"/>
  <c r="L287" i="5"/>
  <c r="H345" i="5" l="1"/>
  <c r="H305" i="5"/>
  <c r="H354" i="5" s="1"/>
  <c r="J305" i="5"/>
  <c r="J354" i="5" s="1"/>
  <c r="E305" i="5"/>
  <c r="E354" i="5" s="1"/>
  <c r="J304" i="5"/>
  <c r="J353" i="5" s="1"/>
  <c r="G304" i="5"/>
  <c r="G353" i="5" s="1"/>
  <c r="H304" i="5"/>
  <c r="H353" i="5" s="1"/>
  <c r="L276" i="5"/>
  <c r="J300" i="5"/>
  <c r="J346" i="5" s="1"/>
  <c r="H303" i="5"/>
  <c r="H351" i="5" s="1"/>
  <c r="E300" i="5"/>
  <c r="E346" i="5" s="1"/>
  <c r="E303" i="5"/>
  <c r="E351" i="5" s="1"/>
  <c r="G303" i="5"/>
  <c r="G351" i="5" s="1"/>
  <c r="H300" i="5"/>
  <c r="H346" i="5" s="1"/>
  <c r="J299" i="5"/>
  <c r="L295" i="5"/>
  <c r="E299" i="5"/>
  <c r="G299" i="5"/>
  <c r="J302" i="5"/>
  <c r="J350" i="5" s="1"/>
  <c r="G302" i="5"/>
  <c r="G350" i="5" s="1"/>
  <c r="H302" i="5"/>
  <c r="H350" i="5" s="1"/>
  <c r="E302" i="5"/>
  <c r="E350" i="5" s="1"/>
  <c r="J301" i="5"/>
  <c r="J349" i="5" s="1"/>
  <c r="H301" i="5"/>
  <c r="H349" i="5" s="1"/>
  <c r="E301" i="5"/>
  <c r="E349" i="5" s="1"/>
  <c r="G301" i="5"/>
  <c r="G349" i="5" s="1"/>
  <c r="B12" i="7"/>
  <c r="H309" i="5" l="1"/>
  <c r="E345" i="5"/>
  <c r="E366" i="5" s="1"/>
  <c r="E309" i="5"/>
  <c r="F307" i="5" s="1"/>
  <c r="J345" i="5"/>
  <c r="J366" i="5" s="1"/>
  <c r="J309" i="5"/>
  <c r="G345" i="5"/>
  <c r="G366" i="5" s="1"/>
  <c r="I364" i="5" s="1"/>
  <c r="G309" i="5"/>
  <c r="I307" i="5" s="1"/>
  <c r="H366" i="5"/>
  <c r="H311" i="5"/>
  <c r="F346" i="5" l="1"/>
  <c r="F364" i="5"/>
  <c r="K350" i="5"/>
  <c r="K364" i="5"/>
  <c r="K303" i="5"/>
  <c r="K307" i="5"/>
  <c r="L307" i="5" s="1"/>
  <c r="I351" i="5"/>
  <c r="K346" i="5"/>
  <c r="I350" i="5"/>
  <c r="F324" i="5"/>
  <c r="F334" i="5"/>
  <c r="F325" i="5"/>
  <c r="F337" i="5"/>
  <c r="F327" i="5"/>
  <c r="F341" i="5"/>
  <c r="F338" i="5"/>
  <c r="F335" i="5"/>
  <c r="F358" i="5"/>
  <c r="F340" i="5"/>
  <c r="F329" i="5"/>
  <c r="F347" i="5"/>
  <c r="F359" i="5"/>
  <c r="F360" i="5"/>
  <c r="F331" i="5"/>
  <c r="F362" i="5"/>
  <c r="F339" i="5"/>
  <c r="F343" i="5"/>
  <c r="F332" i="5"/>
  <c r="F344" i="5"/>
  <c r="F352" i="5"/>
  <c r="F333" i="5"/>
  <c r="F342" i="5"/>
  <c r="F363" i="5"/>
  <c r="F326" i="5"/>
  <c r="F348" i="5"/>
  <c r="F361" i="5"/>
  <c r="F356" i="5"/>
  <c r="F336" i="5"/>
  <c r="F328" i="5"/>
  <c r="F357" i="5"/>
  <c r="F330" i="5"/>
  <c r="F323" i="5"/>
  <c r="F355" i="5"/>
  <c r="F353" i="5"/>
  <c r="F354" i="5"/>
  <c r="K342" i="5"/>
  <c r="K356" i="5"/>
  <c r="K327" i="5"/>
  <c r="K334" i="5"/>
  <c r="K337" i="5"/>
  <c r="K352" i="5"/>
  <c r="K333" i="5"/>
  <c r="K359" i="5"/>
  <c r="K330" i="5"/>
  <c r="K343" i="5"/>
  <c r="K357" i="5"/>
  <c r="K340" i="5"/>
  <c r="K358" i="5"/>
  <c r="K362" i="5"/>
  <c r="K331" i="5"/>
  <c r="K341" i="5"/>
  <c r="K326" i="5"/>
  <c r="K339" i="5"/>
  <c r="K332" i="5"/>
  <c r="K328" i="5"/>
  <c r="K324" i="5"/>
  <c r="K347" i="5"/>
  <c r="K363" i="5"/>
  <c r="K344" i="5"/>
  <c r="K338" i="5"/>
  <c r="K329" i="5"/>
  <c r="K360" i="5"/>
  <c r="K361" i="5"/>
  <c r="K335" i="5"/>
  <c r="K336" i="5"/>
  <c r="K325" i="5"/>
  <c r="K348" i="5"/>
  <c r="K323" i="5"/>
  <c r="K355" i="5"/>
  <c r="K354" i="5"/>
  <c r="K351" i="5"/>
  <c r="K353" i="5"/>
  <c r="I335" i="5"/>
  <c r="I329" i="5"/>
  <c r="I334" i="5"/>
  <c r="I330" i="5"/>
  <c r="I338" i="5"/>
  <c r="I348" i="5"/>
  <c r="I333" i="5"/>
  <c r="I332" i="5"/>
  <c r="I326" i="5"/>
  <c r="I344" i="5"/>
  <c r="I356" i="5"/>
  <c r="I347" i="5"/>
  <c r="I341" i="5"/>
  <c r="I352" i="5"/>
  <c r="I336" i="5"/>
  <c r="I360" i="5"/>
  <c r="I327" i="5"/>
  <c r="I361" i="5"/>
  <c r="I337" i="5"/>
  <c r="I340" i="5"/>
  <c r="I339" i="5"/>
  <c r="I363" i="5"/>
  <c r="I325" i="5"/>
  <c r="I328" i="5"/>
  <c r="I331" i="5"/>
  <c r="I343" i="5"/>
  <c r="I358" i="5"/>
  <c r="I357" i="5"/>
  <c r="I362" i="5"/>
  <c r="I359" i="5"/>
  <c r="I342" i="5"/>
  <c r="I324" i="5"/>
  <c r="I323" i="5"/>
  <c r="I355" i="5"/>
  <c r="I346" i="5"/>
  <c r="I353" i="5"/>
  <c r="I354" i="5"/>
  <c r="F345" i="5"/>
  <c r="I349" i="5"/>
  <c r="K349" i="5"/>
  <c r="F351" i="5"/>
  <c r="F350" i="5"/>
  <c r="I345" i="5"/>
  <c r="F349" i="5"/>
  <c r="K345" i="5"/>
  <c r="K299" i="5"/>
  <c r="K301" i="5"/>
  <c r="K300" i="5"/>
  <c r="K305" i="5"/>
  <c r="K304" i="5"/>
  <c r="J311" i="5"/>
  <c r="K302" i="5"/>
  <c r="K306" i="5"/>
  <c r="F299" i="5"/>
  <c r="F306" i="5"/>
  <c r="E311" i="5"/>
  <c r="F305" i="5"/>
  <c r="F300" i="5"/>
  <c r="F303" i="5"/>
  <c r="F304" i="5"/>
  <c r="F302" i="5"/>
  <c r="F301" i="5"/>
  <c r="I299" i="5"/>
  <c r="G311" i="5"/>
  <c r="I306" i="5"/>
  <c r="I300" i="5"/>
  <c r="I304" i="5"/>
  <c r="I303" i="5"/>
  <c r="I305" i="5"/>
  <c r="I302" i="5"/>
  <c r="I301" i="5"/>
  <c r="C121" i="5"/>
  <c r="L323" i="5" l="1"/>
  <c r="L364" i="5"/>
  <c r="E411" i="5" s="1"/>
  <c r="E47" i="5" s="1"/>
  <c r="G47" i="26" s="1"/>
  <c r="K309" i="5"/>
  <c r="I309" i="5"/>
  <c r="F309" i="5"/>
  <c r="L346" i="5"/>
  <c r="G393" i="5" s="1"/>
  <c r="F29" i="5" s="1"/>
  <c r="H29" i="26" s="1"/>
  <c r="L333" i="5"/>
  <c r="J380" i="5" s="1"/>
  <c r="H16" i="5" s="1"/>
  <c r="I16" i="26" s="1"/>
  <c r="L336" i="5"/>
  <c r="J383" i="5" s="1"/>
  <c r="H19" i="5" s="1"/>
  <c r="I19" i="26" s="1"/>
  <c r="L349" i="5"/>
  <c r="H396" i="5" s="1"/>
  <c r="G32" i="5" s="1"/>
  <c r="L350" i="5"/>
  <c r="H397" i="5" s="1"/>
  <c r="G33" i="5" s="1"/>
  <c r="L351" i="5"/>
  <c r="J398" i="5" s="1"/>
  <c r="H34" i="5" s="1"/>
  <c r="I34" i="26" s="1"/>
  <c r="L328" i="5"/>
  <c r="H375" i="5" s="1"/>
  <c r="G11" i="5" s="1"/>
  <c r="L360" i="5"/>
  <c r="H407" i="5" s="1"/>
  <c r="G43" i="5" s="1"/>
  <c r="L352" i="5"/>
  <c r="G399" i="5" s="1"/>
  <c r="F35" i="5" s="1"/>
  <c r="H35" i="26" s="1"/>
  <c r="L359" i="5"/>
  <c r="H406" i="5" s="1"/>
  <c r="G42" i="5" s="1"/>
  <c r="L327" i="5"/>
  <c r="J374" i="5" s="1"/>
  <c r="H10" i="5" s="1"/>
  <c r="I10" i="26" s="1"/>
  <c r="L344" i="5"/>
  <c r="E391" i="5" s="1"/>
  <c r="E27" i="5" s="1"/>
  <c r="G27" i="26" s="1"/>
  <c r="L356" i="5"/>
  <c r="L347" i="5"/>
  <c r="G394" i="5" s="1"/>
  <c r="F30" i="5" s="1"/>
  <c r="H30" i="26" s="1"/>
  <c r="L337" i="5"/>
  <c r="L353" i="5"/>
  <c r="L361" i="5"/>
  <c r="L332" i="5"/>
  <c r="L329" i="5"/>
  <c r="L325" i="5"/>
  <c r="K366" i="5"/>
  <c r="I366" i="5"/>
  <c r="L355" i="5"/>
  <c r="L348" i="5"/>
  <c r="L343" i="5"/>
  <c r="L340" i="5"/>
  <c r="L334" i="5"/>
  <c r="L341" i="5"/>
  <c r="L326" i="5"/>
  <c r="L339" i="5"/>
  <c r="L358" i="5"/>
  <c r="F366" i="5"/>
  <c r="L324" i="5"/>
  <c r="L354" i="5"/>
  <c r="L330" i="5"/>
  <c r="L363" i="5"/>
  <c r="L362" i="5"/>
  <c r="L335" i="5"/>
  <c r="L345" i="5"/>
  <c r="L357" i="5"/>
  <c r="L342" i="5"/>
  <c r="L331" i="5"/>
  <c r="L338" i="5"/>
  <c r="L302" i="5"/>
  <c r="L303" i="5"/>
  <c r="L304" i="5"/>
  <c r="L300" i="5"/>
  <c r="L305" i="5"/>
  <c r="L306" i="5"/>
  <c r="L301" i="5"/>
  <c r="L299" i="5"/>
  <c r="J411" i="5" l="1"/>
  <c r="H47" i="5" s="1"/>
  <c r="I47" i="26" s="1"/>
  <c r="H411" i="5"/>
  <c r="G47" i="5" s="1"/>
  <c r="G411" i="5"/>
  <c r="F47" i="5" s="1"/>
  <c r="H47" i="26" s="1"/>
  <c r="L309" i="5"/>
  <c r="H383" i="5"/>
  <c r="G19" i="5" s="1"/>
  <c r="G383" i="5"/>
  <c r="F19" i="5" s="1"/>
  <c r="H19" i="26" s="1"/>
  <c r="G374" i="5"/>
  <c r="F10" i="5" s="1"/>
  <c r="H10" i="26" s="1"/>
  <c r="E383" i="5"/>
  <c r="E19" i="5" s="1"/>
  <c r="G19" i="26" s="1"/>
  <c r="J393" i="5"/>
  <c r="H29" i="5" s="1"/>
  <c r="I29" i="26" s="1"/>
  <c r="H393" i="5"/>
  <c r="G29" i="5" s="1"/>
  <c r="E393" i="5"/>
  <c r="E29" i="5" s="1"/>
  <c r="G29" i="26" s="1"/>
  <c r="H374" i="5"/>
  <c r="G10" i="5" s="1"/>
  <c r="H391" i="5"/>
  <c r="G27" i="5" s="1"/>
  <c r="E398" i="5"/>
  <c r="E34" i="5" s="1"/>
  <c r="G34" i="26" s="1"/>
  <c r="G397" i="5"/>
  <c r="F33" i="5" s="1"/>
  <c r="H33" i="26" s="1"/>
  <c r="G396" i="5"/>
  <c r="F32" i="5" s="1"/>
  <c r="H32" i="26" s="1"/>
  <c r="J397" i="5"/>
  <c r="H33" i="5" s="1"/>
  <c r="I33" i="26" s="1"/>
  <c r="E396" i="5"/>
  <c r="E32" i="5" s="1"/>
  <c r="G32" i="26" s="1"/>
  <c r="J396" i="5"/>
  <c r="H32" i="5" s="1"/>
  <c r="I32" i="26" s="1"/>
  <c r="G406" i="5"/>
  <c r="F42" i="5" s="1"/>
  <c r="H42" i="26" s="1"/>
  <c r="E397" i="5"/>
  <c r="E33" i="5" s="1"/>
  <c r="G33" i="26" s="1"/>
  <c r="E374" i="5"/>
  <c r="E10" i="5" s="1"/>
  <c r="G10" i="26" s="1"/>
  <c r="E407" i="5"/>
  <c r="E43" i="5" s="1"/>
  <c r="G43" i="26" s="1"/>
  <c r="J407" i="5"/>
  <c r="H43" i="5" s="1"/>
  <c r="I43" i="26" s="1"/>
  <c r="G407" i="5"/>
  <c r="F43" i="5" s="1"/>
  <c r="H43" i="26" s="1"/>
  <c r="E375" i="5"/>
  <c r="E11" i="5" s="1"/>
  <c r="G11" i="26" s="1"/>
  <c r="E380" i="5"/>
  <c r="E16" i="5" s="1"/>
  <c r="G16" i="26" s="1"/>
  <c r="J375" i="5"/>
  <c r="H11" i="5" s="1"/>
  <c r="I11" i="26" s="1"/>
  <c r="G380" i="5"/>
  <c r="F16" i="5" s="1"/>
  <c r="H16" i="26" s="1"/>
  <c r="H398" i="5"/>
  <c r="G34" i="5" s="1"/>
  <c r="G375" i="5"/>
  <c r="F11" i="5" s="1"/>
  <c r="H11" i="26" s="1"/>
  <c r="H380" i="5"/>
  <c r="G16" i="5" s="1"/>
  <c r="G398" i="5"/>
  <c r="F34" i="5" s="1"/>
  <c r="H34" i="26" s="1"/>
  <c r="J399" i="5"/>
  <c r="H35" i="5" s="1"/>
  <c r="I35" i="26" s="1"/>
  <c r="E406" i="5"/>
  <c r="E42" i="5" s="1"/>
  <c r="G42" i="26" s="1"/>
  <c r="J406" i="5"/>
  <c r="H42" i="5" s="1"/>
  <c r="I42" i="26" s="1"/>
  <c r="E399" i="5"/>
  <c r="E35" i="5" s="1"/>
  <c r="G35" i="26" s="1"/>
  <c r="H399" i="5"/>
  <c r="G35" i="5" s="1"/>
  <c r="G391" i="5"/>
  <c r="F27" i="5" s="1"/>
  <c r="H27" i="26" s="1"/>
  <c r="J391" i="5"/>
  <c r="H27" i="5" s="1"/>
  <c r="I27" i="26" s="1"/>
  <c r="E378" i="5"/>
  <c r="E14" i="5" s="1"/>
  <c r="G14" i="26" s="1"/>
  <c r="H378" i="5"/>
  <c r="G14" i="5" s="1"/>
  <c r="J378" i="5"/>
  <c r="H14" i="5" s="1"/>
  <c r="I14" i="26" s="1"/>
  <c r="G378" i="5"/>
  <c r="F14" i="5" s="1"/>
  <c r="H14" i="26" s="1"/>
  <c r="G377" i="5"/>
  <c r="F13" i="5" s="1"/>
  <c r="H13" i="26" s="1"/>
  <c r="H377" i="5"/>
  <c r="G13" i="5" s="1"/>
  <c r="J377" i="5"/>
  <c r="H13" i="5" s="1"/>
  <c r="I13" i="26" s="1"/>
  <c r="E377" i="5"/>
  <c r="E13" i="5" s="1"/>
  <c r="G13" i="26" s="1"/>
  <c r="E381" i="5"/>
  <c r="E17" i="5" s="1"/>
  <c r="G17" i="26" s="1"/>
  <c r="J381" i="5"/>
  <c r="H17" i="5" s="1"/>
  <c r="I17" i="26" s="1"/>
  <c r="G381" i="5"/>
  <c r="F17" i="5" s="1"/>
  <c r="H17" i="26" s="1"/>
  <c r="H381" i="5"/>
  <c r="G17" i="5" s="1"/>
  <c r="E376" i="5"/>
  <c r="E12" i="5" s="1"/>
  <c r="G12" i="26" s="1"/>
  <c r="H376" i="5"/>
  <c r="G12" i="5" s="1"/>
  <c r="J376" i="5"/>
  <c r="H12" i="5" s="1"/>
  <c r="I12" i="26" s="1"/>
  <c r="G376" i="5"/>
  <c r="F12" i="5" s="1"/>
  <c r="H12" i="26" s="1"/>
  <c r="E384" i="5"/>
  <c r="E20" i="5" s="1"/>
  <c r="G20" i="26" s="1"/>
  <c r="G384" i="5"/>
  <c r="F20" i="5" s="1"/>
  <c r="H20" i="26" s="1"/>
  <c r="H384" i="5"/>
  <c r="G20" i="5" s="1"/>
  <c r="J384" i="5"/>
  <c r="H20" i="5" s="1"/>
  <c r="I20" i="26" s="1"/>
  <c r="J410" i="5"/>
  <c r="H46" i="5" s="1"/>
  <c r="I46" i="26" s="1"/>
  <c r="E410" i="5"/>
  <c r="H410" i="5"/>
  <c r="G46" i="5" s="1"/>
  <c r="G410" i="5"/>
  <c r="F46" i="5" s="1"/>
  <c r="H46" i="26" s="1"/>
  <c r="J389" i="5"/>
  <c r="H25" i="5" s="1"/>
  <c r="I25" i="26" s="1"/>
  <c r="E389" i="5"/>
  <c r="E25" i="5" s="1"/>
  <c r="G25" i="26" s="1"/>
  <c r="H389" i="5"/>
  <c r="G25" i="5" s="1"/>
  <c r="G389" i="5"/>
  <c r="F25" i="5" s="1"/>
  <c r="H25" i="26" s="1"/>
  <c r="J401" i="5"/>
  <c r="H37" i="5" s="1"/>
  <c r="I37" i="26" s="1"/>
  <c r="H401" i="5"/>
  <c r="G37" i="5" s="1"/>
  <c r="G401" i="5"/>
  <c r="F37" i="5" s="1"/>
  <c r="H37" i="26" s="1"/>
  <c r="E401" i="5"/>
  <c r="E37" i="5" s="1"/>
  <c r="G37" i="26" s="1"/>
  <c r="E387" i="5"/>
  <c r="E23" i="5" s="1"/>
  <c r="G23" i="26" s="1"/>
  <c r="H387" i="5"/>
  <c r="G23" i="5" s="1"/>
  <c r="J387" i="5"/>
  <c r="H23" i="5" s="1"/>
  <c r="I23" i="26" s="1"/>
  <c r="G387" i="5"/>
  <c r="F23" i="5" s="1"/>
  <c r="H23" i="26" s="1"/>
  <c r="H379" i="5"/>
  <c r="G15" i="5" s="1"/>
  <c r="G379" i="5"/>
  <c r="F15" i="5" s="1"/>
  <c r="H15" i="26" s="1"/>
  <c r="E379" i="5"/>
  <c r="E15" i="5" s="1"/>
  <c r="G15" i="26" s="1"/>
  <c r="J379" i="5"/>
  <c r="H15" i="5" s="1"/>
  <c r="I15" i="26" s="1"/>
  <c r="E394" i="5"/>
  <c r="E30" i="5" s="1"/>
  <c r="G30" i="26" s="1"/>
  <c r="J394" i="5"/>
  <c r="H30" i="5" s="1"/>
  <c r="I30" i="26" s="1"/>
  <c r="H394" i="5"/>
  <c r="G30" i="5" s="1"/>
  <c r="H385" i="5"/>
  <c r="G21" i="5" s="1"/>
  <c r="G385" i="5"/>
  <c r="F21" i="5" s="1"/>
  <c r="H21" i="26" s="1"/>
  <c r="J385" i="5"/>
  <c r="H21" i="5" s="1"/>
  <c r="I21" i="26" s="1"/>
  <c r="E385" i="5"/>
  <c r="E21" i="5" s="1"/>
  <c r="G21" i="26" s="1"/>
  <c r="J404" i="5"/>
  <c r="H40" i="5" s="1"/>
  <c r="I40" i="26" s="1"/>
  <c r="G404" i="5"/>
  <c r="F40" i="5" s="1"/>
  <c r="H40" i="26" s="1"/>
  <c r="H404" i="5"/>
  <c r="G40" i="5" s="1"/>
  <c r="E404" i="5"/>
  <c r="E40" i="5" s="1"/>
  <c r="G40" i="26" s="1"/>
  <c r="L366" i="5"/>
  <c r="G371" i="5"/>
  <c r="F7" i="5" s="1"/>
  <c r="H7" i="26" s="1"/>
  <c r="E371" i="5"/>
  <c r="E7" i="5" s="1"/>
  <c r="G7" i="26" s="1"/>
  <c r="H371" i="5"/>
  <c r="G7" i="5" s="1"/>
  <c r="J371" i="5"/>
  <c r="H7" i="5" s="1"/>
  <c r="I7" i="26" s="1"/>
  <c r="J390" i="5"/>
  <c r="H26" i="5" s="1"/>
  <c r="I26" i="26" s="1"/>
  <c r="H390" i="5"/>
  <c r="G26" i="5" s="1"/>
  <c r="G390" i="5"/>
  <c r="F26" i="5" s="1"/>
  <c r="H26" i="26" s="1"/>
  <c r="E390" i="5"/>
  <c r="E26" i="5" s="1"/>
  <c r="G26" i="26" s="1"/>
  <c r="G408" i="5"/>
  <c r="F44" i="5" s="1"/>
  <c r="H44" i="26" s="1"/>
  <c r="J408" i="5"/>
  <c r="H44" i="5" s="1"/>
  <c r="I44" i="26" s="1"/>
  <c r="H408" i="5"/>
  <c r="G44" i="5" s="1"/>
  <c r="E408" i="5"/>
  <c r="E44" i="5" s="1"/>
  <c r="G44" i="26" s="1"/>
  <c r="G403" i="5"/>
  <c r="F39" i="5" s="1"/>
  <c r="H39" i="26" s="1"/>
  <c r="H403" i="5"/>
  <c r="G39" i="5" s="1"/>
  <c r="J403" i="5"/>
  <c r="H39" i="5" s="1"/>
  <c r="I39" i="26" s="1"/>
  <c r="E403" i="5"/>
  <c r="E39" i="5" s="1"/>
  <c r="G39" i="26" s="1"/>
  <c r="J372" i="5"/>
  <c r="H8" i="5" s="1"/>
  <c r="I8" i="26" s="1"/>
  <c r="E372" i="5"/>
  <c r="E8" i="5" s="1"/>
  <c r="G8" i="26" s="1"/>
  <c r="H372" i="5"/>
  <c r="G8" i="5" s="1"/>
  <c r="G372" i="5"/>
  <c r="F8" i="5" s="1"/>
  <c r="H8" i="26" s="1"/>
  <c r="H392" i="5"/>
  <c r="G28" i="5" s="1"/>
  <c r="J392" i="5"/>
  <c r="H28" i="5" s="1"/>
  <c r="I28" i="26" s="1"/>
  <c r="E392" i="5"/>
  <c r="E28" i="5" s="1"/>
  <c r="G28" i="26" s="1"/>
  <c r="G392" i="5"/>
  <c r="F28" i="5" s="1"/>
  <c r="H28" i="26" s="1"/>
  <c r="H395" i="5"/>
  <c r="G31" i="5" s="1"/>
  <c r="G395" i="5"/>
  <c r="F31" i="5" s="1"/>
  <c r="H31" i="26" s="1"/>
  <c r="E395" i="5"/>
  <c r="E31" i="5" s="1"/>
  <c r="G31" i="26" s="1"/>
  <c r="J395" i="5"/>
  <c r="H31" i="5" s="1"/>
  <c r="I31" i="26" s="1"/>
  <c r="H400" i="5"/>
  <c r="G36" i="5" s="1"/>
  <c r="J400" i="5"/>
  <c r="H36" i="5" s="1"/>
  <c r="I36" i="26" s="1"/>
  <c r="G400" i="5"/>
  <c r="F36" i="5" s="1"/>
  <c r="H36" i="26" s="1"/>
  <c r="E400" i="5"/>
  <c r="E36" i="5" s="1"/>
  <c r="G36" i="26" s="1"/>
  <c r="E370" i="5"/>
  <c r="J370" i="5"/>
  <c r="H6" i="5" s="1"/>
  <c r="I6" i="26" s="1"/>
  <c r="H370" i="5"/>
  <c r="G6" i="5" s="1"/>
  <c r="G370" i="5"/>
  <c r="F6" i="5" s="1"/>
  <c r="H6" i="26" s="1"/>
  <c r="H405" i="5"/>
  <c r="G41" i="5" s="1"/>
  <c r="J405" i="5"/>
  <c r="H41" i="5" s="1"/>
  <c r="I41" i="26" s="1"/>
  <c r="G405" i="5"/>
  <c r="F41" i="5" s="1"/>
  <c r="H41" i="26" s="1"/>
  <c r="E405" i="5"/>
  <c r="E41" i="5" s="1"/>
  <c r="G41" i="26" s="1"/>
  <c r="J402" i="5"/>
  <c r="H38" i="5" s="1"/>
  <c r="I38" i="26" s="1"/>
  <c r="G402" i="5"/>
  <c r="F38" i="5" s="1"/>
  <c r="H38" i="26" s="1"/>
  <c r="E402" i="5"/>
  <c r="E38" i="5" s="1"/>
  <c r="G38" i="26" s="1"/>
  <c r="H402" i="5"/>
  <c r="G38" i="5" s="1"/>
  <c r="H388" i="5"/>
  <c r="G24" i="5" s="1"/>
  <c r="G388" i="5"/>
  <c r="F24" i="5" s="1"/>
  <c r="H24" i="26" s="1"/>
  <c r="E388" i="5"/>
  <c r="E24" i="5" s="1"/>
  <c r="G24" i="26" s="1"/>
  <c r="J388" i="5"/>
  <c r="H24" i="5" s="1"/>
  <c r="I24" i="26" s="1"/>
  <c r="E382" i="5"/>
  <c r="E18" i="5" s="1"/>
  <c r="G18" i="26" s="1"/>
  <c r="H382" i="5"/>
  <c r="G18" i="5" s="1"/>
  <c r="G382" i="5"/>
  <c r="F18" i="5" s="1"/>
  <c r="H18" i="26" s="1"/>
  <c r="J382" i="5"/>
  <c r="H18" i="5" s="1"/>
  <c r="I18" i="26" s="1"/>
  <c r="E386" i="5"/>
  <c r="E22" i="5" s="1"/>
  <c r="G22" i="26" s="1"/>
  <c r="J386" i="5"/>
  <c r="H22" i="5" s="1"/>
  <c r="I22" i="26" s="1"/>
  <c r="G386" i="5"/>
  <c r="F22" i="5" s="1"/>
  <c r="H22" i="26" s="1"/>
  <c r="H386" i="5"/>
  <c r="G22" i="5" s="1"/>
  <c r="E409" i="5"/>
  <c r="E45" i="5" s="1"/>
  <c r="G45" i="26" s="1"/>
  <c r="J409" i="5"/>
  <c r="H45" i="5" s="1"/>
  <c r="I45" i="26" s="1"/>
  <c r="H409" i="5"/>
  <c r="G45" i="5" s="1"/>
  <c r="G409" i="5"/>
  <c r="F45" i="5" s="1"/>
  <c r="H45" i="26" s="1"/>
  <c r="G373" i="5"/>
  <c r="F9" i="5" s="1"/>
  <c r="H9" i="26" s="1"/>
  <c r="J373" i="5"/>
  <c r="H9" i="5" s="1"/>
  <c r="I9" i="26" s="1"/>
  <c r="E373" i="5"/>
  <c r="E9" i="5" s="1"/>
  <c r="G9" i="26" s="1"/>
  <c r="H373" i="5"/>
  <c r="G9" i="5" s="1"/>
  <c r="AJ9" i="26" l="1"/>
  <c r="AJ16" i="26"/>
  <c r="AJ41" i="26"/>
  <c r="AJ28" i="26"/>
  <c r="AJ21" i="26"/>
  <c r="AJ17" i="26"/>
  <c r="AJ8" i="26"/>
  <c r="AJ26" i="26"/>
  <c r="AJ37" i="26"/>
  <c r="AJ25" i="26"/>
  <c r="AJ46" i="26"/>
  <c r="AJ33" i="26"/>
  <c r="AJ29" i="26"/>
  <c r="AJ47" i="26"/>
  <c r="AJ10" i="26"/>
  <c r="AJ45" i="26"/>
  <c r="AJ36" i="26"/>
  <c r="AJ35" i="26"/>
  <c r="AJ18" i="26"/>
  <c r="AJ24" i="26"/>
  <c r="AJ31" i="26"/>
  <c r="AJ7" i="26"/>
  <c r="AJ40" i="26"/>
  <c r="AJ15" i="26"/>
  <c r="AJ20" i="26"/>
  <c r="AJ27" i="26"/>
  <c r="AJ42" i="26"/>
  <c r="AJ11" i="26"/>
  <c r="AJ43" i="26"/>
  <c r="AJ22" i="26"/>
  <c r="AJ6" i="26"/>
  <c r="AJ50" i="26"/>
  <c r="AJ52" i="26"/>
  <c r="AJ51" i="26"/>
  <c r="AJ48" i="26"/>
  <c r="AJ49" i="26"/>
  <c r="AJ44" i="26"/>
  <c r="AJ30" i="26"/>
  <c r="AJ38" i="26"/>
  <c r="U38" i="26"/>
  <c r="AJ39" i="26"/>
  <c r="AJ23" i="26"/>
  <c r="AJ12" i="26"/>
  <c r="AJ13" i="26"/>
  <c r="AJ14" i="26"/>
  <c r="AJ32" i="26"/>
  <c r="AJ19" i="26"/>
  <c r="AJ34" i="26"/>
  <c r="K8" i="26"/>
  <c r="L8" i="26"/>
  <c r="U45" i="26"/>
  <c r="E6" i="5"/>
  <c r="G6" i="26" s="1"/>
  <c r="U32" i="26"/>
  <c r="U34" i="26"/>
  <c r="U28" i="26"/>
  <c r="R45" i="26"/>
  <c r="U33" i="26"/>
  <c r="U36" i="26"/>
  <c r="U37" i="26"/>
  <c r="U47" i="26"/>
  <c r="AH18" i="26"/>
  <c r="AH24" i="26"/>
  <c r="AH31" i="26"/>
  <c r="AH7" i="26"/>
  <c r="AH40" i="26"/>
  <c r="AH15" i="26"/>
  <c r="AH20" i="26"/>
  <c r="AH27" i="26"/>
  <c r="AH42" i="26"/>
  <c r="AH11" i="26"/>
  <c r="AH43" i="26"/>
  <c r="AH19" i="26"/>
  <c r="AH39" i="26"/>
  <c r="AH23" i="26"/>
  <c r="AH12" i="26"/>
  <c r="AH13" i="26"/>
  <c r="AH14" i="26"/>
  <c r="AH32" i="26"/>
  <c r="AH16" i="26"/>
  <c r="AH9" i="26"/>
  <c r="AH45" i="26"/>
  <c r="AH22" i="26"/>
  <c r="AH41" i="26"/>
  <c r="AH6" i="26"/>
  <c r="AH36" i="26"/>
  <c r="AH28" i="26"/>
  <c r="AH44" i="26"/>
  <c r="AH21" i="26"/>
  <c r="AH30" i="26"/>
  <c r="AH17" i="26"/>
  <c r="AH35" i="26"/>
  <c r="AH34" i="26"/>
  <c r="AH38" i="26"/>
  <c r="AH8" i="26"/>
  <c r="AH26" i="26"/>
  <c r="AH37" i="26"/>
  <c r="AH25" i="26"/>
  <c r="AH46" i="26"/>
  <c r="AH33" i="26"/>
  <c r="AH29" i="26"/>
  <c r="AH47" i="26"/>
  <c r="AH10" i="26"/>
  <c r="K45" i="26"/>
  <c r="K9" i="26"/>
  <c r="K30" i="26"/>
  <c r="K22" i="26"/>
  <c r="K18" i="26"/>
  <c r="T38" i="26"/>
  <c r="R38" i="26"/>
  <c r="K41" i="26"/>
  <c r="K36" i="26"/>
  <c r="T28" i="26"/>
  <c r="R28" i="26"/>
  <c r="R50" i="26"/>
  <c r="R52" i="26"/>
  <c r="R53" i="26"/>
  <c r="R51" i="26"/>
  <c r="L39" i="26"/>
  <c r="K26" i="26"/>
  <c r="L23" i="26"/>
  <c r="K37" i="26"/>
  <c r="L12" i="26"/>
  <c r="K17" i="26"/>
  <c r="L13" i="26"/>
  <c r="L14" i="26"/>
  <c r="K27" i="26"/>
  <c r="K11" i="26"/>
  <c r="L32" i="26"/>
  <c r="K33" i="26"/>
  <c r="K10" i="26"/>
  <c r="K47" i="26"/>
  <c r="K29" i="26"/>
  <c r="L34" i="26"/>
  <c r="L24" i="26"/>
  <c r="L9" i="26"/>
  <c r="L45" i="26"/>
  <c r="L22" i="26"/>
  <c r="K24" i="26"/>
  <c r="K38" i="26"/>
  <c r="L41" i="26"/>
  <c r="L6" i="26"/>
  <c r="L53" i="26"/>
  <c r="L51" i="26"/>
  <c r="L49" i="26"/>
  <c r="L50" i="26"/>
  <c r="L48" i="26"/>
  <c r="L52" i="26"/>
  <c r="L36" i="26"/>
  <c r="K31" i="26"/>
  <c r="L28" i="26"/>
  <c r="L44" i="26"/>
  <c r="L21" i="26"/>
  <c r="L30" i="26"/>
  <c r="K15" i="26"/>
  <c r="K20" i="26"/>
  <c r="L17" i="26"/>
  <c r="L35" i="26"/>
  <c r="T32" i="26"/>
  <c r="R32" i="26"/>
  <c r="T34" i="26"/>
  <c r="R34" i="26"/>
  <c r="K19" i="26"/>
  <c r="K35" i="26"/>
  <c r="L10" i="26"/>
  <c r="L38" i="26"/>
  <c r="K39" i="26"/>
  <c r="K44" i="26"/>
  <c r="L26" i="26"/>
  <c r="K7" i="26"/>
  <c r="K40" i="26"/>
  <c r="K21" i="26"/>
  <c r="L37" i="26"/>
  <c r="L25" i="26"/>
  <c r="L46" i="26"/>
  <c r="K13" i="26"/>
  <c r="K34" i="26"/>
  <c r="K16" i="26"/>
  <c r="K43" i="26"/>
  <c r="T33" i="26"/>
  <c r="R33" i="26"/>
  <c r="L33" i="26"/>
  <c r="L29" i="26"/>
  <c r="L47" i="26"/>
  <c r="L16" i="26"/>
  <c r="L18" i="26"/>
  <c r="K53" i="26"/>
  <c r="K50" i="26"/>
  <c r="K6" i="26"/>
  <c r="K52" i="26"/>
  <c r="K51" i="26"/>
  <c r="K49" i="26"/>
  <c r="K48" i="26"/>
  <c r="T36" i="26"/>
  <c r="R36" i="26"/>
  <c r="L31" i="26"/>
  <c r="K28" i="26"/>
  <c r="L7" i="26"/>
  <c r="L40" i="26"/>
  <c r="L15" i="26"/>
  <c r="K23" i="26"/>
  <c r="T37" i="26"/>
  <c r="R37" i="26"/>
  <c r="K25" i="26"/>
  <c r="K46" i="26"/>
  <c r="L20" i="26"/>
  <c r="K12" i="26"/>
  <c r="K14" i="26"/>
  <c r="L27" i="26"/>
  <c r="L42" i="26"/>
  <c r="L11" i="26"/>
  <c r="L43" i="26"/>
  <c r="K42" i="26"/>
  <c r="K32" i="26"/>
  <c r="R47" i="26"/>
  <c r="T47" i="26"/>
  <c r="L19" i="26"/>
  <c r="F49" i="5"/>
  <c r="F50" i="5" s="1"/>
  <c r="G49" i="5"/>
  <c r="G50" i="5" s="1"/>
  <c r="H49" i="5"/>
  <c r="H50" i="5" s="1"/>
  <c r="E46" i="5"/>
  <c r="G46" i="26" s="1"/>
  <c r="AK46" i="26" s="1"/>
  <c r="G414" i="5"/>
  <c r="E414" i="5"/>
  <c r="H414" i="5"/>
  <c r="H417" i="5" s="1"/>
  <c r="J414" i="5"/>
  <c r="K411" i="5" s="1"/>
  <c r="AK39" i="26" l="1"/>
  <c r="AK19" i="26"/>
  <c r="AK20" i="26"/>
  <c r="AK42" i="26"/>
  <c r="AK10" i="26"/>
  <c r="AK35" i="26"/>
  <c r="AK29" i="26"/>
  <c r="AK13" i="26"/>
  <c r="AK41" i="26"/>
  <c r="AK43" i="26"/>
  <c r="AK14" i="26"/>
  <c r="AK23" i="26"/>
  <c r="AK16" i="26"/>
  <c r="AK11" i="26"/>
  <c r="AK6" i="26"/>
  <c r="AK49" i="26"/>
  <c r="AK27" i="26"/>
  <c r="AK26" i="26"/>
  <c r="AK30" i="26"/>
  <c r="AK21" i="26"/>
  <c r="AK17" i="26"/>
  <c r="AK18" i="26"/>
  <c r="AK40" i="26"/>
  <c r="AK25" i="26"/>
  <c r="AK15" i="26"/>
  <c r="AK44" i="26"/>
  <c r="AK22" i="26"/>
  <c r="AK9" i="26"/>
  <c r="AK12" i="26"/>
  <c r="AK7" i="26"/>
  <c r="AK31" i="26"/>
  <c r="AK8" i="26"/>
  <c r="AK24" i="26"/>
  <c r="AB6" i="26"/>
  <c r="AB50" i="26"/>
  <c r="AB51" i="26"/>
  <c r="AB52" i="26"/>
  <c r="AB49" i="26"/>
  <c r="AB53" i="26"/>
  <c r="AB47" i="26"/>
  <c r="AB27" i="26"/>
  <c r="AB43" i="26"/>
  <c r="AB21" i="26"/>
  <c r="AB31" i="26"/>
  <c r="AB9" i="26"/>
  <c r="AB37" i="26"/>
  <c r="AB26" i="26"/>
  <c r="AB36" i="26"/>
  <c r="AB18" i="26"/>
  <c r="AB25" i="26"/>
  <c r="AB17" i="26"/>
  <c r="AB46" i="26"/>
  <c r="AB16" i="26"/>
  <c r="AB40" i="26"/>
  <c r="AB38" i="26"/>
  <c r="AB19" i="26"/>
  <c r="AB44" i="26"/>
  <c r="AB41" i="26"/>
  <c r="AB45" i="26"/>
  <c r="AB7" i="26"/>
  <c r="AB33" i="26"/>
  <c r="AB12" i="26"/>
  <c r="AB29" i="26"/>
  <c r="AB42" i="26"/>
  <c r="AB34" i="26"/>
  <c r="AB13" i="26"/>
  <c r="AB39" i="26"/>
  <c r="AB10" i="26"/>
  <c r="AB8" i="26"/>
  <c r="AB35" i="26"/>
  <c r="AB20" i="26"/>
  <c r="AB23" i="26"/>
  <c r="AB22" i="26"/>
  <c r="AB15" i="26"/>
  <c r="AB28" i="26"/>
  <c r="AB24" i="26"/>
  <c r="AB11" i="26"/>
  <c r="AJ55" i="26"/>
  <c r="AB14" i="26"/>
  <c r="AB30" i="26"/>
  <c r="AB32" i="26"/>
  <c r="L55" i="26"/>
  <c r="R55" i="26"/>
  <c r="J8" i="26"/>
  <c r="M8" i="26" s="1"/>
  <c r="K55" i="26"/>
  <c r="T55" i="26"/>
  <c r="AH55" i="26"/>
  <c r="U55" i="26"/>
  <c r="O6" i="26"/>
  <c r="J9" i="26"/>
  <c r="M9" i="26" s="1"/>
  <c r="J6" i="26"/>
  <c r="AC7" i="26"/>
  <c r="AI10" i="26"/>
  <c r="N58" i="27" s="1"/>
  <c r="O11" i="26"/>
  <c r="AI38" i="26"/>
  <c r="AP58" i="27" s="1"/>
  <c r="AI41" i="26"/>
  <c r="AS58" i="27" s="1"/>
  <c r="AI20" i="26"/>
  <c r="X58" i="27" s="1"/>
  <c r="AI50" i="26"/>
  <c r="BB58" i="27" s="1"/>
  <c r="AI6" i="26"/>
  <c r="J58" i="27" s="1"/>
  <c r="AI34" i="26"/>
  <c r="AL58" i="27" s="1"/>
  <c r="AI16" i="26"/>
  <c r="T58" i="27" s="1"/>
  <c r="AI40" i="26"/>
  <c r="AR58" i="27" s="1"/>
  <c r="AI24" i="26"/>
  <c r="AB58" i="27" s="1"/>
  <c r="AI19" i="26"/>
  <c r="W58" i="27" s="1"/>
  <c r="AI44" i="26"/>
  <c r="AV58" i="27" s="1"/>
  <c r="AI32" i="26"/>
  <c r="AJ58" i="27" s="1"/>
  <c r="AI14" i="26"/>
  <c r="R58" i="27" s="1"/>
  <c r="AI23" i="26"/>
  <c r="AA58" i="27" s="1"/>
  <c r="AI51" i="26"/>
  <c r="BC58" i="27" s="1"/>
  <c r="AI18" i="26"/>
  <c r="V58" i="27" s="1"/>
  <c r="AI46" i="26"/>
  <c r="AX58" i="27" s="1"/>
  <c r="AI21" i="26"/>
  <c r="Y58" i="27" s="1"/>
  <c r="AI26" i="26"/>
  <c r="AD58" i="27" s="1"/>
  <c r="AI27" i="26"/>
  <c r="AE58" i="27" s="1"/>
  <c r="AI42" i="26"/>
  <c r="AT58" i="27" s="1"/>
  <c r="AI28" i="26"/>
  <c r="AF58" i="27" s="1"/>
  <c r="AI9" i="26"/>
  <c r="M58" i="27" s="1"/>
  <c r="AI13" i="26"/>
  <c r="Q58" i="27" s="1"/>
  <c r="AI39" i="26"/>
  <c r="AQ58" i="27" s="1"/>
  <c r="AI11" i="26"/>
  <c r="O58" i="27" s="1"/>
  <c r="AI17" i="26"/>
  <c r="U58" i="27" s="1"/>
  <c r="AI30" i="26"/>
  <c r="AH58" i="27" s="1"/>
  <c r="AI52" i="26"/>
  <c r="BD58" i="27" s="1"/>
  <c r="AI22" i="26"/>
  <c r="Z58" i="27" s="1"/>
  <c r="AI25" i="26"/>
  <c r="AC58" i="27" s="1"/>
  <c r="AI43" i="26"/>
  <c r="AU58" i="27" s="1"/>
  <c r="AI47" i="26"/>
  <c r="AY58" i="27" s="1"/>
  <c r="AI35" i="26"/>
  <c r="AM58" i="27" s="1"/>
  <c r="AI29" i="26"/>
  <c r="AG58" i="27" s="1"/>
  <c r="AI15" i="26"/>
  <c r="S58" i="27" s="1"/>
  <c r="AI31" i="26"/>
  <c r="AI58" i="27" s="1"/>
  <c r="AI7" i="26"/>
  <c r="K58" i="27" s="1"/>
  <c r="AI37" i="26"/>
  <c r="AO58" i="27" s="1"/>
  <c r="AI36" i="26"/>
  <c r="AN58" i="27" s="1"/>
  <c r="AI33" i="26"/>
  <c r="AK58" i="27" s="1"/>
  <c r="AI12" i="26"/>
  <c r="P58" i="27" s="1"/>
  <c r="AI49" i="26"/>
  <c r="BA58" i="27" s="1"/>
  <c r="AI48" i="26"/>
  <c r="AZ58" i="27" s="1"/>
  <c r="AI45" i="26"/>
  <c r="AW58" i="27" s="1"/>
  <c r="AI8" i="26"/>
  <c r="L58" i="27" s="1"/>
  <c r="O27" i="26"/>
  <c r="AC19" i="26"/>
  <c r="S13" i="26"/>
  <c r="AC26" i="26"/>
  <c r="J19" i="26"/>
  <c r="M19" i="26" s="1"/>
  <c r="O37" i="26"/>
  <c r="O44" i="26"/>
  <c r="O19" i="26"/>
  <c r="J37" i="26"/>
  <c r="M37" i="26" s="1"/>
  <c r="S26" i="26"/>
  <c r="AC39" i="26"/>
  <c r="S41" i="26"/>
  <c r="J27" i="26"/>
  <c r="M27" i="26" s="1"/>
  <c r="S19" i="26"/>
  <c r="AC13" i="26"/>
  <c r="AC44" i="26"/>
  <c r="S39" i="26"/>
  <c r="Q44" i="26"/>
  <c r="AV52" i="27" s="1"/>
  <c r="AC36" i="26"/>
  <c r="J13" i="26"/>
  <c r="M13" i="26" s="1"/>
  <c r="O13" i="26"/>
  <c r="O26" i="26"/>
  <c r="J44" i="26"/>
  <c r="M44" i="26" s="1"/>
  <c r="J39" i="26"/>
  <c r="M39" i="26" s="1"/>
  <c r="O39" i="26"/>
  <c r="O36" i="26"/>
  <c r="Q41" i="26"/>
  <c r="AS52" i="27" s="1"/>
  <c r="Q27" i="26"/>
  <c r="AE52" i="27" s="1"/>
  <c r="AC33" i="26"/>
  <c r="Q35" i="26"/>
  <c r="AM52" i="27" s="1"/>
  <c r="AC14" i="26"/>
  <c r="O17" i="26"/>
  <c r="S12" i="26"/>
  <c r="AC20" i="26"/>
  <c r="O23" i="26"/>
  <c r="J30" i="26"/>
  <c r="M30" i="26" s="1"/>
  <c r="AC50" i="26"/>
  <c r="M6" i="26"/>
  <c r="AC52" i="26"/>
  <c r="Q6" i="26"/>
  <c r="J52" i="27" s="1"/>
  <c r="AC18" i="26"/>
  <c r="S18" i="26"/>
  <c r="Q22" i="26"/>
  <c r="Z52" i="27" s="1"/>
  <c r="S45" i="26"/>
  <c r="AC34" i="26"/>
  <c r="O10" i="26"/>
  <c r="J11" i="26"/>
  <c r="M11" i="26" s="1"/>
  <c r="S25" i="26"/>
  <c r="O8" i="26"/>
  <c r="Q24" i="26"/>
  <c r="AB52" i="27" s="1"/>
  <c r="AC47" i="26"/>
  <c r="AC29" i="26"/>
  <c r="J43" i="26"/>
  <c r="M43" i="26" s="1"/>
  <c r="J16" i="26"/>
  <c r="M16" i="26" s="1"/>
  <c r="O16" i="26"/>
  <c r="O42" i="26"/>
  <c r="O15" i="26"/>
  <c r="J21" i="26"/>
  <c r="M21" i="26" s="1"/>
  <c r="J40" i="26"/>
  <c r="M40" i="26" s="1"/>
  <c r="Q40" i="26"/>
  <c r="AR52" i="27" s="1"/>
  <c r="AC28" i="26"/>
  <c r="O28" i="26"/>
  <c r="S31" i="26"/>
  <c r="J38" i="26"/>
  <c r="M38" i="26" s="1"/>
  <c r="O9" i="26"/>
  <c r="AC41" i="26"/>
  <c r="O41" i="26"/>
  <c r="O33" i="26"/>
  <c r="S35" i="26"/>
  <c r="S14" i="26"/>
  <c r="AC17" i="26"/>
  <c r="S17" i="26"/>
  <c r="O12" i="26"/>
  <c r="O20" i="26"/>
  <c r="Q23" i="26"/>
  <c r="AA52" i="27" s="1"/>
  <c r="S30" i="26"/>
  <c r="J48" i="26"/>
  <c r="M48" i="26" s="1"/>
  <c r="J50" i="26"/>
  <c r="M50" i="26" s="1"/>
  <c r="J51" i="26"/>
  <c r="M51" i="26" s="1"/>
  <c r="S6" i="26"/>
  <c r="Q48" i="26"/>
  <c r="AZ52" i="27" s="1"/>
  <c r="J18" i="26"/>
  <c r="M18" i="26" s="1"/>
  <c r="J22" i="26"/>
  <c r="M22" i="26" s="1"/>
  <c r="S22" i="26"/>
  <c r="O45" i="26"/>
  <c r="J34" i="26"/>
  <c r="M34" i="26" s="1"/>
  <c r="AC32" i="26"/>
  <c r="O32" i="26"/>
  <c r="Q10" i="26"/>
  <c r="N52" i="27" s="1"/>
  <c r="S11" i="26"/>
  <c r="J25" i="26"/>
  <c r="M25" i="26" s="1"/>
  <c r="O25" i="26"/>
  <c r="O7" i="26"/>
  <c r="Q8" i="26"/>
  <c r="L52" i="27" s="1"/>
  <c r="O24" i="26"/>
  <c r="AC27" i="26"/>
  <c r="Q29" i="26"/>
  <c r="AG52" i="27" s="1"/>
  <c r="S43" i="26"/>
  <c r="AC16" i="26"/>
  <c r="Q42" i="26"/>
  <c r="AT52" i="27" s="1"/>
  <c r="Q15" i="26"/>
  <c r="S52" i="27" s="1"/>
  <c r="O21" i="26"/>
  <c r="AC40" i="26"/>
  <c r="J28" i="26"/>
  <c r="M28" i="26" s="1"/>
  <c r="AC31" i="26"/>
  <c r="Q31" i="26"/>
  <c r="AI52" i="27" s="1"/>
  <c r="AC38" i="26"/>
  <c r="AC9" i="26"/>
  <c r="Q9" i="26"/>
  <c r="M52" i="27" s="1"/>
  <c r="S27" i="26"/>
  <c r="Q19" i="26"/>
  <c r="W52" i="27" s="1"/>
  <c r="Q13" i="26"/>
  <c r="Q52" i="27" s="1"/>
  <c r="AC37" i="26"/>
  <c r="J26" i="26"/>
  <c r="M26" i="26" s="1"/>
  <c r="Q26" i="26"/>
  <c r="AD52" i="27" s="1"/>
  <c r="S44" i="26"/>
  <c r="Q39" i="26"/>
  <c r="AQ52" i="27" s="1"/>
  <c r="J36" i="26"/>
  <c r="M36" i="26" s="1"/>
  <c r="J41" i="26"/>
  <c r="M41" i="26" s="1"/>
  <c r="J33" i="26"/>
  <c r="M33" i="26" s="1"/>
  <c r="AC35" i="26"/>
  <c r="O35" i="26"/>
  <c r="O14" i="26"/>
  <c r="J17" i="26"/>
  <c r="M17" i="26" s="1"/>
  <c r="J12" i="26"/>
  <c r="M12" i="26" s="1"/>
  <c r="Q12" i="26"/>
  <c r="P52" i="27" s="1"/>
  <c r="Q20" i="26"/>
  <c r="X52" i="27" s="1"/>
  <c r="J23" i="26"/>
  <c r="M23" i="26" s="1"/>
  <c r="S23" i="26"/>
  <c r="O30" i="26"/>
  <c r="J52" i="26"/>
  <c r="M52" i="26" s="1"/>
  <c r="J49" i="26"/>
  <c r="M49" i="26" s="1"/>
  <c r="AC51" i="26"/>
  <c r="Q49" i="26"/>
  <c r="BA52" i="27" s="1"/>
  <c r="O18" i="26"/>
  <c r="AC22" i="26"/>
  <c r="J45" i="26"/>
  <c r="M45" i="26" s="1"/>
  <c r="Q45" i="26"/>
  <c r="AW52" i="27" s="1"/>
  <c r="J47" i="26"/>
  <c r="M47" i="26" s="1"/>
  <c r="J32" i="26"/>
  <c r="M32" i="26" s="1"/>
  <c r="J10" i="26"/>
  <c r="M10" i="26" s="1"/>
  <c r="S10" i="26"/>
  <c r="AC25" i="26"/>
  <c r="S7" i="26"/>
  <c r="AC8" i="26"/>
  <c r="S8" i="26"/>
  <c r="J24" i="26"/>
  <c r="M24" i="26" s="1"/>
  <c r="S24" i="26"/>
  <c r="S29" i="26"/>
  <c r="O43" i="26"/>
  <c r="Q16" i="26"/>
  <c r="T52" i="27" s="1"/>
  <c r="AC42" i="26"/>
  <c r="S42" i="26"/>
  <c r="AC15" i="26"/>
  <c r="S15" i="26"/>
  <c r="S21" i="26"/>
  <c r="O40" i="26"/>
  <c r="J31" i="26"/>
  <c r="M31" i="26" s="1"/>
  <c r="O47" i="26"/>
  <c r="J35" i="26"/>
  <c r="M35" i="26" s="1"/>
  <c r="J14" i="26"/>
  <c r="M14" i="26" s="1"/>
  <c r="Q14" i="26"/>
  <c r="R52" i="27" s="1"/>
  <c r="Q17" i="26"/>
  <c r="U52" i="27" s="1"/>
  <c r="AC12" i="26"/>
  <c r="J20" i="26"/>
  <c r="M20" i="26" s="1"/>
  <c r="S20" i="26"/>
  <c r="AC23" i="26"/>
  <c r="AC30" i="26"/>
  <c r="Q30" i="26"/>
  <c r="AH52" i="27" s="1"/>
  <c r="AC53" i="26"/>
  <c r="J53" i="26"/>
  <c r="M53" i="26" s="1"/>
  <c r="AC6" i="26"/>
  <c r="Q18" i="26"/>
  <c r="V52" i="27" s="1"/>
  <c r="O22" i="26"/>
  <c r="AC45" i="26"/>
  <c r="O34" i="26"/>
  <c r="AC10" i="26"/>
  <c r="AC11" i="26"/>
  <c r="Q11" i="26"/>
  <c r="O52" i="27" s="1"/>
  <c r="Q25" i="26"/>
  <c r="AC52" i="27" s="1"/>
  <c r="J7" i="26"/>
  <c r="M7" i="26" s="1"/>
  <c r="Q7" i="26"/>
  <c r="K52" i="27" s="1"/>
  <c r="AC24" i="26"/>
  <c r="J29" i="26"/>
  <c r="M29" i="26" s="1"/>
  <c r="O29" i="26"/>
  <c r="AC43" i="26"/>
  <c r="Q43" i="26"/>
  <c r="AU52" i="27" s="1"/>
  <c r="S16" i="26"/>
  <c r="J42" i="26"/>
  <c r="M42" i="26" s="1"/>
  <c r="J15" i="26"/>
  <c r="M15" i="26" s="1"/>
  <c r="AC21" i="26"/>
  <c r="Q21" i="26"/>
  <c r="Y52" i="27" s="1"/>
  <c r="S40" i="26"/>
  <c r="O31" i="26"/>
  <c r="O38" i="26"/>
  <c r="S9" i="26"/>
  <c r="Q46" i="26"/>
  <c r="AX52" i="27" s="1"/>
  <c r="S46" i="26"/>
  <c r="O46" i="26"/>
  <c r="AC46" i="26"/>
  <c r="J46" i="26"/>
  <c r="M46" i="26" s="1"/>
  <c r="F403" i="5"/>
  <c r="F411" i="5"/>
  <c r="G417" i="5"/>
  <c r="I411" i="5"/>
  <c r="E49" i="5"/>
  <c r="E50" i="5" s="1"/>
  <c r="I386" i="5"/>
  <c r="F377" i="5"/>
  <c r="F394" i="5"/>
  <c r="F386" i="5"/>
  <c r="F401" i="5"/>
  <c r="I376" i="5"/>
  <c r="F409" i="5"/>
  <c r="F389" i="5"/>
  <c r="F385" i="5"/>
  <c r="F410" i="5"/>
  <c r="F381" i="5"/>
  <c r="F370" i="5"/>
  <c r="I410" i="5"/>
  <c r="F395" i="5"/>
  <c r="F371" i="5"/>
  <c r="F373" i="5"/>
  <c r="I379" i="5"/>
  <c r="I381" i="5"/>
  <c r="I404" i="5"/>
  <c r="F405" i="5"/>
  <c r="F382" i="5"/>
  <c r="I409" i="5"/>
  <c r="F404" i="5"/>
  <c r="F372" i="5"/>
  <c r="F384" i="5"/>
  <c r="F376" i="5"/>
  <c r="F387" i="5"/>
  <c r="F408" i="5"/>
  <c r="I402" i="5"/>
  <c r="F400" i="5"/>
  <c r="F390" i="5"/>
  <c r="F379" i="5"/>
  <c r="F388" i="5"/>
  <c r="F402" i="5"/>
  <c r="F392" i="5"/>
  <c r="J416" i="5"/>
  <c r="J417" i="5"/>
  <c r="K374" i="5"/>
  <c r="K399" i="5"/>
  <c r="K406" i="5"/>
  <c r="K383" i="5"/>
  <c r="K393" i="5"/>
  <c r="K396" i="5"/>
  <c r="K391" i="5"/>
  <c r="K398" i="5"/>
  <c r="K407" i="5"/>
  <c r="K380" i="5"/>
  <c r="K375" i="5"/>
  <c r="K397" i="5"/>
  <c r="K409" i="5"/>
  <c r="K385" i="5"/>
  <c r="K387" i="5"/>
  <c r="G416" i="5"/>
  <c r="I374" i="5"/>
  <c r="I380" i="5"/>
  <c r="I407" i="5"/>
  <c r="I383" i="5"/>
  <c r="I399" i="5"/>
  <c r="I391" i="5"/>
  <c r="I406" i="5"/>
  <c r="I397" i="5"/>
  <c r="I398" i="5"/>
  <c r="I396" i="5"/>
  <c r="I375" i="5"/>
  <c r="I393" i="5"/>
  <c r="I387" i="5"/>
  <c r="K403" i="5"/>
  <c r="I385" i="5"/>
  <c r="K410" i="5"/>
  <c r="K384" i="5"/>
  <c r="I370" i="5"/>
  <c r="I395" i="5"/>
  <c r="I394" i="5"/>
  <c r="I373" i="5"/>
  <c r="I403" i="5"/>
  <c r="I390" i="5"/>
  <c r="K371" i="5"/>
  <c r="K408" i="5"/>
  <c r="K381" i="5"/>
  <c r="K386" i="5"/>
  <c r="K395" i="5"/>
  <c r="I405" i="5"/>
  <c r="K401" i="5"/>
  <c r="K400" i="5"/>
  <c r="K404" i="5"/>
  <c r="K378" i="5"/>
  <c r="K388" i="5"/>
  <c r="K370" i="5"/>
  <c r="K392" i="5"/>
  <c r="I388" i="5"/>
  <c r="I408" i="5"/>
  <c r="K373" i="5"/>
  <c r="I392" i="5"/>
  <c r="K390" i="5"/>
  <c r="I371" i="5"/>
  <c r="I382" i="5"/>
  <c r="K376" i="5"/>
  <c r="K389" i="5"/>
  <c r="K394" i="5"/>
  <c r="K405" i="5"/>
  <c r="K377" i="5"/>
  <c r="K382" i="5"/>
  <c r="K402" i="5"/>
  <c r="K372" i="5"/>
  <c r="I378" i="5"/>
  <c r="I400" i="5"/>
  <c r="I372" i="5"/>
  <c r="I401" i="5"/>
  <c r="I384" i="5"/>
  <c r="I389" i="5"/>
  <c r="I377" i="5"/>
  <c r="F378" i="5"/>
  <c r="E417" i="5"/>
  <c r="E416" i="5"/>
  <c r="F393" i="5"/>
  <c r="F396" i="5"/>
  <c r="F399" i="5"/>
  <c r="F398" i="5"/>
  <c r="F374" i="5"/>
  <c r="F383" i="5"/>
  <c r="F406" i="5"/>
  <c r="F397" i="5"/>
  <c r="F380" i="5"/>
  <c r="F375" i="5"/>
  <c r="F391" i="5"/>
  <c r="F407" i="5"/>
  <c r="K379" i="5"/>
  <c r="AI47" i="27" l="1"/>
  <c r="AI59" i="27"/>
  <c r="AI60" i="27"/>
  <c r="AI44" i="27"/>
  <c r="AI54" i="27"/>
  <c r="AN59" i="27"/>
  <c r="AN60" i="27"/>
  <c r="AN44" i="27"/>
  <c r="AN54" i="27"/>
  <c r="AN47" i="27"/>
  <c r="K59" i="27"/>
  <c r="K60" i="27"/>
  <c r="K54" i="27"/>
  <c r="K44" i="27"/>
  <c r="K47" i="27"/>
  <c r="AJ54" i="27"/>
  <c r="AJ59" i="27"/>
  <c r="AJ44" i="27"/>
  <c r="AJ60" i="27"/>
  <c r="AJ47" i="27"/>
  <c r="BA44" i="27"/>
  <c r="BA47" i="27"/>
  <c r="BA60" i="27"/>
  <c r="BA54" i="27"/>
  <c r="BA59" i="27"/>
  <c r="U47" i="27"/>
  <c r="U54" i="27"/>
  <c r="U59" i="27"/>
  <c r="U60" i="27"/>
  <c r="U44" i="27"/>
  <c r="AH47" i="27"/>
  <c r="AH54" i="27"/>
  <c r="AH44" i="27"/>
  <c r="AH60" i="27"/>
  <c r="AH59" i="27"/>
  <c r="Q44" i="27"/>
  <c r="Q60" i="27"/>
  <c r="Q54" i="27"/>
  <c r="Q59" i="27"/>
  <c r="Q47" i="27"/>
  <c r="S47" i="27"/>
  <c r="S59" i="27"/>
  <c r="S54" i="27"/>
  <c r="S60" i="27"/>
  <c r="S44" i="27"/>
  <c r="BB54" i="27"/>
  <c r="BB60" i="27"/>
  <c r="BB44" i="27"/>
  <c r="BB47" i="27"/>
  <c r="BB59" i="27"/>
  <c r="AT54" i="27"/>
  <c r="AT44" i="27"/>
  <c r="AT47" i="27"/>
  <c r="AT59" i="27"/>
  <c r="AT60" i="27"/>
  <c r="N47" i="27"/>
  <c r="N59" i="27"/>
  <c r="N60" i="27"/>
  <c r="N44" i="27"/>
  <c r="N54" i="27"/>
  <c r="BE60" i="27"/>
  <c r="BE44" i="27"/>
  <c r="BE59" i="27"/>
  <c r="BE54" i="27"/>
  <c r="BE47" i="27"/>
  <c r="AB44" i="27"/>
  <c r="AB59" i="27"/>
  <c r="AB54" i="27"/>
  <c r="AB47" i="27"/>
  <c r="AB60" i="27"/>
  <c r="AY47" i="27"/>
  <c r="AY59" i="27"/>
  <c r="AY44" i="27"/>
  <c r="AY54" i="27"/>
  <c r="AY60" i="27"/>
  <c r="BD60" i="27"/>
  <c r="BD54" i="27"/>
  <c r="BD59" i="27"/>
  <c r="BD44" i="27"/>
  <c r="BD47" i="27"/>
  <c r="AC60" i="27"/>
  <c r="AC54" i="27"/>
  <c r="AC47" i="27"/>
  <c r="AC59" i="27"/>
  <c r="AC44" i="27"/>
  <c r="N22" i="26"/>
  <c r="Z47" i="27"/>
  <c r="Z59" i="27"/>
  <c r="Z44" i="27"/>
  <c r="Z60" i="27"/>
  <c r="Z54" i="27"/>
  <c r="AR44" i="27"/>
  <c r="AR47" i="27"/>
  <c r="AR54" i="27"/>
  <c r="AR60" i="27"/>
  <c r="AR59" i="27"/>
  <c r="AL59" i="27"/>
  <c r="AL47" i="27"/>
  <c r="AL54" i="27"/>
  <c r="AL60" i="27"/>
  <c r="AL44" i="27"/>
  <c r="AD47" i="27"/>
  <c r="AD54" i="27"/>
  <c r="AD44" i="27"/>
  <c r="AD60" i="27"/>
  <c r="AD59" i="27"/>
  <c r="V44" i="27"/>
  <c r="V54" i="27"/>
  <c r="V60" i="27"/>
  <c r="V47" i="27"/>
  <c r="V59" i="27"/>
  <c r="Y44" i="27"/>
  <c r="Y60" i="27"/>
  <c r="Y54" i="27"/>
  <c r="Y47" i="27"/>
  <c r="Y59" i="27"/>
  <c r="AW59" i="27"/>
  <c r="AW44" i="27"/>
  <c r="AW60" i="27"/>
  <c r="AW54" i="27"/>
  <c r="AW47" i="27"/>
  <c r="AO47" i="27"/>
  <c r="AO59" i="27"/>
  <c r="AO44" i="27"/>
  <c r="AO54" i="27"/>
  <c r="AO60" i="27"/>
  <c r="R47" i="27"/>
  <c r="R54" i="27"/>
  <c r="R44" i="27"/>
  <c r="R59" i="27"/>
  <c r="R60" i="27"/>
  <c r="AG60" i="27"/>
  <c r="AG59" i="27"/>
  <c r="AG54" i="27"/>
  <c r="AG44" i="27"/>
  <c r="AG47" i="27"/>
  <c r="AM60" i="27"/>
  <c r="AM47" i="27"/>
  <c r="AM59" i="27"/>
  <c r="AM44" i="27"/>
  <c r="AM54" i="27"/>
  <c r="AA54" i="27"/>
  <c r="AA44" i="27"/>
  <c r="AA60" i="27"/>
  <c r="AA59" i="27"/>
  <c r="AA47" i="27"/>
  <c r="AK54" i="27"/>
  <c r="AK60" i="27"/>
  <c r="AK44" i="27"/>
  <c r="AK59" i="27"/>
  <c r="AK47" i="27"/>
  <c r="AF44" i="27"/>
  <c r="AF59" i="27"/>
  <c r="AF54" i="27"/>
  <c r="AF60" i="27"/>
  <c r="AF47" i="27"/>
  <c r="AP44" i="27"/>
  <c r="AP59" i="27"/>
  <c r="AP47" i="27"/>
  <c r="AP54" i="27"/>
  <c r="AP60" i="27"/>
  <c r="BJ52" i="27"/>
  <c r="BG52" i="27"/>
  <c r="BH52" i="27" s="1"/>
  <c r="AQ60" i="27"/>
  <c r="AQ54" i="27"/>
  <c r="AQ44" i="27"/>
  <c r="AQ59" i="27"/>
  <c r="AQ47" i="27"/>
  <c r="L60" i="27"/>
  <c r="L44" i="27"/>
  <c r="L47" i="27"/>
  <c r="L54" i="27"/>
  <c r="L59" i="27"/>
  <c r="AX47" i="27"/>
  <c r="AX54" i="27"/>
  <c r="AX44" i="27"/>
  <c r="AX59" i="27"/>
  <c r="AX60" i="27"/>
  <c r="AS59" i="27"/>
  <c r="AS44" i="27"/>
  <c r="AS60" i="27"/>
  <c r="AS54" i="27"/>
  <c r="AS47" i="27"/>
  <c r="BC59" i="27"/>
  <c r="BC44" i="27"/>
  <c r="BC47" i="27"/>
  <c r="BC60" i="27"/>
  <c r="BC54" i="27"/>
  <c r="O54" i="27"/>
  <c r="O59" i="27"/>
  <c r="O60" i="27"/>
  <c r="O44" i="27"/>
  <c r="O47" i="27"/>
  <c r="AV54" i="27"/>
  <c r="AV47" i="27"/>
  <c r="AV60" i="27"/>
  <c r="AV59" i="27"/>
  <c r="AV44" i="27"/>
  <c r="BJ58" i="27"/>
  <c r="BG58" i="27"/>
  <c r="BH58" i="27" s="1"/>
  <c r="T59" i="27"/>
  <c r="T60" i="27"/>
  <c r="T47" i="27"/>
  <c r="T44" i="27"/>
  <c r="T54" i="27"/>
  <c r="J54" i="27"/>
  <c r="J47" i="27"/>
  <c r="J60" i="27"/>
  <c r="J44" i="27"/>
  <c r="J59" i="27"/>
  <c r="M44" i="27"/>
  <c r="M60" i="27"/>
  <c r="M47" i="27"/>
  <c r="M54" i="27"/>
  <c r="M59" i="27"/>
  <c r="X47" i="27"/>
  <c r="X54" i="27"/>
  <c r="X59" i="27"/>
  <c r="X44" i="27"/>
  <c r="X60" i="27"/>
  <c r="P44" i="27"/>
  <c r="P60" i="27"/>
  <c r="P54" i="27"/>
  <c r="P47" i="27"/>
  <c r="P59" i="27"/>
  <c r="AZ47" i="27"/>
  <c r="AZ54" i="27"/>
  <c r="AZ60" i="27"/>
  <c r="AZ44" i="27"/>
  <c r="AZ59" i="27"/>
  <c r="AU60" i="27"/>
  <c r="AU54" i="27"/>
  <c r="AU44" i="27"/>
  <c r="AU59" i="27"/>
  <c r="AU47" i="27"/>
  <c r="AE54" i="27"/>
  <c r="AE47" i="27"/>
  <c r="AE60" i="27"/>
  <c r="AE44" i="27"/>
  <c r="AE59" i="27"/>
  <c r="W47" i="27"/>
  <c r="W59" i="27"/>
  <c r="W44" i="27"/>
  <c r="W60" i="27"/>
  <c r="W54" i="27"/>
  <c r="AK55" i="26"/>
  <c r="N40" i="26"/>
  <c r="N47" i="26"/>
  <c r="AI55" i="26"/>
  <c r="N8" i="26"/>
  <c r="N51" i="26"/>
  <c r="M55" i="26"/>
  <c r="J55" i="26"/>
  <c r="AZ41" i="27"/>
  <c r="AZ37" i="27"/>
  <c r="AL24" i="105" s="1"/>
  <c r="AO24" i="105" s="1"/>
  <c r="AZ38" i="27"/>
  <c r="AL25" i="105" s="1"/>
  <c r="AO25" i="105" s="1"/>
  <c r="AZ40" i="27"/>
  <c r="AZ39" i="27"/>
  <c r="AL16" i="105" s="1"/>
  <c r="AO16" i="105" s="1"/>
  <c r="AZ36" i="27"/>
  <c r="N10" i="26"/>
  <c r="N25" i="26"/>
  <c r="AC55" i="26"/>
  <c r="S55" i="26"/>
  <c r="Q55" i="26"/>
  <c r="N30" i="26"/>
  <c r="N39" i="26"/>
  <c r="N13" i="26"/>
  <c r="O55" i="26"/>
  <c r="L39" i="27"/>
  <c r="L97" i="27"/>
  <c r="L100" i="27"/>
  <c r="L98" i="27"/>
  <c r="L40" i="27"/>
  <c r="L102" i="27"/>
  <c r="L36" i="27"/>
  <c r="L38" i="27"/>
  <c r="L41" i="27"/>
  <c r="L37" i="27"/>
  <c r="L42" i="27"/>
  <c r="L96" i="27"/>
  <c r="L101" i="27"/>
  <c r="L99" i="27"/>
  <c r="L120" i="27"/>
  <c r="AM102" i="27"/>
  <c r="AM98" i="27"/>
  <c r="AM40" i="27"/>
  <c r="AM100" i="27"/>
  <c r="AM38" i="27"/>
  <c r="AM96" i="27"/>
  <c r="AM39" i="27"/>
  <c r="AM42" i="27"/>
  <c r="AM101" i="27"/>
  <c r="AM97" i="27"/>
  <c r="AM99" i="27"/>
  <c r="AM36" i="27"/>
  <c r="AM37" i="27"/>
  <c r="AM41" i="27"/>
  <c r="AM120" i="27"/>
  <c r="AV40" i="27"/>
  <c r="AV100" i="27"/>
  <c r="AV102" i="27"/>
  <c r="AV39" i="27"/>
  <c r="AV99" i="27"/>
  <c r="AV98" i="27"/>
  <c r="AV96" i="27"/>
  <c r="AV41" i="27"/>
  <c r="AV101" i="27"/>
  <c r="AV97" i="27"/>
  <c r="AV38" i="27"/>
  <c r="AV37" i="27"/>
  <c r="AV42" i="27"/>
  <c r="AV36" i="27"/>
  <c r="AV120" i="27"/>
  <c r="BE39" i="27"/>
  <c r="BE38" i="27"/>
  <c r="BE40" i="27"/>
  <c r="BE37" i="27"/>
  <c r="BE42" i="27"/>
  <c r="BE36" i="27"/>
  <c r="BE41" i="27"/>
  <c r="N36" i="27"/>
  <c r="N101" i="27"/>
  <c r="N37" i="27"/>
  <c r="N38" i="27"/>
  <c r="N102" i="27"/>
  <c r="N42" i="27"/>
  <c r="N100" i="27"/>
  <c r="N99" i="27"/>
  <c r="N40" i="27"/>
  <c r="N41" i="27"/>
  <c r="N98" i="27"/>
  <c r="N97" i="27"/>
  <c r="N39" i="27"/>
  <c r="N96" i="27"/>
  <c r="N120" i="27"/>
  <c r="AW37" i="27"/>
  <c r="AW40" i="27"/>
  <c r="AW100" i="27"/>
  <c r="AW97" i="27"/>
  <c r="AW96" i="27"/>
  <c r="AW39" i="27"/>
  <c r="AW102" i="27"/>
  <c r="AW98" i="27"/>
  <c r="AW42" i="27"/>
  <c r="AW36" i="27"/>
  <c r="AW99" i="27"/>
  <c r="AW38" i="27"/>
  <c r="AW41" i="27"/>
  <c r="AW101" i="27"/>
  <c r="AW120" i="27"/>
  <c r="P99" i="27"/>
  <c r="P39" i="27"/>
  <c r="P40" i="27"/>
  <c r="P98" i="27"/>
  <c r="P38" i="27"/>
  <c r="P100" i="27"/>
  <c r="P101" i="27"/>
  <c r="P102" i="27"/>
  <c r="P41" i="27"/>
  <c r="P37" i="27"/>
  <c r="P96" i="27"/>
  <c r="P36" i="27"/>
  <c r="P42" i="27"/>
  <c r="P97" i="27"/>
  <c r="P120" i="27"/>
  <c r="AZ42" i="27"/>
  <c r="AU40" i="27"/>
  <c r="AU100" i="27"/>
  <c r="AU36" i="27"/>
  <c r="AU42" i="27"/>
  <c r="AU97" i="27"/>
  <c r="AU98" i="27"/>
  <c r="AU101" i="27"/>
  <c r="AU99" i="27"/>
  <c r="AU102" i="27"/>
  <c r="AU39" i="27"/>
  <c r="AU37" i="27"/>
  <c r="AU96" i="27"/>
  <c r="AU38" i="27"/>
  <c r="AU41" i="27"/>
  <c r="AU120" i="27"/>
  <c r="J102" i="27"/>
  <c r="J39" i="27"/>
  <c r="J99" i="27"/>
  <c r="J42" i="27"/>
  <c r="J97" i="27"/>
  <c r="J98" i="27"/>
  <c r="J40" i="27"/>
  <c r="J100" i="27"/>
  <c r="J96" i="27"/>
  <c r="J101" i="27"/>
  <c r="J38" i="27"/>
  <c r="J41" i="27"/>
  <c r="J36" i="27"/>
  <c r="J37" i="27"/>
  <c r="J120" i="27"/>
  <c r="AD42" i="27"/>
  <c r="AD101" i="27"/>
  <c r="AD38" i="27"/>
  <c r="AD99" i="27"/>
  <c r="AD98" i="27"/>
  <c r="AD40" i="27"/>
  <c r="AD102" i="27"/>
  <c r="AD100" i="27"/>
  <c r="AD96" i="27"/>
  <c r="AD97" i="27"/>
  <c r="AD39" i="27"/>
  <c r="AD36" i="27"/>
  <c r="AD37" i="27"/>
  <c r="AD41" i="27"/>
  <c r="AD120" i="27"/>
  <c r="AL40" i="27"/>
  <c r="AL38" i="27"/>
  <c r="AL102" i="27"/>
  <c r="AL98" i="27"/>
  <c r="AL97" i="27"/>
  <c r="AL36" i="27"/>
  <c r="AL100" i="27"/>
  <c r="AL96" i="27"/>
  <c r="AL99" i="27"/>
  <c r="AL41" i="27"/>
  <c r="AL37" i="27"/>
  <c r="AL39" i="27"/>
  <c r="AL42" i="27"/>
  <c r="AL101" i="27"/>
  <c r="AL120" i="27"/>
  <c r="V97" i="27"/>
  <c r="V40" i="27"/>
  <c r="V100" i="27"/>
  <c r="V102" i="27"/>
  <c r="V38" i="27"/>
  <c r="V42" i="27"/>
  <c r="V36" i="27"/>
  <c r="V98" i="27"/>
  <c r="V41" i="27"/>
  <c r="V37" i="27"/>
  <c r="V101" i="27"/>
  <c r="V99" i="27"/>
  <c r="V96" i="27"/>
  <c r="V39" i="27"/>
  <c r="V120" i="27"/>
  <c r="BB39" i="27"/>
  <c r="BB40" i="27"/>
  <c r="BB38" i="27"/>
  <c r="BB36" i="27"/>
  <c r="BB41" i="27"/>
  <c r="BB37" i="27"/>
  <c r="BB42" i="27"/>
  <c r="Y98" i="27"/>
  <c r="Y97" i="27"/>
  <c r="Y102" i="27"/>
  <c r="Y100" i="27"/>
  <c r="Y99" i="27"/>
  <c r="Y39" i="27"/>
  <c r="Y42" i="27"/>
  <c r="Y37" i="27"/>
  <c r="Y96" i="27"/>
  <c r="Y36" i="27"/>
  <c r="Y101" i="27"/>
  <c r="Y38" i="27"/>
  <c r="Y41" i="27"/>
  <c r="Y40" i="27"/>
  <c r="Y120" i="27"/>
  <c r="T42" i="27"/>
  <c r="T102" i="27"/>
  <c r="T40" i="27"/>
  <c r="T100" i="27"/>
  <c r="T98" i="27"/>
  <c r="T96" i="27"/>
  <c r="T38" i="27"/>
  <c r="T97" i="27"/>
  <c r="T99" i="27"/>
  <c r="T39" i="27"/>
  <c r="T36" i="27"/>
  <c r="T37" i="27"/>
  <c r="T101" i="27"/>
  <c r="T41" i="27"/>
  <c r="T120" i="27"/>
  <c r="O40" i="27"/>
  <c r="O42" i="27"/>
  <c r="O96" i="27"/>
  <c r="O102" i="27"/>
  <c r="O100" i="27"/>
  <c r="O98" i="27"/>
  <c r="O38" i="27"/>
  <c r="O99" i="27"/>
  <c r="O97" i="27"/>
  <c r="O36" i="27"/>
  <c r="O41" i="27"/>
  <c r="O101" i="27"/>
  <c r="O39" i="27"/>
  <c r="O37" i="27"/>
  <c r="O120" i="27"/>
  <c r="AT39" i="27"/>
  <c r="AT99" i="27"/>
  <c r="AT101" i="27"/>
  <c r="AT98" i="27"/>
  <c r="AT40" i="27"/>
  <c r="AT102" i="27"/>
  <c r="AT36" i="27"/>
  <c r="AT100" i="27"/>
  <c r="AT96" i="27"/>
  <c r="AT42" i="27"/>
  <c r="AT37" i="27"/>
  <c r="AT41" i="27"/>
  <c r="AT38" i="27"/>
  <c r="AT97" i="27"/>
  <c r="AT120" i="27"/>
  <c r="AX100" i="27"/>
  <c r="AX96" i="27"/>
  <c r="AX102" i="27"/>
  <c r="AX42" i="27"/>
  <c r="AX98" i="27"/>
  <c r="AX39" i="27"/>
  <c r="AX40" i="27"/>
  <c r="AX97" i="27"/>
  <c r="AX38" i="27"/>
  <c r="AX37" i="27"/>
  <c r="AX101" i="27"/>
  <c r="AX99" i="27"/>
  <c r="AX36" i="27"/>
  <c r="AX41" i="27"/>
  <c r="AX120" i="27"/>
  <c r="AG36" i="27"/>
  <c r="AG42" i="27"/>
  <c r="AG98" i="27"/>
  <c r="AG39" i="27"/>
  <c r="AG97" i="27"/>
  <c r="AG102" i="27"/>
  <c r="AG100" i="27"/>
  <c r="AG40" i="27"/>
  <c r="AG99" i="27"/>
  <c r="AG96" i="27"/>
  <c r="AG38" i="27"/>
  <c r="AG101" i="27"/>
  <c r="AG37" i="27"/>
  <c r="AG41" i="27"/>
  <c r="AG120" i="27"/>
  <c r="K98" i="27"/>
  <c r="K101" i="27"/>
  <c r="K102" i="27"/>
  <c r="K40" i="27"/>
  <c r="K39" i="27"/>
  <c r="K97" i="27"/>
  <c r="K42" i="27"/>
  <c r="K100" i="27"/>
  <c r="K99" i="27"/>
  <c r="K36" i="27"/>
  <c r="K37" i="27"/>
  <c r="K96" i="27"/>
  <c r="K38" i="27"/>
  <c r="K41" i="27"/>
  <c r="K120" i="27"/>
  <c r="M39" i="27"/>
  <c r="M40" i="27"/>
  <c r="M99" i="27"/>
  <c r="M100" i="27"/>
  <c r="M102" i="27"/>
  <c r="M98" i="27"/>
  <c r="M96" i="27"/>
  <c r="M36" i="27"/>
  <c r="M101" i="27"/>
  <c r="M42" i="27"/>
  <c r="M97" i="27"/>
  <c r="M38" i="27"/>
  <c r="M37" i="27"/>
  <c r="M41" i="27"/>
  <c r="M120" i="27"/>
  <c r="AB102" i="27"/>
  <c r="AB36" i="27"/>
  <c r="AB39" i="27"/>
  <c r="AB98" i="27"/>
  <c r="AB97" i="27"/>
  <c r="AB40" i="27"/>
  <c r="AB42" i="27"/>
  <c r="AB100" i="27"/>
  <c r="AB96" i="27"/>
  <c r="AB101" i="27"/>
  <c r="AB99" i="27"/>
  <c r="AB41" i="27"/>
  <c r="AB37" i="27"/>
  <c r="AB38" i="27"/>
  <c r="AB120" i="27"/>
  <c r="AJ36" i="27"/>
  <c r="AJ42" i="27"/>
  <c r="AJ102" i="27"/>
  <c r="AJ99" i="27"/>
  <c r="AJ96" i="27"/>
  <c r="AJ40" i="27"/>
  <c r="AJ38" i="27"/>
  <c r="AJ97" i="27"/>
  <c r="AJ100" i="27"/>
  <c r="AJ98" i="27"/>
  <c r="AJ101" i="27"/>
  <c r="AJ37" i="27"/>
  <c r="AJ41" i="27"/>
  <c r="AJ39" i="27"/>
  <c r="AJ120" i="27"/>
  <c r="BA39" i="27"/>
  <c r="AG16" i="105" s="1"/>
  <c r="Q18" i="80" s="1"/>
  <c r="BA38" i="27"/>
  <c r="AG25" i="105" s="1"/>
  <c r="Q27" i="80" s="1"/>
  <c r="BA40" i="27"/>
  <c r="BA42" i="27"/>
  <c r="BA41" i="27"/>
  <c r="BA36" i="27"/>
  <c r="BA37" i="27"/>
  <c r="AG24" i="105" s="1"/>
  <c r="Q26" i="80" s="1"/>
  <c r="AA100" i="27"/>
  <c r="AA39" i="27"/>
  <c r="AA42" i="27"/>
  <c r="AA40" i="27"/>
  <c r="AA102" i="27"/>
  <c r="AA98" i="27"/>
  <c r="AA96" i="27"/>
  <c r="AA38" i="27"/>
  <c r="AA101" i="27"/>
  <c r="AA97" i="27"/>
  <c r="AA37" i="27"/>
  <c r="AA36" i="27"/>
  <c r="AA99" i="27"/>
  <c r="AA41" i="27"/>
  <c r="AA120" i="27"/>
  <c r="U39" i="27"/>
  <c r="U40" i="27"/>
  <c r="U102" i="27"/>
  <c r="U97" i="27"/>
  <c r="U42" i="27"/>
  <c r="U38" i="27"/>
  <c r="U98" i="27"/>
  <c r="U101" i="27"/>
  <c r="U100" i="27"/>
  <c r="U41" i="27"/>
  <c r="U96" i="27"/>
  <c r="U36" i="27"/>
  <c r="U99" i="27"/>
  <c r="U37" i="27"/>
  <c r="U120" i="27"/>
  <c r="AK40" i="27"/>
  <c r="AK100" i="27"/>
  <c r="AK42" i="27"/>
  <c r="AK39" i="27"/>
  <c r="AK38" i="27"/>
  <c r="AK97" i="27"/>
  <c r="AK102" i="27"/>
  <c r="AK101" i="27"/>
  <c r="AK99" i="27"/>
  <c r="AK36" i="27"/>
  <c r="AK41" i="27"/>
  <c r="AK98" i="27"/>
  <c r="AK96" i="27"/>
  <c r="AK37" i="27"/>
  <c r="AK120" i="27"/>
  <c r="AF39" i="27"/>
  <c r="AF102" i="27"/>
  <c r="AF42" i="27"/>
  <c r="AF99" i="27"/>
  <c r="AF100" i="27"/>
  <c r="AF40" i="27"/>
  <c r="AF98" i="27"/>
  <c r="AF38" i="27"/>
  <c r="AF101" i="27"/>
  <c r="AF37" i="27"/>
  <c r="AF36" i="27"/>
  <c r="AF97" i="27"/>
  <c r="AF41" i="27"/>
  <c r="AF96" i="27"/>
  <c r="AF120" i="27"/>
  <c r="AP40" i="27"/>
  <c r="AP96" i="27"/>
  <c r="AP42" i="27"/>
  <c r="AP100" i="27"/>
  <c r="AP39" i="27"/>
  <c r="AP97" i="27"/>
  <c r="AP102" i="27"/>
  <c r="AP98" i="27"/>
  <c r="AP41" i="27"/>
  <c r="AP101" i="27"/>
  <c r="AP37" i="27"/>
  <c r="AP99" i="27"/>
  <c r="AP38" i="27"/>
  <c r="AP36" i="27"/>
  <c r="AP120" i="27"/>
  <c r="AE38" i="27"/>
  <c r="AE40" i="27"/>
  <c r="AE42" i="27"/>
  <c r="AE102" i="27"/>
  <c r="AE96" i="27"/>
  <c r="AE98" i="27"/>
  <c r="AE100" i="27"/>
  <c r="AE36" i="27"/>
  <c r="AE101" i="27"/>
  <c r="AE99" i="27"/>
  <c r="AE39" i="27"/>
  <c r="AE41" i="27"/>
  <c r="AE97" i="27"/>
  <c r="AE37" i="27"/>
  <c r="AE120" i="27"/>
  <c r="AO40" i="27"/>
  <c r="AO97" i="27"/>
  <c r="AO102" i="27"/>
  <c r="AO39" i="27"/>
  <c r="AO100" i="27"/>
  <c r="AO41" i="27"/>
  <c r="AO42" i="27"/>
  <c r="AO37" i="27"/>
  <c r="AO96" i="27"/>
  <c r="AO38" i="27"/>
  <c r="AO98" i="27"/>
  <c r="AO99" i="27"/>
  <c r="AO101" i="27"/>
  <c r="AO36" i="27"/>
  <c r="AO120" i="27"/>
  <c r="W100" i="27"/>
  <c r="W39" i="27"/>
  <c r="W40" i="27"/>
  <c r="W102" i="27"/>
  <c r="W98" i="27"/>
  <c r="W97" i="27"/>
  <c r="W42" i="27"/>
  <c r="W41" i="27"/>
  <c r="W37" i="27"/>
  <c r="W96" i="27"/>
  <c r="W101" i="27"/>
  <c r="W99" i="27"/>
  <c r="W36" i="27"/>
  <c r="W38" i="27"/>
  <c r="W120" i="27"/>
  <c r="S39" i="27"/>
  <c r="S8" i="40" s="1"/>
  <c r="S102" i="27"/>
  <c r="S18" i="40" s="1"/>
  <c r="S100" i="27"/>
  <c r="S16" i="40" s="1"/>
  <c r="S99" i="27"/>
  <c r="S15" i="40" s="1"/>
  <c r="S97" i="27"/>
  <c r="S13" i="40" s="1"/>
  <c r="S40" i="27"/>
  <c r="S9" i="40" s="1"/>
  <c r="S96" i="27"/>
  <c r="S12" i="40" s="1"/>
  <c r="S36" i="27"/>
  <c r="S5" i="40" s="1"/>
  <c r="S101" i="27"/>
  <c r="S17" i="40" s="1"/>
  <c r="S42" i="27"/>
  <c r="S11" i="40" s="1"/>
  <c r="S37" i="27"/>
  <c r="S6" i="40" s="1"/>
  <c r="S98" i="27"/>
  <c r="S14" i="40" s="1"/>
  <c r="S38" i="27"/>
  <c r="S7" i="40" s="1"/>
  <c r="S41" i="27"/>
  <c r="S10" i="40" s="1"/>
  <c r="S120" i="27"/>
  <c r="X98" i="27"/>
  <c r="X99" i="27"/>
  <c r="X96" i="27"/>
  <c r="X36" i="27"/>
  <c r="X40" i="27"/>
  <c r="X97" i="27"/>
  <c r="X39" i="27"/>
  <c r="X102" i="27"/>
  <c r="X42" i="27"/>
  <c r="X101" i="27"/>
  <c r="X38" i="27"/>
  <c r="X37" i="27"/>
  <c r="X100" i="27"/>
  <c r="X41" i="27"/>
  <c r="X120" i="27"/>
  <c r="R38" i="27"/>
  <c r="R102" i="27"/>
  <c r="R98" i="27"/>
  <c r="R40" i="27"/>
  <c r="R100" i="27"/>
  <c r="R42" i="27"/>
  <c r="R97" i="27"/>
  <c r="R101" i="27"/>
  <c r="R39" i="27"/>
  <c r="R99" i="27"/>
  <c r="R36" i="27"/>
  <c r="R41" i="27"/>
  <c r="R37" i="27"/>
  <c r="R96" i="27"/>
  <c r="R120" i="27"/>
  <c r="AI40" i="27"/>
  <c r="AI97" i="27"/>
  <c r="AI99" i="27"/>
  <c r="AI102" i="27"/>
  <c r="AI100" i="27"/>
  <c r="AI36" i="27"/>
  <c r="AI39" i="27"/>
  <c r="AI42" i="27"/>
  <c r="AI98" i="27"/>
  <c r="AI96" i="27"/>
  <c r="AI41" i="27"/>
  <c r="AI37" i="27"/>
  <c r="AI101" i="27"/>
  <c r="AI38" i="27"/>
  <c r="AI120" i="27"/>
  <c r="AY99" i="27"/>
  <c r="AY101" i="27"/>
  <c r="AY39" i="27"/>
  <c r="AY40" i="27"/>
  <c r="AY102" i="27"/>
  <c r="AY100" i="27"/>
  <c r="AY98" i="27"/>
  <c r="AY42" i="27"/>
  <c r="AY41" i="27"/>
  <c r="AY96" i="27"/>
  <c r="AY97" i="27"/>
  <c r="AY37" i="27"/>
  <c r="AY36" i="27"/>
  <c r="AY38" i="27"/>
  <c r="AY120" i="27"/>
  <c r="BD39" i="27"/>
  <c r="BD42" i="27"/>
  <c r="BD40" i="27"/>
  <c r="BD38" i="27"/>
  <c r="BD36" i="27"/>
  <c r="BD41" i="27"/>
  <c r="BD37" i="27"/>
  <c r="AS39" i="27"/>
  <c r="AS40" i="27"/>
  <c r="AS96" i="27"/>
  <c r="AS99" i="27"/>
  <c r="AS101" i="27"/>
  <c r="AS102" i="27"/>
  <c r="AS98" i="27"/>
  <c r="AS41" i="27"/>
  <c r="AS42" i="27"/>
  <c r="AS100" i="27"/>
  <c r="AS36" i="27"/>
  <c r="AS97" i="27"/>
  <c r="AS38" i="27"/>
  <c r="AS37" i="27"/>
  <c r="AS120" i="27"/>
  <c r="AC39" i="27"/>
  <c r="AC101" i="27"/>
  <c r="AC40" i="27"/>
  <c r="AC99" i="27"/>
  <c r="AC102" i="27"/>
  <c r="AC98" i="27"/>
  <c r="AC37" i="27"/>
  <c r="AC100" i="27"/>
  <c r="AC38" i="27"/>
  <c r="AC42" i="27"/>
  <c r="AC41" i="27"/>
  <c r="AC96" i="27"/>
  <c r="AC36" i="27"/>
  <c r="AC97" i="27"/>
  <c r="AC120" i="27"/>
  <c r="Z97" i="27"/>
  <c r="Z36" i="27"/>
  <c r="Z100" i="27"/>
  <c r="Z98" i="27"/>
  <c r="Z39" i="27"/>
  <c r="Z40" i="27"/>
  <c r="Z42" i="27"/>
  <c r="Z99" i="27"/>
  <c r="Z38" i="27"/>
  <c r="Z37" i="27"/>
  <c r="Z96" i="27"/>
  <c r="Z101" i="27"/>
  <c r="Z102" i="27"/>
  <c r="Z41" i="27"/>
  <c r="Z120" i="27"/>
  <c r="BC42" i="27"/>
  <c r="BC39" i="27"/>
  <c r="BC36" i="27"/>
  <c r="BC40" i="27"/>
  <c r="BC41" i="27"/>
  <c r="BC38" i="27"/>
  <c r="BC37" i="27"/>
  <c r="AR100" i="27"/>
  <c r="AR36" i="27"/>
  <c r="AR42" i="27"/>
  <c r="AR40" i="27"/>
  <c r="AR97" i="27"/>
  <c r="AR102" i="27"/>
  <c r="AR39" i="27"/>
  <c r="AR98" i="27"/>
  <c r="AR37" i="27"/>
  <c r="AR96" i="27"/>
  <c r="AR101" i="27"/>
  <c r="AR99" i="27"/>
  <c r="AR38" i="27"/>
  <c r="AR41" i="27"/>
  <c r="AR120" i="27"/>
  <c r="AH40" i="27"/>
  <c r="AH38" i="27"/>
  <c r="AH97" i="27"/>
  <c r="AH102" i="27"/>
  <c r="AH98" i="27"/>
  <c r="AH42" i="27"/>
  <c r="AH96" i="27"/>
  <c r="AH99" i="27"/>
  <c r="AH36" i="27"/>
  <c r="AH41" i="27"/>
  <c r="AH101" i="27"/>
  <c r="AH37" i="27"/>
  <c r="AH100" i="27"/>
  <c r="AH39" i="27"/>
  <c r="AH120" i="27"/>
  <c r="AQ39" i="27"/>
  <c r="AQ100" i="27"/>
  <c r="AQ40" i="27"/>
  <c r="AQ102" i="27"/>
  <c r="AQ36" i="27"/>
  <c r="AQ96" i="27"/>
  <c r="AQ42" i="27"/>
  <c r="AQ41" i="27"/>
  <c r="AQ98" i="27"/>
  <c r="AQ99" i="27"/>
  <c r="AQ37" i="27"/>
  <c r="AQ38" i="27"/>
  <c r="AQ101" i="27"/>
  <c r="AQ97" i="27"/>
  <c r="AQ120" i="27"/>
  <c r="Q40" i="27"/>
  <c r="Q97" i="27"/>
  <c r="Q102" i="27"/>
  <c r="Q42" i="27"/>
  <c r="Q38" i="27"/>
  <c r="Q39" i="27"/>
  <c r="Q99" i="27"/>
  <c r="Q100" i="27"/>
  <c r="Q96" i="27"/>
  <c r="Q36" i="27"/>
  <c r="Q41" i="27"/>
  <c r="Q101" i="27"/>
  <c r="Q37" i="27"/>
  <c r="Q98" i="27"/>
  <c r="Q120" i="27"/>
  <c r="AN99" i="27"/>
  <c r="AN40" i="27"/>
  <c r="AN39" i="27"/>
  <c r="AN97" i="27"/>
  <c r="AN102" i="27"/>
  <c r="AN98" i="27"/>
  <c r="AN36" i="27"/>
  <c r="AN100" i="27"/>
  <c r="AN42" i="27"/>
  <c r="AN38" i="27"/>
  <c r="AN41" i="27"/>
  <c r="AN96" i="27"/>
  <c r="AN101" i="27"/>
  <c r="AN37" i="27"/>
  <c r="AN120" i="27"/>
  <c r="AY105" i="27"/>
  <c r="N52" i="26"/>
  <c r="AS105" i="27"/>
  <c r="AC105" i="27"/>
  <c r="Z105" i="27"/>
  <c r="AR105" i="27"/>
  <c r="AH105" i="27"/>
  <c r="AQ105" i="27"/>
  <c r="Q105" i="27"/>
  <c r="AL105" i="27"/>
  <c r="V105" i="27"/>
  <c r="Y105" i="27"/>
  <c r="T105" i="27"/>
  <c r="O105" i="27"/>
  <c r="AV105" i="27"/>
  <c r="X105" i="27"/>
  <c r="R105" i="27"/>
  <c r="AI105" i="27"/>
  <c r="S105" i="27"/>
  <c r="N41" i="26"/>
  <c r="AT105" i="27"/>
  <c r="N105" i="27"/>
  <c r="AW105" i="27"/>
  <c r="P105" i="27"/>
  <c r="AU105" i="27"/>
  <c r="N6" i="26"/>
  <c r="J105" i="27"/>
  <c r="L105" i="27"/>
  <c r="AM105" i="27"/>
  <c r="AN105" i="27"/>
  <c r="AD105" i="27"/>
  <c r="AX105" i="27"/>
  <c r="AG105" i="27"/>
  <c r="K105" i="27"/>
  <c r="M105" i="27"/>
  <c r="AB105" i="27"/>
  <c r="AJ105" i="27"/>
  <c r="AA105" i="27"/>
  <c r="N17" i="26"/>
  <c r="U105" i="27"/>
  <c r="AK105" i="27"/>
  <c r="AF105" i="27"/>
  <c r="N38" i="26"/>
  <c r="AP105" i="27"/>
  <c r="AE105" i="27"/>
  <c r="AO105" i="27"/>
  <c r="W105" i="27"/>
  <c r="N31" i="26"/>
  <c r="N23" i="26"/>
  <c r="N49" i="26"/>
  <c r="N32" i="26"/>
  <c r="N9" i="26"/>
  <c r="N33" i="26"/>
  <c r="N24" i="26"/>
  <c r="C18" i="31"/>
  <c r="N15" i="26"/>
  <c r="N14" i="26"/>
  <c r="N28" i="26"/>
  <c r="N43" i="26"/>
  <c r="N34" i="26"/>
  <c r="N11" i="26"/>
  <c r="N19" i="26"/>
  <c r="N21" i="26"/>
  <c r="N16" i="26"/>
  <c r="N26" i="26"/>
  <c r="N36" i="26"/>
  <c r="N50" i="26"/>
  <c r="N44" i="26"/>
  <c r="N27" i="26"/>
  <c r="N37" i="26"/>
  <c r="N18" i="26"/>
  <c r="N29" i="26"/>
  <c r="N7" i="26"/>
  <c r="N42" i="26"/>
  <c r="N45" i="26"/>
  <c r="N12" i="26"/>
  <c r="N48" i="26"/>
  <c r="N35" i="26"/>
  <c r="N53" i="26"/>
  <c r="N20" i="26"/>
  <c r="N46" i="26"/>
  <c r="L411" i="5"/>
  <c r="L386" i="5"/>
  <c r="L376" i="5"/>
  <c r="L379" i="5"/>
  <c r="L403" i="5"/>
  <c r="L407" i="5"/>
  <c r="L381" i="5"/>
  <c r="L398" i="5"/>
  <c r="L410" i="5"/>
  <c r="L384" i="5"/>
  <c r="L401" i="5"/>
  <c r="L397" i="5"/>
  <c r="L400" i="5"/>
  <c r="L394" i="5"/>
  <c r="L374" i="5"/>
  <c r="L377" i="5"/>
  <c r="L371" i="5"/>
  <c r="L402" i="5"/>
  <c r="L389" i="5"/>
  <c r="L395" i="5"/>
  <c r="L399" i="5"/>
  <c r="L372" i="5"/>
  <c r="L404" i="5"/>
  <c r="L392" i="5"/>
  <c r="L409" i="5"/>
  <c r="L388" i="5"/>
  <c r="L390" i="5"/>
  <c r="L405" i="5"/>
  <c r="L387" i="5"/>
  <c r="L382" i="5"/>
  <c r="L408" i="5"/>
  <c r="L393" i="5"/>
  <c r="L373" i="5"/>
  <c r="L385" i="5"/>
  <c r="L375" i="5"/>
  <c r="L396" i="5"/>
  <c r="L391" i="5"/>
  <c r="L380" i="5"/>
  <c r="F414" i="5"/>
  <c r="I414" i="5"/>
  <c r="L383" i="5"/>
  <c r="L378" i="5"/>
  <c r="L370" i="5"/>
  <c r="K414" i="5"/>
  <c r="L406" i="5"/>
  <c r="BJ60" i="27" l="1"/>
  <c r="BG60" i="27"/>
  <c r="BH60" i="27" s="1"/>
  <c r="BJ47" i="27"/>
  <c r="BG47" i="27"/>
  <c r="BH47" i="27" s="1"/>
  <c r="BJ54" i="27"/>
  <c r="BG54" i="27"/>
  <c r="BH54" i="27" s="1"/>
  <c r="BJ59" i="27"/>
  <c r="BG59" i="27"/>
  <c r="BH59" i="27" s="1"/>
  <c r="BJ44" i="27"/>
  <c r="BG44" i="27"/>
  <c r="BH44" i="27" s="1"/>
  <c r="AJ25" i="105"/>
  <c r="S27" i="80" s="1"/>
  <c r="AJ24" i="105"/>
  <c r="S26" i="80" s="1"/>
  <c r="AJ16" i="105"/>
  <c r="AG9" i="105"/>
  <c r="AJ9" i="105" s="1"/>
  <c r="S11" i="80" s="1"/>
  <c r="AG11" i="105"/>
  <c r="Q13" i="80" s="1"/>
  <c r="AL9" i="105"/>
  <c r="AO9" i="105" s="1"/>
  <c r="AL11" i="105"/>
  <c r="AO11" i="105" s="1"/>
  <c r="BJ38" i="27"/>
  <c r="AB25" i="105" s="1"/>
  <c r="L27" i="80" s="1"/>
  <c r="BJ41" i="27"/>
  <c r="BJ42" i="27"/>
  <c r="BJ37" i="27"/>
  <c r="AB24" i="105" s="1"/>
  <c r="L26" i="80" s="1"/>
  <c r="BJ39" i="27"/>
  <c r="AB16" i="105" s="1"/>
  <c r="L18" i="80" s="1"/>
  <c r="BJ40" i="27"/>
  <c r="BJ36" i="27"/>
  <c r="S18" i="80"/>
  <c r="BG105" i="27"/>
  <c r="BG100" i="27"/>
  <c r="BG120" i="27"/>
  <c r="BG101" i="27"/>
  <c r="BG98" i="27"/>
  <c r="BG99" i="27"/>
  <c r="BG96" i="27"/>
  <c r="BG97" i="27"/>
  <c r="BG102" i="27"/>
  <c r="BG38" i="27"/>
  <c r="BH38" i="27" s="1"/>
  <c r="BG41" i="27"/>
  <c r="BH41" i="27" s="1"/>
  <c r="BG42" i="27"/>
  <c r="BH42" i="27" s="1"/>
  <c r="BG37" i="27"/>
  <c r="BH37" i="27" s="1"/>
  <c r="BG39" i="27"/>
  <c r="BH39" i="27" s="1"/>
  <c r="BG40" i="27"/>
  <c r="BH40" i="27" s="1"/>
  <c r="BG36" i="27"/>
  <c r="BH36" i="27" s="1"/>
  <c r="C16" i="31"/>
  <c r="C19" i="31"/>
  <c r="C8" i="31"/>
  <c r="N55" i="26"/>
  <c r="F120" i="27"/>
  <c r="E120" i="27" s="1"/>
  <c r="F105" i="27"/>
  <c r="E105" i="27" s="1"/>
  <c r="F99" i="27"/>
  <c r="E99" i="27" s="1"/>
  <c r="F101" i="27"/>
  <c r="E101" i="27" s="1"/>
  <c r="F98" i="27"/>
  <c r="E98" i="27" s="1"/>
  <c r="F100" i="27"/>
  <c r="E100" i="27" s="1"/>
  <c r="F96" i="27"/>
  <c r="E96" i="27" s="1"/>
  <c r="F97" i="27"/>
  <c r="E97" i="27" s="1"/>
  <c r="F102" i="27"/>
  <c r="E102" i="27" s="1"/>
  <c r="C17" i="31"/>
  <c r="C6" i="31"/>
  <c r="C20" i="31"/>
  <c r="C15" i="31"/>
  <c r="C7" i="31"/>
  <c r="L414" i="5"/>
  <c r="N16" i="105" l="1"/>
  <c r="N25" i="105"/>
  <c r="N24" i="105"/>
  <c r="AR16" i="105"/>
  <c r="AR25" i="105"/>
  <c r="AR24" i="105"/>
  <c r="O24" i="105" s="1"/>
  <c r="AJ11" i="105"/>
  <c r="S13" i="80" s="1"/>
  <c r="AB9" i="105"/>
  <c r="AR9" i="105" s="1"/>
  <c r="AB11" i="105"/>
  <c r="L13" i="80" s="1"/>
  <c r="AE24" i="105"/>
  <c r="AE16" i="105"/>
  <c r="O16" i="105"/>
  <c r="AE25" i="105"/>
  <c r="O25" i="105"/>
  <c r="BH120" i="27"/>
  <c r="BH97" i="27"/>
  <c r="BH101" i="27"/>
  <c r="BH96" i="27"/>
  <c r="BH99" i="27"/>
  <c r="BH100" i="27"/>
  <c r="BH102" i="27"/>
  <c r="BH98" i="27"/>
  <c r="BH105" i="27"/>
  <c r="AB55" i="26"/>
  <c r="G20" i="36"/>
  <c r="H20" i="36" s="1"/>
  <c r="F20" i="36"/>
  <c r="F5" i="36"/>
  <c r="G5" i="36"/>
  <c r="H5" i="36" s="1"/>
  <c r="C22" i="31"/>
  <c r="N11" i="105" l="1"/>
  <c r="AR11" i="105"/>
  <c r="O11" i="105" s="1"/>
  <c r="AE11" i="105"/>
  <c r="N13" i="80" s="1"/>
  <c r="U13" i="80" s="1"/>
  <c r="AE9" i="105"/>
  <c r="N11" i="80" s="1"/>
  <c r="U11" i="80" s="1"/>
  <c r="AP9" i="105" s="1"/>
  <c r="N27" i="80"/>
  <c r="U27" i="80" s="1"/>
  <c r="AP25" i="105" s="1"/>
  <c r="N26" i="80"/>
  <c r="U26" i="80" s="1"/>
  <c r="AP24" i="105" s="1"/>
  <c r="N18" i="80"/>
  <c r="U18" i="80" s="1"/>
  <c r="AP16" i="105" s="1"/>
  <c r="E6" i="27"/>
  <c r="P25" i="105" l="1"/>
  <c r="P16" i="105"/>
  <c r="P24" i="105"/>
  <c r="C54" i="80"/>
  <c r="C40" i="80"/>
  <c r="AP11" i="105"/>
  <c r="C53" i="80"/>
  <c r="C45" i="80"/>
  <c r="C38" i="80"/>
  <c r="G38" i="80" s="1"/>
  <c r="K38" i="80" s="1"/>
  <c r="C4" i="27"/>
  <c r="F6" i="27"/>
  <c r="BA6" i="27" s="1"/>
  <c r="Q16" i="105" l="1"/>
  <c r="R16" i="105" s="1"/>
  <c r="E45" i="80"/>
  <c r="G45" i="80" s="1"/>
  <c r="K45" i="80" s="1"/>
  <c r="Q24" i="105"/>
  <c r="R24" i="105" s="1"/>
  <c r="E53" i="80"/>
  <c r="G53" i="80" s="1"/>
  <c r="K53" i="80" s="1"/>
  <c r="Q25" i="105"/>
  <c r="R25" i="105" s="1"/>
  <c r="E54" i="80"/>
  <c r="G54" i="80" s="1"/>
  <c r="K54" i="80" s="1"/>
  <c r="P11" i="105"/>
  <c r="I66" i="27"/>
  <c r="J6" i="27"/>
  <c r="AR6" i="27"/>
  <c r="M6" i="27"/>
  <c r="AM6" i="27"/>
  <c r="Y6" i="27"/>
  <c r="AQ6" i="27"/>
  <c r="AF6" i="27"/>
  <c r="AW6" i="27"/>
  <c r="BE6" i="27"/>
  <c r="BB66" i="27"/>
  <c r="W6" i="27"/>
  <c r="AG6" i="27"/>
  <c r="AT6" i="27"/>
  <c r="BC6" i="27"/>
  <c r="O6" i="27"/>
  <c r="AG7" i="105"/>
  <c r="Q9" i="80" s="1"/>
  <c r="AP6" i="27"/>
  <c r="Q6" i="27"/>
  <c r="AD6" i="27"/>
  <c r="AZ6" i="27"/>
  <c r="AL7" i="105" s="1"/>
  <c r="AO7" i="105" s="1"/>
  <c r="L6" i="27"/>
  <c r="BD6" i="27"/>
  <c r="P6" i="27"/>
  <c r="AA6" i="27"/>
  <c r="AE6" i="27"/>
  <c r="I6" i="27"/>
  <c r="AY6" i="27"/>
  <c r="AL6" i="27"/>
  <c r="AB6" i="27"/>
  <c r="U6" i="27"/>
  <c r="AJ6" i="27"/>
  <c r="AX6" i="27"/>
  <c r="AZ66" i="27"/>
  <c r="R6" i="27"/>
  <c r="S6" i="27"/>
  <c r="BB6" i="27"/>
  <c r="AH6" i="27"/>
  <c r="N6" i="27"/>
  <c r="AV6" i="27"/>
  <c r="K6" i="27"/>
  <c r="V6" i="27"/>
  <c r="Z6" i="27"/>
  <c r="X6" i="27"/>
  <c r="BA66" i="27"/>
  <c r="AK6" i="27"/>
  <c r="AS6" i="27"/>
  <c r="AU6" i="27"/>
  <c r="AI6" i="27"/>
  <c r="BD66" i="27"/>
  <c r="AO6" i="27"/>
  <c r="T6" i="27"/>
  <c r="AN6" i="27"/>
  <c r="AC6" i="27"/>
  <c r="BC66" i="27"/>
  <c r="E19" i="27"/>
  <c r="F19" i="27" s="1"/>
  <c r="F12" i="27"/>
  <c r="J12" i="27" s="1"/>
  <c r="E26" i="27"/>
  <c r="F26" i="27" s="1"/>
  <c r="E23" i="27"/>
  <c r="F23" i="27" s="1"/>
  <c r="E27" i="27"/>
  <c r="F27" i="27" s="1"/>
  <c r="E9" i="27"/>
  <c r="F9" i="27" s="1"/>
  <c r="E10" i="27"/>
  <c r="F10" i="27" s="1"/>
  <c r="E20" i="27"/>
  <c r="F20" i="27" s="1"/>
  <c r="E16" i="27"/>
  <c r="F16" i="27" s="1"/>
  <c r="L16" i="27" s="1"/>
  <c r="F33" i="27"/>
  <c r="E24" i="27"/>
  <c r="F24" i="27" s="1"/>
  <c r="E28" i="27"/>
  <c r="F28" i="27" s="1"/>
  <c r="E29" i="27"/>
  <c r="F29" i="27" s="1"/>
  <c r="E18" i="27"/>
  <c r="F18" i="27" s="1"/>
  <c r="F8" i="27"/>
  <c r="E11" i="27"/>
  <c r="F11" i="27" s="1"/>
  <c r="E17" i="27"/>
  <c r="F17" i="27" s="1"/>
  <c r="F32" i="27"/>
  <c r="E14" i="27"/>
  <c r="F14" i="27" s="1"/>
  <c r="E13" i="27"/>
  <c r="F13" i="27" s="1"/>
  <c r="F35" i="27"/>
  <c r="F34" i="27"/>
  <c r="E15" i="27"/>
  <c r="F15" i="27" s="1"/>
  <c r="E25" i="27"/>
  <c r="F25" i="27" s="1"/>
  <c r="E22" i="27"/>
  <c r="F22" i="27" s="1"/>
  <c r="E21" i="27"/>
  <c r="E7" i="27"/>
  <c r="Q11" i="105" l="1"/>
  <c r="R11" i="105" s="1"/>
  <c r="E40" i="80"/>
  <c r="G40" i="80" s="1"/>
  <c r="K40" i="80" s="1"/>
  <c r="AJ7" i="105"/>
  <c r="S9" i="80" s="1"/>
  <c r="BJ6" i="27"/>
  <c r="AB7" i="105" s="1"/>
  <c r="L9" i="80" s="1"/>
  <c r="W7" i="105"/>
  <c r="M27" i="37"/>
  <c r="O27" i="37"/>
  <c r="BG66" i="27"/>
  <c r="BG6" i="27"/>
  <c r="BH6" i="27" s="1"/>
  <c r="F21" i="27"/>
  <c r="E27" i="37" s="1"/>
  <c r="D28" i="37"/>
  <c r="E31" i="46" s="1"/>
  <c r="F66" i="27"/>
  <c r="F7" i="27"/>
  <c r="C27" i="37" s="1"/>
  <c r="BA68" i="27"/>
  <c r="BD68" i="27"/>
  <c r="I68" i="27"/>
  <c r="AZ68" i="27"/>
  <c r="BB68" i="27"/>
  <c r="BC68" i="27"/>
  <c r="AY104" i="27"/>
  <c r="K104" i="27"/>
  <c r="AH104" i="27"/>
  <c r="AD104" i="27"/>
  <c r="AV104" i="27"/>
  <c r="N104" i="27"/>
  <c r="V104" i="27"/>
  <c r="W104" i="27"/>
  <c r="AR104" i="27"/>
  <c r="AT104" i="27"/>
  <c r="AG104" i="27"/>
  <c r="AI104" i="27"/>
  <c r="AP104" i="27"/>
  <c r="R104" i="27"/>
  <c r="AS104" i="27"/>
  <c r="AF104" i="27"/>
  <c r="AK104" i="27"/>
  <c r="AW104" i="27"/>
  <c r="AL104" i="27"/>
  <c r="AB104" i="27"/>
  <c r="U104" i="27"/>
  <c r="AJ104" i="27"/>
  <c r="S104" i="27"/>
  <c r="J104" i="27"/>
  <c r="AQ104" i="27"/>
  <c r="AC104" i="27"/>
  <c r="P104" i="27"/>
  <c r="AN104" i="27"/>
  <c r="Q104" i="27"/>
  <c r="AO104" i="27"/>
  <c r="L104" i="27"/>
  <c r="X104" i="27"/>
  <c r="AX104" i="27"/>
  <c r="O104" i="27"/>
  <c r="AU104" i="27"/>
  <c r="AE104" i="27"/>
  <c r="Z104" i="27"/>
  <c r="T104" i="27"/>
  <c r="AM104" i="27"/>
  <c r="M104" i="27"/>
  <c r="Y104" i="27"/>
  <c r="AA104" i="27"/>
  <c r="AU103" i="27"/>
  <c r="AG103" i="27"/>
  <c r="AT103" i="27"/>
  <c r="AR103" i="27"/>
  <c r="AM103" i="27"/>
  <c r="V103" i="27"/>
  <c r="M103" i="27"/>
  <c r="AL103" i="27"/>
  <c r="R103" i="27"/>
  <c r="K103" i="27"/>
  <c r="AI103" i="27"/>
  <c r="AP103" i="27"/>
  <c r="Q103" i="27"/>
  <c r="N103" i="27"/>
  <c r="L103" i="27"/>
  <c r="J103" i="27"/>
  <c r="W103" i="27"/>
  <c r="AV103" i="27"/>
  <c r="AY103" i="27"/>
  <c r="AO103" i="27"/>
  <c r="O103" i="27"/>
  <c r="AX103" i="27"/>
  <c r="AE103" i="27"/>
  <c r="AJ103" i="27"/>
  <c r="AA103" i="27"/>
  <c r="AQ103" i="27"/>
  <c r="AK103" i="27"/>
  <c r="AS103" i="27"/>
  <c r="AF103" i="27"/>
  <c r="S103" i="27"/>
  <c r="AB103" i="27"/>
  <c r="U103" i="27"/>
  <c r="AH103" i="27"/>
  <c r="Z103" i="27"/>
  <c r="P103" i="27"/>
  <c r="AW103" i="27"/>
  <c r="AN103" i="27"/>
  <c r="AD103" i="27"/>
  <c r="Y103" i="27"/>
  <c r="T103" i="27"/>
  <c r="AC103" i="27"/>
  <c r="X103" i="27"/>
  <c r="BB73" i="27"/>
  <c r="I73" i="27"/>
  <c r="BA73" i="27"/>
  <c r="BC73" i="27"/>
  <c r="BD73" i="27"/>
  <c r="AZ73" i="27"/>
  <c r="BB77" i="27"/>
  <c r="BD77" i="27"/>
  <c r="BA77" i="27"/>
  <c r="BC77" i="27"/>
  <c r="AZ77" i="27"/>
  <c r="I77" i="27"/>
  <c r="AJ117" i="27"/>
  <c r="AV117" i="27"/>
  <c r="T117" i="27"/>
  <c r="S117" i="27"/>
  <c r="AL117" i="27"/>
  <c r="AN117" i="27"/>
  <c r="L117" i="27"/>
  <c r="W117" i="27"/>
  <c r="AG117" i="27"/>
  <c r="AC117" i="27"/>
  <c r="AD117" i="27"/>
  <c r="AP117" i="27"/>
  <c r="N117" i="27"/>
  <c r="AT117" i="27"/>
  <c r="J117" i="27"/>
  <c r="K117" i="27"/>
  <c r="AH117" i="27"/>
  <c r="AO117" i="27"/>
  <c r="Q117" i="27"/>
  <c r="AR117" i="27"/>
  <c r="AY117" i="27"/>
  <c r="V117" i="27"/>
  <c r="AI117" i="27"/>
  <c r="AU117" i="27"/>
  <c r="AE117" i="27"/>
  <c r="Z117" i="27"/>
  <c r="AK117" i="27"/>
  <c r="AS117" i="27"/>
  <c r="AB117" i="27"/>
  <c r="R117" i="27"/>
  <c r="Y117" i="27"/>
  <c r="AF117" i="27"/>
  <c r="M117" i="27"/>
  <c r="U117" i="27"/>
  <c r="AQ117" i="27"/>
  <c r="P117" i="27"/>
  <c r="AW117" i="27"/>
  <c r="AA117" i="27"/>
  <c r="O117" i="27"/>
  <c r="X117" i="27"/>
  <c r="AM117" i="27"/>
  <c r="AX117" i="27"/>
  <c r="BC88" i="27"/>
  <c r="I88" i="27"/>
  <c r="BB88" i="27"/>
  <c r="BD88" i="27"/>
  <c r="BA88" i="27"/>
  <c r="AZ88" i="27"/>
  <c r="Y107" i="27"/>
  <c r="R107" i="27"/>
  <c r="AR107" i="27"/>
  <c r="AP107" i="27"/>
  <c r="AC107" i="27"/>
  <c r="K107" i="27"/>
  <c r="L107" i="27"/>
  <c r="AQ107" i="27"/>
  <c r="AJ107" i="27"/>
  <c r="P107" i="27"/>
  <c r="M107" i="27"/>
  <c r="AX107" i="27"/>
  <c r="AL107" i="27"/>
  <c r="AS107" i="27"/>
  <c r="AF107" i="27"/>
  <c r="T107" i="27"/>
  <c r="AV107" i="27"/>
  <c r="O107" i="27"/>
  <c r="J107" i="27"/>
  <c r="AB107" i="27"/>
  <c r="AE107" i="27"/>
  <c r="AT107" i="27"/>
  <c r="U107" i="27"/>
  <c r="AU107" i="27"/>
  <c r="AG107" i="27"/>
  <c r="AA107" i="27"/>
  <c r="AK107" i="27"/>
  <c r="W107" i="27"/>
  <c r="AO107" i="27"/>
  <c r="AI107" i="27"/>
  <c r="AD107" i="27"/>
  <c r="AW107" i="27"/>
  <c r="AM107" i="27"/>
  <c r="Q107" i="27"/>
  <c r="AH107" i="27"/>
  <c r="V107" i="27"/>
  <c r="Z107" i="27"/>
  <c r="N107" i="27"/>
  <c r="X107" i="27"/>
  <c r="S107" i="27"/>
  <c r="AY107" i="27"/>
  <c r="AN107" i="27"/>
  <c r="M113" i="27"/>
  <c r="W113" i="27"/>
  <c r="S113" i="27"/>
  <c r="AQ113" i="27"/>
  <c r="Q113" i="27"/>
  <c r="AM113" i="27"/>
  <c r="AP113" i="27"/>
  <c r="P113" i="27"/>
  <c r="AL113" i="27"/>
  <c r="R113" i="27"/>
  <c r="AS113" i="27"/>
  <c r="AY113" i="27"/>
  <c r="L113" i="27"/>
  <c r="AT113" i="27"/>
  <c r="U113" i="27"/>
  <c r="V113" i="27"/>
  <c r="AH113" i="27"/>
  <c r="Z113" i="27"/>
  <c r="AO113" i="27"/>
  <c r="AF113" i="27"/>
  <c r="AA113" i="27"/>
  <c r="AI113" i="27"/>
  <c r="AC113" i="27"/>
  <c r="AN113" i="27"/>
  <c r="AD113" i="27"/>
  <c r="AU113" i="27"/>
  <c r="K113" i="27"/>
  <c r="AV113" i="27"/>
  <c r="J113" i="27"/>
  <c r="T113" i="27"/>
  <c r="O113" i="27"/>
  <c r="AW113" i="27"/>
  <c r="N113" i="27"/>
  <c r="AK113" i="27"/>
  <c r="X113" i="27"/>
  <c r="Y113" i="27"/>
  <c r="AB113" i="27"/>
  <c r="AE113" i="27"/>
  <c r="AR113" i="27"/>
  <c r="AJ113" i="27"/>
  <c r="AX113" i="27"/>
  <c r="AG113" i="27"/>
  <c r="BA87" i="27"/>
  <c r="BC87" i="27"/>
  <c r="AZ87" i="27"/>
  <c r="BD87" i="27"/>
  <c r="BB87" i="27"/>
  <c r="I87" i="27"/>
  <c r="X118" i="27"/>
  <c r="AQ118" i="27"/>
  <c r="O118" i="27"/>
  <c r="AN118" i="27"/>
  <c r="S118" i="27"/>
  <c r="AF118" i="27"/>
  <c r="AX118" i="27"/>
  <c r="R118" i="27"/>
  <c r="AH118" i="27"/>
  <c r="M118" i="27"/>
  <c r="AY118" i="27"/>
  <c r="AV118" i="27"/>
  <c r="Q118" i="27"/>
  <c r="AT118" i="27"/>
  <c r="P118" i="27"/>
  <c r="AJ118" i="27"/>
  <c r="AP118" i="27"/>
  <c r="Z118" i="27"/>
  <c r="AI118" i="27"/>
  <c r="AO118" i="27"/>
  <c r="L118" i="27"/>
  <c r="AS118" i="27"/>
  <c r="AG118" i="27"/>
  <c r="W118" i="27"/>
  <c r="V118" i="27"/>
  <c r="AU118" i="27"/>
  <c r="U118" i="27"/>
  <c r="AL118" i="27"/>
  <c r="J118" i="27"/>
  <c r="AD118" i="27"/>
  <c r="AA118" i="27"/>
  <c r="K118" i="27"/>
  <c r="T118" i="27"/>
  <c r="Y118" i="27"/>
  <c r="AW118" i="27"/>
  <c r="AK118" i="27"/>
  <c r="AM118" i="27"/>
  <c r="AR118" i="27"/>
  <c r="AE118" i="27"/>
  <c r="N118" i="27"/>
  <c r="AB118" i="27"/>
  <c r="AC118" i="27"/>
  <c r="AZ82" i="27"/>
  <c r="BB82" i="27"/>
  <c r="BC82" i="27"/>
  <c r="BA82" i="27"/>
  <c r="BD82" i="27"/>
  <c r="I82" i="27"/>
  <c r="K92" i="27"/>
  <c r="AP92" i="27"/>
  <c r="U92" i="27"/>
  <c r="J92" i="27"/>
  <c r="M92" i="27"/>
  <c r="Y92" i="27"/>
  <c r="AW92" i="27"/>
  <c r="T92" i="27"/>
  <c r="AX92" i="27"/>
  <c r="AO92" i="27"/>
  <c r="AU92" i="27"/>
  <c r="L92" i="27"/>
  <c r="AN92" i="27"/>
  <c r="AA92" i="27"/>
  <c r="AV92" i="27"/>
  <c r="AR92" i="27"/>
  <c r="AG92" i="27"/>
  <c r="AD92" i="27"/>
  <c r="AC92" i="27"/>
  <c r="AB92" i="27"/>
  <c r="Z92" i="27"/>
  <c r="AE92" i="27"/>
  <c r="AM92" i="27"/>
  <c r="X92" i="27"/>
  <c r="AH92" i="27"/>
  <c r="AQ92" i="27"/>
  <c r="AT92" i="27"/>
  <c r="Q92" i="27"/>
  <c r="AY92" i="27"/>
  <c r="AF92" i="27"/>
  <c r="O92" i="27"/>
  <c r="AK92" i="27"/>
  <c r="AI92" i="27"/>
  <c r="R92" i="27"/>
  <c r="P92" i="27"/>
  <c r="AL92" i="27"/>
  <c r="AJ92" i="27"/>
  <c r="N92" i="27"/>
  <c r="W92" i="27"/>
  <c r="AS92" i="27"/>
  <c r="S92" i="27"/>
  <c r="V92" i="27"/>
  <c r="AM33" i="27"/>
  <c r="AI93" i="27"/>
  <c r="Z93" i="27"/>
  <c r="R93" i="27"/>
  <c r="AK93" i="27"/>
  <c r="O93" i="27"/>
  <c r="AV93" i="27"/>
  <c r="AB93" i="27"/>
  <c r="AG93" i="27"/>
  <c r="W93" i="27"/>
  <c r="AE93" i="27"/>
  <c r="AM93" i="27"/>
  <c r="AY93" i="27"/>
  <c r="S93" i="27"/>
  <c r="J93" i="27"/>
  <c r="AQ93" i="27"/>
  <c r="U93" i="27"/>
  <c r="AU93" i="27"/>
  <c r="P93" i="27"/>
  <c r="L93" i="27"/>
  <c r="Q93" i="27"/>
  <c r="AS93" i="27"/>
  <c r="AT93" i="27"/>
  <c r="K93" i="27"/>
  <c r="AA93" i="27"/>
  <c r="AX93" i="27"/>
  <c r="AP93" i="27"/>
  <c r="AN93" i="27"/>
  <c r="AL93" i="27"/>
  <c r="N93" i="27"/>
  <c r="AD93" i="27"/>
  <c r="AJ93" i="27"/>
  <c r="M93" i="27"/>
  <c r="AO93" i="27"/>
  <c r="AH93" i="27"/>
  <c r="Y93" i="27"/>
  <c r="AR93" i="27"/>
  <c r="V93" i="27"/>
  <c r="AW93" i="27"/>
  <c r="AF93" i="27"/>
  <c r="X93" i="27"/>
  <c r="T93" i="27"/>
  <c r="AC93" i="27"/>
  <c r="AI116" i="27"/>
  <c r="AU116" i="27"/>
  <c r="S116" i="27"/>
  <c r="O116" i="27"/>
  <c r="AT116" i="27"/>
  <c r="V116" i="27"/>
  <c r="Q116" i="27"/>
  <c r="AB116" i="27"/>
  <c r="AC116" i="27"/>
  <c r="AO116" i="27"/>
  <c r="AA116" i="27"/>
  <c r="AN116" i="27"/>
  <c r="K116" i="27"/>
  <c r="AL116" i="27"/>
  <c r="P116" i="27"/>
  <c r="AE116" i="27"/>
  <c r="R116" i="27"/>
  <c r="U116" i="27"/>
  <c r="M116" i="27"/>
  <c r="AX116" i="27"/>
  <c r="AV116" i="27"/>
  <c r="T116" i="27"/>
  <c r="AF116" i="27"/>
  <c r="AQ116" i="27"/>
  <c r="X116" i="27"/>
  <c r="AJ116" i="27"/>
  <c r="AW116" i="27"/>
  <c r="AM116" i="27"/>
  <c r="L116" i="27"/>
  <c r="AP116" i="27"/>
  <c r="J116" i="27"/>
  <c r="AS116" i="27"/>
  <c r="AH116" i="27"/>
  <c r="AD116" i="27"/>
  <c r="N116" i="27"/>
  <c r="AY116" i="27"/>
  <c r="W116" i="27"/>
  <c r="Y116" i="27"/>
  <c r="Z116" i="27"/>
  <c r="AG116" i="27"/>
  <c r="AR116" i="27"/>
  <c r="AK116" i="27"/>
  <c r="BA75" i="27"/>
  <c r="BC75" i="27"/>
  <c r="AZ75" i="27"/>
  <c r="I75" i="27"/>
  <c r="BD75" i="27"/>
  <c r="BB75" i="27"/>
  <c r="AI115" i="27"/>
  <c r="S115" i="27"/>
  <c r="AC115" i="27"/>
  <c r="Z115" i="27"/>
  <c r="AO115" i="27"/>
  <c r="AV115" i="27"/>
  <c r="AQ115" i="27"/>
  <c r="V115" i="27"/>
  <c r="O115" i="27"/>
  <c r="AA115" i="27"/>
  <c r="Y115" i="27"/>
  <c r="AY115" i="27"/>
  <c r="AT115" i="27"/>
  <c r="AX115" i="27"/>
  <c r="X115" i="27"/>
  <c r="AG115" i="27"/>
  <c r="W115" i="27"/>
  <c r="J115" i="27"/>
  <c r="T115" i="27"/>
  <c r="AW115" i="27"/>
  <c r="AU115" i="27"/>
  <c r="AF115" i="27"/>
  <c r="AM115" i="27"/>
  <c r="AE115" i="27"/>
  <c r="L115" i="27"/>
  <c r="AB115" i="27"/>
  <c r="Q115" i="27"/>
  <c r="N115" i="27"/>
  <c r="M115" i="27"/>
  <c r="AK115" i="27"/>
  <c r="K115" i="27"/>
  <c r="AP115" i="27"/>
  <c r="AL115" i="27"/>
  <c r="AR115" i="27"/>
  <c r="AS115" i="27"/>
  <c r="P115" i="27"/>
  <c r="AJ115" i="27"/>
  <c r="AD115" i="27"/>
  <c r="AN115" i="27"/>
  <c r="AH115" i="27"/>
  <c r="R115" i="27"/>
  <c r="U115" i="27"/>
  <c r="AN110" i="27"/>
  <c r="AG110" i="27"/>
  <c r="AL110" i="27"/>
  <c r="AI110" i="27"/>
  <c r="N110" i="27"/>
  <c r="J110" i="27"/>
  <c r="AH110" i="27"/>
  <c r="M110" i="27"/>
  <c r="AD110" i="27"/>
  <c r="Z110" i="27"/>
  <c r="AM110" i="27"/>
  <c r="AP110" i="27"/>
  <c r="AY110" i="27"/>
  <c r="AS110" i="27"/>
  <c r="Y110" i="27"/>
  <c r="AU110" i="27"/>
  <c r="V110" i="27"/>
  <c r="O110" i="27"/>
  <c r="U110" i="27"/>
  <c r="P110" i="27"/>
  <c r="R110" i="27"/>
  <c r="AO110" i="27"/>
  <c r="AQ110" i="27"/>
  <c r="AK110" i="27"/>
  <c r="Q110" i="27"/>
  <c r="K110" i="27"/>
  <c r="AX110" i="27"/>
  <c r="AC110" i="27"/>
  <c r="AE110" i="27"/>
  <c r="L110" i="27"/>
  <c r="S110" i="27"/>
  <c r="AF110" i="27"/>
  <c r="AR110" i="27"/>
  <c r="T110" i="27"/>
  <c r="AJ110" i="27"/>
  <c r="AV110" i="27"/>
  <c r="W110" i="27"/>
  <c r="AW110" i="27"/>
  <c r="AB110" i="27"/>
  <c r="X110" i="27"/>
  <c r="AT110" i="27"/>
  <c r="AA110" i="27"/>
  <c r="V108" i="27"/>
  <c r="X108" i="27"/>
  <c r="AT108" i="27"/>
  <c r="AM108" i="27"/>
  <c r="AK108" i="27"/>
  <c r="O108" i="27"/>
  <c r="R108" i="27"/>
  <c r="AS108" i="27"/>
  <c r="AC108" i="27"/>
  <c r="M108" i="27"/>
  <c r="AF108" i="27"/>
  <c r="AO108" i="27"/>
  <c r="N108" i="27"/>
  <c r="AI108" i="27"/>
  <c r="AN108" i="27"/>
  <c r="T108" i="27"/>
  <c r="AV108" i="27"/>
  <c r="Q108" i="27"/>
  <c r="AD108" i="27"/>
  <c r="Z108" i="27"/>
  <c r="AW108" i="27"/>
  <c r="K108" i="27"/>
  <c r="AJ108" i="27"/>
  <c r="U108" i="27"/>
  <c r="AP108" i="27"/>
  <c r="AE108" i="27"/>
  <c r="AX108" i="27"/>
  <c r="AA108" i="27"/>
  <c r="AB108" i="27"/>
  <c r="AQ108" i="27"/>
  <c r="P108" i="27"/>
  <c r="AG108" i="27"/>
  <c r="AY108" i="27"/>
  <c r="S108" i="27"/>
  <c r="J108" i="27"/>
  <c r="AR108" i="27"/>
  <c r="AH108" i="27"/>
  <c r="L108" i="27"/>
  <c r="W108" i="27"/>
  <c r="AU108" i="27"/>
  <c r="Y108" i="27"/>
  <c r="AL108" i="27"/>
  <c r="AU109" i="27"/>
  <c r="S109" i="27"/>
  <c r="W109" i="27"/>
  <c r="AR109" i="27"/>
  <c r="X109" i="27"/>
  <c r="K109" i="27"/>
  <c r="U109" i="27"/>
  <c r="AK109" i="27"/>
  <c r="R109" i="27"/>
  <c r="AN109" i="27"/>
  <c r="L109" i="27"/>
  <c r="AS109" i="27"/>
  <c r="O109" i="27"/>
  <c r="AL109" i="27"/>
  <c r="AI109" i="27"/>
  <c r="AW109" i="27"/>
  <c r="AB109" i="27"/>
  <c r="AV109" i="27"/>
  <c r="Y109" i="27"/>
  <c r="Q109" i="27"/>
  <c r="AF109" i="27"/>
  <c r="J109" i="27"/>
  <c r="M109" i="27"/>
  <c r="T109" i="27"/>
  <c r="AG109" i="27"/>
  <c r="V109" i="27"/>
  <c r="AQ109" i="27"/>
  <c r="AY109" i="27"/>
  <c r="AC109" i="27"/>
  <c r="AT109" i="27"/>
  <c r="AX109" i="27"/>
  <c r="AO109" i="27"/>
  <c r="Z109" i="27"/>
  <c r="AE109" i="27"/>
  <c r="AA109" i="27"/>
  <c r="AJ109" i="27"/>
  <c r="AM109" i="27"/>
  <c r="N109" i="27"/>
  <c r="AH109" i="27"/>
  <c r="AD109" i="27"/>
  <c r="P109" i="27"/>
  <c r="AP109" i="27"/>
  <c r="BA78" i="27"/>
  <c r="BD78" i="27"/>
  <c r="I78" i="27"/>
  <c r="BB78" i="27"/>
  <c r="AZ78" i="27"/>
  <c r="BC78" i="27"/>
  <c r="M114" i="27"/>
  <c r="AV114" i="27"/>
  <c r="AC114" i="27"/>
  <c r="P114" i="27"/>
  <c r="AL114" i="27"/>
  <c r="X114" i="27"/>
  <c r="AQ114" i="27"/>
  <c r="L114" i="27"/>
  <c r="AP114" i="27"/>
  <c r="AW114" i="27"/>
  <c r="AN114" i="27"/>
  <c r="W114" i="27"/>
  <c r="AG114" i="27"/>
  <c r="AI114" i="27"/>
  <c r="O114" i="27"/>
  <c r="AX114" i="27"/>
  <c r="AA114" i="27"/>
  <c r="AM114" i="27"/>
  <c r="T114" i="27"/>
  <c r="AF114" i="27"/>
  <c r="AT114" i="27"/>
  <c r="U114" i="27"/>
  <c r="S114" i="27"/>
  <c r="J114" i="27"/>
  <c r="V114" i="27"/>
  <c r="R114" i="27"/>
  <c r="AS114" i="27"/>
  <c r="Y114" i="27"/>
  <c r="AR114" i="27"/>
  <c r="AH114" i="27"/>
  <c r="AE114" i="27"/>
  <c r="Z114" i="27"/>
  <c r="AY114" i="27"/>
  <c r="AJ114" i="27"/>
  <c r="AD114" i="27"/>
  <c r="AU114" i="27"/>
  <c r="Q114" i="27"/>
  <c r="AO114" i="27"/>
  <c r="K114" i="27"/>
  <c r="AB114" i="27"/>
  <c r="AK114" i="27"/>
  <c r="N114" i="27"/>
  <c r="I76" i="27"/>
  <c r="BD76" i="27"/>
  <c r="BB76" i="27"/>
  <c r="BA76" i="27"/>
  <c r="AZ76" i="27"/>
  <c r="BC76" i="27"/>
  <c r="Z119" i="27"/>
  <c r="AL119" i="27"/>
  <c r="J119" i="27"/>
  <c r="AQ119" i="27"/>
  <c r="AA119" i="27"/>
  <c r="N119" i="27"/>
  <c r="W119" i="27"/>
  <c r="AK119" i="27"/>
  <c r="U119" i="27"/>
  <c r="R119" i="27"/>
  <c r="K119" i="27"/>
  <c r="AI119" i="27"/>
  <c r="AC119" i="27"/>
  <c r="AG119" i="27"/>
  <c r="AU119" i="27"/>
  <c r="S119" i="27"/>
  <c r="AE119" i="27"/>
  <c r="AV119" i="27"/>
  <c r="AD119" i="27"/>
  <c r="AY119" i="27"/>
  <c r="AS119" i="27"/>
  <c r="AR119" i="27"/>
  <c r="L119" i="27"/>
  <c r="AH119" i="27"/>
  <c r="AM119" i="27"/>
  <c r="X119" i="27"/>
  <c r="AP119" i="27"/>
  <c r="Y119" i="27"/>
  <c r="Q119" i="27"/>
  <c r="AN119" i="27"/>
  <c r="O119" i="27"/>
  <c r="AO119" i="27"/>
  <c r="AF119" i="27"/>
  <c r="AJ119" i="27"/>
  <c r="AX119" i="27"/>
  <c r="AB119" i="27"/>
  <c r="AT119" i="27"/>
  <c r="V119" i="27"/>
  <c r="AW119" i="27"/>
  <c r="T119" i="27"/>
  <c r="P119" i="27"/>
  <c r="M119" i="27"/>
  <c r="AZ83" i="27"/>
  <c r="BB83" i="27"/>
  <c r="I83" i="27"/>
  <c r="BA83" i="27"/>
  <c r="BD83" i="27"/>
  <c r="BC83" i="27"/>
  <c r="BA72" i="27"/>
  <c r="BB72" i="27"/>
  <c r="BD72" i="27"/>
  <c r="BC72" i="27"/>
  <c r="AZ72" i="27"/>
  <c r="I72" i="27"/>
  <c r="BD85" i="27"/>
  <c r="I85" i="27"/>
  <c r="AZ85" i="27"/>
  <c r="BC85" i="27"/>
  <c r="BA85" i="27"/>
  <c r="BB85" i="27"/>
  <c r="AC95" i="27"/>
  <c r="P95" i="27"/>
  <c r="N95" i="27"/>
  <c r="AY95" i="27"/>
  <c r="T95" i="27"/>
  <c r="AE95" i="27"/>
  <c r="AB95" i="27"/>
  <c r="J95" i="27"/>
  <c r="S95" i="27"/>
  <c r="AG95" i="27"/>
  <c r="U95" i="27"/>
  <c r="AL95" i="27"/>
  <c r="M95" i="27"/>
  <c r="AI95" i="27"/>
  <c r="AU95" i="27"/>
  <c r="AH95" i="27"/>
  <c r="AQ95" i="27"/>
  <c r="AO95" i="27"/>
  <c r="L95" i="27"/>
  <c r="AD95" i="27"/>
  <c r="AM95" i="27"/>
  <c r="AJ95" i="27"/>
  <c r="AT95" i="27"/>
  <c r="V95" i="27"/>
  <c r="AV95" i="27"/>
  <c r="AX95" i="27"/>
  <c r="AK95" i="27"/>
  <c r="AW95" i="27"/>
  <c r="Z95" i="27"/>
  <c r="Y95" i="27"/>
  <c r="AA95" i="27"/>
  <c r="K95" i="27"/>
  <c r="R95" i="27"/>
  <c r="AR95" i="27"/>
  <c r="AN95" i="27"/>
  <c r="AP95" i="27"/>
  <c r="AF95" i="27"/>
  <c r="O95" i="27"/>
  <c r="AS95" i="27"/>
  <c r="Q95" i="27"/>
  <c r="X95" i="27"/>
  <c r="W95" i="27"/>
  <c r="AI112" i="27"/>
  <c r="X112" i="27"/>
  <c r="J112" i="27"/>
  <c r="T112" i="27"/>
  <c r="AX112" i="27"/>
  <c r="AC112" i="27"/>
  <c r="AU112" i="27"/>
  <c r="AF112" i="27"/>
  <c r="AG112" i="27"/>
  <c r="AV112" i="27"/>
  <c r="Y112" i="27"/>
  <c r="M112" i="27"/>
  <c r="AS112" i="27"/>
  <c r="AK112" i="27"/>
  <c r="AR112" i="27"/>
  <c r="R112" i="27"/>
  <c r="AT112" i="27"/>
  <c r="L112" i="27"/>
  <c r="K112" i="27"/>
  <c r="AN112" i="27"/>
  <c r="W112" i="27"/>
  <c r="S112" i="27"/>
  <c r="Q112" i="27"/>
  <c r="AP112" i="27"/>
  <c r="P112" i="27"/>
  <c r="AY112" i="27"/>
  <c r="AA112" i="27"/>
  <c r="N112" i="27"/>
  <c r="AL112" i="27"/>
  <c r="AJ112" i="27"/>
  <c r="AW112" i="27"/>
  <c r="AD112" i="27"/>
  <c r="AO112" i="27"/>
  <c r="V112" i="27"/>
  <c r="Z112" i="27"/>
  <c r="AB112" i="27"/>
  <c r="O112" i="27"/>
  <c r="AQ112" i="27"/>
  <c r="AM112" i="27"/>
  <c r="AE112" i="27"/>
  <c r="AH112" i="27"/>
  <c r="U112" i="27"/>
  <c r="I69" i="27"/>
  <c r="BA69" i="27"/>
  <c r="BB69" i="27"/>
  <c r="BD69" i="27"/>
  <c r="BC69" i="27"/>
  <c r="AZ69" i="27"/>
  <c r="V106" i="27"/>
  <c r="U106" i="27"/>
  <c r="AK106" i="27"/>
  <c r="AE106" i="27"/>
  <c r="R106" i="27"/>
  <c r="AM106" i="27"/>
  <c r="Z106" i="27"/>
  <c r="AC106" i="27"/>
  <c r="AR106" i="27"/>
  <c r="AW106" i="27"/>
  <c r="AV106" i="27"/>
  <c r="AB106" i="27"/>
  <c r="K106" i="27"/>
  <c r="AY106" i="27"/>
  <c r="T106" i="27"/>
  <c r="AT106" i="27"/>
  <c r="AI106" i="27"/>
  <c r="W106" i="27"/>
  <c r="M106" i="27"/>
  <c r="AX106" i="27"/>
  <c r="J106" i="27"/>
  <c r="AJ106" i="27"/>
  <c r="L106" i="27"/>
  <c r="AG106" i="27"/>
  <c r="AH106" i="27"/>
  <c r="AQ106" i="27"/>
  <c r="AF106" i="27"/>
  <c r="AP106" i="27"/>
  <c r="AS106" i="27"/>
  <c r="AD106" i="27"/>
  <c r="P106" i="27"/>
  <c r="O106" i="27"/>
  <c r="X106" i="27"/>
  <c r="AU106" i="27"/>
  <c r="N106" i="27"/>
  <c r="Q106" i="27"/>
  <c r="S106" i="27"/>
  <c r="AL106" i="27"/>
  <c r="Y106" i="27"/>
  <c r="AO106" i="27"/>
  <c r="AN106" i="27"/>
  <c r="AA106" i="27"/>
  <c r="AD111" i="27"/>
  <c r="AU111" i="27"/>
  <c r="AC111" i="27"/>
  <c r="X111" i="27"/>
  <c r="AA111" i="27"/>
  <c r="AP111" i="27"/>
  <c r="P111" i="27"/>
  <c r="AI111" i="27"/>
  <c r="K111" i="27"/>
  <c r="AV111" i="27"/>
  <c r="AB111" i="27"/>
  <c r="AX111" i="27"/>
  <c r="L111" i="27"/>
  <c r="AY111" i="27"/>
  <c r="W111" i="27"/>
  <c r="N111" i="27"/>
  <c r="Y111" i="27"/>
  <c r="AL111" i="27"/>
  <c r="AR111" i="27"/>
  <c r="AE111" i="27"/>
  <c r="Z111" i="27"/>
  <c r="AO111" i="27"/>
  <c r="AG111" i="27"/>
  <c r="AW111" i="27"/>
  <c r="AM111" i="27"/>
  <c r="AQ111" i="27"/>
  <c r="O111" i="27"/>
  <c r="T111" i="27"/>
  <c r="M111" i="27"/>
  <c r="S111" i="27"/>
  <c r="AF111" i="27"/>
  <c r="J111" i="27"/>
  <c r="U111" i="27"/>
  <c r="AN111" i="27"/>
  <c r="AH111" i="27"/>
  <c r="AS111" i="27"/>
  <c r="AK111" i="27"/>
  <c r="R111" i="27"/>
  <c r="AJ111" i="27"/>
  <c r="Q111" i="27"/>
  <c r="AT111" i="27"/>
  <c r="V111" i="27"/>
  <c r="AF34" i="27"/>
  <c r="Z94" i="27"/>
  <c r="AA94" i="27"/>
  <c r="AD94" i="27"/>
  <c r="AI94" i="27"/>
  <c r="AN94" i="27"/>
  <c r="AC94" i="27"/>
  <c r="Y94" i="27"/>
  <c r="AG94" i="27"/>
  <c r="W94" i="27"/>
  <c r="AE94" i="27"/>
  <c r="S94" i="27"/>
  <c r="V94" i="27"/>
  <c r="AO94" i="27"/>
  <c r="AF94" i="27"/>
  <c r="AX94" i="27"/>
  <c r="R94" i="27"/>
  <c r="K94" i="27"/>
  <c r="N94" i="27"/>
  <c r="AT94" i="27"/>
  <c r="X94" i="27"/>
  <c r="AV94" i="27"/>
  <c r="AB94" i="27"/>
  <c r="Q94" i="27"/>
  <c r="AS94" i="27"/>
  <c r="AR94" i="27"/>
  <c r="AQ94" i="27"/>
  <c r="AU94" i="27"/>
  <c r="AW94" i="27"/>
  <c r="AP94" i="27"/>
  <c r="J94" i="27"/>
  <c r="AY94" i="27"/>
  <c r="AL94" i="27"/>
  <c r="AK94" i="27"/>
  <c r="O94" i="27"/>
  <c r="P94" i="27"/>
  <c r="L94" i="27"/>
  <c r="AJ94" i="27"/>
  <c r="M94" i="27"/>
  <c r="AM94" i="27"/>
  <c r="AH94" i="27"/>
  <c r="U94" i="27"/>
  <c r="T94" i="27"/>
  <c r="BD74" i="27"/>
  <c r="BC74" i="27"/>
  <c r="AZ74" i="27"/>
  <c r="I74" i="27"/>
  <c r="BA74" i="27"/>
  <c r="BB74" i="27"/>
  <c r="I71" i="27"/>
  <c r="BA71" i="27"/>
  <c r="BB71" i="27"/>
  <c r="BD71" i="27"/>
  <c r="BC71" i="27"/>
  <c r="AZ71" i="27"/>
  <c r="BC89" i="27"/>
  <c r="I89" i="27"/>
  <c r="AZ89" i="27"/>
  <c r="BD89" i="27"/>
  <c r="BA89" i="27"/>
  <c r="BB89" i="27"/>
  <c r="I84" i="27"/>
  <c r="BA84" i="27"/>
  <c r="BD84" i="27"/>
  <c r="BC84" i="27"/>
  <c r="BB84" i="27"/>
  <c r="AZ84" i="27"/>
  <c r="I80" i="27"/>
  <c r="BB80" i="27"/>
  <c r="AZ80" i="27"/>
  <c r="BC80" i="27"/>
  <c r="BD80" i="27"/>
  <c r="BA80" i="27"/>
  <c r="BA70" i="27"/>
  <c r="BD70" i="27"/>
  <c r="BB70" i="27"/>
  <c r="BC70" i="27"/>
  <c r="AZ70" i="27"/>
  <c r="I70" i="27"/>
  <c r="AZ86" i="27"/>
  <c r="I86" i="27"/>
  <c r="BC86" i="27"/>
  <c r="BD86" i="27"/>
  <c r="BB86" i="27"/>
  <c r="BA86" i="27"/>
  <c r="BD79" i="27"/>
  <c r="I79" i="27"/>
  <c r="BB79" i="27"/>
  <c r="BA79" i="27"/>
  <c r="BC79" i="27"/>
  <c r="AZ79" i="27"/>
  <c r="M34" i="27"/>
  <c r="E34" i="27"/>
  <c r="AV34" i="27"/>
  <c r="Y34" i="27"/>
  <c r="AY34" i="27"/>
  <c r="AU34" i="27"/>
  <c r="Z35" i="27"/>
  <c r="Z132" i="27" s="1"/>
  <c r="AT35" i="27"/>
  <c r="AT132" i="27" s="1"/>
  <c r="AM35" i="27"/>
  <c r="AM132" i="27" s="1"/>
  <c r="AH35" i="27"/>
  <c r="AH132" i="27" s="1"/>
  <c r="Q34" i="27"/>
  <c r="S34" i="27"/>
  <c r="AW35" i="27"/>
  <c r="AW132" i="27" s="1"/>
  <c r="AG8" i="27"/>
  <c r="AR8" i="27"/>
  <c r="AK8" i="27"/>
  <c r="X8" i="27"/>
  <c r="BC8" i="27"/>
  <c r="V8" i="27"/>
  <c r="P8" i="27"/>
  <c r="AX8" i="27"/>
  <c r="AQ8" i="27"/>
  <c r="BA8" i="27"/>
  <c r="AG26" i="105" s="1"/>
  <c r="Q28" i="80" s="1"/>
  <c r="AM8" i="27"/>
  <c r="Y8" i="27"/>
  <c r="AV8" i="27"/>
  <c r="AE8" i="27"/>
  <c r="AI8" i="27"/>
  <c r="AW8" i="27"/>
  <c r="L8" i="27"/>
  <c r="BE8" i="27"/>
  <c r="K8" i="27"/>
  <c r="AJ8" i="27"/>
  <c r="AO8" i="27"/>
  <c r="U8" i="27"/>
  <c r="S8" i="27"/>
  <c r="AT8" i="27"/>
  <c r="I8" i="27"/>
  <c r="W26" i="105" s="1"/>
  <c r="AN8" i="27"/>
  <c r="J8" i="27"/>
  <c r="BD8" i="27"/>
  <c r="M8" i="27"/>
  <c r="AB8" i="27"/>
  <c r="W8" i="27"/>
  <c r="O8" i="27"/>
  <c r="Q8" i="27"/>
  <c r="AU8" i="27"/>
  <c r="AH8" i="27"/>
  <c r="R8" i="27"/>
  <c r="T8" i="27"/>
  <c r="AF8" i="27"/>
  <c r="AL8" i="27"/>
  <c r="Z8" i="27"/>
  <c r="AS8" i="27"/>
  <c r="AP8" i="27"/>
  <c r="AC8" i="27"/>
  <c r="AZ8" i="27"/>
  <c r="AL26" i="105" s="1"/>
  <c r="AO26" i="105" s="1"/>
  <c r="AY8" i="27"/>
  <c r="AD8" i="27"/>
  <c r="N8" i="27"/>
  <c r="AA8" i="27"/>
  <c r="BB8" i="27"/>
  <c r="AF23" i="27"/>
  <c r="T23" i="27"/>
  <c r="U23" i="27"/>
  <c r="AV23" i="27"/>
  <c r="AM23" i="27"/>
  <c r="AA23" i="27"/>
  <c r="R23" i="27"/>
  <c r="AD23" i="27"/>
  <c r="P23" i="27"/>
  <c r="AI23" i="27"/>
  <c r="AZ23" i="27"/>
  <c r="AC23" i="27"/>
  <c r="L23" i="27"/>
  <c r="AT23" i="27"/>
  <c r="W23" i="27"/>
  <c r="I23" i="27"/>
  <c r="AJ23" i="27"/>
  <c r="AR23" i="27"/>
  <c r="AS23" i="27"/>
  <c r="AE23" i="27"/>
  <c r="X23" i="27"/>
  <c r="BE23" i="27"/>
  <c r="AY23" i="27"/>
  <c r="J23" i="27"/>
  <c r="AN23" i="27"/>
  <c r="K23" i="27"/>
  <c r="AQ23" i="27"/>
  <c r="BD23" i="27"/>
  <c r="AG23" i="27"/>
  <c r="Y23" i="27"/>
  <c r="M23" i="27"/>
  <c r="Q23" i="27"/>
  <c r="AP23" i="27"/>
  <c r="V23" i="27"/>
  <c r="BA23" i="27"/>
  <c r="AO23" i="27"/>
  <c r="AL23" i="27"/>
  <c r="O23" i="27"/>
  <c r="AU23" i="27"/>
  <c r="AW23" i="27"/>
  <c r="AB23" i="27"/>
  <c r="BB23" i="27"/>
  <c r="AX23" i="27"/>
  <c r="N23" i="27"/>
  <c r="S23" i="27"/>
  <c r="AK23" i="27"/>
  <c r="BC23" i="27"/>
  <c r="AH23" i="27"/>
  <c r="Z23" i="27"/>
  <c r="AM14" i="27"/>
  <c r="U14" i="27"/>
  <c r="Y14" i="27"/>
  <c r="AR14" i="27"/>
  <c r="AN14" i="27"/>
  <c r="Q14" i="27"/>
  <c r="R14" i="27"/>
  <c r="L14" i="27"/>
  <c r="AB14" i="27"/>
  <c r="AP14" i="27"/>
  <c r="AA14" i="27"/>
  <c r="V14" i="27"/>
  <c r="AG14" i="27"/>
  <c r="I14" i="27"/>
  <c r="W13" i="105" s="1"/>
  <c r="BD14" i="27"/>
  <c r="AZ14" i="27"/>
  <c r="T14" i="27"/>
  <c r="M14" i="27"/>
  <c r="AX14" i="27"/>
  <c r="K14" i="27"/>
  <c r="AY14" i="27"/>
  <c r="AW14" i="27"/>
  <c r="AD14" i="27"/>
  <c r="BC14" i="27"/>
  <c r="W14" i="27"/>
  <c r="AO14" i="27"/>
  <c r="AJ14" i="27"/>
  <c r="AL14" i="27"/>
  <c r="AI14" i="27"/>
  <c r="AV14" i="27"/>
  <c r="BB14" i="27"/>
  <c r="O14" i="27"/>
  <c r="AH14" i="27"/>
  <c r="AS14" i="27"/>
  <c r="BE14" i="27"/>
  <c r="Z14" i="27"/>
  <c r="AQ14" i="27"/>
  <c r="AK14" i="27"/>
  <c r="BA14" i="27"/>
  <c r="AG13" i="105" s="1"/>
  <c r="Q15" i="80" s="1"/>
  <c r="AF14" i="27"/>
  <c r="X14" i="27"/>
  <c r="P14" i="27"/>
  <c r="J14" i="27"/>
  <c r="AT14" i="27"/>
  <c r="AC14" i="27"/>
  <c r="N14" i="27"/>
  <c r="S14" i="27"/>
  <c r="AE14" i="27"/>
  <c r="AU14" i="27"/>
  <c r="J18" i="27"/>
  <c r="AD18" i="27"/>
  <c r="BC18" i="27"/>
  <c r="AU18" i="27"/>
  <c r="Y18" i="27"/>
  <c r="AK18" i="27"/>
  <c r="AY18" i="27"/>
  <c r="AE18" i="27"/>
  <c r="AT18" i="27"/>
  <c r="AQ18" i="27"/>
  <c r="V18" i="27"/>
  <c r="AP18" i="27"/>
  <c r="AW18" i="27"/>
  <c r="T18" i="27"/>
  <c r="BB18" i="27"/>
  <c r="I18" i="27"/>
  <c r="W18" i="105" s="1"/>
  <c r="N18" i="27"/>
  <c r="AH18" i="27"/>
  <c r="BA18" i="27"/>
  <c r="AG18" i="105" s="1"/>
  <c r="Q20" i="80" s="1"/>
  <c r="AG18" i="27"/>
  <c r="AA18" i="27"/>
  <c r="Q18" i="27"/>
  <c r="BE18" i="27"/>
  <c r="AV18" i="27"/>
  <c r="AB18" i="27"/>
  <c r="X18" i="27"/>
  <c r="P18" i="27"/>
  <c r="AC18" i="27"/>
  <c r="W18" i="27"/>
  <c r="AR18" i="27"/>
  <c r="U18" i="27"/>
  <c r="S18" i="27"/>
  <c r="BD18" i="27"/>
  <c r="AX18" i="27"/>
  <c r="AI18" i="27"/>
  <c r="Z18" i="27"/>
  <c r="O18" i="27"/>
  <c r="AN18" i="27"/>
  <c r="R18" i="27"/>
  <c r="K18" i="27"/>
  <c r="AZ18" i="27"/>
  <c r="AL18" i="105" s="1"/>
  <c r="AO18" i="105" s="1"/>
  <c r="AL18" i="27"/>
  <c r="AF18" i="27"/>
  <c r="M18" i="27"/>
  <c r="AO18" i="27"/>
  <c r="L18" i="27"/>
  <c r="AM18" i="27"/>
  <c r="AJ18" i="27"/>
  <c r="AS18" i="27"/>
  <c r="AL13" i="27"/>
  <c r="BC13" i="27"/>
  <c r="Z13" i="27"/>
  <c r="AW13" i="27"/>
  <c r="AX13" i="27"/>
  <c r="AV13" i="27"/>
  <c r="T13" i="27"/>
  <c r="Q13" i="27"/>
  <c r="R13" i="27"/>
  <c r="AR13" i="27"/>
  <c r="BD13" i="27"/>
  <c r="AD13" i="27"/>
  <c r="AG13" i="27"/>
  <c r="AU13" i="27"/>
  <c r="AF13" i="27"/>
  <c r="U13" i="27"/>
  <c r="W13" i="27"/>
  <c r="AA13" i="27"/>
  <c r="AI13" i="27"/>
  <c r="P13" i="27"/>
  <c r="AO13" i="27"/>
  <c r="BB13" i="27"/>
  <c r="AS13" i="27"/>
  <c r="L13" i="27"/>
  <c r="AT13" i="27"/>
  <c r="J13" i="27"/>
  <c r="AC13" i="27"/>
  <c r="AQ13" i="27"/>
  <c r="AJ13" i="27"/>
  <c r="AZ13" i="27"/>
  <c r="AL12" i="105" s="1"/>
  <c r="AO12" i="105" s="1"/>
  <c r="AE13" i="27"/>
  <c r="AP13" i="27"/>
  <c r="BA13" i="27"/>
  <c r="AG12" i="105" s="1"/>
  <c r="Q14" i="80" s="1"/>
  <c r="AK13" i="27"/>
  <c r="S13" i="27"/>
  <c r="AY13" i="27"/>
  <c r="M13" i="27"/>
  <c r="BE13" i="27"/>
  <c r="I13" i="27"/>
  <c r="W12" i="105" s="1"/>
  <c r="AM13" i="27"/>
  <c r="V13" i="27"/>
  <c r="Y13" i="27"/>
  <c r="N13" i="27"/>
  <c r="AB13" i="27"/>
  <c r="AN13" i="27"/>
  <c r="O13" i="27"/>
  <c r="X13" i="27"/>
  <c r="K13" i="27"/>
  <c r="AH13" i="27"/>
  <c r="M17" i="27"/>
  <c r="P17" i="27"/>
  <c r="U17" i="27"/>
  <c r="O17" i="27"/>
  <c r="AF17" i="27"/>
  <c r="AQ17" i="27"/>
  <c r="AO17" i="27"/>
  <c r="AP17" i="27"/>
  <c r="AZ17" i="27"/>
  <c r="AA17" i="27"/>
  <c r="AD17" i="27"/>
  <c r="BA17" i="27"/>
  <c r="AG17" i="105" s="1"/>
  <c r="Q19" i="80" s="1"/>
  <c r="AB17" i="27"/>
  <c r="AI17" i="27"/>
  <c r="BC17" i="27"/>
  <c r="AS17" i="27"/>
  <c r="AU17" i="27"/>
  <c r="W17" i="27"/>
  <c r="BD17" i="27"/>
  <c r="AR17" i="27"/>
  <c r="X17" i="27"/>
  <c r="Z17" i="27"/>
  <c r="AN17" i="27"/>
  <c r="AH17" i="27"/>
  <c r="AE17" i="27"/>
  <c r="AL17" i="27"/>
  <c r="AG17" i="27"/>
  <c r="S17" i="27"/>
  <c r="T17" i="27"/>
  <c r="AV17" i="27"/>
  <c r="BB17" i="27"/>
  <c r="AW17" i="27"/>
  <c r="AX17" i="27"/>
  <c r="L17" i="27"/>
  <c r="AY17" i="27"/>
  <c r="N17" i="27"/>
  <c r="AC17" i="27"/>
  <c r="AK17" i="27"/>
  <c r="AJ17" i="27"/>
  <c r="V17" i="27"/>
  <c r="Q17" i="27"/>
  <c r="BE17" i="27"/>
  <c r="Y17" i="27"/>
  <c r="I17" i="27"/>
  <c r="W17" i="105" s="1"/>
  <c r="AT17" i="27"/>
  <c r="J17" i="27"/>
  <c r="R17" i="27"/>
  <c r="K17" i="27"/>
  <c r="AM17" i="27"/>
  <c r="AF15" i="27"/>
  <c r="BC15" i="27"/>
  <c r="AT15" i="27"/>
  <c r="M15" i="27"/>
  <c r="R15" i="27"/>
  <c r="S15" i="27"/>
  <c r="AC15" i="27"/>
  <c r="N15" i="27"/>
  <c r="BB15" i="27"/>
  <c r="AD15" i="27"/>
  <c r="AJ15" i="27"/>
  <c r="BE15" i="27"/>
  <c r="AK15" i="27"/>
  <c r="I15" i="27"/>
  <c r="W23" i="105" s="1"/>
  <c r="AU15" i="27"/>
  <c r="AN15" i="27"/>
  <c r="AO15" i="27"/>
  <c r="AP15" i="27"/>
  <c r="Q15" i="27"/>
  <c r="T15" i="27"/>
  <c r="AW15" i="27"/>
  <c r="K15" i="27"/>
  <c r="AH15" i="27"/>
  <c r="AR15" i="27"/>
  <c r="AV15" i="27"/>
  <c r="U15" i="27"/>
  <c r="AZ15" i="27"/>
  <c r="W15" i="27"/>
  <c r="V15" i="27"/>
  <c r="Z15" i="27"/>
  <c r="J15" i="27"/>
  <c r="Y15" i="27"/>
  <c r="P15" i="27"/>
  <c r="AX15" i="27"/>
  <c r="L15" i="27"/>
  <c r="AB15" i="27"/>
  <c r="AI15" i="27"/>
  <c r="AA15" i="27"/>
  <c r="AS15" i="27"/>
  <c r="AY15" i="27"/>
  <c r="O15" i="27"/>
  <c r="AG15" i="27"/>
  <c r="AE15" i="27"/>
  <c r="AQ15" i="27"/>
  <c r="BD15" i="27"/>
  <c r="X15" i="27"/>
  <c r="BA15" i="27"/>
  <c r="AG23" i="105" s="1"/>
  <c r="Q25" i="80" s="1"/>
  <c r="AM15" i="27"/>
  <c r="AL15" i="27"/>
  <c r="BC20" i="27"/>
  <c r="AR20" i="27"/>
  <c r="AZ20" i="27"/>
  <c r="AL21" i="105" s="1"/>
  <c r="AO21" i="105" s="1"/>
  <c r="AY20" i="27"/>
  <c r="AL20" i="27"/>
  <c r="AV20" i="27"/>
  <c r="AA20" i="27"/>
  <c r="X20" i="27"/>
  <c r="BB20" i="27"/>
  <c r="O20" i="27"/>
  <c r="AP20" i="27"/>
  <c r="Y20" i="27"/>
  <c r="W20" i="27"/>
  <c r="AM20" i="27"/>
  <c r="AI20" i="27"/>
  <c r="V20" i="27"/>
  <c r="BD20" i="27"/>
  <c r="R20" i="27"/>
  <c r="T20" i="27"/>
  <c r="P20" i="27"/>
  <c r="AT20" i="27"/>
  <c r="AN20" i="27"/>
  <c r="BA20" i="27"/>
  <c r="AG21" i="105" s="1"/>
  <c r="Q23" i="80" s="1"/>
  <c r="J20" i="27"/>
  <c r="AC20" i="27"/>
  <c r="BE20" i="27"/>
  <c r="L20" i="27"/>
  <c r="AD20" i="27"/>
  <c r="AF20" i="27"/>
  <c r="M20" i="27"/>
  <c r="S20" i="27"/>
  <c r="Z20" i="27"/>
  <c r="AK20" i="27"/>
  <c r="Q20" i="27"/>
  <c r="AW20" i="27"/>
  <c r="AU20" i="27"/>
  <c r="AX20" i="27"/>
  <c r="U20" i="27"/>
  <c r="AE20" i="27"/>
  <c r="N20" i="27"/>
  <c r="AH20" i="27"/>
  <c r="AJ20" i="27"/>
  <c r="AS20" i="27"/>
  <c r="AQ20" i="27"/>
  <c r="AO20" i="27"/>
  <c r="AG20" i="27"/>
  <c r="K20" i="27"/>
  <c r="AB20" i="27"/>
  <c r="I20" i="27"/>
  <c r="W21" i="105" s="1"/>
  <c r="AH10" i="27"/>
  <c r="AH128" i="27" s="1"/>
  <c r="BD10" i="27"/>
  <c r="BD128" i="27" s="1"/>
  <c r="AX10" i="27"/>
  <c r="AX128" i="27" s="1"/>
  <c r="N10" i="27"/>
  <c r="N128" i="27" s="1"/>
  <c r="AA10" i="27"/>
  <c r="AA128" i="27" s="1"/>
  <c r="AJ10" i="27"/>
  <c r="AJ128" i="27" s="1"/>
  <c r="AY10" i="27"/>
  <c r="AY128" i="27" s="1"/>
  <c r="AZ10" i="27"/>
  <c r="T10" i="27"/>
  <c r="T128" i="27" s="1"/>
  <c r="AI10" i="27"/>
  <c r="AI128" i="27" s="1"/>
  <c r="BC10" i="27"/>
  <c r="BC128" i="27" s="1"/>
  <c r="AB10" i="27"/>
  <c r="AB128" i="27" s="1"/>
  <c r="V10" i="27"/>
  <c r="V128" i="27" s="1"/>
  <c r="AO10" i="27"/>
  <c r="AO128" i="27" s="1"/>
  <c r="AR10" i="27"/>
  <c r="AR128" i="27" s="1"/>
  <c r="J10" i="27"/>
  <c r="W10" i="27"/>
  <c r="W128" i="27" s="1"/>
  <c r="U10" i="27"/>
  <c r="U128" i="27" s="1"/>
  <c r="AC10" i="27"/>
  <c r="AC128" i="27" s="1"/>
  <c r="AL10" i="27"/>
  <c r="AL128" i="27" s="1"/>
  <c r="AT10" i="27"/>
  <c r="AT128" i="27" s="1"/>
  <c r="AK10" i="27"/>
  <c r="AK128" i="27" s="1"/>
  <c r="K10" i="27"/>
  <c r="K128" i="27" s="1"/>
  <c r="AU10" i="27"/>
  <c r="AU128" i="27" s="1"/>
  <c r="AM10" i="27"/>
  <c r="AM128" i="27" s="1"/>
  <c r="X10" i="27"/>
  <c r="X128" i="27" s="1"/>
  <c r="BB10" i="27"/>
  <c r="BB128" i="27" s="1"/>
  <c r="M10" i="27"/>
  <c r="M128" i="27" s="1"/>
  <c r="AV10" i="27"/>
  <c r="AV128" i="27" s="1"/>
  <c r="AF10" i="27"/>
  <c r="AF128" i="27" s="1"/>
  <c r="I10" i="27"/>
  <c r="I128" i="27" s="1"/>
  <c r="AE10" i="27"/>
  <c r="AE128" i="27" s="1"/>
  <c r="S10" i="27"/>
  <c r="S128" i="27" s="1"/>
  <c r="AP10" i="27"/>
  <c r="AP128" i="27" s="1"/>
  <c r="P10" i="27"/>
  <c r="P128" i="27" s="1"/>
  <c r="L10" i="27"/>
  <c r="L128" i="27" s="1"/>
  <c r="AQ10" i="27"/>
  <c r="AQ128" i="27" s="1"/>
  <c r="O10" i="27"/>
  <c r="O128" i="27" s="1"/>
  <c r="AN10" i="27"/>
  <c r="AN128" i="27" s="1"/>
  <c r="BE10" i="27"/>
  <c r="BE128" i="27" s="1"/>
  <c r="AD10" i="27"/>
  <c r="AD128" i="27" s="1"/>
  <c r="Z10" i="27"/>
  <c r="Z128" i="27" s="1"/>
  <c r="Q10" i="27"/>
  <c r="Q128" i="27" s="1"/>
  <c r="Y10" i="27"/>
  <c r="Y128" i="27" s="1"/>
  <c r="AS10" i="27"/>
  <c r="AS128" i="27" s="1"/>
  <c r="AG10" i="27"/>
  <c r="AG128" i="27" s="1"/>
  <c r="R10" i="27"/>
  <c r="R128" i="27" s="1"/>
  <c r="AW10" i="27"/>
  <c r="AW128" i="27" s="1"/>
  <c r="BA10" i="27"/>
  <c r="R11" i="27"/>
  <c r="AG11" i="27"/>
  <c r="Y11" i="27"/>
  <c r="AT11" i="27"/>
  <c r="AD11" i="27"/>
  <c r="U11" i="27"/>
  <c r="V11" i="27"/>
  <c r="O11" i="27"/>
  <c r="S11" i="27"/>
  <c r="BD11" i="27"/>
  <c r="AH11" i="27"/>
  <c r="BB11" i="27"/>
  <c r="J11" i="27"/>
  <c r="BE11" i="27"/>
  <c r="L11" i="27"/>
  <c r="AO11" i="27"/>
  <c r="N11" i="27"/>
  <c r="AQ11" i="27"/>
  <c r="Q11" i="27"/>
  <c r="K11" i="27"/>
  <c r="AF11" i="27"/>
  <c r="AB11" i="27"/>
  <c r="AS11" i="27"/>
  <c r="AI11" i="27"/>
  <c r="AJ11" i="27"/>
  <c r="Z11" i="27"/>
  <c r="BC11" i="27"/>
  <c r="AC11" i="27"/>
  <c r="AU11" i="27"/>
  <c r="AL11" i="27"/>
  <c r="AW11" i="27"/>
  <c r="M11" i="27"/>
  <c r="P11" i="27"/>
  <c r="AM11" i="27"/>
  <c r="AP11" i="27"/>
  <c r="W11" i="27"/>
  <c r="AR11" i="27"/>
  <c r="AX11" i="27"/>
  <c r="AA11" i="27"/>
  <c r="BA11" i="27"/>
  <c r="AN11" i="27"/>
  <c r="AZ11" i="27"/>
  <c r="AL6" i="105" s="1"/>
  <c r="AO6" i="105" s="1"/>
  <c r="AE11" i="27"/>
  <c r="X11" i="27"/>
  <c r="T11" i="27"/>
  <c r="I11" i="27"/>
  <c r="AK11" i="27"/>
  <c r="AY11" i="27"/>
  <c r="AV11" i="27"/>
  <c r="V29" i="27"/>
  <c r="BD29" i="27"/>
  <c r="AV29" i="27"/>
  <c r="BB29" i="27"/>
  <c r="BC29" i="27"/>
  <c r="K29" i="27"/>
  <c r="AR29" i="27"/>
  <c r="AT29" i="27"/>
  <c r="R29" i="27"/>
  <c r="AD29" i="27"/>
  <c r="AM29" i="27"/>
  <c r="AB29" i="27"/>
  <c r="AW29" i="27"/>
  <c r="AG29" i="27"/>
  <c r="S29" i="27"/>
  <c r="W29" i="27"/>
  <c r="AH29" i="27"/>
  <c r="Q29" i="27"/>
  <c r="X29" i="27"/>
  <c r="BA29" i="27"/>
  <c r="AF29" i="27"/>
  <c r="M29" i="27"/>
  <c r="O29" i="27"/>
  <c r="AN29" i="27"/>
  <c r="AU29" i="27"/>
  <c r="AK29" i="27"/>
  <c r="J29" i="27"/>
  <c r="AE29" i="27"/>
  <c r="AA29" i="27"/>
  <c r="I29" i="27"/>
  <c r="Y29" i="27"/>
  <c r="AX29" i="27"/>
  <c r="AJ29" i="27"/>
  <c r="AQ29" i="27"/>
  <c r="AI29" i="27"/>
  <c r="L29" i="27"/>
  <c r="AL29" i="27"/>
  <c r="AS29" i="27"/>
  <c r="Z29" i="27"/>
  <c r="AY29" i="27"/>
  <c r="N29" i="27"/>
  <c r="BE29" i="27"/>
  <c r="AC29" i="27"/>
  <c r="P29" i="27"/>
  <c r="AO29" i="27"/>
  <c r="AP29" i="27"/>
  <c r="U29" i="27"/>
  <c r="T29" i="27"/>
  <c r="AZ29" i="27"/>
  <c r="AQ28" i="27"/>
  <c r="BD28" i="27"/>
  <c r="T28" i="27"/>
  <c r="AU28" i="27"/>
  <c r="M28" i="27"/>
  <c r="AE28" i="27"/>
  <c r="AC28" i="27"/>
  <c r="P28" i="27"/>
  <c r="AR28" i="27"/>
  <c r="AT28" i="27"/>
  <c r="U28" i="27"/>
  <c r="N28" i="27"/>
  <c r="AW28" i="27"/>
  <c r="AD28" i="27"/>
  <c r="AM28" i="27"/>
  <c r="AX28" i="27"/>
  <c r="Y28" i="27"/>
  <c r="AI28" i="27"/>
  <c r="AB28" i="27"/>
  <c r="I28" i="27"/>
  <c r="AP28" i="27"/>
  <c r="Z28" i="27"/>
  <c r="R28" i="27"/>
  <c r="AG28" i="27"/>
  <c r="W28" i="27"/>
  <c r="BE28" i="27"/>
  <c r="AL28" i="27"/>
  <c r="AK28" i="27"/>
  <c r="V28" i="27"/>
  <c r="AJ28" i="27"/>
  <c r="AY28" i="27"/>
  <c r="AO28" i="27"/>
  <c r="BA28" i="27"/>
  <c r="AN28" i="27"/>
  <c r="BC28" i="27"/>
  <c r="O28" i="27"/>
  <c r="AZ28" i="27"/>
  <c r="F43" i="36" s="1"/>
  <c r="AA28" i="27"/>
  <c r="Q28" i="27"/>
  <c r="K28" i="27"/>
  <c r="S28" i="27"/>
  <c r="BB28" i="27"/>
  <c r="AH28" i="27"/>
  <c r="AF28" i="27"/>
  <c r="J28" i="27"/>
  <c r="L28" i="27"/>
  <c r="AV28" i="27"/>
  <c r="X28" i="27"/>
  <c r="AS28" i="27"/>
  <c r="J9" i="27"/>
  <c r="BE9" i="27"/>
  <c r="AG9" i="27"/>
  <c r="AN9" i="27"/>
  <c r="BC9" i="27"/>
  <c r="Y9" i="27"/>
  <c r="AZ9" i="27"/>
  <c r="K9" i="27"/>
  <c r="L9" i="27"/>
  <c r="AH9" i="27"/>
  <c r="S9" i="27"/>
  <c r="T9" i="27"/>
  <c r="AE9" i="27"/>
  <c r="AU9" i="27"/>
  <c r="N9" i="27"/>
  <c r="AM9" i="27"/>
  <c r="AY9" i="27"/>
  <c r="X9" i="27"/>
  <c r="AO9" i="27"/>
  <c r="AS9" i="27"/>
  <c r="AR9" i="27"/>
  <c r="AP9" i="27"/>
  <c r="Z9" i="27"/>
  <c r="P9" i="27"/>
  <c r="V9" i="27"/>
  <c r="AB9" i="27"/>
  <c r="U9" i="27"/>
  <c r="AW9" i="27"/>
  <c r="AX9" i="27"/>
  <c r="AL9" i="27"/>
  <c r="AQ9" i="27"/>
  <c r="R9" i="27"/>
  <c r="I9" i="27"/>
  <c r="M9" i="27"/>
  <c r="AV9" i="27"/>
  <c r="BA9" i="27"/>
  <c r="AJ9" i="27"/>
  <c r="Q9" i="27"/>
  <c r="W9" i="27"/>
  <c r="BD9" i="27"/>
  <c r="AA9" i="27"/>
  <c r="AF9" i="27"/>
  <c r="AI9" i="27"/>
  <c r="AT9" i="27"/>
  <c r="AC9" i="27"/>
  <c r="AK9" i="27"/>
  <c r="BB9" i="27"/>
  <c r="O9" i="27"/>
  <c r="AD9" i="27"/>
  <c r="BA33" i="27"/>
  <c r="AG19" i="105" s="1"/>
  <c r="Q21" i="80" s="1"/>
  <c r="AG33" i="27"/>
  <c r="BB33" i="27"/>
  <c r="V25" i="27"/>
  <c r="AO25" i="27"/>
  <c r="Q25" i="27"/>
  <c r="U25" i="27"/>
  <c r="AY25" i="27"/>
  <c r="AP25" i="27"/>
  <c r="AA25" i="27"/>
  <c r="BA25" i="27"/>
  <c r="AH25" i="27"/>
  <c r="AV25" i="27"/>
  <c r="AN25" i="27"/>
  <c r="AF25" i="27"/>
  <c r="BE25" i="27"/>
  <c r="BC25" i="27"/>
  <c r="AX25" i="27"/>
  <c r="AD25" i="27"/>
  <c r="AQ25" i="27"/>
  <c r="AG25" i="27"/>
  <c r="I25" i="27"/>
  <c r="J25" i="27"/>
  <c r="M25" i="27"/>
  <c r="AZ25" i="27"/>
  <c r="F40" i="36" s="1"/>
  <c r="X25" i="27"/>
  <c r="BB25" i="27"/>
  <c r="S25" i="27"/>
  <c r="AK25" i="27"/>
  <c r="AM25" i="27"/>
  <c r="L25" i="27"/>
  <c r="T25" i="27"/>
  <c r="O25" i="27"/>
  <c r="AR25" i="27"/>
  <c r="AB25" i="27"/>
  <c r="AS25" i="27"/>
  <c r="AI25" i="27"/>
  <c r="AC25" i="27"/>
  <c r="Y25" i="27"/>
  <c r="K25" i="27"/>
  <c r="AW25" i="27"/>
  <c r="W25" i="27"/>
  <c r="AJ25" i="27"/>
  <c r="N25" i="27"/>
  <c r="AT25" i="27"/>
  <c r="P25" i="27"/>
  <c r="AE25" i="27"/>
  <c r="R25" i="27"/>
  <c r="AL25" i="27"/>
  <c r="BD25" i="27"/>
  <c r="Z25" i="27"/>
  <c r="AU25" i="27"/>
  <c r="X35" i="27"/>
  <c r="X132" i="27" s="1"/>
  <c r="BA35" i="27"/>
  <c r="BA132" i="27" s="1"/>
  <c r="AL35" i="27"/>
  <c r="AL132" i="27" s="1"/>
  <c r="K35" i="27"/>
  <c r="K132" i="27" s="1"/>
  <c r="P35" i="27"/>
  <c r="P132" i="27" s="1"/>
  <c r="L35" i="27"/>
  <c r="L132" i="27" s="1"/>
  <c r="R35" i="27"/>
  <c r="R132" i="27" s="1"/>
  <c r="AS35" i="27"/>
  <c r="AS132" i="27" s="1"/>
  <c r="AO35" i="27"/>
  <c r="AO132" i="27" s="1"/>
  <c r="AC35" i="27"/>
  <c r="AC132" i="27" s="1"/>
  <c r="AZ35" i="27"/>
  <c r="AZ132" i="27" s="1"/>
  <c r="U35" i="27"/>
  <c r="U132" i="27" s="1"/>
  <c r="AE35" i="27"/>
  <c r="AE132" i="27" s="1"/>
  <c r="AX35" i="27"/>
  <c r="AX132" i="27" s="1"/>
  <c r="AV35" i="27"/>
  <c r="AV132" i="27" s="1"/>
  <c r="Y35" i="27"/>
  <c r="Y132" i="27" s="1"/>
  <c r="AG35" i="27"/>
  <c r="AG132" i="27" s="1"/>
  <c r="AI35" i="27"/>
  <c r="AI132" i="27" s="1"/>
  <c r="AA35" i="27"/>
  <c r="AA132" i="27" s="1"/>
  <c r="M35" i="27"/>
  <c r="M132" i="27" s="1"/>
  <c r="BC35" i="27"/>
  <c r="BC132" i="27" s="1"/>
  <c r="AD35" i="27"/>
  <c r="AD132" i="27" s="1"/>
  <c r="AU35" i="27"/>
  <c r="AU132" i="27" s="1"/>
  <c r="W32" i="27"/>
  <c r="V32" i="27"/>
  <c r="AO32" i="27"/>
  <c r="BA32" i="27"/>
  <c r="AE32" i="27"/>
  <c r="AI32" i="27"/>
  <c r="AY32" i="27"/>
  <c r="AR32" i="27"/>
  <c r="K32" i="27"/>
  <c r="O32" i="27"/>
  <c r="AQ32" i="27"/>
  <c r="AJ32" i="27"/>
  <c r="AW32" i="27"/>
  <c r="S32" i="27"/>
  <c r="AK32" i="27"/>
  <c r="U32" i="27"/>
  <c r="AS32" i="27"/>
  <c r="AF32" i="27"/>
  <c r="AN32" i="27"/>
  <c r="AL32" i="27"/>
  <c r="AB32" i="27"/>
  <c r="AX32" i="27"/>
  <c r="N32" i="27"/>
  <c r="P32" i="27"/>
  <c r="L32" i="27"/>
  <c r="AH32" i="27"/>
  <c r="AV32" i="27"/>
  <c r="T32" i="27"/>
  <c r="AA32" i="27"/>
  <c r="M32" i="27"/>
  <c r="AU32" i="27"/>
  <c r="AG32" i="27"/>
  <c r="Z32" i="27"/>
  <c r="R32" i="27"/>
  <c r="AM32" i="27"/>
  <c r="BB32" i="27"/>
  <c r="AZ32" i="27"/>
  <c r="F47" i="36" s="1"/>
  <c r="Q32" i="27"/>
  <c r="AT32" i="27"/>
  <c r="Y32" i="27"/>
  <c r="AD32" i="27"/>
  <c r="I32" i="27"/>
  <c r="X32" i="27"/>
  <c r="AC32" i="27"/>
  <c r="BE32" i="27"/>
  <c r="BC32" i="27"/>
  <c r="AP32" i="27"/>
  <c r="BD32" i="27"/>
  <c r="J32" i="27"/>
  <c r="E33" i="27"/>
  <c r="Y33" i="27"/>
  <c r="AY33" i="27"/>
  <c r="P33" i="27"/>
  <c r="BD33" i="27"/>
  <c r="U33" i="27"/>
  <c r="AB33" i="27"/>
  <c r="AT33" i="27"/>
  <c r="AS33" i="27"/>
  <c r="AQ33" i="27"/>
  <c r="AP33" i="27"/>
  <c r="AL33" i="27"/>
  <c r="AZ33" i="27"/>
  <c r="AA33" i="27"/>
  <c r="BC34" i="27"/>
  <c r="BE34" i="27"/>
  <c r="O34" i="27"/>
  <c r="AG34" i="27"/>
  <c r="K34" i="27"/>
  <c r="AT34" i="27"/>
  <c r="AH34" i="27"/>
  <c r="BB34" i="27"/>
  <c r="AZ34" i="27"/>
  <c r="AA34" i="27"/>
  <c r="AO34" i="27"/>
  <c r="AP34" i="27"/>
  <c r="Z34" i="27"/>
  <c r="AL34" i="27"/>
  <c r="AK35" i="27"/>
  <c r="AK132" i="27" s="1"/>
  <c r="N35" i="27"/>
  <c r="N132" i="27" s="1"/>
  <c r="AY35" i="27"/>
  <c r="AY132" i="27" s="1"/>
  <c r="V35" i="27"/>
  <c r="V132" i="27" s="1"/>
  <c r="O35" i="27"/>
  <c r="O132" i="27" s="1"/>
  <c r="AQ35" i="27"/>
  <c r="AQ132" i="27" s="1"/>
  <c r="AU22" i="27"/>
  <c r="AN22" i="27"/>
  <c r="AB22" i="27"/>
  <c r="AF22" i="27"/>
  <c r="AE22" i="27"/>
  <c r="BC22" i="27"/>
  <c r="T22" i="27"/>
  <c r="Q22" i="27"/>
  <c r="AM22" i="27"/>
  <c r="L22" i="27"/>
  <c r="AG22" i="27"/>
  <c r="AW22" i="27"/>
  <c r="BE22" i="27"/>
  <c r="S22" i="27"/>
  <c r="AO22" i="27"/>
  <c r="P22" i="27"/>
  <c r="W22" i="27"/>
  <c r="AC22" i="27"/>
  <c r="AX22" i="27"/>
  <c r="O22" i="27"/>
  <c r="BB22" i="27"/>
  <c r="AD22" i="27"/>
  <c r="AA22" i="27"/>
  <c r="AP22" i="27"/>
  <c r="AK22" i="27"/>
  <c r="AZ22" i="27"/>
  <c r="F37" i="36" s="1"/>
  <c r="BA22" i="27"/>
  <c r="R22" i="27"/>
  <c r="AI22" i="27"/>
  <c r="Y22" i="27"/>
  <c r="K22" i="27"/>
  <c r="U22" i="27"/>
  <c r="X22" i="27"/>
  <c r="V22" i="27"/>
  <c r="N22" i="27"/>
  <c r="AJ22" i="27"/>
  <c r="J22" i="27"/>
  <c r="AS22" i="27"/>
  <c r="BD22" i="27"/>
  <c r="I22" i="27"/>
  <c r="AV22" i="27"/>
  <c r="AT22" i="27"/>
  <c r="AQ22" i="27"/>
  <c r="AH22" i="27"/>
  <c r="AL22" i="27"/>
  <c r="AR22" i="27"/>
  <c r="AY22" i="27"/>
  <c r="Z22" i="27"/>
  <c r="M22" i="27"/>
  <c r="V24" i="27"/>
  <c r="AU24" i="27"/>
  <c r="BA24" i="27"/>
  <c r="J24" i="27"/>
  <c r="S24" i="27"/>
  <c r="W24" i="27"/>
  <c r="AX24" i="27"/>
  <c r="AF24" i="27"/>
  <c r="AP24" i="27"/>
  <c r="BE24" i="27"/>
  <c r="Q24" i="27"/>
  <c r="K24" i="27"/>
  <c r="L24" i="27"/>
  <c r="AH24" i="27"/>
  <c r="AZ24" i="27"/>
  <c r="R24" i="27"/>
  <c r="AK24" i="27"/>
  <c r="U24" i="27"/>
  <c r="Z24" i="27"/>
  <c r="P24" i="27"/>
  <c r="O24" i="27"/>
  <c r="AD24" i="27"/>
  <c r="AY24" i="27"/>
  <c r="AT24" i="27"/>
  <c r="AM24" i="27"/>
  <c r="I24" i="27"/>
  <c r="BB24" i="27"/>
  <c r="T24" i="27"/>
  <c r="AL24" i="27"/>
  <c r="Y24" i="27"/>
  <c r="AI24" i="27"/>
  <c r="AO24" i="27"/>
  <c r="AG24" i="27"/>
  <c r="AB24" i="27"/>
  <c r="AJ24" i="27"/>
  <c r="AC24" i="27"/>
  <c r="AW24" i="27"/>
  <c r="AQ24" i="27"/>
  <c r="AE24" i="27"/>
  <c r="BD24" i="27"/>
  <c r="M24" i="27"/>
  <c r="AV24" i="27"/>
  <c r="N24" i="27"/>
  <c r="AN24" i="27"/>
  <c r="BC24" i="27"/>
  <c r="AA24" i="27"/>
  <c r="X24" i="27"/>
  <c r="AS24" i="27"/>
  <c r="AR24" i="27"/>
  <c r="Q27" i="27"/>
  <c r="AX27" i="27"/>
  <c r="AZ27" i="27"/>
  <c r="F42" i="36" s="1"/>
  <c r="Z27" i="27"/>
  <c r="AG27" i="27"/>
  <c r="AV27" i="27"/>
  <c r="T27" i="27"/>
  <c r="BE27" i="27"/>
  <c r="AQ27" i="27"/>
  <c r="R27" i="27"/>
  <c r="AP27" i="27"/>
  <c r="AM27" i="27"/>
  <c r="I27" i="27"/>
  <c r="AL27" i="27"/>
  <c r="O27" i="27"/>
  <c r="W27" i="27"/>
  <c r="AJ27" i="27"/>
  <c r="AD27" i="27"/>
  <c r="AI27" i="27"/>
  <c r="AW27" i="27"/>
  <c r="V27" i="27"/>
  <c r="AF27" i="27"/>
  <c r="AA27" i="27"/>
  <c r="Y27" i="27"/>
  <c r="AO27" i="27"/>
  <c r="AE27" i="27"/>
  <c r="AH27" i="27"/>
  <c r="L27" i="27"/>
  <c r="AN27" i="27"/>
  <c r="AY27" i="27"/>
  <c r="P27" i="27"/>
  <c r="AK27" i="27"/>
  <c r="AR27" i="27"/>
  <c r="N27" i="27"/>
  <c r="S27" i="27"/>
  <c r="M27" i="27"/>
  <c r="AS27" i="27"/>
  <c r="AU27" i="27"/>
  <c r="AB27" i="27"/>
  <c r="BA27" i="27"/>
  <c r="BB27" i="27"/>
  <c r="AC27" i="27"/>
  <c r="J27" i="27"/>
  <c r="BC27" i="27"/>
  <c r="K27" i="27"/>
  <c r="U27" i="27"/>
  <c r="AT27" i="27"/>
  <c r="X27" i="27"/>
  <c r="BD27" i="27"/>
  <c r="Q26" i="27"/>
  <c r="AE26" i="27"/>
  <c r="AZ26" i="27"/>
  <c r="F41" i="36" s="1"/>
  <c r="S26" i="27"/>
  <c r="AA26" i="27"/>
  <c r="AN26" i="27"/>
  <c r="Y26" i="27"/>
  <c r="AL26" i="27"/>
  <c r="R26" i="27"/>
  <c r="AG26" i="27"/>
  <c r="AM26" i="27"/>
  <c r="AT26" i="27"/>
  <c r="I26" i="27"/>
  <c r="V26" i="27"/>
  <c r="AQ26" i="27"/>
  <c r="P26" i="27"/>
  <c r="AU26" i="27"/>
  <c r="AD26" i="27"/>
  <c r="AR26" i="27"/>
  <c r="BD26" i="27"/>
  <c r="AC26" i="27"/>
  <c r="AX26" i="27"/>
  <c r="AB26" i="27"/>
  <c r="BB26" i="27"/>
  <c r="AJ26" i="27"/>
  <c r="AK26" i="27"/>
  <c r="BE26" i="27"/>
  <c r="O26" i="27"/>
  <c r="BC26" i="27"/>
  <c r="BA26" i="27"/>
  <c r="N26" i="27"/>
  <c r="AW26" i="27"/>
  <c r="L26" i="27"/>
  <c r="U26" i="27"/>
  <c r="Z26" i="27"/>
  <c r="AS26" i="27"/>
  <c r="T26" i="27"/>
  <c r="AI26" i="27"/>
  <c r="K26" i="27"/>
  <c r="AO26" i="27"/>
  <c r="AY26" i="27"/>
  <c r="W26" i="27"/>
  <c r="X26" i="27"/>
  <c r="AV26" i="27"/>
  <c r="AF26" i="27"/>
  <c r="J26" i="27"/>
  <c r="M26" i="27"/>
  <c r="AP26" i="27"/>
  <c r="AH26" i="27"/>
  <c r="AR12" i="27"/>
  <c r="AH12" i="27"/>
  <c r="W12" i="27"/>
  <c r="BE12" i="27"/>
  <c r="Q12" i="27"/>
  <c r="M12" i="27"/>
  <c r="AA12" i="27"/>
  <c r="BB12" i="27"/>
  <c r="K12" i="27"/>
  <c r="Z12" i="27"/>
  <c r="AO12" i="27"/>
  <c r="BA12" i="27"/>
  <c r="AG10" i="105" s="1"/>
  <c r="Q12" i="80" s="1"/>
  <c r="AN12" i="27"/>
  <c r="AQ12" i="27"/>
  <c r="AX12" i="27"/>
  <c r="AG12" i="27"/>
  <c r="AL12" i="27"/>
  <c r="BC12" i="27"/>
  <c r="U12" i="27"/>
  <c r="AB12" i="27"/>
  <c r="AU12" i="27"/>
  <c r="AW12" i="27"/>
  <c r="O12" i="27"/>
  <c r="L12" i="27"/>
  <c r="AF12" i="27"/>
  <c r="AE12" i="27"/>
  <c r="AC12" i="27"/>
  <c r="R12" i="27"/>
  <c r="N12" i="27"/>
  <c r="AJ12" i="27"/>
  <c r="AI12" i="27"/>
  <c r="AV12" i="27"/>
  <c r="AM12" i="27"/>
  <c r="P12" i="27"/>
  <c r="AT12" i="27"/>
  <c r="AD12" i="27"/>
  <c r="BD12" i="27"/>
  <c r="AZ12" i="27"/>
  <c r="Y12" i="27"/>
  <c r="T12" i="27"/>
  <c r="X12" i="27"/>
  <c r="AY12" i="27"/>
  <c r="V12" i="27"/>
  <c r="AK12" i="27"/>
  <c r="AS12" i="27"/>
  <c r="S12" i="27"/>
  <c r="I12" i="27"/>
  <c r="W10" i="105" s="1"/>
  <c r="AP12" i="27"/>
  <c r="M33" i="27"/>
  <c r="O33" i="27"/>
  <c r="V33" i="27"/>
  <c r="AF33" i="27"/>
  <c r="X33" i="27"/>
  <c r="AV33" i="27"/>
  <c r="E35" i="27"/>
  <c r="N28" i="37" s="1"/>
  <c r="F31" i="46" s="1"/>
  <c r="E32" i="27"/>
  <c r="AC33" i="27"/>
  <c r="R33" i="27"/>
  <c r="BC33" i="27"/>
  <c r="L33" i="27"/>
  <c r="Z33" i="27"/>
  <c r="Q33" i="27"/>
  <c r="AX33" i="27"/>
  <c r="N33" i="27"/>
  <c r="W33" i="27"/>
  <c r="AU33" i="27"/>
  <c r="AN33" i="27"/>
  <c r="AD33" i="27"/>
  <c r="AH33" i="27"/>
  <c r="AW33" i="27"/>
  <c r="T34" i="27"/>
  <c r="R34" i="27"/>
  <c r="V34" i="27"/>
  <c r="BD34" i="27"/>
  <c r="N34" i="27"/>
  <c r="X34" i="27"/>
  <c r="AM34" i="27"/>
  <c r="AC34" i="27"/>
  <c r="I34" i="27"/>
  <c r="W14" i="105" s="1"/>
  <c r="J35" i="27"/>
  <c r="AN35" i="27"/>
  <c r="AN132" i="27" s="1"/>
  <c r="AJ35" i="27"/>
  <c r="AJ132" i="27" s="1"/>
  <c r="W35" i="27"/>
  <c r="W132" i="27" s="1"/>
  <c r="T35" i="27"/>
  <c r="T132" i="27" s="1"/>
  <c r="AF35" i="27"/>
  <c r="AF132" i="27" s="1"/>
  <c r="BB35" i="27"/>
  <c r="BB132" i="27" s="1"/>
  <c r="AH19" i="27"/>
  <c r="BB19" i="27"/>
  <c r="X19" i="27"/>
  <c r="AO19" i="27"/>
  <c r="O19" i="27"/>
  <c r="M19" i="27"/>
  <c r="U19" i="27"/>
  <c r="AX19" i="27"/>
  <c r="AG19" i="27"/>
  <c r="AB19" i="27"/>
  <c r="AW19" i="27"/>
  <c r="K19" i="27"/>
  <c r="AL19" i="27"/>
  <c r="Y19" i="27"/>
  <c r="AV19" i="27"/>
  <c r="BA19" i="27"/>
  <c r="AG22" i="105" s="1"/>
  <c r="Q24" i="80" s="1"/>
  <c r="R19" i="27"/>
  <c r="AY19" i="27"/>
  <c r="P19" i="27"/>
  <c r="W19" i="27"/>
  <c r="AI19" i="27"/>
  <c r="I19" i="27"/>
  <c r="W22" i="105" s="1"/>
  <c r="S19" i="27"/>
  <c r="AT19" i="27"/>
  <c r="L19" i="27"/>
  <c r="AP19" i="27"/>
  <c r="AM19" i="27"/>
  <c r="AA19" i="27"/>
  <c r="AF19" i="27"/>
  <c r="T19" i="27"/>
  <c r="BE19" i="27"/>
  <c r="AZ19" i="27"/>
  <c r="J19" i="27"/>
  <c r="AE19" i="27"/>
  <c r="Z19" i="27"/>
  <c r="AS19" i="27"/>
  <c r="AJ19" i="27"/>
  <c r="Q19" i="27"/>
  <c r="N19" i="27"/>
  <c r="AR19" i="27"/>
  <c r="AC19" i="27"/>
  <c r="AN19" i="27"/>
  <c r="AQ19" i="27"/>
  <c r="V19" i="27"/>
  <c r="AU19" i="27"/>
  <c r="AD19" i="27"/>
  <c r="BC19" i="27"/>
  <c r="AK19" i="27"/>
  <c r="BD19" i="27"/>
  <c r="AU16" i="27"/>
  <c r="BE16" i="27"/>
  <c r="X16" i="27"/>
  <c r="Q16" i="27"/>
  <c r="AI16" i="27"/>
  <c r="AR16" i="27"/>
  <c r="U16" i="27"/>
  <c r="AA16" i="27"/>
  <c r="AH16" i="27"/>
  <c r="K16" i="27"/>
  <c r="I16" i="27"/>
  <c r="W15" i="105" s="1"/>
  <c r="AQ16" i="27"/>
  <c r="AS16" i="27"/>
  <c r="W16" i="27"/>
  <c r="T16" i="27"/>
  <c r="AL16" i="27"/>
  <c r="AP16" i="27"/>
  <c r="AF16" i="27"/>
  <c r="AX16" i="27"/>
  <c r="BA16" i="27"/>
  <c r="AG15" i="105" s="1"/>
  <c r="Q17" i="80" s="1"/>
  <c r="AY16" i="27"/>
  <c r="AZ16" i="27"/>
  <c r="S16" i="27"/>
  <c r="AC16" i="27"/>
  <c r="V16" i="27"/>
  <c r="P16" i="27"/>
  <c r="Z16" i="27"/>
  <c r="AN16" i="27"/>
  <c r="AD16" i="27"/>
  <c r="R16" i="27"/>
  <c r="AT16" i="27"/>
  <c r="AO16" i="27"/>
  <c r="AM16" i="27"/>
  <c r="AE16" i="27"/>
  <c r="J16" i="27"/>
  <c r="AJ16" i="27"/>
  <c r="AV16" i="27"/>
  <c r="O16" i="27"/>
  <c r="M16" i="27"/>
  <c r="BC16" i="27"/>
  <c r="BD16" i="27"/>
  <c r="N16" i="27"/>
  <c r="AK16" i="27"/>
  <c r="AG16" i="27"/>
  <c r="Y16" i="27"/>
  <c r="BB16" i="27"/>
  <c r="AB16" i="27"/>
  <c r="AW16" i="27"/>
  <c r="T33" i="27"/>
  <c r="AR33" i="27"/>
  <c r="W34" i="27"/>
  <c r="AQ34" i="27"/>
  <c r="AN34" i="27"/>
  <c r="J34" i="27"/>
  <c r="BA34" i="27"/>
  <c r="AG14" i="105" s="1"/>
  <c r="Q16" i="80" s="1"/>
  <c r="L34" i="27"/>
  <c r="AR34" i="27"/>
  <c r="AW34" i="27"/>
  <c r="S33" i="27"/>
  <c r="AO33" i="27"/>
  <c r="AE33" i="27"/>
  <c r="AK33" i="27"/>
  <c r="K33" i="27"/>
  <c r="I33" i="27"/>
  <c r="W19" i="105" s="1"/>
  <c r="AJ33" i="27"/>
  <c r="AI33" i="27"/>
  <c r="BE33" i="27"/>
  <c r="J33" i="27"/>
  <c r="AX34" i="27"/>
  <c r="AD34" i="27"/>
  <c r="AB34" i="27"/>
  <c r="AI34" i="27"/>
  <c r="U34" i="27"/>
  <c r="AK34" i="27"/>
  <c r="AJ34" i="27"/>
  <c r="AS34" i="27"/>
  <c r="P34" i="27"/>
  <c r="AE34" i="27"/>
  <c r="BD35" i="27"/>
  <c r="BD132" i="27" s="1"/>
  <c r="AR35" i="27"/>
  <c r="AR132" i="27" s="1"/>
  <c r="I35" i="27"/>
  <c r="AB35" i="27"/>
  <c r="AB132" i="27" s="1"/>
  <c r="S35" i="27"/>
  <c r="S132" i="27" s="1"/>
  <c r="BE35" i="27"/>
  <c r="BE132" i="27" s="1"/>
  <c r="Q35" i="27"/>
  <c r="Q132" i="27" s="1"/>
  <c r="AP35" i="27"/>
  <c r="AP132" i="27" s="1"/>
  <c r="AR7" i="105" l="1"/>
  <c r="AE7" i="105"/>
  <c r="N9" i="80" s="1"/>
  <c r="U9" i="80" s="1"/>
  <c r="AP7" i="105" s="1"/>
  <c r="AJ15" i="105"/>
  <c r="S17" i="80" s="1"/>
  <c r="AJ19" i="105"/>
  <c r="S21" i="80" s="1"/>
  <c r="AJ21" i="105"/>
  <c r="S23" i="80" s="1"/>
  <c r="AJ18" i="105"/>
  <c r="AJ26" i="105"/>
  <c r="S28" i="80" s="1"/>
  <c r="AJ23" i="105"/>
  <c r="S25" i="80" s="1"/>
  <c r="AJ17" i="105"/>
  <c r="S19" i="80" s="1"/>
  <c r="AJ14" i="105"/>
  <c r="S16" i="80" s="1"/>
  <c r="AJ22" i="105"/>
  <c r="S24" i="80" s="1"/>
  <c r="AJ12" i="105"/>
  <c r="S14" i="80" s="1"/>
  <c r="AJ13" i="105"/>
  <c r="S15" i="80" s="1"/>
  <c r="AJ10" i="105"/>
  <c r="S12" i="80" s="1"/>
  <c r="BJ32" i="27"/>
  <c r="BJ12" i="27"/>
  <c r="AB10" i="105" s="1"/>
  <c r="L12" i="80" s="1"/>
  <c r="BJ29" i="27"/>
  <c r="BJ23" i="27"/>
  <c r="BJ33" i="27"/>
  <c r="AB19" i="105" s="1"/>
  <c r="L21" i="80" s="1"/>
  <c r="BJ19" i="27"/>
  <c r="AB22" i="105" s="1"/>
  <c r="L24" i="80" s="1"/>
  <c r="BJ11" i="27"/>
  <c r="AB6" i="105" s="1"/>
  <c r="L8" i="80" s="1"/>
  <c r="BJ13" i="27"/>
  <c r="AB12" i="105" s="1"/>
  <c r="L14" i="80" s="1"/>
  <c r="BJ9" i="27"/>
  <c r="BJ15" i="27"/>
  <c r="AB23" i="105" s="1"/>
  <c r="L25" i="80" s="1"/>
  <c r="BJ34" i="27"/>
  <c r="AB14" i="105" s="1"/>
  <c r="L16" i="80" s="1"/>
  <c r="BJ26" i="27"/>
  <c r="BJ27" i="27"/>
  <c r="BJ24" i="27"/>
  <c r="BJ22" i="27"/>
  <c r="BJ25" i="27"/>
  <c r="BJ28" i="27"/>
  <c r="J128" i="27"/>
  <c r="H31" i="37" s="1"/>
  <c r="R31" i="37" s="1"/>
  <c r="BJ10" i="27"/>
  <c r="BJ18" i="27"/>
  <c r="AB18" i="105" s="1"/>
  <c r="L20" i="80" s="1"/>
  <c r="BJ16" i="27"/>
  <c r="AB15" i="105" s="1"/>
  <c r="L17" i="80" s="1"/>
  <c r="BJ14" i="27"/>
  <c r="AB13" i="105" s="1"/>
  <c r="L15" i="80" s="1"/>
  <c r="J132" i="27"/>
  <c r="D31" i="37" s="1"/>
  <c r="E34" i="46" s="1"/>
  <c r="BJ35" i="27"/>
  <c r="BJ20" i="27"/>
  <c r="AB21" i="105" s="1"/>
  <c r="L23" i="80" s="1"/>
  <c r="BJ17" i="27"/>
  <c r="AB17" i="105" s="1"/>
  <c r="L19" i="80" s="1"/>
  <c r="BJ8" i="27"/>
  <c r="AB26" i="105" s="1"/>
  <c r="L28" i="80" s="1"/>
  <c r="S20" i="80"/>
  <c r="BA128" i="27"/>
  <c r="H41" i="37" s="1"/>
  <c r="R41" i="37" s="1"/>
  <c r="AZ128" i="27"/>
  <c r="H40" i="37" s="1"/>
  <c r="R40" i="37" s="1"/>
  <c r="F34" i="36"/>
  <c r="AL22" i="105"/>
  <c r="AO22" i="105" s="1"/>
  <c r="F27" i="36"/>
  <c r="AL10" i="105"/>
  <c r="F30" i="36"/>
  <c r="AL23" i="105"/>
  <c r="AO23" i="105" s="1"/>
  <c r="F31" i="36"/>
  <c r="AL15" i="105"/>
  <c r="AO15" i="105" s="1"/>
  <c r="F49" i="36"/>
  <c r="AL14" i="105"/>
  <c r="AO14" i="105" s="1"/>
  <c r="F48" i="36"/>
  <c r="AL19" i="105"/>
  <c r="AO19" i="105" s="1"/>
  <c r="F32" i="36"/>
  <c r="AL17" i="105"/>
  <c r="AO17" i="105" s="1"/>
  <c r="F29" i="36"/>
  <c r="AL13" i="105"/>
  <c r="AG6" i="105"/>
  <c r="Q8" i="80" s="1"/>
  <c r="W6" i="105"/>
  <c r="Z17" i="105"/>
  <c r="Z26" i="105"/>
  <c r="Z15" i="105"/>
  <c r="Z21" i="105"/>
  <c r="Z23" i="105"/>
  <c r="Z13" i="105"/>
  <c r="Z22" i="105"/>
  <c r="Z12" i="105"/>
  <c r="Z18" i="105"/>
  <c r="Z7" i="105"/>
  <c r="O7" i="105"/>
  <c r="Z19" i="105"/>
  <c r="Z14" i="105"/>
  <c r="Z10" i="105"/>
  <c r="D36" i="37"/>
  <c r="E39" i="46" s="1"/>
  <c r="D41" i="37"/>
  <c r="E44" i="46" s="1"/>
  <c r="D42" i="37"/>
  <c r="E30" i="46" s="1"/>
  <c r="D33" i="37"/>
  <c r="E36" i="46" s="1"/>
  <c r="D38" i="37"/>
  <c r="E41" i="46" s="1"/>
  <c r="D37" i="37"/>
  <c r="E40" i="46" s="1"/>
  <c r="D32" i="37"/>
  <c r="E35" i="46" s="1"/>
  <c r="D34" i="37"/>
  <c r="E37" i="46" s="1"/>
  <c r="D39" i="37"/>
  <c r="E42" i="46" s="1"/>
  <c r="D40" i="37"/>
  <c r="E43" i="46" s="1"/>
  <c r="D35" i="37"/>
  <c r="E38" i="46" s="1"/>
  <c r="H29" i="37"/>
  <c r="R29" i="37" s="1"/>
  <c r="H35" i="37"/>
  <c r="R35" i="37" s="1"/>
  <c r="H42" i="37"/>
  <c r="H38" i="37"/>
  <c r="R38" i="37" s="1"/>
  <c r="H39" i="37"/>
  <c r="R39" i="37" s="1"/>
  <c r="H37" i="37"/>
  <c r="R37" i="37" s="1"/>
  <c r="H36" i="37"/>
  <c r="R36" i="37" s="1"/>
  <c r="H33" i="37"/>
  <c r="R33" i="37" s="1"/>
  <c r="H32" i="37"/>
  <c r="R32" i="37" s="1"/>
  <c r="H34" i="37"/>
  <c r="R34" i="37" s="1"/>
  <c r="H30" i="37"/>
  <c r="R30" i="37" s="1"/>
  <c r="D30" i="37"/>
  <c r="E33" i="46" s="1"/>
  <c r="BD81" i="27"/>
  <c r="BH66" i="27"/>
  <c r="BG70" i="27"/>
  <c r="BG74" i="27"/>
  <c r="BG69" i="27"/>
  <c r="BG83" i="27"/>
  <c r="BG78" i="27"/>
  <c r="BG82" i="27"/>
  <c r="BG87" i="27"/>
  <c r="BG73" i="27"/>
  <c r="BG108" i="27"/>
  <c r="BG92" i="27"/>
  <c r="BG103" i="27"/>
  <c r="BG80" i="27"/>
  <c r="BG72" i="27"/>
  <c r="BG109" i="27"/>
  <c r="BG110" i="27"/>
  <c r="BG93" i="27"/>
  <c r="BG118" i="27"/>
  <c r="BG113" i="27"/>
  <c r="BG107" i="27"/>
  <c r="BG117" i="27"/>
  <c r="BG94" i="27"/>
  <c r="BG84" i="27"/>
  <c r="BG71" i="27"/>
  <c r="BG111" i="27"/>
  <c r="BG95" i="27"/>
  <c r="BG85" i="27"/>
  <c r="BG114" i="27"/>
  <c r="BG115" i="27"/>
  <c r="BG75" i="27"/>
  <c r="BG68" i="27"/>
  <c r="BG79" i="27"/>
  <c r="BG112" i="27"/>
  <c r="BG116" i="27"/>
  <c r="BG86" i="27"/>
  <c r="BG89" i="27"/>
  <c r="BG106" i="27"/>
  <c r="BG119" i="27"/>
  <c r="BG76" i="27"/>
  <c r="BG88" i="27"/>
  <c r="BG77" i="27"/>
  <c r="BG104" i="27"/>
  <c r="BG29" i="27"/>
  <c r="BH29" i="27" s="1"/>
  <c r="BG23" i="27"/>
  <c r="BH23" i="27" s="1"/>
  <c r="I132" i="27"/>
  <c r="BG35" i="27"/>
  <c r="BH35" i="27" s="1"/>
  <c r="BG26" i="27"/>
  <c r="BH26" i="27" s="1"/>
  <c r="BG22" i="27"/>
  <c r="BH22" i="27" s="1"/>
  <c r="BG25" i="27"/>
  <c r="BH25" i="27" s="1"/>
  <c r="BG28" i="27"/>
  <c r="BH28" i="27" s="1"/>
  <c r="BG33" i="27"/>
  <c r="BH33" i="27" s="1"/>
  <c r="BG34" i="27"/>
  <c r="BH34" i="27" s="1"/>
  <c r="BG27" i="27"/>
  <c r="BH27" i="27" s="1"/>
  <c r="BG24" i="27"/>
  <c r="BH24" i="27" s="1"/>
  <c r="BG32" i="27"/>
  <c r="BH32" i="27" s="1"/>
  <c r="BG20" i="27"/>
  <c r="BH20" i="27" s="1"/>
  <c r="BG16" i="27"/>
  <c r="BH16" i="27" s="1"/>
  <c r="BG9" i="27"/>
  <c r="BH9" i="27" s="1"/>
  <c r="BG17" i="27"/>
  <c r="BH17" i="27" s="1"/>
  <c r="BG8" i="27"/>
  <c r="BH8" i="27" s="1"/>
  <c r="BG14" i="27"/>
  <c r="BH14" i="27" s="1"/>
  <c r="BG15" i="27"/>
  <c r="BH15" i="27" s="1"/>
  <c r="BG19" i="27"/>
  <c r="BH19" i="27" s="1"/>
  <c r="BG11" i="27"/>
  <c r="BH11" i="27" s="1"/>
  <c r="BG10" i="27"/>
  <c r="BH10" i="27" s="1"/>
  <c r="BG13" i="27"/>
  <c r="BH13" i="27" s="1"/>
  <c r="BG18" i="27"/>
  <c r="BH18" i="27" s="1"/>
  <c r="BG12" i="27"/>
  <c r="BH12" i="27" s="1"/>
  <c r="AW21" i="27"/>
  <c r="AW133" i="27" s="1"/>
  <c r="BE21" i="27"/>
  <c r="BE133" i="27" s="1"/>
  <c r="AX21" i="27"/>
  <c r="AX133" i="27" s="1"/>
  <c r="L21" i="27"/>
  <c r="L133" i="27" s="1"/>
  <c r="T21" i="27"/>
  <c r="T133" i="27" s="1"/>
  <c r="BC81" i="27"/>
  <c r="K21" i="27"/>
  <c r="K133" i="27" s="1"/>
  <c r="BC21" i="27"/>
  <c r="BC133" i="27" s="1"/>
  <c r="U21" i="27"/>
  <c r="U133" i="27" s="1"/>
  <c r="V21" i="27"/>
  <c r="V133" i="27" s="1"/>
  <c r="Y21" i="27"/>
  <c r="Y133" i="27" s="1"/>
  <c r="AE21" i="27"/>
  <c r="AE133" i="27" s="1"/>
  <c r="AV21" i="27"/>
  <c r="AV133" i="27" s="1"/>
  <c r="AK21" i="27"/>
  <c r="AK133" i="27" s="1"/>
  <c r="X21" i="27"/>
  <c r="X133" i="27" s="1"/>
  <c r="BA81" i="27"/>
  <c r="I21" i="27"/>
  <c r="R21" i="27"/>
  <c r="R133" i="27" s="1"/>
  <c r="AU21" i="27"/>
  <c r="AU133" i="27" s="1"/>
  <c r="AR21" i="27"/>
  <c r="AR133" i="27" s="1"/>
  <c r="AI21" i="27"/>
  <c r="AI133" i="27" s="1"/>
  <c r="AB21" i="27"/>
  <c r="AB133" i="27" s="1"/>
  <c r="O21" i="27"/>
  <c r="O133" i="27" s="1"/>
  <c r="AC21" i="27"/>
  <c r="AC133" i="27" s="1"/>
  <c r="Q21" i="27"/>
  <c r="Q133" i="27" s="1"/>
  <c r="AD21" i="27"/>
  <c r="AD133" i="27" s="1"/>
  <c r="AP21" i="27"/>
  <c r="AP133" i="27" s="1"/>
  <c r="BA21" i="27"/>
  <c r="BA133" i="27" s="1"/>
  <c r="AA21" i="27"/>
  <c r="AA133" i="27" s="1"/>
  <c r="AZ81" i="27"/>
  <c r="BB21" i="27"/>
  <c r="BB133" i="27" s="1"/>
  <c r="M21" i="27"/>
  <c r="M133" i="27" s="1"/>
  <c r="AS21" i="27"/>
  <c r="AS133" i="27" s="1"/>
  <c r="AF21" i="27"/>
  <c r="AF133" i="27" s="1"/>
  <c r="AH21" i="27"/>
  <c r="AH133" i="27" s="1"/>
  <c r="AQ21" i="27"/>
  <c r="AQ133" i="27" s="1"/>
  <c r="Z21" i="27"/>
  <c r="Z133" i="27" s="1"/>
  <c r="AG21" i="27"/>
  <c r="AG133" i="27" s="1"/>
  <c r="AJ21" i="27"/>
  <c r="AJ133" i="27" s="1"/>
  <c r="BB81" i="27"/>
  <c r="W21" i="27"/>
  <c r="AT21" i="27"/>
  <c r="AT133" i="27" s="1"/>
  <c r="AY21" i="27"/>
  <c r="AY133" i="27" s="1"/>
  <c r="AZ21" i="27"/>
  <c r="AZ133" i="27" s="1"/>
  <c r="E40" i="37" s="1"/>
  <c r="P21" i="27"/>
  <c r="P133" i="27" s="1"/>
  <c r="S21" i="27"/>
  <c r="S133" i="27" s="1"/>
  <c r="BD21" i="27"/>
  <c r="BD133" i="27" s="1"/>
  <c r="J21" i="27"/>
  <c r="AM21" i="27"/>
  <c r="AM133" i="27" s="1"/>
  <c r="AN21" i="27"/>
  <c r="AN133" i="27" s="1"/>
  <c r="AL21" i="27"/>
  <c r="AL133" i="27" s="1"/>
  <c r="AO21" i="27"/>
  <c r="AO133" i="27" s="1"/>
  <c r="N21" i="27"/>
  <c r="N133" i="27" s="1"/>
  <c r="I81" i="27"/>
  <c r="F50" i="36"/>
  <c r="G4" i="36"/>
  <c r="I7" i="27"/>
  <c r="W20" i="105" s="1"/>
  <c r="AH7" i="27"/>
  <c r="F106" i="27"/>
  <c r="E106" i="27" s="1"/>
  <c r="F119" i="27"/>
  <c r="E119" i="27" s="1"/>
  <c r="F116" i="27"/>
  <c r="E116" i="27" s="1"/>
  <c r="F109" i="27"/>
  <c r="E109" i="27" s="1"/>
  <c r="F110" i="27"/>
  <c r="E110" i="27" s="1"/>
  <c r="F112" i="27"/>
  <c r="E112" i="27" s="1"/>
  <c r="F108" i="27"/>
  <c r="E108" i="27" s="1"/>
  <c r="F104" i="27"/>
  <c r="E104" i="27" s="1"/>
  <c r="F111" i="27"/>
  <c r="E111" i="27" s="1"/>
  <c r="F114" i="27"/>
  <c r="E114" i="27" s="1"/>
  <c r="F115" i="27"/>
  <c r="F118" i="27"/>
  <c r="E118" i="27" s="1"/>
  <c r="F113" i="27"/>
  <c r="E113" i="27" s="1"/>
  <c r="F107" i="27"/>
  <c r="E107" i="27" s="1"/>
  <c r="F117" i="27"/>
  <c r="E117" i="27" s="1"/>
  <c r="E66" i="27"/>
  <c r="F82" i="27"/>
  <c r="E82" i="27" s="1"/>
  <c r="F87" i="27"/>
  <c r="E87" i="27" s="1"/>
  <c r="F86" i="27"/>
  <c r="E86" i="27" s="1"/>
  <c r="F89" i="27"/>
  <c r="E89" i="27" s="1"/>
  <c r="F76" i="27"/>
  <c r="E76" i="27" s="1"/>
  <c r="F92" i="27"/>
  <c r="E92" i="27" s="1"/>
  <c r="F73" i="27"/>
  <c r="E73" i="27" s="1"/>
  <c r="F103" i="27"/>
  <c r="F80" i="27"/>
  <c r="E80" i="27" s="1"/>
  <c r="F72" i="27"/>
  <c r="E72" i="27" s="1"/>
  <c r="F75" i="27"/>
  <c r="E75" i="27" s="1"/>
  <c r="F68" i="27"/>
  <c r="E68" i="27" s="1"/>
  <c r="F79" i="27"/>
  <c r="E79" i="27" s="1"/>
  <c r="F70" i="27"/>
  <c r="E70" i="27" s="1"/>
  <c r="F74" i="27"/>
  <c r="E74" i="27" s="1"/>
  <c r="F94" i="27"/>
  <c r="E94" i="27" s="1"/>
  <c r="F69" i="27"/>
  <c r="E69" i="27" s="1"/>
  <c r="F83" i="27"/>
  <c r="E83" i="27" s="1"/>
  <c r="F78" i="27"/>
  <c r="E78" i="27" s="1"/>
  <c r="F88" i="27"/>
  <c r="E88" i="27" s="1"/>
  <c r="F77" i="27"/>
  <c r="E77" i="27" s="1"/>
  <c r="F84" i="27"/>
  <c r="E84" i="27" s="1"/>
  <c r="F71" i="27"/>
  <c r="E71" i="27" s="1"/>
  <c r="F95" i="27"/>
  <c r="E95" i="27" s="1"/>
  <c r="F85" i="27"/>
  <c r="E85" i="27" s="1"/>
  <c r="F93" i="27"/>
  <c r="E93" i="27" s="1"/>
  <c r="P7" i="27"/>
  <c r="T7" i="27"/>
  <c r="AA7" i="27"/>
  <c r="AN7" i="27"/>
  <c r="AQ7" i="27"/>
  <c r="AK7" i="27"/>
  <c r="AR7" i="27"/>
  <c r="AF7" i="27"/>
  <c r="AU7" i="27"/>
  <c r="BC7" i="27"/>
  <c r="AZ67" i="27"/>
  <c r="W7" i="27"/>
  <c r="BD7" i="27"/>
  <c r="AT7" i="27"/>
  <c r="AB7" i="27"/>
  <c r="BA7" i="27"/>
  <c r="AG20" i="105" s="1"/>
  <c r="Q22" i="80" s="1"/>
  <c r="AI7" i="27"/>
  <c r="AP7" i="27"/>
  <c r="AS7" i="27"/>
  <c r="U7" i="27"/>
  <c r="AL7" i="27"/>
  <c r="AM7" i="27"/>
  <c r="AD7" i="27"/>
  <c r="BB67" i="27"/>
  <c r="BC67" i="27"/>
  <c r="R7" i="27"/>
  <c r="Q7" i="27"/>
  <c r="J7" i="27"/>
  <c r="AJ7" i="27"/>
  <c r="AZ7" i="27"/>
  <c r="AL20" i="105" s="1"/>
  <c r="AO20" i="105" s="1"/>
  <c r="O7" i="27"/>
  <c r="BE7" i="27"/>
  <c r="AO7" i="27"/>
  <c r="S7" i="27"/>
  <c r="L7" i="27"/>
  <c r="Z7" i="27"/>
  <c r="N7" i="27"/>
  <c r="BD67" i="27"/>
  <c r="I67" i="27"/>
  <c r="AE7" i="27"/>
  <c r="M7" i="27"/>
  <c r="AW7" i="27"/>
  <c r="X7" i="27"/>
  <c r="V7" i="27"/>
  <c r="BB7" i="27"/>
  <c r="Y7" i="27"/>
  <c r="AY7" i="27"/>
  <c r="AX7" i="27"/>
  <c r="AC7" i="27"/>
  <c r="AG7" i="27"/>
  <c r="AV7" i="27"/>
  <c r="BA67" i="27"/>
  <c r="K7" i="27"/>
  <c r="F24" i="36"/>
  <c r="F44" i="36"/>
  <c r="F35" i="36"/>
  <c r="F28" i="36"/>
  <c r="F39" i="36"/>
  <c r="F26" i="36"/>
  <c r="F33" i="36"/>
  <c r="F38" i="36"/>
  <c r="F23" i="36"/>
  <c r="F9" i="36"/>
  <c r="G11" i="36"/>
  <c r="H11" i="36" s="1"/>
  <c r="G15" i="36"/>
  <c r="H15" i="36" s="1"/>
  <c r="G13" i="36"/>
  <c r="H13" i="36" s="1"/>
  <c r="G6" i="36"/>
  <c r="H6" i="36" s="1"/>
  <c r="G12" i="36"/>
  <c r="H12" i="36" s="1"/>
  <c r="G19" i="36"/>
  <c r="H19" i="36" s="1"/>
  <c r="AZ91" i="27"/>
  <c r="AZ129" i="27" s="1"/>
  <c r="BA91" i="27"/>
  <c r="BA129" i="27" s="1"/>
  <c r="BD91" i="27"/>
  <c r="BD129" i="27" s="1"/>
  <c r="BB91" i="27"/>
  <c r="BB129" i="27" s="1"/>
  <c r="BC91" i="27"/>
  <c r="BC129" i="27" s="1"/>
  <c r="I91" i="27"/>
  <c r="I129" i="27" s="1"/>
  <c r="I90" i="27"/>
  <c r="BC90" i="27"/>
  <c r="BB90" i="27"/>
  <c r="BA90" i="27"/>
  <c r="BD90" i="27"/>
  <c r="AZ90" i="27"/>
  <c r="C52" i="36"/>
  <c r="N10" i="105" l="1"/>
  <c r="N13" i="105"/>
  <c r="N23" i="105"/>
  <c r="N21" i="105"/>
  <c r="N19" i="105"/>
  <c r="N18" i="105"/>
  <c r="N12" i="105"/>
  <c r="N17" i="105"/>
  <c r="N22" i="105"/>
  <c r="N15" i="105"/>
  <c r="N26" i="105"/>
  <c r="N14" i="105"/>
  <c r="AR6" i="105"/>
  <c r="AR21" i="105"/>
  <c r="AE15" i="105"/>
  <c r="N17" i="80" s="1"/>
  <c r="U17" i="80" s="1"/>
  <c r="AP15" i="105" s="1"/>
  <c r="AR18" i="105"/>
  <c r="AR12" i="105"/>
  <c r="AR26" i="105"/>
  <c r="AR17" i="105"/>
  <c r="O17" i="105" s="1"/>
  <c r="AR13" i="105"/>
  <c r="O13" i="105" s="1"/>
  <c r="AR23" i="105"/>
  <c r="O23" i="105" s="1"/>
  <c r="AR22" i="105"/>
  <c r="O22" i="105" s="1"/>
  <c r="AR10" i="105"/>
  <c r="O10" i="105" s="1"/>
  <c r="AR19" i="105"/>
  <c r="O19" i="105" s="1"/>
  <c r="AR14" i="105"/>
  <c r="O14" i="105" s="1"/>
  <c r="AR15" i="105"/>
  <c r="O15" i="105" s="1"/>
  <c r="AE14" i="105"/>
  <c r="N16" i="80" s="1"/>
  <c r="U16" i="80" s="1"/>
  <c r="AP14" i="105" s="1"/>
  <c r="AE13" i="105"/>
  <c r="N15" i="80" s="1"/>
  <c r="U15" i="80" s="1"/>
  <c r="C42" i="80" s="1"/>
  <c r="AE22" i="105"/>
  <c r="N24" i="80" s="1"/>
  <c r="U24" i="80" s="1"/>
  <c r="AP22" i="105" s="1"/>
  <c r="AE21" i="105"/>
  <c r="N23" i="80" s="1"/>
  <c r="U23" i="80" s="1"/>
  <c r="AP21" i="105" s="1"/>
  <c r="AE19" i="105"/>
  <c r="N21" i="80" s="1"/>
  <c r="U21" i="80" s="1"/>
  <c r="AP19" i="105" s="1"/>
  <c r="AE26" i="105"/>
  <c r="N28" i="80" s="1"/>
  <c r="U28" i="80" s="1"/>
  <c r="AP26" i="105" s="1"/>
  <c r="AE17" i="105"/>
  <c r="N19" i="80" s="1"/>
  <c r="U19" i="80" s="1"/>
  <c r="C46" i="80" s="1"/>
  <c r="AE23" i="105"/>
  <c r="N25" i="80" s="1"/>
  <c r="U25" i="80" s="1"/>
  <c r="AP23" i="105" s="1"/>
  <c r="AE10" i="105"/>
  <c r="N12" i="80" s="1"/>
  <c r="U12" i="80" s="1"/>
  <c r="C39" i="80" s="1"/>
  <c r="AE18" i="105"/>
  <c r="N20" i="80" s="1"/>
  <c r="U20" i="80" s="1"/>
  <c r="AP18" i="105" s="1"/>
  <c r="AE12" i="105"/>
  <c r="N14" i="80" s="1"/>
  <c r="U14" i="80" s="1"/>
  <c r="C41" i="80" s="1"/>
  <c r="N7" i="105"/>
  <c r="AJ6" i="105"/>
  <c r="S8" i="80" s="1"/>
  <c r="BJ7" i="27"/>
  <c r="AB20" i="105" s="1"/>
  <c r="L22" i="80" s="1"/>
  <c r="BJ21" i="27"/>
  <c r="O12" i="105"/>
  <c r="C36" i="80"/>
  <c r="AO13" i="105"/>
  <c r="AO10" i="105"/>
  <c r="F128" i="27"/>
  <c r="H27" i="37" s="1"/>
  <c r="R27" i="37" s="1"/>
  <c r="BG128" i="27"/>
  <c r="AL29" i="105"/>
  <c r="AG29" i="105"/>
  <c r="AJ20" i="105"/>
  <c r="Z20" i="105"/>
  <c r="O21" i="105"/>
  <c r="O26" i="105"/>
  <c r="O18" i="105"/>
  <c r="Z6" i="105"/>
  <c r="AE6" i="105"/>
  <c r="N8" i="80" s="1"/>
  <c r="W29" i="105"/>
  <c r="N34" i="37"/>
  <c r="F37" i="46" s="1"/>
  <c r="N39" i="37"/>
  <c r="F42" i="46" s="1"/>
  <c r="N37" i="37"/>
  <c r="F40" i="46" s="1"/>
  <c r="E115" i="27"/>
  <c r="D29" i="37"/>
  <c r="E32" i="46" s="1"/>
  <c r="R42" i="37"/>
  <c r="I38" i="37"/>
  <c r="S38" i="37" s="1"/>
  <c r="I40" i="37"/>
  <c r="S40" i="37" s="1"/>
  <c r="I37" i="37"/>
  <c r="S37" i="37" s="1"/>
  <c r="I29" i="37"/>
  <c r="S29" i="37" s="1"/>
  <c r="I41" i="37"/>
  <c r="S41" i="37" s="1"/>
  <c r="I39" i="37"/>
  <c r="S39" i="37" s="1"/>
  <c r="E34" i="37"/>
  <c r="E59" i="46" s="1"/>
  <c r="E39" i="37"/>
  <c r="E64" i="46" s="1"/>
  <c r="E37" i="37"/>
  <c r="E62" i="46" s="1"/>
  <c r="E36" i="37"/>
  <c r="E61" i="46" s="1"/>
  <c r="E32" i="37"/>
  <c r="E57" i="46" s="1"/>
  <c r="E42" i="37"/>
  <c r="E52" i="46" s="1"/>
  <c r="E35" i="37"/>
  <c r="J133" i="27"/>
  <c r="E65" i="46"/>
  <c r="E41" i="37"/>
  <c r="E66" i="46" s="1"/>
  <c r="E38" i="37"/>
  <c r="E63" i="46" s="1"/>
  <c r="E30" i="37"/>
  <c r="E55" i="46" s="1"/>
  <c r="BB134" i="27"/>
  <c r="AZ134" i="27"/>
  <c r="W133" i="27"/>
  <c r="BA134" i="27"/>
  <c r="BD134" i="27"/>
  <c r="BC134" i="27"/>
  <c r="I134" i="27"/>
  <c r="BH85" i="27"/>
  <c r="BH84" i="27"/>
  <c r="BH87" i="27"/>
  <c r="BH112" i="27"/>
  <c r="BH70" i="27"/>
  <c r="BH72" i="27"/>
  <c r="BG67" i="27"/>
  <c r="BG81" i="27"/>
  <c r="BH77" i="27"/>
  <c r="BH106" i="27"/>
  <c r="BH78" i="27"/>
  <c r="BH79" i="27"/>
  <c r="BH114" i="27"/>
  <c r="BH71" i="27"/>
  <c r="BH94" i="27"/>
  <c r="BH113" i="27"/>
  <c r="BH109" i="27"/>
  <c r="BH73" i="27"/>
  <c r="BH89" i="27"/>
  <c r="BH68" i="27"/>
  <c r="BH118" i="27"/>
  <c r="BH76" i="27"/>
  <c r="BH86" i="27"/>
  <c r="BH69" i="27"/>
  <c r="BH75" i="27"/>
  <c r="BH95" i="27"/>
  <c r="BH82" i="27"/>
  <c r="BH117" i="27"/>
  <c r="BH93" i="27"/>
  <c r="BH80" i="27"/>
  <c r="BH92" i="27"/>
  <c r="BH88" i="27"/>
  <c r="BH104" i="27"/>
  <c r="BH119" i="27"/>
  <c r="BH116" i="27"/>
  <c r="BH74" i="27"/>
  <c r="BH115" i="27"/>
  <c r="BH111" i="27"/>
  <c r="BH83" i="27"/>
  <c r="BH107" i="27"/>
  <c r="BH110" i="27"/>
  <c r="BH103" i="27"/>
  <c r="BH108" i="27"/>
  <c r="BG7" i="27"/>
  <c r="BH7" i="27" s="1"/>
  <c r="BG21" i="27"/>
  <c r="BH21" i="27" s="1"/>
  <c r="N35" i="37"/>
  <c r="F38" i="46" s="1"/>
  <c r="N33" i="37"/>
  <c r="F36" i="46" s="1"/>
  <c r="N41" i="37"/>
  <c r="F44" i="46" s="1"/>
  <c r="BG132" i="27"/>
  <c r="N32" i="37"/>
  <c r="F35" i="46" s="1"/>
  <c r="N42" i="37"/>
  <c r="F30" i="46" s="1"/>
  <c r="N38" i="37"/>
  <c r="F41" i="46" s="1"/>
  <c r="N36" i="37"/>
  <c r="F39" i="46" s="1"/>
  <c r="F36" i="36"/>
  <c r="I133" i="27"/>
  <c r="F81" i="27"/>
  <c r="E81" i="27" s="1"/>
  <c r="N31" i="37"/>
  <c r="F34" i="46" s="1"/>
  <c r="N30" i="37"/>
  <c r="F33" i="46" s="1"/>
  <c r="F132" i="27"/>
  <c r="E132" i="27" s="1"/>
  <c r="F22" i="36"/>
  <c r="G8" i="36"/>
  <c r="H8" i="36" s="1"/>
  <c r="F8" i="36"/>
  <c r="E103" i="27"/>
  <c r="F67" i="27"/>
  <c r="F21" i="36"/>
  <c r="F25" i="36"/>
  <c r="F7" i="36"/>
  <c r="G7" i="36"/>
  <c r="H7" i="36" s="1"/>
  <c r="F17" i="36"/>
  <c r="G17" i="36"/>
  <c r="H17" i="36" s="1"/>
  <c r="F18" i="36"/>
  <c r="G18" i="36"/>
  <c r="H18" i="36" s="1"/>
  <c r="F3" i="36"/>
  <c r="G3" i="36"/>
  <c r="H3" i="36" s="1"/>
  <c r="F14" i="36"/>
  <c r="G14" i="36"/>
  <c r="H14" i="36" s="1"/>
  <c r="F10" i="36"/>
  <c r="G10" i="36"/>
  <c r="H10" i="36" s="1"/>
  <c r="F16" i="36"/>
  <c r="G16" i="36"/>
  <c r="H16" i="36" s="1"/>
  <c r="G9" i="36"/>
  <c r="H9" i="36" s="1"/>
  <c r="F11" i="36"/>
  <c r="F12" i="36"/>
  <c r="H4" i="36"/>
  <c r="F4" i="36"/>
  <c r="F6" i="36"/>
  <c r="F13" i="36"/>
  <c r="F19" i="36"/>
  <c r="F15" i="36"/>
  <c r="AZ123" i="27"/>
  <c r="BC123" i="27"/>
  <c r="BA123" i="27"/>
  <c r="BB123" i="27"/>
  <c r="BD123" i="27"/>
  <c r="I123" i="27"/>
  <c r="D52" i="36"/>
  <c r="N20" i="105" l="1"/>
  <c r="AR20" i="105"/>
  <c r="AR29" i="105" s="1"/>
  <c r="AR30" i="105" s="1"/>
  <c r="O6" i="105"/>
  <c r="P7" i="105"/>
  <c r="AE20" i="105"/>
  <c r="N22" i="80" s="1"/>
  <c r="N31" i="80" s="1"/>
  <c r="N6" i="105"/>
  <c r="AP12" i="105"/>
  <c r="C55" i="80"/>
  <c r="AP17" i="105"/>
  <c r="C44" i="80"/>
  <c r="C52" i="80"/>
  <c r="C50" i="80"/>
  <c r="C48" i="80"/>
  <c r="C51" i="80"/>
  <c r="C43" i="80"/>
  <c r="C47" i="80"/>
  <c r="AP13" i="105"/>
  <c r="AP10" i="105"/>
  <c r="E128" i="27"/>
  <c r="AO29" i="105"/>
  <c r="BH128" i="27"/>
  <c r="AJ29" i="105"/>
  <c r="S22" i="80"/>
  <c r="S31" i="80" s="1"/>
  <c r="U8" i="80"/>
  <c r="AP6" i="105" s="1"/>
  <c r="Z29" i="105"/>
  <c r="AB29" i="105"/>
  <c r="N29" i="37"/>
  <c r="F32" i="46" s="1"/>
  <c r="F41" i="37"/>
  <c r="E88" i="46" s="1"/>
  <c r="F29" i="37"/>
  <c r="E76" i="46" s="1"/>
  <c r="AF76" i="46" s="1"/>
  <c r="E31" i="37"/>
  <c r="E56" i="46" s="1"/>
  <c r="AF56" i="46" s="1"/>
  <c r="F38" i="37"/>
  <c r="E85" i="46" s="1"/>
  <c r="F40" i="37"/>
  <c r="E87" i="46" s="1"/>
  <c r="F39" i="37"/>
  <c r="E86" i="46" s="1"/>
  <c r="F37" i="37"/>
  <c r="E84" i="46" s="1"/>
  <c r="O35" i="37"/>
  <c r="F60" i="46" s="1"/>
  <c r="E60" i="46"/>
  <c r="R43" i="37"/>
  <c r="E29" i="37"/>
  <c r="E54" i="46" s="1"/>
  <c r="H43" i="37"/>
  <c r="E33" i="37"/>
  <c r="BH81" i="27"/>
  <c r="BH67" i="27"/>
  <c r="O37" i="37"/>
  <c r="F62" i="46" s="1"/>
  <c r="BH132" i="27"/>
  <c r="BG133" i="27"/>
  <c r="O39" i="37"/>
  <c r="F64" i="46" s="1"/>
  <c r="O42" i="37"/>
  <c r="F52" i="46" s="1"/>
  <c r="O41" i="37"/>
  <c r="F66" i="46" s="1"/>
  <c r="O32" i="37"/>
  <c r="F57" i="46" s="1"/>
  <c r="O36" i="37"/>
  <c r="F61" i="46" s="1"/>
  <c r="O38" i="37"/>
  <c r="F63" i="46" s="1"/>
  <c r="O34" i="37"/>
  <c r="F59" i="46" s="1"/>
  <c r="O40" i="37"/>
  <c r="F65" i="46" s="1"/>
  <c r="F133" i="27"/>
  <c r="E133" i="27" s="1"/>
  <c r="O30" i="37"/>
  <c r="F55" i="46" s="1"/>
  <c r="N40" i="37"/>
  <c r="E46" i="46"/>
  <c r="E67" i="27"/>
  <c r="F27" i="37"/>
  <c r="E74" i="46" s="1"/>
  <c r="G52" i="36"/>
  <c r="H52" i="36" s="1"/>
  <c r="F54" i="36"/>
  <c r="Q7" i="105" l="1"/>
  <c r="R7" i="105" s="1"/>
  <c r="E36" i="80"/>
  <c r="G36" i="80" s="1"/>
  <c r="K36" i="80" s="1"/>
  <c r="P14" i="105"/>
  <c r="P10" i="105"/>
  <c r="P23" i="105"/>
  <c r="P26" i="105"/>
  <c r="P22" i="105"/>
  <c r="P12" i="105"/>
  <c r="E41" i="80" s="1"/>
  <c r="G41" i="80" s="1"/>
  <c r="K41" i="80" s="1"/>
  <c r="P21" i="105"/>
  <c r="P19" i="105"/>
  <c r="E48" i="80" s="1"/>
  <c r="G48" i="80" s="1"/>
  <c r="K48" i="80" s="1"/>
  <c r="P13" i="105"/>
  <c r="P17" i="105"/>
  <c r="E46" i="80" s="1"/>
  <c r="G46" i="80" s="1"/>
  <c r="K46" i="80" s="1"/>
  <c r="P18" i="105"/>
  <c r="P15" i="105"/>
  <c r="N29" i="105"/>
  <c r="AE29" i="105"/>
  <c r="O20" i="105"/>
  <c r="P20" i="105" s="1"/>
  <c r="E49" i="80" s="1"/>
  <c r="U22" i="80"/>
  <c r="C35" i="80"/>
  <c r="E68" i="37"/>
  <c r="O31" i="37"/>
  <c r="F56" i="46" s="1"/>
  <c r="O68" i="37"/>
  <c r="O33" i="37"/>
  <c r="F58" i="46" s="1"/>
  <c r="E58" i="46"/>
  <c r="O29" i="37"/>
  <c r="F54" i="46" s="1"/>
  <c r="E43" i="37"/>
  <c r="P29" i="37"/>
  <c r="F76" i="46" s="1"/>
  <c r="BH133" i="27"/>
  <c r="P27" i="37"/>
  <c r="N43" i="37"/>
  <c r="F43" i="46"/>
  <c r="AF74" i="46"/>
  <c r="G27" i="37"/>
  <c r="P40" i="37"/>
  <c r="F87" i="46" s="1"/>
  <c r="P37" i="37"/>
  <c r="F84" i="46" s="1"/>
  <c r="P39" i="37"/>
  <c r="F86" i="46" s="1"/>
  <c r="P41" i="37"/>
  <c r="F88" i="46" s="1"/>
  <c r="P38" i="37"/>
  <c r="F85" i="46" s="1"/>
  <c r="E61" i="36"/>
  <c r="F30" i="27"/>
  <c r="F31" i="27"/>
  <c r="O29" i="105" l="1"/>
  <c r="Q12" i="105"/>
  <c r="R12" i="105" s="1"/>
  <c r="Q19" i="105"/>
  <c r="R19" i="105" s="1"/>
  <c r="Q18" i="105"/>
  <c r="R18" i="105" s="1"/>
  <c r="E47" i="80"/>
  <c r="G47" i="80" s="1"/>
  <c r="K47" i="80" s="1"/>
  <c r="Q10" i="105"/>
  <c r="R10" i="105" s="1"/>
  <c r="E39" i="80"/>
  <c r="G39" i="80" s="1"/>
  <c r="K39" i="80" s="1"/>
  <c r="Q22" i="105"/>
  <c r="R22" i="105" s="1"/>
  <c r="E51" i="80"/>
  <c r="G51" i="80" s="1"/>
  <c r="K51" i="80" s="1"/>
  <c r="Q14" i="105"/>
  <c r="R14" i="105" s="1"/>
  <c r="E43" i="80"/>
  <c r="G43" i="80" s="1"/>
  <c r="K43" i="80" s="1"/>
  <c r="Q17" i="105"/>
  <c r="R17" i="105" s="1"/>
  <c r="Q21" i="105"/>
  <c r="R21" i="105" s="1"/>
  <c r="E50" i="80"/>
  <c r="G50" i="80" s="1"/>
  <c r="K50" i="80" s="1"/>
  <c r="Q26" i="105"/>
  <c r="R26" i="105" s="1"/>
  <c r="E55" i="80"/>
  <c r="G55" i="80" s="1"/>
  <c r="K55" i="80" s="1"/>
  <c r="Q15" i="105"/>
  <c r="R15" i="105" s="1"/>
  <c r="E44" i="80"/>
  <c r="G44" i="80" s="1"/>
  <c r="K44" i="80" s="1"/>
  <c r="Q13" i="105"/>
  <c r="R13" i="105" s="1"/>
  <c r="E42" i="80"/>
  <c r="G42" i="80" s="1"/>
  <c r="K42" i="80" s="1"/>
  <c r="Q23" i="105"/>
  <c r="R23" i="105" s="1"/>
  <c r="E52" i="80"/>
  <c r="G52" i="80" s="1"/>
  <c r="K52" i="80" s="1"/>
  <c r="Q20" i="105"/>
  <c r="R20" i="105" s="1"/>
  <c r="P6" i="105"/>
  <c r="P29" i="105" s="1"/>
  <c r="U31" i="80"/>
  <c r="AP20" i="105"/>
  <c r="C49" i="80"/>
  <c r="G49" i="80" s="1"/>
  <c r="K49" i="80" s="1"/>
  <c r="J31" i="27"/>
  <c r="F46" i="46"/>
  <c r="AG76" i="46"/>
  <c r="J27" i="37"/>
  <c r="K27" i="37" s="1"/>
  <c r="F74" i="46"/>
  <c r="O43" i="37"/>
  <c r="B69" i="30"/>
  <c r="B70" i="30" s="1"/>
  <c r="Q27" i="37"/>
  <c r="T27" i="37" s="1"/>
  <c r="U27" i="37" s="1"/>
  <c r="C28" i="37"/>
  <c r="E9" i="46" s="1"/>
  <c r="AF88" i="46"/>
  <c r="AF84" i="46"/>
  <c r="AF85" i="46"/>
  <c r="AF86" i="46"/>
  <c r="AF87" i="46"/>
  <c r="J30" i="27"/>
  <c r="AY90" i="27"/>
  <c r="T30" i="27"/>
  <c r="AR30" i="27"/>
  <c r="AU90" i="27"/>
  <c r="AY30" i="27"/>
  <c r="AX30" i="27"/>
  <c r="AY91" i="27"/>
  <c r="AY129" i="27" s="1"/>
  <c r="AR90" i="27"/>
  <c r="V91" i="27"/>
  <c r="V129" i="27" s="1"/>
  <c r="AE30" i="27"/>
  <c r="AI91" i="27"/>
  <c r="AI129" i="27" s="1"/>
  <c r="Q30" i="27"/>
  <c r="E30" i="27"/>
  <c r="T90" i="27"/>
  <c r="AE90" i="27"/>
  <c r="AK90" i="27"/>
  <c r="S30" i="27"/>
  <c r="AX90" i="27"/>
  <c r="V90" i="27"/>
  <c r="O90" i="27"/>
  <c r="AU30" i="27"/>
  <c r="AK30" i="27"/>
  <c r="AI90" i="27"/>
  <c r="Z90" i="27"/>
  <c r="V30" i="27"/>
  <c r="M30" i="27"/>
  <c r="R90" i="27"/>
  <c r="Q90" i="27"/>
  <c r="W30" i="27"/>
  <c r="AS30" i="27"/>
  <c r="AI30" i="27"/>
  <c r="S90" i="27"/>
  <c r="AV90" i="27"/>
  <c r="AP30" i="27"/>
  <c r="O91" i="27"/>
  <c r="O129" i="27" s="1"/>
  <c r="AQ90" i="27"/>
  <c r="N90" i="27"/>
  <c r="AV30" i="27"/>
  <c r="AS90" i="27"/>
  <c r="AC90" i="27"/>
  <c r="AQ30" i="27"/>
  <c r="AT90" i="27"/>
  <c r="AC30" i="27"/>
  <c r="AG90" i="27"/>
  <c r="K91" i="27"/>
  <c r="K129" i="27" s="1"/>
  <c r="AP90" i="27"/>
  <c r="N30" i="27"/>
  <c r="K90" i="27"/>
  <c r="M90" i="27"/>
  <c r="W90" i="27"/>
  <c r="O30" i="27"/>
  <c r="Z30" i="27"/>
  <c r="R30" i="27"/>
  <c r="AT30" i="27"/>
  <c r="AG30" i="27"/>
  <c r="U30" i="27"/>
  <c r="Y30" i="27"/>
  <c r="U90" i="27"/>
  <c r="Y90" i="27"/>
  <c r="X90" i="27"/>
  <c r="AO91" i="27"/>
  <c r="AO129" i="27" s="1"/>
  <c r="AO30" i="27"/>
  <c r="AN90" i="27"/>
  <c r="AH90" i="27"/>
  <c r="AO90" i="27"/>
  <c r="K30" i="27"/>
  <c r="AJ90" i="27"/>
  <c r="AT91" i="27"/>
  <c r="AT129" i="27" s="1"/>
  <c r="AS91" i="27"/>
  <c r="AS129" i="27" s="1"/>
  <c r="AM30" i="27"/>
  <c r="AL90" i="27"/>
  <c r="AA90" i="27"/>
  <c r="AD30" i="27"/>
  <c r="AN30" i="27"/>
  <c r="AM90" i="27"/>
  <c r="AB30" i="27"/>
  <c r="AA30" i="27"/>
  <c r="P90" i="27"/>
  <c r="BA30" i="27"/>
  <c r="AL30" i="27"/>
  <c r="L30" i="27"/>
  <c r="X30" i="27"/>
  <c r="AH30" i="27"/>
  <c r="AJ30" i="27"/>
  <c r="P30" i="27"/>
  <c r="AB90" i="27"/>
  <c r="J90" i="27"/>
  <c r="AU91" i="27"/>
  <c r="AU129" i="27" s="1"/>
  <c r="R91" i="27"/>
  <c r="R129" i="27" s="1"/>
  <c r="U91" i="27"/>
  <c r="U129" i="27" s="1"/>
  <c r="AA91" i="27"/>
  <c r="AA129" i="27" s="1"/>
  <c r="AD91" i="27"/>
  <c r="AD129" i="27" s="1"/>
  <c r="AE91" i="27"/>
  <c r="AE129" i="27" s="1"/>
  <c r="Q91" i="27"/>
  <c r="Q129" i="27" s="1"/>
  <c r="AV91" i="27"/>
  <c r="AV129" i="27" s="1"/>
  <c r="N91" i="27"/>
  <c r="N129" i="27" s="1"/>
  <c r="AH91" i="27"/>
  <c r="AH129" i="27" s="1"/>
  <c r="AL91" i="27"/>
  <c r="AL129" i="27" s="1"/>
  <c r="AD90" i="27"/>
  <c r="L90" i="27"/>
  <c r="AW90" i="27"/>
  <c r="BC30" i="27"/>
  <c r="AW30" i="27"/>
  <c r="BE30" i="27"/>
  <c r="AF30" i="27"/>
  <c r="BD30" i="27"/>
  <c r="AI31" i="27"/>
  <c r="AI131" i="27" s="1"/>
  <c r="BB30" i="27"/>
  <c r="BD31" i="27"/>
  <c r="BD131" i="27" s="1"/>
  <c r="AF90" i="27"/>
  <c r="AY31" i="27"/>
  <c r="AY131" i="27" s="1"/>
  <c r="AN31" i="27"/>
  <c r="AN131" i="27" s="1"/>
  <c r="I30" i="27"/>
  <c r="AQ31" i="27"/>
  <c r="AQ131" i="27" s="1"/>
  <c r="O31" i="27"/>
  <c r="O131" i="27" s="1"/>
  <c r="AZ30" i="27"/>
  <c r="AV31" i="27"/>
  <c r="AV131" i="27" s="1"/>
  <c r="AA31" i="27"/>
  <c r="AA131" i="27" s="1"/>
  <c r="AF31" i="27"/>
  <c r="AF131" i="27" s="1"/>
  <c r="X31" i="27"/>
  <c r="X131" i="27" s="1"/>
  <c r="AQ91" i="27"/>
  <c r="AQ129" i="27" s="1"/>
  <c r="AG91" i="27"/>
  <c r="AG129" i="27" s="1"/>
  <c r="Y91" i="27"/>
  <c r="Y129" i="27" s="1"/>
  <c r="AN91" i="27"/>
  <c r="AN129" i="27" s="1"/>
  <c r="P91" i="27"/>
  <c r="P129" i="27" s="1"/>
  <c r="L91" i="27"/>
  <c r="L129" i="27" s="1"/>
  <c r="BC31" i="27"/>
  <c r="BC131" i="27" s="1"/>
  <c r="AU31" i="27"/>
  <c r="AU131" i="27" s="1"/>
  <c r="AM31" i="27"/>
  <c r="AM131" i="27" s="1"/>
  <c r="AE31" i="27"/>
  <c r="AE131" i="27" s="1"/>
  <c r="W31" i="27"/>
  <c r="W131" i="27" s="1"/>
  <c r="AR91" i="27"/>
  <c r="AR129" i="27" s="1"/>
  <c r="AK91" i="27"/>
  <c r="AK129" i="27" s="1"/>
  <c r="W91" i="27"/>
  <c r="W129" i="27" s="1"/>
  <c r="T91" i="27"/>
  <c r="T129" i="27" s="1"/>
  <c r="AX91" i="27"/>
  <c r="AX129" i="27" s="1"/>
  <c r="M91" i="27"/>
  <c r="M129" i="27" s="1"/>
  <c r="S91" i="27"/>
  <c r="S129" i="27" s="1"/>
  <c r="Z91" i="27"/>
  <c r="Z129" i="27" s="1"/>
  <c r="AP91" i="27"/>
  <c r="AP129" i="27" s="1"/>
  <c r="AC91" i="27"/>
  <c r="AC129" i="27" s="1"/>
  <c r="X91" i="27"/>
  <c r="X129" i="27" s="1"/>
  <c r="AJ91" i="27"/>
  <c r="AJ129" i="27" s="1"/>
  <c r="AM91" i="27"/>
  <c r="AM129" i="27" s="1"/>
  <c r="AB91" i="27"/>
  <c r="AB129" i="27" s="1"/>
  <c r="AZ31" i="27"/>
  <c r="AR31" i="27"/>
  <c r="AR131" i="27" s="1"/>
  <c r="AJ31" i="27"/>
  <c r="AJ131" i="27" s="1"/>
  <c r="AB31" i="27"/>
  <c r="AB131" i="27" s="1"/>
  <c r="S31" i="27"/>
  <c r="S131" i="27" s="1"/>
  <c r="T31" i="27"/>
  <c r="T131" i="27" s="1"/>
  <c r="L31" i="27"/>
  <c r="L131" i="27" s="1"/>
  <c r="I31" i="27"/>
  <c r="J91" i="27"/>
  <c r="J129" i="27" s="1"/>
  <c r="AW91" i="27"/>
  <c r="AW129" i="27" s="1"/>
  <c r="F63" i="27"/>
  <c r="BB31" i="27"/>
  <c r="BB131" i="27" s="1"/>
  <c r="AX31" i="27"/>
  <c r="AX131" i="27" s="1"/>
  <c r="AT31" i="27"/>
  <c r="AT131" i="27" s="1"/>
  <c r="AP31" i="27"/>
  <c r="AP131" i="27" s="1"/>
  <c r="AL31" i="27"/>
  <c r="AL131" i="27" s="1"/>
  <c r="AH31" i="27"/>
  <c r="AH131" i="27" s="1"/>
  <c r="AD31" i="27"/>
  <c r="AD131" i="27" s="1"/>
  <c r="Z31" i="27"/>
  <c r="Z131" i="27" s="1"/>
  <c r="V31" i="27"/>
  <c r="V131" i="27" s="1"/>
  <c r="R31" i="27"/>
  <c r="R131" i="27" s="1"/>
  <c r="N31" i="27"/>
  <c r="N131" i="27" s="1"/>
  <c r="AF91" i="27"/>
  <c r="AF129" i="27" s="1"/>
  <c r="BE31" i="27"/>
  <c r="BE131" i="27" s="1"/>
  <c r="BA31" i="27"/>
  <c r="AW31" i="27"/>
  <c r="AW131" i="27" s="1"/>
  <c r="AS31" i="27"/>
  <c r="AS131" i="27" s="1"/>
  <c r="AO31" i="27"/>
  <c r="AO131" i="27" s="1"/>
  <c r="AK31" i="27"/>
  <c r="AK131" i="27" s="1"/>
  <c r="AG31" i="27"/>
  <c r="AG131" i="27" s="1"/>
  <c r="AC31" i="27"/>
  <c r="AC131" i="27" s="1"/>
  <c r="Y31" i="27"/>
  <c r="Y131" i="27" s="1"/>
  <c r="U31" i="27"/>
  <c r="U131" i="27" s="1"/>
  <c r="P31" i="27"/>
  <c r="P131" i="27" s="1"/>
  <c r="M31" i="27"/>
  <c r="M131" i="27" s="1"/>
  <c r="Q31" i="27"/>
  <c r="Q131" i="27" s="1"/>
  <c r="E31" i="27"/>
  <c r="K31" i="27"/>
  <c r="K131" i="27" s="1"/>
  <c r="Q6" i="105" l="1"/>
  <c r="E35" i="80"/>
  <c r="BJ30" i="27"/>
  <c r="J131" i="27"/>
  <c r="C31" i="37" s="1"/>
  <c r="E12" i="46" s="1"/>
  <c r="BJ31" i="27"/>
  <c r="C58" i="80"/>
  <c r="BA131" i="27"/>
  <c r="BA135" i="27" s="1"/>
  <c r="J63" i="27"/>
  <c r="AZ131" i="27"/>
  <c r="C40" i="37" s="1"/>
  <c r="E21" i="46" s="1"/>
  <c r="C38" i="37"/>
  <c r="E19" i="46" s="1"/>
  <c r="D68" i="37"/>
  <c r="C33" i="37"/>
  <c r="E14" i="46" s="1"/>
  <c r="C34" i="37"/>
  <c r="E15" i="46" s="1"/>
  <c r="C36" i="37"/>
  <c r="E17" i="46" s="1"/>
  <c r="C35" i="37"/>
  <c r="E16" i="46" s="1"/>
  <c r="C42" i="37"/>
  <c r="E8" i="46" s="1"/>
  <c r="C32" i="37"/>
  <c r="E13" i="46" s="1"/>
  <c r="C37" i="37"/>
  <c r="E18" i="46" s="1"/>
  <c r="C39" i="37"/>
  <c r="E20" i="46" s="1"/>
  <c r="AI134" i="27"/>
  <c r="AI135" i="27" s="1"/>
  <c r="AG74" i="46"/>
  <c r="I33" i="37"/>
  <c r="S33" i="37" s="1"/>
  <c r="I34" i="37"/>
  <c r="S34" i="37" s="1"/>
  <c r="I36" i="37"/>
  <c r="S36" i="37" s="1"/>
  <c r="I32" i="37"/>
  <c r="S32" i="37" s="1"/>
  <c r="I35" i="37"/>
  <c r="S35" i="37" s="1"/>
  <c r="I31" i="37"/>
  <c r="S31" i="37" s="1"/>
  <c r="I30" i="37"/>
  <c r="S30" i="37" s="1"/>
  <c r="C30" i="37"/>
  <c r="E11" i="46" s="1"/>
  <c r="AF53" i="46"/>
  <c r="BG129" i="27"/>
  <c r="F129" i="27"/>
  <c r="L134" i="27"/>
  <c r="L135" i="27" s="1"/>
  <c r="J134" i="27"/>
  <c r="AL134" i="27"/>
  <c r="AL135" i="27" s="1"/>
  <c r="AO134" i="27"/>
  <c r="AO135" i="27" s="1"/>
  <c r="AA134" i="27"/>
  <c r="AA135" i="27" s="1"/>
  <c r="AH134" i="27"/>
  <c r="X134" i="27"/>
  <c r="X135" i="27" s="1"/>
  <c r="K134" i="27"/>
  <c r="AG134" i="27"/>
  <c r="AG135" i="27" s="1"/>
  <c r="AC134" i="27"/>
  <c r="AC135" i="27" s="1"/>
  <c r="AQ134" i="27"/>
  <c r="AQ135" i="27" s="1"/>
  <c r="S134" i="27"/>
  <c r="S135" i="27" s="1"/>
  <c r="Q134" i="27"/>
  <c r="Q135" i="27" s="1"/>
  <c r="Z134" i="27"/>
  <c r="Z135" i="27" s="1"/>
  <c r="O134" i="27"/>
  <c r="O135" i="27" s="1"/>
  <c r="AK134" i="27"/>
  <c r="AK135" i="27" s="1"/>
  <c r="AS134" i="27"/>
  <c r="AS135" i="27" s="1"/>
  <c r="R134" i="27"/>
  <c r="R135" i="27" s="1"/>
  <c r="V134" i="27"/>
  <c r="AE134" i="27"/>
  <c r="AE135" i="27" s="1"/>
  <c r="AJ134" i="27"/>
  <c r="AJ135" i="27" s="1"/>
  <c r="AN134" i="27"/>
  <c r="AN135" i="27" s="1"/>
  <c r="Y134" i="27"/>
  <c r="Y135" i="27" s="1"/>
  <c r="AF134" i="27"/>
  <c r="AF135" i="27" s="1"/>
  <c r="AB134" i="27"/>
  <c r="AB135" i="27" s="1"/>
  <c r="P134" i="27"/>
  <c r="P135" i="27" s="1"/>
  <c r="U134" i="27"/>
  <c r="U135" i="27" s="1"/>
  <c r="W134" i="27"/>
  <c r="AP134" i="27"/>
  <c r="AP135" i="27" s="1"/>
  <c r="AT134" i="27"/>
  <c r="AT135" i="27" s="1"/>
  <c r="AX134" i="27"/>
  <c r="T134" i="27"/>
  <c r="T135" i="27" s="1"/>
  <c r="AD134" i="27"/>
  <c r="AD135" i="27" s="1"/>
  <c r="AM134" i="27"/>
  <c r="AM135" i="27" s="1"/>
  <c r="AW134" i="27"/>
  <c r="M134" i="27"/>
  <c r="M135" i="27" s="1"/>
  <c r="N134" i="27"/>
  <c r="N135" i="27" s="1"/>
  <c r="AV134" i="27"/>
  <c r="AV135" i="27" s="1"/>
  <c r="AY134" i="27"/>
  <c r="AY135" i="27" s="1"/>
  <c r="AR134" i="27"/>
  <c r="AR135" i="27" s="1"/>
  <c r="AU134" i="27"/>
  <c r="AU135" i="27" s="1"/>
  <c r="BG91" i="27"/>
  <c r="BG90" i="27"/>
  <c r="BG30" i="27"/>
  <c r="BH30" i="27" s="1"/>
  <c r="I131" i="27"/>
  <c r="BG31" i="27"/>
  <c r="BH31" i="27" s="1"/>
  <c r="M28" i="37"/>
  <c r="AG53" i="46" s="1"/>
  <c r="D43" i="37"/>
  <c r="BE135" i="27"/>
  <c r="BB135" i="27"/>
  <c r="BD135" i="27"/>
  <c r="BC135" i="27"/>
  <c r="AF31" i="46"/>
  <c r="G19" i="37"/>
  <c r="G17" i="37"/>
  <c r="G7" i="37"/>
  <c r="G16" i="37"/>
  <c r="G20" i="37"/>
  <c r="G18" i="37"/>
  <c r="F7" i="37"/>
  <c r="F14" i="37"/>
  <c r="D20" i="31"/>
  <c r="D18" i="31"/>
  <c r="D7" i="31"/>
  <c r="D8" i="31"/>
  <c r="D16" i="31"/>
  <c r="F19" i="37"/>
  <c r="F17" i="37"/>
  <c r="D19" i="31"/>
  <c r="F18" i="37"/>
  <c r="D17" i="31"/>
  <c r="F15" i="37"/>
  <c r="D21" i="31"/>
  <c r="F5" i="37"/>
  <c r="D15" i="31"/>
  <c r="F16" i="37"/>
  <c r="F6" i="37"/>
  <c r="F20" i="37"/>
  <c r="D6" i="31"/>
  <c r="F90" i="27"/>
  <c r="F91" i="27"/>
  <c r="AG85" i="46"/>
  <c r="AG88" i="46"/>
  <c r="AG84" i="46"/>
  <c r="AG87" i="46"/>
  <c r="AG86" i="46"/>
  <c r="AX63" i="27"/>
  <c r="AE63" i="27"/>
  <c r="AU123" i="27"/>
  <c r="AI63" i="27"/>
  <c r="AO123" i="27"/>
  <c r="U123" i="27"/>
  <c r="AR63" i="27"/>
  <c r="AT123" i="27"/>
  <c r="AS63" i="27"/>
  <c r="AF123" i="27"/>
  <c r="AM63" i="27"/>
  <c r="T63" i="27"/>
  <c r="T123" i="27"/>
  <c r="M63" i="27"/>
  <c r="AB123" i="27"/>
  <c r="P123" i="27"/>
  <c r="AV63" i="27"/>
  <c r="AI123" i="27"/>
  <c r="AO63" i="27"/>
  <c r="W123" i="27"/>
  <c r="K63" i="27"/>
  <c r="AP63" i="27"/>
  <c r="E63" i="27"/>
  <c r="S63" i="27"/>
  <c r="AY63" i="27"/>
  <c r="F45" i="36"/>
  <c r="E60" i="36"/>
  <c r="AJ123" i="27"/>
  <c r="O63" i="27"/>
  <c r="Y123" i="27"/>
  <c r="V123" i="27"/>
  <c r="AC63" i="27"/>
  <c r="AY123" i="27"/>
  <c r="Q63" i="27"/>
  <c r="AK63" i="27"/>
  <c r="AT63" i="27"/>
  <c r="AP123" i="27"/>
  <c r="AX123" i="27"/>
  <c r="X63" i="27"/>
  <c r="O123" i="27"/>
  <c r="AK123" i="27"/>
  <c r="AR123" i="27"/>
  <c r="AF63" i="27"/>
  <c r="AG63" i="27"/>
  <c r="N63" i="27"/>
  <c r="AE123" i="27"/>
  <c r="R123" i="27"/>
  <c r="AS123" i="27"/>
  <c r="AM123" i="27"/>
  <c r="AN123" i="27"/>
  <c r="AU63" i="27"/>
  <c r="N123" i="27"/>
  <c r="V63" i="27"/>
  <c r="W63" i="27"/>
  <c r="AV123" i="27"/>
  <c r="P63" i="27"/>
  <c r="Z123" i="27"/>
  <c r="X123" i="27"/>
  <c r="S123" i="27"/>
  <c r="Q123" i="27"/>
  <c r="U63" i="27"/>
  <c r="AC123" i="27"/>
  <c r="AQ123" i="27"/>
  <c r="AH123" i="27"/>
  <c r="K123" i="27"/>
  <c r="AQ63" i="27"/>
  <c r="Z63" i="27"/>
  <c r="AG123" i="27"/>
  <c r="AZ63" i="27"/>
  <c r="M123" i="27"/>
  <c r="Y63" i="27"/>
  <c r="AD63" i="27"/>
  <c r="AW123" i="27"/>
  <c r="R63" i="27"/>
  <c r="L63" i="27"/>
  <c r="AA63" i="27"/>
  <c r="AN63" i="27"/>
  <c r="AA123" i="27"/>
  <c r="AB63" i="27"/>
  <c r="AJ63" i="27"/>
  <c r="AL63" i="27"/>
  <c r="AH63" i="27"/>
  <c r="J123" i="27"/>
  <c r="AL123" i="27"/>
  <c r="L123" i="27"/>
  <c r="AD123" i="27"/>
  <c r="BD63" i="27"/>
  <c r="BC63" i="27"/>
  <c r="G14" i="37"/>
  <c r="AW63" i="27"/>
  <c r="I63" i="27"/>
  <c r="G15" i="37"/>
  <c r="BA63" i="27"/>
  <c r="G6" i="37"/>
  <c r="BB63" i="27"/>
  <c r="BE63" i="27"/>
  <c r="G5" i="37"/>
  <c r="R6" i="105" l="1"/>
  <c r="Q29" i="105"/>
  <c r="E58" i="80"/>
  <c r="G35" i="80"/>
  <c r="C41" i="37"/>
  <c r="E22" i="46" s="1"/>
  <c r="C68" i="37"/>
  <c r="AZ135" i="27"/>
  <c r="G54" i="37"/>
  <c r="Q66" i="37"/>
  <c r="G66" i="37"/>
  <c r="F33" i="37"/>
  <c r="E80" i="46" s="1"/>
  <c r="F35" i="37"/>
  <c r="E82" i="46" s="1"/>
  <c r="F36" i="37"/>
  <c r="E83" i="46" s="1"/>
  <c r="F32" i="37"/>
  <c r="E79" i="46" s="1"/>
  <c r="Q63" i="37"/>
  <c r="G63" i="37"/>
  <c r="N68" i="37"/>
  <c r="E91" i="27"/>
  <c r="Q64" i="37"/>
  <c r="G64" i="37"/>
  <c r="F34" i="37"/>
  <c r="E81" i="46" s="1"/>
  <c r="Q62" i="37"/>
  <c r="G62" i="37"/>
  <c r="Q67" i="37"/>
  <c r="G67" i="37"/>
  <c r="E129" i="27"/>
  <c r="I28" i="37"/>
  <c r="BG131" i="27"/>
  <c r="C29" i="37"/>
  <c r="E10" i="46" s="1"/>
  <c r="F31" i="37"/>
  <c r="E78" i="46" s="1"/>
  <c r="F30" i="37"/>
  <c r="E77" i="46" s="1"/>
  <c r="BH129" i="27"/>
  <c r="I135" i="27"/>
  <c r="BG123" i="27"/>
  <c r="BH91" i="27"/>
  <c r="BH90" i="27"/>
  <c r="BG63" i="27"/>
  <c r="BG134" i="27"/>
  <c r="F131" i="27"/>
  <c r="E131" i="27" s="1"/>
  <c r="F123" i="27"/>
  <c r="AH135" i="27"/>
  <c r="K135" i="27"/>
  <c r="W135" i="27"/>
  <c r="V135" i="27"/>
  <c r="AW135" i="27"/>
  <c r="AX135" i="27"/>
  <c r="AF65" i="46"/>
  <c r="F134" i="27"/>
  <c r="E134" i="27" s="1"/>
  <c r="J135" i="27"/>
  <c r="F9" i="46"/>
  <c r="AG31" i="46"/>
  <c r="AF43" i="46"/>
  <c r="E90" i="27"/>
  <c r="F28" i="37"/>
  <c r="D22" i="31"/>
  <c r="D24" i="31" s="1"/>
  <c r="D9" i="31"/>
  <c r="D11" i="31"/>
  <c r="D10" i="31"/>
  <c r="D12" i="31"/>
  <c r="D14" i="31"/>
  <c r="D13" i="31"/>
  <c r="F21" i="37"/>
  <c r="F22" i="37" s="1"/>
  <c r="AF9" i="46"/>
  <c r="G42" i="37"/>
  <c r="E96" i="46" s="1"/>
  <c r="M42" i="37"/>
  <c r="F8" i="46" s="1"/>
  <c r="M40" i="37"/>
  <c r="AG65" i="46" s="1"/>
  <c r="G40" i="37"/>
  <c r="AF60" i="46"/>
  <c r="AF59" i="46"/>
  <c r="AF58" i="46"/>
  <c r="AF57" i="46"/>
  <c r="AF63" i="46"/>
  <c r="AF61" i="46"/>
  <c r="AF66" i="46"/>
  <c r="AF62" i="46"/>
  <c r="AF64" i="46"/>
  <c r="AF54" i="46"/>
  <c r="AF55" i="46"/>
  <c r="J125" i="27"/>
  <c r="AX125" i="27"/>
  <c r="AE125" i="27"/>
  <c r="AE136" i="27" s="1"/>
  <c r="AS125" i="27"/>
  <c r="AS136" i="27" s="1"/>
  <c r="U125" i="27"/>
  <c r="U136" i="27" s="1"/>
  <c r="AU125" i="27"/>
  <c r="AU136" i="27" s="1"/>
  <c r="AG125" i="27"/>
  <c r="AG136" i="27" s="1"/>
  <c r="O125" i="27"/>
  <c r="O136" i="27" s="1"/>
  <c r="AR125" i="27"/>
  <c r="AR136" i="27" s="1"/>
  <c r="AI125" i="27"/>
  <c r="AI136" i="27" s="1"/>
  <c r="S125" i="27"/>
  <c r="S136" i="27" s="1"/>
  <c r="AO125" i="27"/>
  <c r="AO136" i="27" s="1"/>
  <c r="P125" i="27"/>
  <c r="P136" i="27" s="1"/>
  <c r="AT125" i="27"/>
  <c r="AT136" i="27" s="1"/>
  <c r="T125" i="27"/>
  <c r="T136" i="27" s="1"/>
  <c r="AV125" i="27"/>
  <c r="AV136" i="27" s="1"/>
  <c r="M125" i="27"/>
  <c r="M136" i="27" s="1"/>
  <c r="AN125" i="27"/>
  <c r="AN136" i="27" s="1"/>
  <c r="AM125" i="27"/>
  <c r="AM136" i="27" s="1"/>
  <c r="AB125" i="27"/>
  <c r="AB136" i="27" s="1"/>
  <c r="W125" i="27"/>
  <c r="K125" i="27"/>
  <c r="AP125" i="27"/>
  <c r="AP136" i="27" s="1"/>
  <c r="R125" i="27"/>
  <c r="R136" i="27" s="1"/>
  <c r="AY125" i="27"/>
  <c r="AY136" i="27" s="1"/>
  <c r="D5" i="37"/>
  <c r="D19" i="37"/>
  <c r="D15" i="37"/>
  <c r="AF125" i="27"/>
  <c r="AF136" i="27" s="1"/>
  <c r="D6" i="37"/>
  <c r="D20" i="37"/>
  <c r="AJ125" i="27"/>
  <c r="AJ136" i="27" s="1"/>
  <c r="E14" i="37"/>
  <c r="H14" i="37" s="1"/>
  <c r="D14" i="37"/>
  <c r="D16" i="37"/>
  <c r="D17" i="37"/>
  <c r="D7" i="37"/>
  <c r="BD125" i="27"/>
  <c r="BD136" i="27" s="1"/>
  <c r="D18" i="37"/>
  <c r="F46" i="36"/>
  <c r="F52" i="36" s="1"/>
  <c r="E59" i="36"/>
  <c r="E62" i="36" s="1"/>
  <c r="Y125" i="27"/>
  <c r="Y136" i="27" s="1"/>
  <c r="V125" i="27"/>
  <c r="AC125" i="27"/>
  <c r="AC136" i="27" s="1"/>
  <c r="X125" i="27"/>
  <c r="X136" i="27" s="1"/>
  <c r="AK125" i="27"/>
  <c r="AK136" i="27" s="1"/>
  <c r="Q125" i="27"/>
  <c r="Q136" i="27" s="1"/>
  <c r="AH125" i="27"/>
  <c r="N125" i="27"/>
  <c r="N136" i="27" s="1"/>
  <c r="AZ125" i="27"/>
  <c r="Z125" i="27"/>
  <c r="Z136" i="27" s="1"/>
  <c r="AQ125" i="27"/>
  <c r="AQ136" i="27" s="1"/>
  <c r="AW125" i="27"/>
  <c r="AA125" i="27"/>
  <c r="AA136" i="27" s="1"/>
  <c r="E5" i="37"/>
  <c r="H5" i="37" s="1"/>
  <c r="E6" i="37"/>
  <c r="H6" i="37" s="1"/>
  <c r="AD125" i="27"/>
  <c r="AD136" i="27" s="1"/>
  <c r="L125" i="27"/>
  <c r="L136" i="27" s="1"/>
  <c r="E18" i="37"/>
  <c r="H18" i="37" s="1"/>
  <c r="AL125" i="27"/>
  <c r="AL136" i="27" s="1"/>
  <c r="E52" i="36"/>
  <c r="E56" i="36" s="1"/>
  <c r="E7" i="37"/>
  <c r="H7" i="37" s="1"/>
  <c r="E17" i="37"/>
  <c r="H17" i="37" s="1"/>
  <c r="BC125" i="27"/>
  <c r="BC136" i="27" s="1"/>
  <c r="I125" i="27"/>
  <c r="E20" i="37"/>
  <c r="H20" i="37" s="1"/>
  <c r="G21" i="37"/>
  <c r="G22" i="37" s="1"/>
  <c r="BE125" i="27"/>
  <c r="BE136" i="27" s="1"/>
  <c r="E19" i="37"/>
  <c r="H19" i="37" s="1"/>
  <c r="BA125" i="27"/>
  <c r="BA136" i="27" s="1"/>
  <c r="E15" i="37"/>
  <c r="H15" i="37" s="1"/>
  <c r="E16" i="37"/>
  <c r="H16" i="37" s="1"/>
  <c r="BB125" i="27"/>
  <c r="BB136" i="27" s="1"/>
  <c r="K35" i="80" l="1"/>
  <c r="G58" i="80"/>
  <c r="BH63" i="27"/>
  <c r="AZ136" i="27"/>
  <c r="G65" i="37"/>
  <c r="Q65" i="37"/>
  <c r="Q58" i="37"/>
  <c r="Q60" i="37"/>
  <c r="G58" i="37"/>
  <c r="G56" i="37"/>
  <c r="G60" i="37"/>
  <c r="Q57" i="37"/>
  <c r="F125" i="27"/>
  <c r="F138" i="27" s="1"/>
  <c r="Q52" i="37"/>
  <c r="Q59" i="37"/>
  <c r="Q55" i="37"/>
  <c r="G55" i="37"/>
  <c r="Q56" i="37"/>
  <c r="G61" i="37"/>
  <c r="G52" i="37"/>
  <c r="G59" i="37"/>
  <c r="Q54" i="37"/>
  <c r="E123" i="27"/>
  <c r="G57" i="37"/>
  <c r="Q61" i="37"/>
  <c r="G28" i="37"/>
  <c r="E97" i="46" s="1"/>
  <c r="E75" i="46"/>
  <c r="J40" i="37"/>
  <c r="K40" i="37" s="1"/>
  <c r="E109" i="46"/>
  <c r="F109" i="46" s="1"/>
  <c r="I43" i="37"/>
  <c r="S28" i="37"/>
  <c r="S43" i="37" s="1"/>
  <c r="J42" i="37"/>
  <c r="K42" i="37" s="1"/>
  <c r="I136" i="27"/>
  <c r="BH123" i="27"/>
  <c r="BG135" i="27"/>
  <c r="BH134" i="27"/>
  <c r="BH131" i="27"/>
  <c r="F135" i="27"/>
  <c r="E135" i="27"/>
  <c r="P28" i="37"/>
  <c r="Q28" i="37" s="1"/>
  <c r="E130" i="46"/>
  <c r="AG9" i="46"/>
  <c r="E68" i="46"/>
  <c r="E117" i="46"/>
  <c r="AH136" i="27"/>
  <c r="AW136" i="27"/>
  <c r="W136" i="27"/>
  <c r="K136" i="27"/>
  <c r="AX136" i="27"/>
  <c r="V136" i="27"/>
  <c r="AF30" i="46"/>
  <c r="F43" i="37"/>
  <c r="J136" i="27"/>
  <c r="E119" i="46"/>
  <c r="AF32" i="46"/>
  <c r="E127" i="46"/>
  <c r="AF40" i="46"/>
  <c r="E122" i="46"/>
  <c r="AF35" i="46"/>
  <c r="E121" i="46"/>
  <c r="AF34" i="46"/>
  <c r="E131" i="46"/>
  <c r="AF44" i="46"/>
  <c r="E123" i="46"/>
  <c r="AF36" i="46"/>
  <c r="F21" i="46"/>
  <c r="AG43" i="46"/>
  <c r="E120" i="46"/>
  <c r="AF33" i="46"/>
  <c r="E126" i="46"/>
  <c r="AF39" i="46"/>
  <c r="E124" i="46"/>
  <c r="AF37" i="46"/>
  <c r="E129" i="46"/>
  <c r="AF42" i="46"/>
  <c r="AF41" i="46"/>
  <c r="AF38" i="46"/>
  <c r="E19" i="31"/>
  <c r="E18" i="31"/>
  <c r="E8" i="31"/>
  <c r="E13" i="31"/>
  <c r="E21" i="31"/>
  <c r="E11" i="31"/>
  <c r="E16" i="31"/>
  <c r="E14" i="31"/>
  <c r="E15" i="31"/>
  <c r="E10" i="31"/>
  <c r="E7" i="31"/>
  <c r="E9" i="31"/>
  <c r="E20" i="31"/>
  <c r="E17" i="31"/>
  <c r="E12" i="31"/>
  <c r="E6" i="31"/>
  <c r="Q42" i="37"/>
  <c r="P36" i="37"/>
  <c r="F83" i="46" s="1"/>
  <c r="P31" i="37"/>
  <c r="F78" i="46" s="1"/>
  <c r="AF80" i="46"/>
  <c r="P30" i="37"/>
  <c r="F77" i="46" s="1"/>
  <c r="P34" i="37"/>
  <c r="F81" i="46" s="1"/>
  <c r="P32" i="37"/>
  <c r="F79" i="46" s="1"/>
  <c r="P35" i="37"/>
  <c r="F82" i="46" s="1"/>
  <c r="AF21" i="46"/>
  <c r="Q40" i="37"/>
  <c r="T40" i="37" s="1"/>
  <c r="U40" i="37" s="1"/>
  <c r="G39" i="37"/>
  <c r="G38" i="37"/>
  <c r="G37" i="37"/>
  <c r="C43" i="37"/>
  <c r="M35" i="37"/>
  <c r="AG60" i="46" s="1"/>
  <c r="G35" i="37"/>
  <c r="M29" i="37"/>
  <c r="AG54" i="46" s="1"/>
  <c r="G29" i="37"/>
  <c r="M32" i="37"/>
  <c r="AG57" i="46" s="1"/>
  <c r="G32" i="37"/>
  <c r="M31" i="37"/>
  <c r="AG56" i="46" s="1"/>
  <c r="G31" i="37"/>
  <c r="M41" i="37"/>
  <c r="AG66" i="46" s="1"/>
  <c r="G41" i="37"/>
  <c r="M33" i="37"/>
  <c r="AG58" i="46" s="1"/>
  <c r="G33" i="37"/>
  <c r="M30" i="37"/>
  <c r="AG55" i="46" s="1"/>
  <c r="G30" i="37"/>
  <c r="M36" i="37"/>
  <c r="AG61" i="46" s="1"/>
  <c r="G36" i="37"/>
  <c r="M34" i="37"/>
  <c r="AG59" i="46" s="1"/>
  <c r="G34" i="37"/>
  <c r="M37" i="37"/>
  <c r="AG62" i="46" s="1"/>
  <c r="M39" i="37"/>
  <c r="AG64" i="46" s="1"/>
  <c r="M38" i="37"/>
  <c r="AG63" i="46" s="1"/>
  <c r="P33" i="37"/>
  <c r="F80" i="46" s="1"/>
  <c r="C20" i="37"/>
  <c r="C7" i="37"/>
  <c r="C16" i="37"/>
  <c r="C15" i="37"/>
  <c r="C19" i="37"/>
  <c r="C17" i="37"/>
  <c r="C14" i="37"/>
  <c r="C18" i="37"/>
  <c r="C5" i="37"/>
  <c r="C6" i="37"/>
  <c r="D21" i="37"/>
  <c r="D22" i="37" s="1"/>
  <c r="F56" i="36"/>
  <c r="F64" i="36" s="1"/>
  <c r="BG125" i="27"/>
  <c r="E21" i="37"/>
  <c r="K58" i="80" l="1"/>
  <c r="K61" i="80" s="1"/>
  <c r="M68" i="37"/>
  <c r="E125" i="27"/>
  <c r="E138" i="27" s="1"/>
  <c r="E139" i="27" s="1"/>
  <c r="F139" i="27"/>
  <c r="J28" i="37"/>
  <c r="K28" i="37" s="1"/>
  <c r="AF130" i="46"/>
  <c r="J37" i="37"/>
  <c r="K37" i="37" s="1"/>
  <c r="E106" i="46"/>
  <c r="F106" i="46" s="1"/>
  <c r="J34" i="37"/>
  <c r="K34" i="37" s="1"/>
  <c r="E103" i="46"/>
  <c r="F103" i="46" s="1"/>
  <c r="J30" i="37"/>
  <c r="K30" i="37" s="1"/>
  <c r="E99" i="46"/>
  <c r="J41" i="37"/>
  <c r="K41" i="37" s="1"/>
  <c r="E110" i="46"/>
  <c r="F110" i="46" s="1"/>
  <c r="J32" i="37"/>
  <c r="K32" i="37" s="1"/>
  <c r="E101" i="46"/>
  <c r="J35" i="37"/>
  <c r="K35" i="37" s="1"/>
  <c r="E104" i="46"/>
  <c r="F104" i="46" s="1"/>
  <c r="J38" i="37"/>
  <c r="K38" i="37" s="1"/>
  <c r="E107" i="46"/>
  <c r="F107" i="46" s="1"/>
  <c r="J39" i="37"/>
  <c r="K39" i="37" s="1"/>
  <c r="E108" i="46"/>
  <c r="F108" i="46" s="1"/>
  <c r="J36" i="37"/>
  <c r="K36" i="37" s="1"/>
  <c r="E105" i="46"/>
  <c r="F105" i="46" s="1"/>
  <c r="J33" i="37"/>
  <c r="K33" i="37" s="1"/>
  <c r="E102" i="46"/>
  <c r="J31" i="37"/>
  <c r="K31" i="37" s="1"/>
  <c r="E100" i="46"/>
  <c r="J29" i="37"/>
  <c r="K29" i="37" s="1"/>
  <c r="E98" i="46"/>
  <c r="T28" i="37"/>
  <c r="U28" i="37" s="1"/>
  <c r="T42" i="37"/>
  <c r="U42" i="37" s="1"/>
  <c r="F75" i="46"/>
  <c r="A109" i="46"/>
  <c r="F97" i="46"/>
  <c r="BH135" i="27"/>
  <c r="B109" i="46"/>
  <c r="F130" i="46"/>
  <c r="E125" i="46"/>
  <c r="E118" i="46"/>
  <c r="E128" i="46"/>
  <c r="AF8" i="46"/>
  <c r="AF52" i="46"/>
  <c r="F68" i="46"/>
  <c r="F117" i="46"/>
  <c r="AF46" i="46"/>
  <c r="P43" i="37"/>
  <c r="AG21" i="46"/>
  <c r="F18" i="46"/>
  <c r="AG40" i="46"/>
  <c r="F17" i="46"/>
  <c r="AG39" i="46"/>
  <c r="F14" i="46"/>
  <c r="AG36" i="46"/>
  <c r="F12" i="46"/>
  <c r="AG34" i="46"/>
  <c r="F10" i="46"/>
  <c r="AG32" i="46"/>
  <c r="AG30" i="46"/>
  <c r="F19" i="46"/>
  <c r="AG41" i="46"/>
  <c r="F15" i="46"/>
  <c r="AG37" i="46"/>
  <c r="F11" i="46"/>
  <c r="AG33" i="46"/>
  <c r="F22" i="46"/>
  <c r="AG44" i="46"/>
  <c r="F13" i="46"/>
  <c r="AG35" i="46"/>
  <c r="F16" i="46"/>
  <c r="AG38" i="46"/>
  <c r="F20" i="46"/>
  <c r="AG42" i="46"/>
  <c r="AF75" i="46"/>
  <c r="E22" i="31"/>
  <c r="G43" i="37"/>
  <c r="AF13" i="46"/>
  <c r="AF17" i="46"/>
  <c r="AF15" i="46"/>
  <c r="AF16" i="46"/>
  <c r="AF82" i="46"/>
  <c r="AF81" i="46"/>
  <c r="AF78" i="46"/>
  <c r="AF79" i="46"/>
  <c r="AF77" i="46"/>
  <c r="E90" i="46"/>
  <c r="AF83" i="46"/>
  <c r="AF12" i="46"/>
  <c r="AF14" i="46"/>
  <c r="AF10" i="46"/>
  <c r="AF22" i="46"/>
  <c r="AF11" i="46"/>
  <c r="Q37" i="37"/>
  <c r="T37" i="37" s="1"/>
  <c r="U37" i="37" s="1"/>
  <c r="Q36" i="37"/>
  <c r="T36" i="37" s="1"/>
  <c r="U36" i="37" s="1"/>
  <c r="Q31" i="37"/>
  <c r="T31" i="37" s="1"/>
  <c r="U31" i="37" s="1"/>
  <c r="Q29" i="37"/>
  <c r="T29" i="37" s="1"/>
  <c r="U29" i="37" s="1"/>
  <c r="Q38" i="37"/>
  <c r="T38" i="37" s="1"/>
  <c r="U38" i="37" s="1"/>
  <c r="Q34" i="37"/>
  <c r="T34" i="37" s="1"/>
  <c r="U34" i="37" s="1"/>
  <c r="Q30" i="37"/>
  <c r="T30" i="37" s="1"/>
  <c r="U30" i="37" s="1"/>
  <c r="Q41" i="37"/>
  <c r="T41" i="37" s="1"/>
  <c r="U41" i="37" s="1"/>
  <c r="Q32" i="37"/>
  <c r="T32" i="37" s="1"/>
  <c r="U32" i="37" s="1"/>
  <c r="Q35" i="37"/>
  <c r="T35" i="37" s="1"/>
  <c r="U35" i="37" s="1"/>
  <c r="Q39" i="37"/>
  <c r="T39" i="37" s="1"/>
  <c r="U39" i="37" s="1"/>
  <c r="AF18" i="46"/>
  <c r="AF19" i="46"/>
  <c r="E24" i="46"/>
  <c r="AF20" i="46"/>
  <c r="Q33" i="37"/>
  <c r="T33" i="37" s="1"/>
  <c r="U33" i="37" s="1"/>
  <c r="M43" i="37"/>
  <c r="BH125" i="27"/>
  <c r="C21" i="37"/>
  <c r="C22" i="37" s="1"/>
  <c r="H21" i="37"/>
  <c r="H22" i="37" s="1"/>
  <c r="E22" i="37"/>
  <c r="U43" i="37" l="1"/>
  <c r="K43" i="37"/>
  <c r="Q53" i="37"/>
  <c r="G53" i="37"/>
  <c r="F68" i="37"/>
  <c r="AI130" i="46"/>
  <c r="AF127" i="46"/>
  <c r="AF120" i="46"/>
  <c r="AG130" i="46"/>
  <c r="AF129" i="46"/>
  <c r="AF131" i="46"/>
  <c r="AF119" i="46"/>
  <c r="AF68" i="46"/>
  <c r="AF123" i="46"/>
  <c r="AF128" i="46"/>
  <c r="AF118" i="46"/>
  <c r="F124" i="46"/>
  <c r="F98" i="46"/>
  <c r="F119" i="46"/>
  <c r="AG75" i="46"/>
  <c r="F125" i="46"/>
  <c r="F102" i="46"/>
  <c r="B102" i="46" s="1"/>
  <c r="F120" i="46"/>
  <c r="F100" i="46"/>
  <c r="B100" i="46" s="1"/>
  <c r="F101" i="46"/>
  <c r="B101" i="46" s="1"/>
  <c r="F99" i="46"/>
  <c r="F126" i="46"/>
  <c r="J43" i="37"/>
  <c r="T43" i="37"/>
  <c r="A101" i="46"/>
  <c r="A99" i="46"/>
  <c r="A106" i="46"/>
  <c r="A102" i="46"/>
  <c r="A110" i="46"/>
  <c r="F118" i="46"/>
  <c r="B97" i="46"/>
  <c r="A105" i="46"/>
  <c r="A103" i="46"/>
  <c r="E111" i="46"/>
  <c r="A107" i="46"/>
  <c r="A104" i="46"/>
  <c r="A100" i="46"/>
  <c r="A98" i="46"/>
  <c r="A108" i="46"/>
  <c r="A97" i="46"/>
  <c r="AF125" i="46"/>
  <c r="AF124" i="46"/>
  <c r="AF122" i="46"/>
  <c r="AF121" i="46"/>
  <c r="AF117" i="46"/>
  <c r="AF126" i="46"/>
  <c r="F121" i="46"/>
  <c r="B110" i="46"/>
  <c r="F131" i="46"/>
  <c r="F123" i="46"/>
  <c r="B106" i="46"/>
  <c r="F127" i="46"/>
  <c r="B108" i="46"/>
  <c r="F129" i="46"/>
  <c r="F122" i="46"/>
  <c r="B107" i="46"/>
  <c r="F128" i="46"/>
  <c r="AG11" i="46"/>
  <c r="B105" i="46"/>
  <c r="AG16" i="46"/>
  <c r="B104" i="46"/>
  <c r="B103" i="46"/>
  <c r="AG8" i="46"/>
  <c r="AG52" i="46"/>
  <c r="AG46" i="46"/>
  <c r="AG17" i="46"/>
  <c r="AG22" i="46"/>
  <c r="AG12" i="46"/>
  <c r="AG15" i="46"/>
  <c r="AG10" i="46"/>
  <c r="AG13" i="46"/>
  <c r="AG80" i="46"/>
  <c r="AG14" i="46"/>
  <c r="F24" i="46"/>
  <c r="AF90" i="46"/>
  <c r="AG81" i="46"/>
  <c r="AG82" i="46"/>
  <c r="AG77" i="46"/>
  <c r="F90" i="46"/>
  <c r="AG79" i="46"/>
  <c r="AG78" i="46"/>
  <c r="AG83" i="46"/>
  <c r="Q43" i="37"/>
  <c r="AF24" i="46"/>
  <c r="AG20" i="46"/>
  <c r="AG18" i="46"/>
  <c r="E132" i="46"/>
  <c r="AG19" i="46"/>
  <c r="P68" i="37" l="1"/>
  <c r="T53" i="37"/>
  <c r="Q68" i="37"/>
  <c r="J53" i="37"/>
  <c r="G68" i="37"/>
  <c r="AF111" i="46"/>
  <c r="AG111" i="46" s="1"/>
  <c r="AI125" i="46"/>
  <c r="AI131" i="46"/>
  <c r="AI126" i="46"/>
  <c r="AI124" i="46"/>
  <c r="AJ130" i="46"/>
  <c r="AI121" i="46"/>
  <c r="AI117" i="46"/>
  <c r="AI128" i="46"/>
  <c r="AI127" i="46"/>
  <c r="AI122" i="46"/>
  <c r="AI118" i="46"/>
  <c r="AI123" i="46"/>
  <c r="AI119" i="46"/>
  <c r="AI129" i="46"/>
  <c r="AI120" i="46"/>
  <c r="AG128" i="46"/>
  <c r="AJ128" i="46" s="1"/>
  <c r="AG127" i="46"/>
  <c r="AG131" i="46"/>
  <c r="AG68" i="46"/>
  <c r="AG129" i="46"/>
  <c r="AJ129" i="46" s="1"/>
  <c r="AG118" i="46"/>
  <c r="B98" i="46"/>
  <c r="B99" i="46"/>
  <c r="F96" i="46"/>
  <c r="A96" i="46"/>
  <c r="AG123" i="46"/>
  <c r="AG120" i="46"/>
  <c r="AG126" i="46"/>
  <c r="AG117" i="46"/>
  <c r="AG125" i="46"/>
  <c r="AG119" i="46"/>
  <c r="AG121" i="46"/>
  <c r="AG124" i="46"/>
  <c r="AG122" i="46"/>
  <c r="AF132" i="46"/>
  <c r="AG90" i="46"/>
  <c r="F132" i="46"/>
  <c r="AG24" i="46"/>
  <c r="U53" i="37" l="1"/>
  <c r="K53" i="37"/>
  <c r="AJ120" i="46"/>
  <c r="AJ125" i="46"/>
  <c r="AJ123" i="46"/>
  <c r="AJ131" i="46"/>
  <c r="AJ122" i="46"/>
  <c r="AJ124" i="46"/>
  <c r="AJ117" i="46"/>
  <c r="AJ119" i="46"/>
  <c r="AJ121" i="46"/>
  <c r="AJ126" i="46"/>
  <c r="AJ118" i="46"/>
  <c r="AJ127" i="46"/>
  <c r="F111" i="46"/>
  <c r="B96" i="46"/>
  <c r="AG132" i="46"/>
  <c r="H68" i="37" l="1"/>
  <c r="R68" i="37" l="1"/>
  <c r="T59" i="37" l="1"/>
  <c r="U59" i="37" s="1"/>
  <c r="J59" i="37"/>
  <c r="K59" i="37" s="1"/>
  <c r="T66" i="37"/>
  <c r="U66" i="37" s="1"/>
  <c r="J66" i="37"/>
  <c r="K66" i="37" s="1"/>
  <c r="T58" i="37"/>
  <c r="U58" i="37" s="1"/>
  <c r="J58" i="37"/>
  <c r="K58" i="37" s="1"/>
  <c r="T65" i="37"/>
  <c r="U65" i="37" s="1"/>
  <c r="J65" i="37"/>
  <c r="K65" i="37" s="1"/>
  <c r="T57" i="37"/>
  <c r="U57" i="37" s="1"/>
  <c r="J57" i="37"/>
  <c r="K57" i="37" s="1"/>
  <c r="J52" i="37"/>
  <c r="I68" i="37" l="1"/>
  <c r="T67" i="37"/>
  <c r="U67" i="37" s="1"/>
  <c r="J67" i="37"/>
  <c r="K67" i="37" s="1"/>
  <c r="T61" i="37"/>
  <c r="U61" i="37" s="1"/>
  <c r="J61" i="37"/>
  <c r="K61" i="37" s="1"/>
  <c r="T54" i="37"/>
  <c r="U54" i="37" s="1"/>
  <c r="J54" i="37"/>
  <c r="K54" i="37" s="1"/>
  <c r="T56" i="37"/>
  <c r="U56" i="37" s="1"/>
  <c r="J56" i="37"/>
  <c r="K56" i="37" s="1"/>
  <c r="T60" i="37"/>
  <c r="U60" i="37" s="1"/>
  <c r="J60" i="37"/>
  <c r="K60" i="37" s="1"/>
  <c r="T64" i="37"/>
  <c r="U64" i="37" s="1"/>
  <c r="J64" i="37"/>
  <c r="K64" i="37" s="1"/>
  <c r="T62" i="37"/>
  <c r="U62" i="37" s="1"/>
  <c r="J62" i="37"/>
  <c r="K62" i="37" s="1"/>
  <c r="T63" i="37"/>
  <c r="U63" i="37" s="1"/>
  <c r="J63" i="37"/>
  <c r="K63" i="37" s="1"/>
  <c r="T55" i="37"/>
  <c r="U55" i="37" s="1"/>
  <c r="J55" i="37"/>
  <c r="K55" i="37" s="1"/>
  <c r="K52" i="37"/>
  <c r="T52" i="37"/>
  <c r="K68" i="37" l="1"/>
  <c r="J68" i="37"/>
  <c r="S68" i="37"/>
  <c r="U52" i="37"/>
  <c r="U68" i="37" s="1"/>
  <c r="T68"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Kim</author>
  </authors>
  <commentList>
    <comment ref="M4" authorId="0" shapeId="0" xr:uid="{00000000-0006-0000-0100-000001000000}">
      <text>
        <r>
          <rPr>
            <b/>
            <sz val="9"/>
            <color indexed="81"/>
            <rFont val="Tahoma"/>
            <family val="2"/>
          </rPr>
          <t>Andrew Kim:</t>
        </r>
        <r>
          <rPr>
            <sz val="9"/>
            <color indexed="81"/>
            <rFont val="Tahoma"/>
            <family val="2"/>
          </rPr>
          <t xml:space="preserve">
2020 allocation % applied to 2020 amount
2019 allocation % appplied to 2019 amount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Saravanan Rajendran</author>
    <author>tc={A4E6B268-F4B9-413A-B72A-28D38CDBB1DA}</author>
  </authors>
  <commentList>
    <comment ref="C5" authorId="0" shapeId="0" xr:uid="{00000000-0006-0000-1500-000001000000}">
      <text>
        <r>
          <rPr>
            <b/>
            <sz val="9"/>
            <color indexed="81"/>
            <rFont val="Tahoma"/>
            <family val="2"/>
          </rPr>
          <t>Saravanan Rajendran:</t>
        </r>
        <r>
          <rPr>
            <sz val="9"/>
            <color indexed="81"/>
            <rFont val="Tahoma"/>
            <family val="2"/>
          </rPr>
          <t xml:space="preserve">
From CAM Composites 2019-08-30</t>
        </r>
      </text>
    </comment>
    <comment ref="D5" authorId="0" shapeId="0" xr:uid="{00000000-0006-0000-1500-000002000000}">
      <text>
        <r>
          <rPr>
            <b/>
            <sz val="9"/>
            <color indexed="81"/>
            <rFont val="Tahoma"/>
            <family val="2"/>
          </rPr>
          <t>Saravanan Rajendran:</t>
        </r>
        <r>
          <rPr>
            <sz val="9"/>
            <color indexed="81"/>
            <rFont val="Tahoma"/>
            <family val="2"/>
          </rPr>
          <t xml:space="preserve">
From CAM Composites 2019-08-30</t>
        </r>
      </text>
    </comment>
    <comment ref="E5" authorId="0" shapeId="0" xr:uid="{00000000-0006-0000-1500-000003000000}">
      <text>
        <r>
          <rPr>
            <b/>
            <sz val="9"/>
            <color indexed="81"/>
            <rFont val="Tahoma"/>
            <family val="2"/>
          </rPr>
          <t>Saravanan Rajendran:</t>
        </r>
        <r>
          <rPr>
            <sz val="9"/>
            <color indexed="81"/>
            <rFont val="Tahoma"/>
            <family val="2"/>
          </rPr>
          <t xml:space="preserve">
2019 06 Utilities Inc Headcount Report</t>
        </r>
      </text>
    </comment>
    <comment ref="F5" authorId="0" shapeId="0" xr:uid="{00000000-0006-0000-1500-000004000000}">
      <text>
        <r>
          <rPr>
            <b/>
            <sz val="9"/>
            <color indexed="81"/>
            <rFont val="Tahoma"/>
            <family val="2"/>
          </rPr>
          <t>Saravanan Rajendran:</t>
        </r>
        <r>
          <rPr>
            <sz val="9"/>
            <color indexed="81"/>
            <rFont val="Tahoma"/>
            <family val="2"/>
          </rPr>
          <t xml:space="preserve">
From "ERC 2019 - DOWNLOADED 2019_09_19"</t>
        </r>
      </text>
    </comment>
    <comment ref="C6" authorId="0" shapeId="0" xr:uid="{00000000-0006-0000-1500-000005000000}">
      <text>
        <r>
          <rPr>
            <b/>
            <sz val="9"/>
            <color indexed="81"/>
            <rFont val="Tahoma"/>
            <family val="2"/>
          </rPr>
          <t>Saravanan Rajendran:</t>
        </r>
        <r>
          <rPr>
            <sz val="9"/>
            <color indexed="81"/>
            <rFont val="Tahoma"/>
            <family val="2"/>
          </rPr>
          <t xml:space="preserve">
From CAM Composites 2019-08-30</t>
        </r>
      </text>
    </comment>
    <comment ref="D6" authorId="0" shapeId="0" xr:uid="{00000000-0006-0000-1500-000006000000}">
      <text>
        <r>
          <rPr>
            <b/>
            <sz val="9"/>
            <color indexed="81"/>
            <rFont val="Tahoma"/>
            <family val="2"/>
          </rPr>
          <t>Saravanan Rajendran:</t>
        </r>
        <r>
          <rPr>
            <sz val="9"/>
            <color indexed="81"/>
            <rFont val="Tahoma"/>
            <family val="2"/>
          </rPr>
          <t xml:space="preserve">
From CAM Composites 2019-08-30</t>
        </r>
      </text>
    </comment>
    <comment ref="E6" authorId="0" shapeId="0" xr:uid="{00000000-0006-0000-1500-000007000000}">
      <text>
        <r>
          <rPr>
            <b/>
            <sz val="9"/>
            <color indexed="81"/>
            <rFont val="Tahoma"/>
            <family val="2"/>
          </rPr>
          <t>Saravanan Rajendran:</t>
        </r>
        <r>
          <rPr>
            <sz val="9"/>
            <color indexed="81"/>
            <rFont val="Tahoma"/>
            <family val="2"/>
          </rPr>
          <t xml:space="preserve">
2019 06 Utilities Inc Headcount Report</t>
        </r>
      </text>
    </comment>
    <comment ref="F6" authorId="0" shapeId="0" xr:uid="{00000000-0006-0000-1500-000008000000}">
      <text>
        <r>
          <rPr>
            <b/>
            <sz val="9"/>
            <color indexed="81"/>
            <rFont val="Tahoma"/>
            <family val="2"/>
          </rPr>
          <t>Saravanan Rajendran:</t>
        </r>
        <r>
          <rPr>
            <sz val="9"/>
            <color indexed="81"/>
            <rFont val="Tahoma"/>
            <family val="2"/>
          </rPr>
          <t xml:space="preserve">
From "ERC 2019 - DOWNLOADED 2019_09_19"</t>
        </r>
      </text>
    </comment>
    <comment ref="C7" authorId="0" shapeId="0" xr:uid="{00000000-0006-0000-1500-000009000000}">
      <text>
        <r>
          <rPr>
            <b/>
            <sz val="9"/>
            <color indexed="81"/>
            <rFont val="Tahoma"/>
            <family val="2"/>
          </rPr>
          <t>Saravanan Rajendran:</t>
        </r>
        <r>
          <rPr>
            <sz val="9"/>
            <color indexed="81"/>
            <rFont val="Tahoma"/>
            <family val="2"/>
          </rPr>
          <t xml:space="preserve">
From CAM Composites 2019-08-30</t>
        </r>
      </text>
    </comment>
    <comment ref="D7" authorId="0" shapeId="0" xr:uid="{00000000-0006-0000-1500-00000A000000}">
      <text>
        <r>
          <rPr>
            <b/>
            <sz val="9"/>
            <color indexed="81"/>
            <rFont val="Tahoma"/>
            <family val="2"/>
          </rPr>
          <t>Saravanan Rajendran:</t>
        </r>
        <r>
          <rPr>
            <sz val="9"/>
            <color indexed="81"/>
            <rFont val="Tahoma"/>
            <family val="2"/>
          </rPr>
          <t xml:space="preserve">
From CAM Composites 2019-08-30</t>
        </r>
      </text>
    </comment>
    <comment ref="E7" authorId="0" shapeId="0" xr:uid="{00000000-0006-0000-1500-00000B000000}">
      <text>
        <r>
          <rPr>
            <b/>
            <sz val="9"/>
            <color indexed="81"/>
            <rFont val="Tahoma"/>
            <family val="2"/>
          </rPr>
          <t>Saravanan Rajendran:</t>
        </r>
        <r>
          <rPr>
            <sz val="9"/>
            <color indexed="81"/>
            <rFont val="Tahoma"/>
            <family val="2"/>
          </rPr>
          <t xml:space="preserve">
2019 06 Utilities Inc Headcount Report</t>
        </r>
      </text>
    </comment>
    <comment ref="F7" authorId="0" shapeId="0" xr:uid="{00000000-0006-0000-1500-00000C000000}">
      <text>
        <r>
          <rPr>
            <b/>
            <sz val="9"/>
            <color indexed="81"/>
            <rFont val="Tahoma"/>
            <family val="2"/>
          </rPr>
          <t>Saravanan Rajendran:</t>
        </r>
        <r>
          <rPr>
            <sz val="9"/>
            <color indexed="81"/>
            <rFont val="Tahoma"/>
            <family val="2"/>
          </rPr>
          <t xml:space="preserve">
From "ERC 2019 - DOWNLOADED 2019_09_19"</t>
        </r>
      </text>
    </comment>
    <comment ref="C8" authorId="0" shapeId="0" xr:uid="{00000000-0006-0000-1500-00000D000000}">
      <text>
        <r>
          <rPr>
            <b/>
            <sz val="9"/>
            <color indexed="81"/>
            <rFont val="Tahoma"/>
            <family val="2"/>
          </rPr>
          <t>Saravanan Rajendran:</t>
        </r>
        <r>
          <rPr>
            <sz val="9"/>
            <color indexed="81"/>
            <rFont val="Tahoma"/>
            <family val="2"/>
          </rPr>
          <t xml:space="preserve">
From CAM Composites 2019-08-30</t>
        </r>
      </text>
    </comment>
    <comment ref="D8" authorId="0" shapeId="0" xr:uid="{00000000-0006-0000-1500-00000E000000}">
      <text>
        <r>
          <rPr>
            <b/>
            <sz val="9"/>
            <color indexed="81"/>
            <rFont val="Tahoma"/>
            <family val="2"/>
          </rPr>
          <t>Saravanan Rajendran:</t>
        </r>
        <r>
          <rPr>
            <sz val="9"/>
            <color indexed="81"/>
            <rFont val="Tahoma"/>
            <family val="2"/>
          </rPr>
          <t xml:space="preserve">
From CAM Composites 2019-08-30</t>
        </r>
      </text>
    </comment>
    <comment ref="E8" authorId="0" shapeId="0" xr:uid="{00000000-0006-0000-1500-00000F000000}">
      <text>
        <r>
          <rPr>
            <b/>
            <sz val="9"/>
            <color indexed="81"/>
            <rFont val="Tahoma"/>
            <family val="2"/>
          </rPr>
          <t>Saravanan Rajendran:</t>
        </r>
        <r>
          <rPr>
            <sz val="9"/>
            <color indexed="81"/>
            <rFont val="Tahoma"/>
            <family val="2"/>
          </rPr>
          <t xml:space="preserve">
2019 06 Utilities Inc Headcount Report</t>
        </r>
      </text>
    </comment>
    <comment ref="F8" authorId="0" shapeId="0" xr:uid="{00000000-0006-0000-1500-000010000000}">
      <text>
        <r>
          <rPr>
            <b/>
            <sz val="9"/>
            <color indexed="81"/>
            <rFont val="Tahoma"/>
            <family val="2"/>
          </rPr>
          <t>Saravanan Rajendran:</t>
        </r>
        <r>
          <rPr>
            <sz val="9"/>
            <color indexed="81"/>
            <rFont val="Tahoma"/>
            <family val="2"/>
          </rPr>
          <t xml:space="preserve">
From "ERC 2019 - DOWNLOADED 2019_09_19"</t>
        </r>
      </text>
    </comment>
    <comment ref="C9" authorId="0" shapeId="0" xr:uid="{00000000-0006-0000-1500-000011000000}">
      <text>
        <r>
          <rPr>
            <b/>
            <sz val="9"/>
            <color indexed="81"/>
            <rFont val="Tahoma"/>
            <family val="2"/>
          </rPr>
          <t>Saravanan Rajendran:</t>
        </r>
        <r>
          <rPr>
            <sz val="9"/>
            <color indexed="81"/>
            <rFont val="Tahoma"/>
            <family val="2"/>
          </rPr>
          <t xml:space="preserve">
From CAM Composites 2019-08-30</t>
        </r>
      </text>
    </comment>
    <comment ref="D9" authorId="0" shapeId="0" xr:uid="{00000000-0006-0000-1500-000012000000}">
      <text>
        <r>
          <rPr>
            <b/>
            <sz val="9"/>
            <color indexed="81"/>
            <rFont val="Tahoma"/>
            <family val="2"/>
          </rPr>
          <t>Saravanan Rajendran:</t>
        </r>
        <r>
          <rPr>
            <sz val="9"/>
            <color indexed="81"/>
            <rFont val="Tahoma"/>
            <family val="2"/>
          </rPr>
          <t xml:space="preserve">
From CAM Composites 2019-08-30</t>
        </r>
      </text>
    </comment>
    <comment ref="E9" authorId="0" shapeId="0" xr:uid="{00000000-0006-0000-1500-000013000000}">
      <text>
        <r>
          <rPr>
            <b/>
            <sz val="9"/>
            <color indexed="81"/>
            <rFont val="Tahoma"/>
            <family val="2"/>
          </rPr>
          <t>Saravanan Rajendran:</t>
        </r>
        <r>
          <rPr>
            <sz val="9"/>
            <color indexed="81"/>
            <rFont val="Tahoma"/>
            <family val="2"/>
          </rPr>
          <t xml:space="preserve">
2019 06 Utilities Inc Headcount Report</t>
        </r>
      </text>
    </comment>
    <comment ref="F9" authorId="0" shapeId="0" xr:uid="{00000000-0006-0000-1500-000014000000}">
      <text>
        <r>
          <rPr>
            <b/>
            <sz val="9"/>
            <color indexed="81"/>
            <rFont val="Tahoma"/>
            <family val="2"/>
          </rPr>
          <t>Saravanan Rajendran:</t>
        </r>
        <r>
          <rPr>
            <sz val="9"/>
            <color indexed="81"/>
            <rFont val="Tahoma"/>
            <family val="2"/>
          </rPr>
          <t xml:space="preserve">
From "ERC 2019 - DOWNLOADED 2019_09_19"</t>
        </r>
      </text>
    </comment>
    <comment ref="C10" authorId="0" shapeId="0" xr:uid="{00000000-0006-0000-1500-000015000000}">
      <text>
        <r>
          <rPr>
            <b/>
            <sz val="9"/>
            <color indexed="81"/>
            <rFont val="Tahoma"/>
            <family val="2"/>
          </rPr>
          <t>Saravanan Rajendran:</t>
        </r>
        <r>
          <rPr>
            <sz val="9"/>
            <color indexed="81"/>
            <rFont val="Tahoma"/>
            <family val="2"/>
          </rPr>
          <t xml:space="preserve">
From CAM Composites 2019-08-30</t>
        </r>
      </text>
    </comment>
    <comment ref="D10" authorId="0" shapeId="0" xr:uid="{00000000-0006-0000-1500-000016000000}">
      <text>
        <r>
          <rPr>
            <b/>
            <sz val="9"/>
            <color indexed="81"/>
            <rFont val="Tahoma"/>
            <family val="2"/>
          </rPr>
          <t>Saravanan Rajendran:</t>
        </r>
        <r>
          <rPr>
            <sz val="9"/>
            <color indexed="81"/>
            <rFont val="Tahoma"/>
            <family val="2"/>
          </rPr>
          <t xml:space="preserve">
From CAM Composites 2019-08-30</t>
        </r>
      </text>
    </comment>
    <comment ref="E10" authorId="0" shapeId="0" xr:uid="{00000000-0006-0000-1500-000017000000}">
      <text>
        <r>
          <rPr>
            <b/>
            <sz val="9"/>
            <color indexed="81"/>
            <rFont val="Tahoma"/>
            <family val="2"/>
          </rPr>
          <t>Saravanan Rajendran:</t>
        </r>
        <r>
          <rPr>
            <sz val="9"/>
            <color indexed="81"/>
            <rFont val="Tahoma"/>
            <family val="2"/>
          </rPr>
          <t xml:space="preserve">
2019 06 Utilities Inc Headcount Report</t>
        </r>
      </text>
    </comment>
    <comment ref="F10" authorId="0" shapeId="0" xr:uid="{00000000-0006-0000-1500-000018000000}">
      <text>
        <r>
          <rPr>
            <b/>
            <sz val="9"/>
            <color indexed="81"/>
            <rFont val="Tahoma"/>
            <family val="2"/>
          </rPr>
          <t>Saravanan Rajendran:</t>
        </r>
        <r>
          <rPr>
            <sz val="9"/>
            <color indexed="81"/>
            <rFont val="Tahoma"/>
            <family val="2"/>
          </rPr>
          <t xml:space="preserve">
From "ERC 2019 - DOWNLOADED 2019_09_19"</t>
        </r>
      </text>
    </comment>
    <comment ref="C12" authorId="0" shapeId="0" xr:uid="{00000000-0006-0000-1500-000019000000}">
      <text>
        <r>
          <rPr>
            <b/>
            <sz val="9"/>
            <color indexed="81"/>
            <rFont val="Tahoma"/>
            <family val="2"/>
          </rPr>
          <t>Saravanan Rajendran:</t>
        </r>
        <r>
          <rPr>
            <sz val="9"/>
            <color indexed="81"/>
            <rFont val="Tahoma"/>
            <family val="2"/>
          </rPr>
          <t xml:space="preserve">
GHU + CUC from CAM Composites 2019-08-30</t>
        </r>
      </text>
    </comment>
    <comment ref="D12" authorId="0" shapeId="0" xr:uid="{00000000-0006-0000-1500-00001A000000}">
      <text>
        <r>
          <rPr>
            <b/>
            <sz val="9"/>
            <color indexed="81"/>
            <rFont val="Tahoma"/>
            <family val="2"/>
          </rPr>
          <t>Saravanan Rajendran:</t>
        </r>
        <r>
          <rPr>
            <sz val="9"/>
            <color indexed="81"/>
            <rFont val="Tahoma"/>
            <family val="2"/>
          </rPr>
          <t xml:space="preserve">
GHU + CUC + USA from CAM Composites 2019-08-30</t>
        </r>
      </text>
    </comment>
    <comment ref="E12" authorId="0" shapeId="0" xr:uid="{00000000-0006-0000-1500-00001B000000}">
      <text>
        <r>
          <rPr>
            <b/>
            <sz val="9"/>
            <color indexed="81"/>
            <rFont val="Tahoma"/>
            <family val="2"/>
          </rPr>
          <t>Saravanan Rajendran:</t>
        </r>
        <r>
          <rPr>
            <sz val="9"/>
            <color indexed="81"/>
            <rFont val="Tahoma"/>
            <family val="2"/>
          </rPr>
          <t xml:space="preserve">
From "08 2019 FSW KPI Input Template Jordon" file</t>
        </r>
      </text>
    </comment>
    <comment ref="C13" authorId="0" shapeId="0" xr:uid="{00000000-0006-0000-1500-00001C000000}">
      <text>
        <r>
          <rPr>
            <b/>
            <sz val="9"/>
            <color indexed="81"/>
            <rFont val="Tahoma"/>
            <family val="2"/>
          </rPr>
          <t>Saravanan Rajendran:</t>
        </r>
        <r>
          <rPr>
            <sz val="9"/>
            <color indexed="81"/>
            <rFont val="Tahoma"/>
            <family val="2"/>
          </rPr>
          <t xml:space="preserve">
File "CAM Factors 2020 CUOK"</t>
        </r>
      </text>
    </comment>
    <comment ref="D13" authorId="0" shapeId="0" xr:uid="{00000000-0006-0000-1500-00001D000000}">
      <text>
        <r>
          <rPr>
            <b/>
            <sz val="9"/>
            <color indexed="81"/>
            <rFont val="Tahoma"/>
            <family val="2"/>
          </rPr>
          <t>Saravanan Rajendran:</t>
        </r>
        <r>
          <rPr>
            <sz val="9"/>
            <color indexed="81"/>
            <rFont val="Tahoma"/>
            <family val="2"/>
          </rPr>
          <t xml:space="preserve">
File "CAM Factors 2020 CUOK"</t>
        </r>
      </text>
    </comment>
    <comment ref="E13" authorId="0" shapeId="0" xr:uid="{00000000-0006-0000-1500-00001E000000}">
      <text>
        <r>
          <rPr>
            <b/>
            <sz val="9"/>
            <color indexed="81"/>
            <rFont val="Tahoma"/>
            <family val="2"/>
          </rPr>
          <t>Saravanan Rajendran:</t>
        </r>
        <r>
          <rPr>
            <sz val="9"/>
            <color indexed="81"/>
            <rFont val="Tahoma"/>
            <family val="2"/>
          </rPr>
          <t xml:space="preserve">
File "CAM Factors 2020 CUOK"</t>
        </r>
      </text>
    </comment>
    <comment ref="C14" authorId="0" shapeId="0" xr:uid="{00000000-0006-0000-1500-00001F000000}">
      <text>
        <r>
          <rPr>
            <b/>
            <sz val="9"/>
            <color indexed="81"/>
            <rFont val="Tahoma"/>
            <family val="2"/>
          </rPr>
          <t>Saravanan Rajendran:</t>
        </r>
        <r>
          <rPr>
            <sz val="9"/>
            <color indexed="81"/>
            <rFont val="Tahoma"/>
            <family val="2"/>
          </rPr>
          <t xml:space="preserve">
File "CAM Factors 2020 CUSGA"</t>
        </r>
      </text>
    </comment>
    <comment ref="D14" authorId="0" shapeId="0" xr:uid="{00000000-0006-0000-1500-000020000000}">
      <text>
        <r>
          <rPr>
            <b/>
            <sz val="9"/>
            <color indexed="81"/>
            <rFont val="Tahoma"/>
            <family val="2"/>
          </rPr>
          <t>Saravanan Rajendran:</t>
        </r>
        <r>
          <rPr>
            <sz val="9"/>
            <color indexed="81"/>
            <rFont val="Tahoma"/>
            <family val="2"/>
          </rPr>
          <t xml:space="preserve">
File "CAM Factors 2020 CUSGA"</t>
        </r>
      </text>
    </comment>
    <comment ref="E14" authorId="0" shapeId="0" xr:uid="{00000000-0006-0000-1500-000021000000}">
      <text>
        <r>
          <rPr>
            <b/>
            <sz val="9"/>
            <color indexed="81"/>
            <rFont val="Tahoma"/>
            <family val="2"/>
          </rPr>
          <t>Saravanan Rajendran:</t>
        </r>
        <r>
          <rPr>
            <sz val="9"/>
            <color indexed="81"/>
            <rFont val="Tahoma"/>
            <family val="2"/>
          </rPr>
          <t xml:space="preserve">
File "CAM Factors 2020 CUSGA"</t>
        </r>
      </text>
    </comment>
    <comment ref="C15" authorId="0" shapeId="0" xr:uid="{00000000-0006-0000-1500-000022000000}">
      <text>
        <r>
          <rPr>
            <b/>
            <sz val="9"/>
            <color indexed="81"/>
            <rFont val="Tahoma"/>
            <family val="2"/>
          </rPr>
          <t>Saravanan Rajendran:</t>
        </r>
        <r>
          <rPr>
            <sz val="9"/>
            <color indexed="81"/>
            <rFont val="Tahoma"/>
            <family val="2"/>
          </rPr>
          <t xml:space="preserve">
File "CAM Factors 2020 CT"</t>
        </r>
      </text>
    </comment>
    <comment ref="D15" authorId="0" shapeId="0" xr:uid="{00000000-0006-0000-1500-000023000000}">
      <text>
        <r>
          <rPr>
            <b/>
            <sz val="9"/>
            <color indexed="81"/>
            <rFont val="Tahoma"/>
            <family val="2"/>
          </rPr>
          <t>Saravanan Rajendran:</t>
        </r>
        <r>
          <rPr>
            <sz val="9"/>
            <color indexed="81"/>
            <rFont val="Tahoma"/>
            <family val="2"/>
          </rPr>
          <t xml:space="preserve">
File "CAM Factors 2020 CT"</t>
        </r>
      </text>
    </comment>
    <comment ref="E15" authorId="0" shapeId="0" xr:uid="{00000000-0006-0000-1500-000024000000}">
      <text>
        <r>
          <rPr>
            <b/>
            <sz val="9"/>
            <color indexed="81"/>
            <rFont val="Tahoma"/>
            <family val="2"/>
          </rPr>
          <t>Saravanan Rajendran:</t>
        </r>
        <r>
          <rPr>
            <sz val="9"/>
            <color indexed="81"/>
            <rFont val="Tahoma"/>
            <family val="2"/>
          </rPr>
          <t xml:space="preserve">
File "CAM Factors 2020 CT"</t>
        </r>
      </text>
    </comment>
    <comment ref="C16" authorId="0" shapeId="0" xr:uid="{00000000-0006-0000-1500-000025000000}">
      <text>
        <r>
          <rPr>
            <b/>
            <sz val="9"/>
            <color indexed="81"/>
            <rFont val="Tahoma"/>
            <family val="2"/>
          </rPr>
          <t>Saravanan Rajendran:</t>
        </r>
        <r>
          <rPr>
            <sz val="9"/>
            <color indexed="81"/>
            <rFont val="Tahoma"/>
            <family val="2"/>
          </rPr>
          <t xml:space="preserve">
File "06.19 Doyon FS Details v3"</t>
        </r>
      </text>
    </comment>
    <comment ref="D16" authorId="0" shapeId="0" xr:uid="{00000000-0006-0000-1500-000026000000}">
      <text>
        <r>
          <rPr>
            <b/>
            <sz val="9"/>
            <color indexed="81"/>
            <rFont val="Tahoma"/>
            <family val="2"/>
          </rPr>
          <t>Saravanan Rajendran:</t>
        </r>
        <r>
          <rPr>
            <sz val="9"/>
            <color indexed="81"/>
            <rFont val="Tahoma"/>
            <family val="2"/>
          </rPr>
          <t xml:space="preserve">
File "06.19 Doyon FS Details v3"</t>
        </r>
      </text>
    </comment>
    <comment ref="E16" authorId="0" shapeId="0" xr:uid="{00000000-0006-0000-1500-000027000000}">
      <text>
        <r>
          <rPr>
            <b/>
            <sz val="9"/>
            <color indexed="81"/>
            <rFont val="Tahoma"/>
            <family val="2"/>
          </rPr>
          <t>Saravanan Rajendran:</t>
        </r>
        <r>
          <rPr>
            <sz val="9"/>
            <color indexed="81"/>
            <rFont val="Tahoma"/>
            <family val="2"/>
          </rPr>
          <t xml:space="preserve">
File "06.19 Doyon FS Details v3"</t>
        </r>
      </text>
    </comment>
    <comment ref="G16" authorId="1" shapeId="0" xr:uid="{00000000-0006-0000-1500-000028000000}">
      <text>
        <t>[Threaded comment]
Your version of Excel allows you to read this threaded comment; however, any edits to it will get removed if the file is opened in a newer version of Excel. Learn more: https://go.microsoft.com/fwlink/?linkid=870924
Comment:
    Corix owns 50% of Doyon</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Lauren Manteuffel</author>
    <author>Tas Tsalamandris</author>
    <author>bwang</author>
  </authors>
  <commentList>
    <comment ref="F22" authorId="0" shapeId="0" xr:uid="{00000000-0006-0000-1600-000001000000}">
      <text>
        <r>
          <rPr>
            <b/>
            <sz val="9"/>
            <color indexed="81"/>
            <rFont val="Tahoma"/>
            <family val="2"/>
          </rPr>
          <t>Lauren Manteuffel:</t>
        </r>
        <r>
          <rPr>
            <sz val="9"/>
            <color indexed="81"/>
            <rFont val="Tahoma"/>
            <family val="2"/>
          </rPr>
          <t xml:space="preserve">
per PPA</t>
        </r>
      </text>
    </comment>
    <comment ref="F23" authorId="0" shapeId="0" xr:uid="{00000000-0006-0000-1600-000002000000}">
      <text>
        <r>
          <rPr>
            <b/>
            <sz val="9"/>
            <color indexed="81"/>
            <rFont val="Tahoma"/>
            <family val="2"/>
          </rPr>
          <t>Lauren Manteuffel:</t>
        </r>
        <r>
          <rPr>
            <sz val="9"/>
            <color indexed="81"/>
            <rFont val="Tahoma"/>
            <family val="2"/>
          </rPr>
          <t xml:space="preserve">
Per adventure bay PPA</t>
        </r>
      </text>
    </comment>
    <comment ref="F30" authorId="0" shapeId="0" xr:uid="{00000000-0006-0000-1600-000003000000}">
      <text>
        <r>
          <rPr>
            <b/>
            <sz val="9"/>
            <color indexed="81"/>
            <rFont val="Tahoma"/>
            <family val="2"/>
          </rPr>
          <t>Lauren Manteuffel:</t>
        </r>
        <r>
          <rPr>
            <sz val="9"/>
            <color indexed="81"/>
            <rFont val="Tahoma"/>
            <family val="2"/>
          </rPr>
          <t xml:space="preserve">
ADD Intangibles balance from CDN utilities - concession accounting</t>
        </r>
      </text>
    </comment>
    <comment ref="B45" authorId="0" shapeId="0" xr:uid="{00000000-0006-0000-1600-000004000000}">
      <text>
        <r>
          <rPr>
            <b/>
            <sz val="9"/>
            <color indexed="81"/>
            <rFont val="Tahoma"/>
            <family val="2"/>
          </rPr>
          <t>Lauren Manteuffel:</t>
        </r>
        <r>
          <rPr>
            <sz val="9"/>
            <color indexed="81"/>
            <rFont val="Tahoma"/>
            <family val="2"/>
          </rPr>
          <t xml:space="preserve">
Eastern Canada Group</t>
        </r>
      </text>
    </comment>
    <comment ref="B60" authorId="0" shapeId="0" xr:uid="{00000000-0006-0000-1600-000005000000}">
      <text>
        <r>
          <rPr>
            <b/>
            <sz val="9"/>
            <color indexed="81"/>
            <rFont val="Tahoma"/>
            <family val="2"/>
          </rPr>
          <t>Lauren Manteuffel:</t>
        </r>
        <r>
          <rPr>
            <sz val="9"/>
            <color indexed="81"/>
            <rFont val="Tahoma"/>
            <family val="2"/>
          </rPr>
          <t xml:space="preserve">
allocated to sewer</t>
        </r>
      </text>
    </comment>
    <comment ref="B61" authorId="0" shapeId="0" xr:uid="{00000000-0006-0000-1600-000006000000}">
      <text>
        <r>
          <rPr>
            <b/>
            <sz val="9"/>
            <color indexed="81"/>
            <rFont val="Tahoma"/>
            <family val="2"/>
          </rPr>
          <t>Lauren Manteuffel:</t>
        </r>
        <r>
          <rPr>
            <sz val="9"/>
            <color indexed="81"/>
            <rFont val="Tahoma"/>
            <family val="2"/>
          </rPr>
          <t xml:space="preserve">
allocated to electric</t>
        </r>
      </text>
    </comment>
    <comment ref="F79" authorId="1" shapeId="0" xr:uid="{00000000-0006-0000-1600-000007000000}">
      <text>
        <r>
          <rPr>
            <b/>
            <sz val="9"/>
            <color indexed="81"/>
            <rFont val="Tahoma"/>
            <family val="2"/>
          </rPr>
          <t>Tas Tsalamandris:</t>
        </r>
        <r>
          <rPr>
            <sz val="9"/>
            <color indexed="81"/>
            <rFont val="Tahoma"/>
            <family val="2"/>
          </rPr>
          <t xml:space="preserve">
Per Travis;
Hi Silvana,
I am good with the assumptions you have made. For DGE, I saw Ron’s comment and while it is true that the biomass plant does not run, it does contain certain components that still carry significant value and to completely remove the entire gasifier system from our insurance policy does not seem wise. I would leave it in at the $7M for 2020 and we can revisit this in 2020 for future years when we have more time.
Thanks, 
Travis Hickford-Kulak
Phone 604.455.3649 | Cell 604.786.2040
</t>
        </r>
      </text>
    </comment>
    <comment ref="E80" authorId="2" shapeId="0" xr:uid="{00000000-0006-0000-1600-000008000000}">
      <text>
        <r>
          <rPr>
            <b/>
            <sz val="9"/>
            <color indexed="81"/>
            <rFont val="Tahoma"/>
            <family val="2"/>
          </rPr>
          <t>bwang:</t>
        </r>
        <r>
          <rPr>
            <sz val="9"/>
            <color indexed="81"/>
            <rFont val="Tahoma"/>
            <family val="2"/>
          </rPr>
          <t xml:space="preserve">
Admin $0</t>
        </r>
      </text>
    </comment>
    <comment ref="E88" authorId="2" shapeId="0" xr:uid="{00000000-0006-0000-1600-000009000000}">
      <text>
        <r>
          <rPr>
            <b/>
            <sz val="9"/>
            <color indexed="81"/>
            <rFont val="Tahoma"/>
            <family val="2"/>
          </rPr>
          <t>bwang:</t>
        </r>
        <r>
          <rPr>
            <sz val="9"/>
            <color indexed="81"/>
            <rFont val="Tahoma"/>
            <family val="2"/>
          </rPr>
          <t xml:space="preserve">
Admin 6520 $0</t>
        </r>
      </text>
    </comment>
    <comment ref="E89" authorId="2" shapeId="0" xr:uid="{00000000-0006-0000-1600-00000A000000}">
      <text>
        <r>
          <rPr>
            <b/>
            <sz val="9"/>
            <color indexed="81"/>
            <rFont val="Tahoma"/>
            <family val="2"/>
          </rPr>
          <t>bwang:</t>
        </r>
        <r>
          <rPr>
            <sz val="9"/>
            <color indexed="81"/>
            <rFont val="Tahoma"/>
            <family val="2"/>
          </rPr>
          <t xml:space="preserve">
Admin 6510 $0</t>
        </r>
      </text>
    </comment>
    <comment ref="B94" authorId="0" shapeId="0" xr:uid="{00000000-0006-0000-1600-00000B000000}">
      <text>
        <r>
          <rPr>
            <b/>
            <sz val="9"/>
            <color indexed="81"/>
            <rFont val="Tahoma"/>
            <family val="2"/>
          </rPr>
          <t>Lauren Manteuffel:</t>
        </r>
        <r>
          <rPr>
            <sz val="9"/>
            <color indexed="81"/>
            <rFont val="Tahoma"/>
            <family val="2"/>
          </rPr>
          <t xml:space="preserve">
Allocated to Kootney Ops
</t>
        </r>
      </text>
    </comment>
    <comment ref="B97" authorId="0" shapeId="0" xr:uid="{00000000-0006-0000-1600-00000C000000}">
      <text>
        <r>
          <rPr>
            <b/>
            <sz val="9"/>
            <color indexed="81"/>
            <rFont val="Tahoma"/>
            <family val="2"/>
          </rPr>
          <t>Lauren Manteuffel:</t>
        </r>
        <r>
          <rPr>
            <sz val="9"/>
            <color indexed="81"/>
            <rFont val="Tahoma"/>
            <family val="2"/>
          </rPr>
          <t xml:space="preserve">
Allocated to AB Ops (South)
</t>
        </r>
      </text>
    </comment>
    <comment ref="B99" authorId="0" shapeId="0" xr:uid="{00000000-0006-0000-1600-00000D000000}">
      <text>
        <r>
          <rPr>
            <b/>
            <sz val="9"/>
            <color indexed="81"/>
            <rFont val="Tahoma"/>
            <family val="2"/>
          </rPr>
          <t>Lauren Manteuffel:</t>
        </r>
        <r>
          <rPr>
            <sz val="9"/>
            <color indexed="81"/>
            <rFont val="Tahoma"/>
            <family val="2"/>
          </rPr>
          <t xml:space="preserve">
Eastern Canada Group</t>
        </r>
      </text>
    </comment>
    <comment ref="E101" authorId="2" shapeId="0" xr:uid="{00000000-0006-0000-1600-00000E000000}">
      <text>
        <r>
          <rPr>
            <b/>
            <sz val="9"/>
            <color indexed="81"/>
            <rFont val="Tahoma"/>
            <family val="2"/>
          </rPr>
          <t>bwang:</t>
        </r>
        <r>
          <rPr>
            <sz val="9"/>
            <color indexed="81"/>
            <rFont val="Tahoma"/>
            <family val="2"/>
          </rPr>
          <t xml:space="preserve">
no transactions as per Janet</t>
        </r>
      </text>
    </comment>
    <comment ref="B102" authorId="0" shapeId="0" xr:uid="{00000000-0006-0000-1600-00000F000000}">
      <text>
        <r>
          <rPr>
            <b/>
            <sz val="9"/>
            <color indexed="81"/>
            <rFont val="Tahoma"/>
            <family val="2"/>
          </rPr>
          <t>Lauren Manteuffel:</t>
        </r>
        <r>
          <rPr>
            <sz val="9"/>
            <color indexed="81"/>
            <rFont val="Tahoma"/>
            <family val="2"/>
          </rPr>
          <t xml:space="preserve">
allocated to Westshore</t>
        </r>
      </text>
    </comment>
    <comment ref="B103" authorId="0" shapeId="0" xr:uid="{00000000-0006-0000-1600-000010000000}">
      <text>
        <r>
          <rPr>
            <b/>
            <sz val="9"/>
            <color indexed="81"/>
            <rFont val="Tahoma"/>
            <family val="2"/>
          </rPr>
          <t>Lauren Manteuffel:</t>
        </r>
        <r>
          <rPr>
            <sz val="9"/>
            <color indexed="81"/>
            <rFont val="Tahoma"/>
            <family val="2"/>
          </rPr>
          <t xml:space="preserve">
allocated to SFU
</t>
        </r>
      </text>
    </comment>
    <comment ref="B104" authorId="0" shapeId="0" xr:uid="{00000000-0006-0000-1600-000011000000}">
      <text>
        <r>
          <rPr>
            <b/>
            <sz val="9"/>
            <color indexed="81"/>
            <rFont val="Tahoma"/>
            <family val="2"/>
          </rPr>
          <t>Lauren Manteuffel:</t>
        </r>
        <r>
          <rPr>
            <sz val="9"/>
            <color indexed="81"/>
            <rFont val="Tahoma"/>
            <family val="2"/>
          </rPr>
          <t xml:space="preserve">
allocated to foothills</t>
        </r>
      </text>
    </comment>
    <comment ref="B133" authorId="0" shapeId="0" xr:uid="{00000000-0006-0000-1600-000012000000}">
      <text>
        <r>
          <rPr>
            <b/>
            <sz val="9"/>
            <color indexed="81"/>
            <rFont val="Tahoma"/>
            <family val="2"/>
          </rPr>
          <t>Lauren Manteuffel:</t>
        </r>
        <r>
          <rPr>
            <sz val="9"/>
            <color indexed="81"/>
            <rFont val="Tahoma"/>
            <family val="2"/>
          </rPr>
          <t xml:space="preserve">
50/50 weighted Plant/Rev no headcount</t>
        </r>
      </text>
    </comment>
    <comment ref="B140" authorId="0" shapeId="0" xr:uid="{00000000-0006-0000-1600-000013000000}">
      <text>
        <r>
          <rPr>
            <b/>
            <sz val="9"/>
            <color indexed="81"/>
            <rFont val="Tahoma"/>
            <family val="2"/>
          </rPr>
          <t>Lauren Manteuffel:</t>
        </r>
        <r>
          <rPr>
            <sz val="9"/>
            <color indexed="81"/>
            <rFont val="Tahoma"/>
            <family val="2"/>
          </rPr>
          <t xml:space="preserve">
50/50 weighted Plant/Rev no headcount</t>
        </r>
      </text>
    </comment>
    <comment ref="B164" authorId="0" shapeId="0" xr:uid="{00000000-0006-0000-1600-000014000000}">
      <text>
        <r>
          <rPr>
            <b/>
            <sz val="9"/>
            <color indexed="81"/>
            <rFont val="Tahoma"/>
            <family val="2"/>
          </rPr>
          <t>Lauren Manteuffel:</t>
        </r>
        <r>
          <rPr>
            <sz val="9"/>
            <color indexed="81"/>
            <rFont val="Tahoma"/>
            <family val="2"/>
          </rPr>
          <t xml:space="preserve">
50/50 weighted Plant/Rev no headcount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Andrew Kim</author>
  </authors>
  <commentList>
    <comment ref="C2" authorId="0" shapeId="0" xr:uid="{00000000-0006-0000-1700-000001000000}">
      <text>
        <r>
          <rPr>
            <b/>
            <sz val="8"/>
            <color indexed="81"/>
            <rFont val="Tahoma"/>
            <family val="2"/>
          </rPr>
          <t>Andrew Kim:</t>
        </r>
        <r>
          <rPr>
            <sz val="8"/>
            <color indexed="81"/>
            <rFont val="Tahoma"/>
            <family val="2"/>
          </rPr>
          <t xml:space="preserve">
net amount after cross charging CISUS (then column D doesn't seem to be populated with correct figures)
, but okay for JE purpose as none of WSC remaining costs has been picked up</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abacalso</author>
    <author>Andrew Kim</author>
  </authors>
  <commentList>
    <comment ref="E7" authorId="0" shapeId="0" xr:uid="{00000000-0006-0000-1A00-000001000000}">
      <text>
        <r>
          <rPr>
            <b/>
            <sz val="9"/>
            <color indexed="81"/>
            <rFont val="Tahoma"/>
            <family val="2"/>
          </rPr>
          <t>Andrew Kim:</t>
        </r>
        <r>
          <rPr>
            <sz val="9"/>
            <color indexed="81"/>
            <rFont val="Tahoma"/>
            <family val="2"/>
          </rPr>
          <t xml:space="preserve">
less CISCO depreciaiton included as part of Shared Services below =&gt; corrected FA card in NAV as of May 1st 2019. (so including only 4 months of adjustment)</t>
        </r>
      </text>
    </comment>
    <comment ref="F8" authorId="1" shapeId="0" xr:uid="{00000000-0006-0000-1A00-000002000000}">
      <text>
        <r>
          <rPr>
            <b/>
            <sz val="9"/>
            <color indexed="81"/>
            <rFont val="Tahoma"/>
            <family val="2"/>
          </rPr>
          <t>Andrew Kim:</t>
        </r>
        <r>
          <rPr>
            <sz val="9"/>
            <color indexed="81"/>
            <rFont val="Tahoma"/>
            <family val="2"/>
          </rPr>
          <t xml:space="preserve">
need to split to Corporate and Shared Services portion</t>
        </r>
      </text>
    </comment>
    <comment ref="S61" authorId="1" shapeId="0" xr:uid="{00000000-0006-0000-1A00-000003000000}">
      <text>
        <r>
          <rPr>
            <b/>
            <sz val="9"/>
            <color indexed="81"/>
            <rFont val="Tahoma"/>
            <family val="2"/>
          </rPr>
          <t>Andrew Kim:</t>
        </r>
        <r>
          <rPr>
            <sz val="9"/>
            <color indexed="81"/>
            <rFont val="Tahoma"/>
            <family val="2"/>
          </rPr>
          <t xml:space="preserve">
LTIP not removed from CII yet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Andrew Kim</author>
    <author>Lauren Manteuffel</author>
  </authors>
  <commentList>
    <comment ref="D3" authorId="0" shapeId="0" xr:uid="{00000000-0006-0000-1B00-000001000000}">
      <text>
        <r>
          <rPr>
            <b/>
            <sz val="8"/>
            <color indexed="81"/>
            <rFont val="Tahoma"/>
            <family val="2"/>
          </rPr>
          <t>Andrew Kim:</t>
        </r>
        <r>
          <rPr>
            <sz val="8"/>
            <color indexed="81"/>
            <rFont val="Tahoma"/>
            <family val="2"/>
          </rPr>
          <t xml:space="preserve">
check against I36</t>
        </r>
      </text>
    </comment>
    <comment ref="E3" authorId="0" shapeId="0" xr:uid="{00000000-0006-0000-1B00-000002000000}">
      <text>
        <r>
          <rPr>
            <b/>
            <sz val="8"/>
            <color indexed="81"/>
            <rFont val="Tahoma"/>
            <family val="2"/>
          </rPr>
          <t>Andrew Kim:</t>
        </r>
        <r>
          <rPr>
            <sz val="8"/>
            <color indexed="81"/>
            <rFont val="Tahoma"/>
            <family val="2"/>
          </rPr>
          <t xml:space="preserve">
check against F67</t>
        </r>
      </text>
    </comment>
    <comment ref="D8" authorId="1" shapeId="0" xr:uid="{00000000-0006-0000-1B00-000003000000}">
      <text>
        <r>
          <rPr>
            <b/>
            <sz val="9"/>
            <color indexed="81"/>
            <rFont val="Tahoma"/>
            <family val="2"/>
          </rPr>
          <t>Lauren Manteuffel:</t>
        </r>
        <r>
          <rPr>
            <sz val="9"/>
            <color indexed="81"/>
            <rFont val="Tahoma"/>
            <family val="2"/>
          </rPr>
          <t xml:space="preserve">
CEO cost centre less: rent (line below)
</t>
        </r>
      </text>
    </comment>
    <comment ref="A10" authorId="1" shapeId="0" xr:uid="{00000000-0006-0000-1B00-000004000000}">
      <text>
        <r>
          <rPr>
            <b/>
            <sz val="9"/>
            <color indexed="81"/>
            <rFont val="Tahoma"/>
            <family val="2"/>
          </rPr>
          <t>Lauren Manteuffel:</t>
        </r>
        <r>
          <rPr>
            <sz val="9"/>
            <color indexed="81"/>
            <rFont val="Tahoma"/>
            <family val="2"/>
          </rPr>
          <t xml:space="preserve">
licenses for state registration, ecodistricts - marketing/sponsorship + conference
</t>
        </r>
      </text>
    </comment>
    <comment ref="A14" authorId="1" shapeId="0" xr:uid="{00000000-0006-0000-1B00-000005000000}">
      <text>
        <r>
          <rPr>
            <b/>
            <sz val="9"/>
            <color indexed="81"/>
            <rFont val="Tahoma"/>
            <family val="2"/>
          </rPr>
          <t>Lauren Manteuffel:</t>
        </r>
        <r>
          <rPr>
            <sz val="9"/>
            <color indexed="81"/>
            <rFont val="Tahoma"/>
            <family val="2"/>
          </rPr>
          <t xml:space="preserve">
HR program that couldn't be allocated by headcount. US Contract.
</t>
        </r>
      </text>
    </comment>
    <comment ref="A15" authorId="1" shapeId="0" xr:uid="{00000000-0006-0000-1B00-000006000000}">
      <text>
        <r>
          <rPr>
            <b/>
            <sz val="9"/>
            <color indexed="81"/>
            <rFont val="Tahoma"/>
            <family val="2"/>
          </rPr>
          <t>Lauren Manteuffel:</t>
        </r>
        <r>
          <rPr>
            <sz val="9"/>
            <color indexed="81"/>
            <rFont val="Tahoma"/>
            <family val="2"/>
          </rPr>
          <t xml:space="preserve">
Legal budget allocated to all - legal support has been pushed down into CUI in dept 6700. </t>
        </r>
      </text>
    </comment>
    <comment ref="D38" authorId="1" shapeId="0" xr:uid="{00000000-0006-0000-1B00-000007000000}">
      <text>
        <r>
          <rPr>
            <b/>
            <sz val="9"/>
            <color indexed="81"/>
            <rFont val="Tahoma"/>
            <family val="2"/>
          </rPr>
          <t>Lauren Manteuffel:</t>
        </r>
        <r>
          <rPr>
            <sz val="9"/>
            <color indexed="81"/>
            <rFont val="Tahoma"/>
            <family val="2"/>
          </rPr>
          <t xml:space="preserve">
 Ken/David K. + Legal</t>
        </r>
      </text>
    </comment>
    <comment ref="D39" authorId="1" shapeId="0" xr:uid="{00000000-0006-0000-1B00-000008000000}">
      <text>
        <r>
          <rPr>
            <b/>
            <sz val="9"/>
            <color indexed="81"/>
            <rFont val="Tahoma"/>
            <family val="2"/>
          </rPr>
          <t>Lauren Manteuffel:</t>
        </r>
        <r>
          <rPr>
            <sz val="9"/>
            <color indexed="81"/>
            <rFont val="Tahoma"/>
            <family val="2"/>
          </rPr>
          <t xml:space="preserve">
Langley Gateway included. All to CDN Contract. Net of rev from products.</t>
        </r>
      </text>
    </comment>
    <comment ref="D40" authorId="1" shapeId="0" xr:uid="{00000000-0006-0000-1B00-000009000000}">
      <text>
        <r>
          <rPr>
            <b/>
            <sz val="9"/>
            <color indexed="81"/>
            <rFont val="Tahoma"/>
            <family val="2"/>
          </rPr>
          <t>Lauren Manteuffel:</t>
        </r>
        <r>
          <rPr>
            <sz val="9"/>
            <color indexed="81"/>
            <rFont val="Tahoma"/>
            <family val="2"/>
          </rPr>
          <t xml:space="preserve">
 Removed interco interest expense.</t>
        </r>
      </text>
    </comment>
    <comment ref="D48" authorId="0" shapeId="0" xr:uid="{00000000-0006-0000-1B00-00000A000000}">
      <text>
        <r>
          <rPr>
            <b/>
            <sz val="9"/>
            <color indexed="81"/>
            <rFont val="Tahoma"/>
            <family val="2"/>
          </rPr>
          <t>Andrew Kim:</t>
        </r>
        <r>
          <rPr>
            <sz val="9"/>
            <color indexed="81"/>
            <rFont val="Tahoma"/>
            <family val="2"/>
          </rPr>
          <t xml:space="preserve">
Special Project + COO office</t>
        </r>
      </text>
    </comment>
    <comment ref="C69" authorId="0" shapeId="0" xr:uid="{00000000-0006-0000-1B00-00000B000000}">
      <text>
        <r>
          <rPr>
            <b/>
            <sz val="9"/>
            <color indexed="81"/>
            <rFont val="Tahoma"/>
            <family val="2"/>
          </rPr>
          <t>Andrew Kim:</t>
        </r>
        <r>
          <rPr>
            <sz val="9"/>
            <color indexed="81"/>
            <rFont val="Tahoma"/>
            <family val="2"/>
          </rPr>
          <t xml:space="preserve">
If $CDN, markup to US companies only, not CDN companies (vice versa)</t>
        </r>
      </text>
    </comment>
    <comment ref="D72" authorId="1" shapeId="0" xr:uid="{00000000-0006-0000-1B00-00000C000000}">
      <text>
        <r>
          <rPr>
            <b/>
            <sz val="9"/>
            <color indexed="81"/>
            <rFont val="Tahoma"/>
            <family val="2"/>
          </rPr>
          <t>Lauren Manteuffel:</t>
        </r>
        <r>
          <rPr>
            <sz val="9"/>
            <color indexed="81"/>
            <rFont val="Tahoma"/>
            <family val="2"/>
          </rPr>
          <t xml:space="preserve">
CEO cost centre less: rent (line below)
</t>
        </r>
      </text>
    </comment>
    <comment ref="A74" authorId="1" shapeId="0" xr:uid="{00000000-0006-0000-1B00-00000D000000}">
      <text>
        <r>
          <rPr>
            <b/>
            <sz val="9"/>
            <color indexed="81"/>
            <rFont val="Tahoma"/>
            <family val="2"/>
          </rPr>
          <t>Lauren Manteuffel:</t>
        </r>
        <r>
          <rPr>
            <sz val="9"/>
            <color indexed="81"/>
            <rFont val="Tahoma"/>
            <family val="2"/>
          </rPr>
          <t xml:space="preserve">
licenses for state registration, ecodistricts - marketing/sponsorship + conference
</t>
        </r>
      </text>
    </comment>
    <comment ref="D75" authorId="1" shapeId="0" xr:uid="{00000000-0006-0000-1B00-00000E000000}">
      <text>
        <r>
          <rPr>
            <b/>
            <sz val="9"/>
            <color indexed="81"/>
            <rFont val="Tahoma"/>
            <family val="2"/>
          </rPr>
          <t>Lauren Manteuffel:</t>
        </r>
        <r>
          <rPr>
            <sz val="9"/>
            <color indexed="81"/>
            <rFont val="Tahoma"/>
            <family val="2"/>
          </rPr>
          <t xml:space="preserve">
Includes $162K depreciation for Hyperion - see note on assumptions page.</t>
        </r>
      </text>
    </comment>
    <comment ref="D76" authorId="1" shapeId="0" xr:uid="{00000000-0006-0000-1B00-00000F000000}">
      <text>
        <r>
          <rPr>
            <b/>
            <sz val="9"/>
            <color indexed="81"/>
            <rFont val="Tahoma"/>
            <family val="2"/>
          </rPr>
          <t>Lauren Manteuffel:</t>
        </r>
        <r>
          <rPr>
            <sz val="9"/>
            <color indexed="81"/>
            <rFont val="Tahoma"/>
            <family val="2"/>
          </rPr>
          <t xml:space="preserve">
1.08M of depreciation moved to 8033. Relates to IT SS per CV 1/3/2019</t>
        </r>
      </text>
    </comment>
    <comment ref="A78" authorId="1" shapeId="0" xr:uid="{00000000-0006-0000-1B00-000010000000}">
      <text>
        <r>
          <rPr>
            <b/>
            <sz val="9"/>
            <color indexed="81"/>
            <rFont val="Tahoma"/>
            <family val="2"/>
          </rPr>
          <t>Lauren Manteuffel:</t>
        </r>
        <r>
          <rPr>
            <sz val="9"/>
            <color indexed="81"/>
            <rFont val="Tahoma"/>
            <family val="2"/>
          </rPr>
          <t xml:space="preserve">
HR program that couldn't be allocated by headcount. US Contract.
</t>
        </r>
      </text>
    </comment>
    <comment ref="A79" authorId="1" shapeId="0" xr:uid="{00000000-0006-0000-1B00-000011000000}">
      <text>
        <r>
          <rPr>
            <b/>
            <sz val="9"/>
            <color indexed="81"/>
            <rFont val="Tahoma"/>
            <family val="2"/>
          </rPr>
          <t>Lauren Manteuffel:</t>
        </r>
        <r>
          <rPr>
            <sz val="9"/>
            <color indexed="81"/>
            <rFont val="Tahoma"/>
            <family val="2"/>
          </rPr>
          <t xml:space="preserve">
Legal budget allocated to all - legal support has been pushed down into CUI in dept 6700. </t>
        </r>
      </text>
    </comment>
    <comment ref="D111" authorId="1" shapeId="0" xr:uid="{00000000-0006-0000-1B00-000012000000}">
      <text>
        <r>
          <rPr>
            <b/>
            <sz val="9"/>
            <color indexed="81"/>
            <rFont val="Tahoma"/>
            <family val="2"/>
          </rPr>
          <t>Lauren Manteuffel:</t>
        </r>
        <r>
          <rPr>
            <sz val="9"/>
            <color indexed="81"/>
            <rFont val="Tahoma"/>
            <family val="2"/>
          </rPr>
          <t xml:space="preserve">
Updated per MW on 12/20/2018</t>
        </r>
      </text>
    </comment>
    <comment ref="D112" authorId="1" shapeId="0" xr:uid="{00000000-0006-0000-1B00-000013000000}">
      <text>
        <r>
          <rPr>
            <b/>
            <sz val="9"/>
            <color indexed="81"/>
            <rFont val="Tahoma"/>
            <family val="2"/>
          </rPr>
          <t>Lauren Manteuffel:</t>
        </r>
        <r>
          <rPr>
            <sz val="9"/>
            <color indexed="81"/>
            <rFont val="Tahoma"/>
            <family val="2"/>
          </rPr>
          <t xml:space="preserve">
Includes Tina/Morrigan
Number updated per MW 12/19/2018</t>
        </r>
      </text>
    </comment>
    <comment ref="G119" authorId="0" shapeId="0" xr:uid="{00000000-0006-0000-1B00-000014000000}">
      <text>
        <r>
          <rPr>
            <b/>
            <sz val="9"/>
            <color indexed="81"/>
            <rFont val="Tahoma"/>
            <family val="2"/>
          </rPr>
          <t>Andrew Kim:</t>
        </r>
        <r>
          <rPr>
            <sz val="9"/>
            <color indexed="81"/>
            <rFont val="Tahoma"/>
            <family val="2"/>
          </rPr>
          <t xml:space="preserve">
no markup to be included in the calculation</t>
        </r>
      </text>
    </comment>
    <comment ref="G121" authorId="0" shapeId="0" xr:uid="{00000000-0006-0000-1B00-000015000000}">
      <text>
        <r>
          <rPr>
            <b/>
            <sz val="9"/>
            <color indexed="81"/>
            <rFont val="Tahoma"/>
            <family val="2"/>
          </rPr>
          <t>Andrew Kim:</t>
        </r>
        <r>
          <rPr>
            <sz val="9"/>
            <color indexed="81"/>
            <rFont val="Tahoma"/>
            <family val="2"/>
          </rPr>
          <t xml:space="preserve">
no markup to be included in the calculation</t>
        </r>
      </text>
    </comment>
    <comment ref="E130" authorId="0" shapeId="0" xr:uid="{00000000-0006-0000-1B00-000016000000}">
      <text>
        <r>
          <rPr>
            <b/>
            <sz val="9"/>
            <color indexed="81"/>
            <rFont val="Tahoma"/>
            <family val="2"/>
          </rPr>
          <t>Andrew Kim:</t>
        </r>
        <r>
          <rPr>
            <sz val="9"/>
            <color indexed="81"/>
            <rFont val="Tahoma"/>
            <family val="2"/>
          </rPr>
          <t xml:space="preserve">
Note that this is simply a formula, NOT correct/final markup to allocate, which is BL130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Andrew Kim</author>
  </authors>
  <commentList>
    <comment ref="F20" authorId="0" shapeId="0" xr:uid="{00000000-0006-0000-1C00-000001000000}">
      <text>
        <r>
          <rPr>
            <b/>
            <sz val="9"/>
            <color indexed="81"/>
            <rFont val="Tahoma"/>
            <family val="2"/>
          </rPr>
          <t>Andrew Kim:</t>
        </r>
        <r>
          <rPr>
            <sz val="9"/>
            <color indexed="81"/>
            <rFont val="Tahoma"/>
            <family val="2"/>
          </rPr>
          <t xml:space="preserve">
remove interco dividend $900K</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abacalso</author>
  </authors>
  <commentList>
    <comment ref="G199" authorId="0" shapeId="0" xr:uid="{00000000-0006-0000-1D00-000001000000}">
      <text>
        <r>
          <rPr>
            <b/>
            <sz val="9"/>
            <color indexed="81"/>
            <rFont val="Tahoma"/>
            <family val="2"/>
          </rPr>
          <t>abacalso:</t>
        </r>
        <r>
          <rPr>
            <sz val="9"/>
            <color indexed="81"/>
            <rFont val="Tahoma"/>
            <family val="2"/>
          </rPr>
          <t xml:space="preserve">
Don's salary</t>
        </r>
      </text>
    </comment>
    <comment ref="H199" authorId="0" shapeId="0" xr:uid="{00000000-0006-0000-1D00-000002000000}">
      <text>
        <r>
          <rPr>
            <b/>
            <sz val="9"/>
            <color indexed="81"/>
            <rFont val="Tahoma"/>
            <family val="2"/>
          </rPr>
          <t>abacalso:</t>
        </r>
        <r>
          <rPr>
            <sz val="9"/>
            <color indexed="81"/>
            <rFont val="Tahoma"/>
            <family val="2"/>
          </rPr>
          <t xml:space="preserve">
Don's salary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Lauren Manteuffel</author>
  </authors>
  <commentList>
    <comment ref="D8" authorId="0" shapeId="0" xr:uid="{00000000-0006-0000-1F00-000001000000}">
      <text>
        <r>
          <rPr>
            <b/>
            <sz val="9"/>
            <color indexed="81"/>
            <rFont val="Tahoma"/>
            <family val="2"/>
          </rPr>
          <t>Lauren Manteuffel:</t>
        </r>
        <r>
          <rPr>
            <sz val="9"/>
            <color indexed="81"/>
            <rFont val="Tahoma"/>
            <family val="2"/>
          </rPr>
          <t xml:space="preserve">
CEO cost centre less: rent (line below)
</t>
        </r>
      </text>
    </comment>
    <comment ref="A10" authorId="0" shapeId="0" xr:uid="{00000000-0006-0000-1F00-000002000000}">
      <text>
        <r>
          <rPr>
            <b/>
            <sz val="9"/>
            <color indexed="81"/>
            <rFont val="Tahoma"/>
            <family val="2"/>
          </rPr>
          <t>Lauren Manteuffel:</t>
        </r>
        <r>
          <rPr>
            <sz val="9"/>
            <color indexed="81"/>
            <rFont val="Tahoma"/>
            <family val="2"/>
          </rPr>
          <t xml:space="preserve">
licenses for state registration, ecodistricts - marketing/sponsorship + conference
</t>
        </r>
      </text>
    </comment>
    <comment ref="A14" authorId="0" shapeId="0" xr:uid="{00000000-0006-0000-1F00-000003000000}">
      <text>
        <r>
          <rPr>
            <b/>
            <sz val="9"/>
            <color indexed="81"/>
            <rFont val="Tahoma"/>
            <family val="2"/>
          </rPr>
          <t>Lauren Manteuffel:</t>
        </r>
        <r>
          <rPr>
            <sz val="9"/>
            <color indexed="81"/>
            <rFont val="Tahoma"/>
            <family val="2"/>
          </rPr>
          <t xml:space="preserve">
HR program that couldn't be allocated by headcount. US Contract.
</t>
        </r>
      </text>
    </comment>
    <comment ref="A15" authorId="0" shapeId="0" xr:uid="{00000000-0006-0000-1F00-000004000000}">
      <text>
        <r>
          <rPr>
            <b/>
            <sz val="9"/>
            <color indexed="81"/>
            <rFont val="Tahoma"/>
            <family val="2"/>
          </rPr>
          <t>Lauren Manteuffel:</t>
        </r>
        <r>
          <rPr>
            <sz val="9"/>
            <color indexed="81"/>
            <rFont val="Tahoma"/>
            <family val="2"/>
          </rPr>
          <t xml:space="preserve">
Legal budget allocated to all - legal support has been pushed down into CUI in dept 6700. </t>
        </r>
      </text>
    </comment>
    <comment ref="D39" authorId="0" shapeId="0" xr:uid="{00000000-0006-0000-1F00-000005000000}">
      <text>
        <r>
          <rPr>
            <b/>
            <sz val="9"/>
            <color indexed="81"/>
            <rFont val="Tahoma"/>
            <family val="2"/>
          </rPr>
          <t>Lauren Manteuffel:</t>
        </r>
        <r>
          <rPr>
            <sz val="9"/>
            <color indexed="81"/>
            <rFont val="Tahoma"/>
            <family val="2"/>
          </rPr>
          <t xml:space="preserve">
Langley Gateway included. All to CDN Contract. Net of rev from products.</t>
        </r>
      </text>
    </comment>
    <comment ref="D40" authorId="0" shapeId="0" xr:uid="{00000000-0006-0000-1F00-000006000000}">
      <text>
        <r>
          <rPr>
            <b/>
            <sz val="9"/>
            <color indexed="81"/>
            <rFont val="Tahoma"/>
            <family val="2"/>
          </rPr>
          <t>Lauren Manteuffel:</t>
        </r>
        <r>
          <rPr>
            <sz val="9"/>
            <color indexed="81"/>
            <rFont val="Tahoma"/>
            <family val="2"/>
          </rPr>
          <t xml:space="preserve">
 Removed interco interest expense.</t>
        </r>
      </text>
    </comment>
    <comment ref="D48" authorId="0" shapeId="0" xr:uid="{00000000-0006-0000-1F00-000007000000}">
      <text>
        <r>
          <rPr>
            <b/>
            <sz val="9"/>
            <color indexed="81"/>
            <rFont val="Tahoma"/>
            <family val="2"/>
          </rPr>
          <t>Lauren Manteuffel:</t>
        </r>
        <r>
          <rPr>
            <sz val="9"/>
            <color indexed="81"/>
            <rFont val="Tahoma"/>
            <family val="2"/>
          </rPr>
          <t xml:space="preserve">
Includes Tina/Morrigan</t>
        </r>
      </text>
    </comment>
    <comment ref="A50" authorId="0" shapeId="0" xr:uid="{00000000-0006-0000-1F00-000008000000}">
      <text>
        <r>
          <rPr>
            <b/>
            <sz val="9"/>
            <color indexed="81"/>
            <rFont val="Tahoma"/>
            <family val="2"/>
          </rPr>
          <t>Lauren Manteuffel:</t>
        </r>
        <r>
          <rPr>
            <sz val="9"/>
            <color indexed="81"/>
            <rFont val="Tahoma"/>
            <family val="2"/>
          </rPr>
          <t xml:space="preserve">
Do not include in 2019B years (2019-2021), already 50% in OU and 50% in UI. For 2020B process, use CAM.</t>
        </r>
      </text>
    </comment>
    <comment ref="D122" authorId="0" shapeId="0" xr:uid="{00000000-0006-0000-1F00-000009000000}">
      <text>
        <r>
          <rPr>
            <b/>
            <sz val="9"/>
            <color indexed="81"/>
            <rFont val="Tahoma"/>
            <family val="2"/>
          </rPr>
          <t>Lauren Manteuffel:</t>
        </r>
        <r>
          <rPr>
            <sz val="9"/>
            <color indexed="81"/>
            <rFont val="Tahoma"/>
            <family val="2"/>
          </rPr>
          <t xml:space="preserve">
Updated per MW on 12/20/2018</t>
        </r>
      </text>
    </comment>
    <comment ref="D123" authorId="0" shapeId="0" xr:uid="{00000000-0006-0000-1F00-00000A000000}">
      <text>
        <r>
          <rPr>
            <b/>
            <sz val="9"/>
            <color indexed="81"/>
            <rFont val="Tahoma"/>
            <family val="2"/>
          </rPr>
          <t>Lauren Manteuffel:</t>
        </r>
        <r>
          <rPr>
            <sz val="9"/>
            <color indexed="81"/>
            <rFont val="Tahoma"/>
            <family val="2"/>
          </rPr>
          <t xml:space="preserve">
Includes Tina/Morrigan
Number updated per MW 12/19/2018</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Andrew Kim</author>
  </authors>
  <commentList>
    <comment ref="B6" authorId="0" shapeId="0" xr:uid="{00000000-0006-0000-2100-000001000000}">
      <text>
        <r>
          <rPr>
            <b/>
            <sz val="8"/>
            <color indexed="81"/>
            <rFont val="Tahoma"/>
            <family val="2"/>
          </rPr>
          <t>Andrew Kim:</t>
        </r>
        <r>
          <rPr>
            <sz val="8"/>
            <color indexed="81"/>
            <rFont val="Tahoma"/>
            <family val="2"/>
          </rPr>
          <t xml:space="preserve">
get $ from C8 "8000 - Corporate Functions (Vancouver rent)"
Paige: from 8000- Derpartment Financials - Total Building Expenses (65400) YTD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Lauren Manteuffel</author>
  </authors>
  <commentList>
    <comment ref="H48" authorId="0" shapeId="0" xr:uid="{00000000-0006-0000-2200-000001000000}">
      <text>
        <r>
          <rPr>
            <b/>
            <sz val="9"/>
            <color indexed="81"/>
            <rFont val="Tahoma"/>
            <family val="2"/>
          </rPr>
          <t>Lauren Manteuffel:</t>
        </r>
        <r>
          <rPr>
            <sz val="9"/>
            <color indexed="81"/>
            <rFont val="Tahoma"/>
            <family val="2"/>
          </rPr>
          <t xml:space="preserve">
off by special projects, not allocated</t>
        </r>
      </text>
    </comment>
    <comment ref="D50" authorId="0" shapeId="0" xr:uid="{00000000-0006-0000-2200-000002000000}">
      <text>
        <r>
          <rPr>
            <b/>
            <sz val="9"/>
            <color indexed="81"/>
            <rFont val="Tahoma"/>
            <family val="2"/>
          </rPr>
          <t>Lauren Manteuffel:</t>
        </r>
        <r>
          <rPr>
            <sz val="9"/>
            <color indexed="81"/>
            <rFont val="Tahoma"/>
            <family val="2"/>
          </rPr>
          <t xml:space="preserve">
Updated per MW on 12/19/2018</t>
        </r>
      </text>
    </comment>
    <comment ref="F52" authorId="0" shapeId="0" xr:uid="{00000000-0006-0000-2200-000003000000}">
      <text>
        <r>
          <rPr>
            <b/>
            <sz val="9"/>
            <color indexed="81"/>
            <rFont val="Tahoma"/>
            <family val="2"/>
          </rPr>
          <t>Lauren Manteuffel:</t>
        </r>
        <r>
          <rPr>
            <sz val="9"/>
            <color indexed="81"/>
            <rFont val="Tahoma"/>
            <family val="2"/>
          </rPr>
          <t xml:space="preserve">
Per MW 12/21/2018</t>
        </r>
      </text>
    </comment>
    <comment ref="H52" authorId="0" shapeId="0" xr:uid="{00000000-0006-0000-2200-000004000000}">
      <text>
        <r>
          <rPr>
            <b/>
            <sz val="9"/>
            <color indexed="81"/>
            <rFont val="Tahoma"/>
            <family val="2"/>
          </rPr>
          <t>Lauren Manteuffel:</t>
        </r>
        <r>
          <rPr>
            <sz val="9"/>
            <color indexed="81"/>
            <rFont val="Tahoma"/>
            <family val="2"/>
          </rPr>
          <t xml:space="preserve">
Includes CISUS Support services of 4.1
</t>
        </r>
      </text>
    </comment>
    <comment ref="F53" authorId="0" shapeId="0" xr:uid="{00000000-0006-0000-2200-000005000000}">
      <text>
        <r>
          <rPr>
            <b/>
            <sz val="9"/>
            <color indexed="81"/>
            <rFont val="Tahoma"/>
            <family val="2"/>
          </rPr>
          <t>Lauren Manteuffel:</t>
        </r>
        <r>
          <rPr>
            <sz val="9"/>
            <color indexed="81"/>
            <rFont val="Tahoma"/>
            <family val="2"/>
          </rPr>
          <t xml:space="preserve">
Per MW 12/19/2018
</t>
        </r>
      </text>
    </comment>
    <comment ref="H53" authorId="0" shapeId="0" xr:uid="{00000000-0006-0000-2200-000006000000}">
      <text>
        <r>
          <rPr>
            <b/>
            <sz val="9"/>
            <color indexed="81"/>
            <rFont val="Tahoma"/>
            <family val="2"/>
          </rPr>
          <t>Lauren Manteuffel:</t>
        </r>
        <r>
          <rPr>
            <sz val="9"/>
            <color indexed="81"/>
            <rFont val="Tahoma"/>
            <family val="2"/>
          </rPr>
          <t xml:space="preserve">
includes CISUS support services of 0.9</t>
        </r>
      </text>
    </comment>
    <comment ref="F54" authorId="0" shapeId="0" xr:uid="{00000000-0006-0000-2200-000007000000}">
      <text>
        <r>
          <rPr>
            <b/>
            <sz val="9"/>
            <color indexed="81"/>
            <rFont val="Tahoma"/>
            <family val="2"/>
          </rPr>
          <t>Lauren Manteuffel:</t>
        </r>
        <r>
          <rPr>
            <sz val="9"/>
            <color indexed="81"/>
            <rFont val="Tahoma"/>
            <family val="2"/>
          </rPr>
          <t xml:space="preserve">
Per MW 12/21/2018
</t>
        </r>
      </text>
    </comment>
    <comment ref="F55" authorId="0" shapeId="0" xr:uid="{00000000-0006-0000-2200-000008000000}">
      <text>
        <r>
          <rPr>
            <b/>
            <sz val="9"/>
            <color indexed="81"/>
            <rFont val="Tahoma"/>
            <family val="2"/>
          </rPr>
          <t>Lauren Manteuffel:</t>
        </r>
        <r>
          <rPr>
            <sz val="9"/>
            <color indexed="81"/>
            <rFont val="Tahoma"/>
            <family val="2"/>
          </rPr>
          <t xml:space="preserve">
includes construction WIP, per MW 12/21/2018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Kim</author>
  </authors>
  <commentList>
    <comment ref="E8" authorId="0" shapeId="0" xr:uid="{00000000-0006-0000-0500-000001000000}">
      <text>
        <r>
          <rPr>
            <b/>
            <sz val="9"/>
            <color indexed="81"/>
            <rFont val="Tahoma"/>
            <family val="2"/>
          </rPr>
          <t>Andrew Kim:</t>
        </r>
        <r>
          <rPr>
            <sz val="9"/>
            <color indexed="81"/>
            <rFont val="Tahoma"/>
            <family val="2"/>
          </rPr>
          <t xml:space="preserve">
offsetting  the shareholder bucket - Nominal allocation to Doyon</t>
        </r>
      </text>
    </comment>
    <comment ref="F8" authorId="0" shapeId="0" xr:uid="{00000000-0006-0000-0500-000002000000}">
      <text>
        <r>
          <rPr>
            <b/>
            <sz val="9"/>
            <color indexed="81"/>
            <rFont val="Tahoma"/>
            <family val="2"/>
          </rPr>
          <t>Andrew Kim:</t>
        </r>
        <r>
          <rPr>
            <sz val="9"/>
            <color indexed="81"/>
            <rFont val="Tahoma"/>
            <family val="2"/>
          </rPr>
          <t xml:space="preserve">
offsetting  the shareholder bucket - Nominal allocation to Doyon</t>
        </r>
      </text>
    </comment>
    <comment ref="N30" authorId="0" shapeId="0" xr:uid="{00000000-0006-0000-0500-000003000000}">
      <text>
        <r>
          <rPr>
            <b/>
            <sz val="9"/>
            <color indexed="81"/>
            <rFont val="Tahoma"/>
            <family val="2"/>
          </rPr>
          <t>Andrew Kim:</t>
        </r>
        <r>
          <rPr>
            <sz val="9"/>
            <color indexed="81"/>
            <rFont val="Tahoma"/>
            <family val="2"/>
          </rPr>
          <t xml:space="preserve">
no separate budget info</t>
        </r>
      </text>
    </comment>
    <comment ref="N52" authorId="0" shapeId="0" xr:uid="{00000000-0006-0000-0500-000004000000}">
      <text>
        <r>
          <rPr>
            <b/>
            <sz val="9"/>
            <color indexed="81"/>
            <rFont val="Tahoma"/>
            <family val="2"/>
          </rPr>
          <t>Andrew Kim:</t>
        </r>
        <r>
          <rPr>
            <sz val="9"/>
            <color indexed="81"/>
            <rFont val="Tahoma"/>
            <family val="2"/>
          </rPr>
          <t xml:space="preserve">
no separate budget info</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Lauren Manteuffel</author>
    <author>Saravanan Rajendran</author>
  </authors>
  <commentList>
    <comment ref="C12" authorId="0" shapeId="0" xr:uid="{00000000-0006-0000-2400-000001000000}">
      <text>
        <r>
          <rPr>
            <b/>
            <sz val="9"/>
            <color indexed="81"/>
            <rFont val="Tahoma"/>
            <family val="2"/>
          </rPr>
          <t>Lauren Manteuffel:</t>
        </r>
        <r>
          <rPr>
            <sz val="9"/>
            <color indexed="81"/>
            <rFont val="Tahoma"/>
            <family val="2"/>
          </rPr>
          <t xml:space="preserve">
From Elizabeth Styers Email
</t>
        </r>
      </text>
    </comment>
    <comment ref="G12" authorId="1" shapeId="0" xr:uid="{00000000-0006-0000-2400-000002000000}">
      <text>
        <r>
          <rPr>
            <b/>
            <sz val="9"/>
            <color indexed="81"/>
            <rFont val="Tahoma"/>
            <family val="2"/>
          </rPr>
          <t>Saravanan Rajendran:</t>
        </r>
        <r>
          <rPr>
            <sz val="9"/>
            <color indexed="81"/>
            <rFont val="Tahoma"/>
            <family val="2"/>
          </rPr>
          <t xml:space="preserve">
From Elizabeth Styers email</t>
        </r>
      </text>
    </comment>
    <comment ref="I12" authorId="1" shapeId="0" xr:uid="{00000000-0006-0000-2400-000003000000}">
      <text>
        <r>
          <rPr>
            <b/>
            <sz val="9"/>
            <color indexed="81"/>
            <rFont val="Tahoma"/>
            <family val="2"/>
          </rPr>
          <t>Saravanan Rajendran:</t>
        </r>
        <r>
          <rPr>
            <sz val="9"/>
            <color indexed="81"/>
            <rFont val="Tahoma"/>
            <family val="2"/>
          </rPr>
          <t xml:space="preserve">
$15M adjustment to get to HOLDCO</t>
        </r>
      </text>
    </comment>
    <comment ref="M12" authorId="0" shapeId="0" xr:uid="{00000000-0006-0000-2400-000004000000}">
      <text>
        <r>
          <rPr>
            <b/>
            <sz val="9"/>
            <color indexed="81"/>
            <rFont val="Tahoma"/>
            <family val="2"/>
          </rPr>
          <t>Lauren Manteuffel:</t>
        </r>
        <r>
          <rPr>
            <sz val="9"/>
            <color indexed="81"/>
            <rFont val="Tahoma"/>
            <family val="2"/>
          </rPr>
          <t xml:space="preserve">
from elizabeth styers email</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Lauren Manteuffel</author>
    <author>Ron Zink</author>
  </authors>
  <commentList>
    <comment ref="I22" authorId="0" shapeId="0" xr:uid="{00000000-0006-0000-2500-000001000000}">
      <text>
        <r>
          <rPr>
            <b/>
            <sz val="9"/>
            <color indexed="81"/>
            <rFont val="Tahoma"/>
            <family val="2"/>
          </rPr>
          <t>Lauren Manteuffel:</t>
        </r>
        <r>
          <rPr>
            <sz val="9"/>
            <color indexed="81"/>
            <rFont val="Tahoma"/>
            <family val="2"/>
          </rPr>
          <t xml:space="preserve">
per PPA</t>
        </r>
      </text>
    </comment>
    <comment ref="I23" authorId="0" shapeId="0" xr:uid="{00000000-0006-0000-2500-000002000000}">
      <text>
        <r>
          <rPr>
            <b/>
            <sz val="9"/>
            <color indexed="81"/>
            <rFont val="Tahoma"/>
            <family val="2"/>
          </rPr>
          <t>Lauren Manteuffel:</t>
        </r>
        <r>
          <rPr>
            <sz val="9"/>
            <color indexed="81"/>
            <rFont val="Tahoma"/>
            <family val="2"/>
          </rPr>
          <t xml:space="preserve">
Per adventure bay PPA</t>
        </r>
      </text>
    </comment>
    <comment ref="I30" authorId="0" shapeId="0" xr:uid="{00000000-0006-0000-2500-000003000000}">
      <text>
        <r>
          <rPr>
            <b/>
            <sz val="9"/>
            <color indexed="81"/>
            <rFont val="Tahoma"/>
            <family val="2"/>
          </rPr>
          <t>Lauren Manteuffel:</t>
        </r>
        <r>
          <rPr>
            <sz val="9"/>
            <color indexed="81"/>
            <rFont val="Tahoma"/>
            <family val="2"/>
          </rPr>
          <t xml:space="preserve">
ADD Intangibles balance from CDN utilities - concession accounting</t>
        </r>
      </text>
    </comment>
    <comment ref="B45" authorId="0" shapeId="0" xr:uid="{00000000-0006-0000-2500-000004000000}">
      <text>
        <r>
          <rPr>
            <b/>
            <sz val="9"/>
            <color indexed="81"/>
            <rFont val="Tahoma"/>
            <family val="2"/>
          </rPr>
          <t>Lauren Manteuffel:</t>
        </r>
        <r>
          <rPr>
            <sz val="9"/>
            <color indexed="81"/>
            <rFont val="Tahoma"/>
            <family val="2"/>
          </rPr>
          <t xml:space="preserve">
Eastern Canada Group</t>
        </r>
      </text>
    </comment>
    <comment ref="B59" authorId="0" shapeId="0" xr:uid="{00000000-0006-0000-2500-000005000000}">
      <text>
        <r>
          <rPr>
            <b/>
            <sz val="9"/>
            <color indexed="81"/>
            <rFont val="Tahoma"/>
            <family val="2"/>
          </rPr>
          <t>Lauren Manteuffel:</t>
        </r>
        <r>
          <rPr>
            <sz val="9"/>
            <color indexed="81"/>
            <rFont val="Tahoma"/>
            <family val="2"/>
          </rPr>
          <t xml:space="preserve">
allocated to sewer</t>
        </r>
      </text>
    </comment>
    <comment ref="B60" authorId="0" shapeId="0" xr:uid="{00000000-0006-0000-2500-000006000000}">
      <text>
        <r>
          <rPr>
            <b/>
            <sz val="9"/>
            <color indexed="81"/>
            <rFont val="Tahoma"/>
            <family val="2"/>
          </rPr>
          <t>Lauren Manteuffel:</t>
        </r>
        <r>
          <rPr>
            <sz val="9"/>
            <color indexed="81"/>
            <rFont val="Tahoma"/>
            <family val="2"/>
          </rPr>
          <t xml:space="preserve">
allocated to electric</t>
        </r>
      </text>
    </comment>
    <comment ref="J63" authorId="1" shapeId="0" xr:uid="{00000000-0006-0000-2500-000007000000}">
      <text>
        <r>
          <rPr>
            <b/>
            <sz val="9"/>
            <color indexed="81"/>
            <rFont val="Tahoma"/>
            <family val="2"/>
          </rPr>
          <t>Ron Zink:</t>
        </r>
        <r>
          <rPr>
            <sz val="9"/>
            <color indexed="81"/>
            <rFont val="Tahoma"/>
            <family val="2"/>
          </rPr>
          <t xml:space="preserve">
Capex and Amort numbers in grey are 2017 EOY from the COS model</t>
        </r>
      </text>
    </comment>
    <comment ref="K69" authorId="1" shapeId="0" xr:uid="{00000000-0006-0000-2500-000008000000}">
      <text>
        <r>
          <rPr>
            <b/>
            <sz val="9"/>
            <color indexed="81"/>
            <rFont val="Tahoma"/>
            <family val="2"/>
          </rPr>
          <t>Ron Zink:</t>
        </r>
        <r>
          <rPr>
            <sz val="9"/>
            <color indexed="81"/>
            <rFont val="Tahoma"/>
            <family val="2"/>
          </rPr>
          <t xml:space="preserve">
Should be 3 for a total of 5 at Foothills (before CAM headcount allocation)</t>
        </r>
      </text>
    </comment>
    <comment ref="J71" authorId="1" shapeId="0" xr:uid="{00000000-0006-0000-2500-000009000000}">
      <text>
        <r>
          <rPr>
            <b/>
            <sz val="9"/>
            <color indexed="81"/>
            <rFont val="Tahoma"/>
            <family val="2"/>
          </rPr>
          <t>Ron Zink:</t>
        </r>
        <r>
          <rPr>
            <sz val="9"/>
            <color indexed="81"/>
            <rFont val="Tahoma"/>
            <family val="2"/>
          </rPr>
          <t xml:space="preserve">
Sage Meadows info is EOY 2017 from NAV</t>
        </r>
      </text>
    </comment>
    <comment ref="E72" authorId="0" shapeId="0" xr:uid="{00000000-0006-0000-2500-00000A000000}">
      <text>
        <r>
          <rPr>
            <b/>
            <sz val="9"/>
            <color indexed="81"/>
            <rFont val="Tahoma"/>
            <family val="2"/>
          </rPr>
          <t>Lauren Manteuffel:</t>
        </r>
        <r>
          <rPr>
            <sz val="9"/>
            <color indexed="81"/>
            <rFont val="Tahoma"/>
            <family val="2"/>
          </rPr>
          <t xml:space="preserve">
2019F</t>
        </r>
      </text>
    </comment>
    <comment ref="I72" authorId="0" shapeId="0" xr:uid="{00000000-0006-0000-2500-00000B000000}">
      <text>
        <r>
          <rPr>
            <b/>
            <sz val="9"/>
            <color indexed="81"/>
            <rFont val="Tahoma"/>
            <family val="2"/>
          </rPr>
          <t>Lauren Manteuffel:</t>
        </r>
        <r>
          <rPr>
            <sz val="9"/>
            <color indexed="81"/>
            <rFont val="Tahoma"/>
            <family val="2"/>
          </rPr>
          <t xml:space="preserve">
per PPA</t>
        </r>
      </text>
    </comment>
    <comment ref="E73" authorId="0" shapeId="0" xr:uid="{00000000-0006-0000-2500-00000C000000}">
      <text>
        <r>
          <rPr>
            <b/>
            <sz val="9"/>
            <color indexed="81"/>
            <rFont val="Tahoma"/>
            <family val="2"/>
          </rPr>
          <t>Lauren Manteuffel:</t>
        </r>
        <r>
          <rPr>
            <sz val="9"/>
            <color indexed="81"/>
            <rFont val="Tahoma"/>
            <family val="2"/>
          </rPr>
          <t xml:space="preserve">
2019F</t>
        </r>
      </text>
    </comment>
    <comment ref="I73" authorId="0" shapeId="0" xr:uid="{00000000-0006-0000-2500-00000D000000}">
      <text>
        <r>
          <rPr>
            <b/>
            <sz val="9"/>
            <color indexed="81"/>
            <rFont val="Tahoma"/>
            <family val="2"/>
          </rPr>
          <t>Lauren Manteuffel:</t>
        </r>
        <r>
          <rPr>
            <sz val="9"/>
            <color indexed="81"/>
            <rFont val="Tahoma"/>
            <family val="2"/>
          </rPr>
          <t xml:space="preserve">
Per adventure bay PPA</t>
        </r>
      </text>
    </comment>
    <comment ref="E78" authorId="0" shapeId="0" xr:uid="{00000000-0006-0000-2500-00000E000000}">
      <text>
        <r>
          <rPr>
            <b/>
            <sz val="9"/>
            <color indexed="81"/>
            <rFont val="Tahoma"/>
            <family val="2"/>
          </rPr>
          <t>Lauren Manteuffel:</t>
        </r>
        <r>
          <rPr>
            <sz val="9"/>
            <color indexed="81"/>
            <rFont val="Tahoma"/>
            <family val="2"/>
          </rPr>
          <t xml:space="preserve">
2019F - from DGE COS model v.33</t>
        </r>
      </text>
    </comment>
    <comment ref="I78" authorId="0" shapeId="0" xr:uid="{00000000-0006-0000-2500-00000F000000}">
      <text>
        <r>
          <rPr>
            <b/>
            <sz val="9"/>
            <color indexed="81"/>
            <rFont val="Tahoma"/>
            <family val="2"/>
          </rPr>
          <t>Lauren Manteuffel:</t>
        </r>
        <r>
          <rPr>
            <sz val="9"/>
            <color indexed="81"/>
            <rFont val="Tahoma"/>
            <family val="2"/>
          </rPr>
          <t xml:space="preserve">
2019F from DGE cos model v.33
</t>
        </r>
      </text>
    </comment>
    <comment ref="I80" authorId="0" shapeId="0" xr:uid="{00000000-0006-0000-2500-000010000000}">
      <text>
        <r>
          <rPr>
            <b/>
            <sz val="9"/>
            <color indexed="81"/>
            <rFont val="Tahoma"/>
            <family val="2"/>
          </rPr>
          <t>Lauren Manteuffel:</t>
        </r>
        <r>
          <rPr>
            <sz val="9"/>
            <color indexed="81"/>
            <rFont val="Tahoma"/>
            <family val="2"/>
          </rPr>
          <t xml:space="preserve">
ADD Intangibles balance from CDN utilities - concession accounting + CIAC per MW 12/21/2018</t>
        </r>
      </text>
    </comment>
    <comment ref="B93" authorId="0" shapeId="0" xr:uid="{00000000-0006-0000-2500-000011000000}">
      <text>
        <r>
          <rPr>
            <b/>
            <sz val="9"/>
            <color indexed="81"/>
            <rFont val="Tahoma"/>
            <family val="2"/>
          </rPr>
          <t>Lauren Manteuffel:</t>
        </r>
        <r>
          <rPr>
            <sz val="9"/>
            <color indexed="81"/>
            <rFont val="Tahoma"/>
            <family val="2"/>
          </rPr>
          <t xml:space="preserve">
Allocated to Kootney Ops
</t>
        </r>
      </text>
    </comment>
    <comment ref="B96" authorId="0" shapeId="0" xr:uid="{00000000-0006-0000-2500-000012000000}">
      <text>
        <r>
          <rPr>
            <b/>
            <sz val="9"/>
            <color indexed="81"/>
            <rFont val="Tahoma"/>
            <family val="2"/>
          </rPr>
          <t>Lauren Manteuffel:</t>
        </r>
        <r>
          <rPr>
            <sz val="9"/>
            <color indexed="81"/>
            <rFont val="Tahoma"/>
            <family val="2"/>
          </rPr>
          <t xml:space="preserve">
Allocated to AB Ops (South)
</t>
        </r>
      </text>
    </comment>
    <comment ref="B98" authorId="0" shapeId="0" xr:uid="{00000000-0006-0000-2500-000013000000}">
      <text>
        <r>
          <rPr>
            <b/>
            <sz val="9"/>
            <color indexed="81"/>
            <rFont val="Tahoma"/>
            <family val="2"/>
          </rPr>
          <t>Lauren Manteuffel:</t>
        </r>
        <r>
          <rPr>
            <sz val="9"/>
            <color indexed="81"/>
            <rFont val="Tahoma"/>
            <family val="2"/>
          </rPr>
          <t xml:space="preserve">
Eastern Canada Group</t>
        </r>
      </text>
    </comment>
    <comment ref="B100" authorId="0" shapeId="0" xr:uid="{00000000-0006-0000-2500-000014000000}">
      <text>
        <r>
          <rPr>
            <b/>
            <sz val="9"/>
            <color indexed="81"/>
            <rFont val="Tahoma"/>
            <family val="2"/>
          </rPr>
          <t>Lauren Manteuffel:</t>
        </r>
        <r>
          <rPr>
            <sz val="9"/>
            <color indexed="81"/>
            <rFont val="Tahoma"/>
            <family val="2"/>
          </rPr>
          <t xml:space="preserve">
allocated to Westshore</t>
        </r>
      </text>
    </comment>
    <comment ref="B101" authorId="0" shapeId="0" xr:uid="{00000000-0006-0000-2500-000015000000}">
      <text>
        <r>
          <rPr>
            <b/>
            <sz val="9"/>
            <color indexed="81"/>
            <rFont val="Tahoma"/>
            <family val="2"/>
          </rPr>
          <t>Lauren Manteuffel:</t>
        </r>
        <r>
          <rPr>
            <sz val="9"/>
            <color indexed="81"/>
            <rFont val="Tahoma"/>
            <family val="2"/>
          </rPr>
          <t xml:space="preserve">
allocated to SFU
</t>
        </r>
      </text>
    </comment>
    <comment ref="B102" authorId="0" shapeId="0" xr:uid="{00000000-0006-0000-2500-000016000000}">
      <text>
        <r>
          <rPr>
            <b/>
            <sz val="9"/>
            <color indexed="81"/>
            <rFont val="Tahoma"/>
            <family val="2"/>
          </rPr>
          <t>Lauren Manteuffel:</t>
        </r>
        <r>
          <rPr>
            <sz val="9"/>
            <color indexed="81"/>
            <rFont val="Tahoma"/>
            <family val="2"/>
          </rPr>
          <t xml:space="preserve">
allocated to foothills</t>
        </r>
      </text>
    </comment>
    <comment ref="B131" authorId="0" shapeId="0" xr:uid="{00000000-0006-0000-2500-000017000000}">
      <text>
        <r>
          <rPr>
            <b/>
            <sz val="9"/>
            <color indexed="81"/>
            <rFont val="Tahoma"/>
            <family val="2"/>
          </rPr>
          <t>Lauren Manteuffel:</t>
        </r>
        <r>
          <rPr>
            <sz val="9"/>
            <color indexed="81"/>
            <rFont val="Tahoma"/>
            <family val="2"/>
          </rPr>
          <t xml:space="preserve">
50/50 weighted Plant/Rev no headcount</t>
        </r>
      </text>
    </comment>
    <comment ref="B138" authorId="0" shapeId="0" xr:uid="{00000000-0006-0000-2500-000018000000}">
      <text>
        <r>
          <rPr>
            <b/>
            <sz val="9"/>
            <color indexed="81"/>
            <rFont val="Tahoma"/>
            <family val="2"/>
          </rPr>
          <t>Lauren Manteuffel:</t>
        </r>
        <r>
          <rPr>
            <sz val="9"/>
            <color indexed="81"/>
            <rFont val="Tahoma"/>
            <family val="2"/>
          </rPr>
          <t xml:space="preserve">
50/50 weighted Plant/Rev no headcount</t>
        </r>
      </text>
    </comment>
    <comment ref="B162" authorId="0" shapeId="0" xr:uid="{00000000-0006-0000-2500-000019000000}">
      <text>
        <r>
          <rPr>
            <b/>
            <sz val="9"/>
            <color indexed="81"/>
            <rFont val="Tahoma"/>
            <family val="2"/>
          </rPr>
          <t>Lauren Manteuffel:</t>
        </r>
        <r>
          <rPr>
            <sz val="9"/>
            <color indexed="81"/>
            <rFont val="Tahoma"/>
            <family val="2"/>
          </rPr>
          <t xml:space="preserve">
50/50 weighted Plant/Rev no headcount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abacalso</author>
  </authors>
  <commentList>
    <comment ref="E7" authorId="0" shapeId="0" xr:uid="{00000000-0006-0000-2800-000001000000}">
      <text>
        <r>
          <rPr>
            <b/>
            <sz val="9"/>
            <color indexed="81"/>
            <rFont val="Tahoma"/>
            <family val="2"/>
          </rPr>
          <t>Andrew Kim:</t>
        </r>
        <r>
          <rPr>
            <sz val="9"/>
            <color indexed="81"/>
            <rFont val="Tahoma"/>
            <family val="2"/>
          </rPr>
          <t xml:space="preserve">
less CISCO depreciaiton included as part of Shared Services below</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abacalso</author>
  </authors>
  <commentList>
    <comment ref="F198" authorId="0" shapeId="0" xr:uid="{00000000-0006-0000-2A00-000001000000}">
      <text>
        <r>
          <rPr>
            <b/>
            <sz val="9"/>
            <color indexed="81"/>
            <rFont val="Tahoma"/>
            <family val="2"/>
          </rPr>
          <t>abacalso:</t>
        </r>
        <r>
          <rPr>
            <sz val="9"/>
            <color indexed="81"/>
            <rFont val="Tahoma"/>
            <family val="2"/>
          </rPr>
          <t xml:space="preserve">
Don's salary</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Lauren Manteuffel</author>
    <author>Andrew Kim</author>
  </authors>
  <commentList>
    <comment ref="D8" authorId="0" shapeId="0" xr:uid="{00000000-0006-0000-2B00-000001000000}">
      <text>
        <r>
          <rPr>
            <b/>
            <sz val="9"/>
            <color indexed="81"/>
            <rFont val="Tahoma"/>
            <family val="2"/>
          </rPr>
          <t>Lauren Manteuffel:</t>
        </r>
        <r>
          <rPr>
            <sz val="9"/>
            <color indexed="81"/>
            <rFont val="Tahoma"/>
            <family val="2"/>
          </rPr>
          <t xml:space="preserve">
CEO cost centre less: rent (line below)
</t>
        </r>
      </text>
    </comment>
    <comment ref="A10" authorId="0" shapeId="0" xr:uid="{00000000-0006-0000-2B00-000002000000}">
      <text>
        <r>
          <rPr>
            <b/>
            <sz val="9"/>
            <color indexed="81"/>
            <rFont val="Tahoma"/>
            <family val="2"/>
          </rPr>
          <t>Lauren Manteuffel:</t>
        </r>
        <r>
          <rPr>
            <sz val="9"/>
            <color indexed="81"/>
            <rFont val="Tahoma"/>
            <family val="2"/>
          </rPr>
          <t xml:space="preserve">
licenses for state registration, ecodistricts - marketing/sponsorship + conference
</t>
        </r>
      </text>
    </comment>
    <comment ref="D12" authorId="0" shapeId="0" xr:uid="{00000000-0006-0000-2B00-000003000000}">
      <text>
        <r>
          <rPr>
            <b/>
            <sz val="9"/>
            <color indexed="81"/>
            <rFont val="Tahoma"/>
            <family val="2"/>
          </rPr>
          <t>Lauren Manteuffel:</t>
        </r>
        <r>
          <rPr>
            <sz val="9"/>
            <color indexed="81"/>
            <rFont val="Tahoma"/>
            <family val="2"/>
          </rPr>
          <t xml:space="preserve">
1.08M of depreciation moved to 8033. Relates to IT SS per CV 1/3/2019</t>
        </r>
      </text>
    </comment>
    <comment ref="A14" authorId="0" shapeId="0" xr:uid="{00000000-0006-0000-2B00-000004000000}">
      <text>
        <r>
          <rPr>
            <b/>
            <sz val="9"/>
            <color indexed="81"/>
            <rFont val="Tahoma"/>
            <family val="2"/>
          </rPr>
          <t>Lauren Manteuffel:</t>
        </r>
        <r>
          <rPr>
            <sz val="9"/>
            <color indexed="81"/>
            <rFont val="Tahoma"/>
            <family val="2"/>
          </rPr>
          <t xml:space="preserve">
HR program that couldn't be allocated by headcount. US Contract.
</t>
        </r>
      </text>
    </comment>
    <comment ref="A15" authorId="0" shapeId="0" xr:uid="{00000000-0006-0000-2B00-000005000000}">
      <text>
        <r>
          <rPr>
            <b/>
            <sz val="9"/>
            <color indexed="81"/>
            <rFont val="Tahoma"/>
            <family val="2"/>
          </rPr>
          <t>Lauren Manteuffel:</t>
        </r>
        <r>
          <rPr>
            <sz val="9"/>
            <color indexed="81"/>
            <rFont val="Tahoma"/>
            <family val="2"/>
          </rPr>
          <t xml:space="preserve">
Legal budget allocated to all - legal support has been pushed down into CUI in dept 6700. </t>
        </r>
      </text>
    </comment>
    <comment ref="D38" authorId="0" shapeId="0" xr:uid="{00000000-0006-0000-2B00-000006000000}">
      <text>
        <r>
          <rPr>
            <b/>
            <sz val="9"/>
            <color indexed="81"/>
            <rFont val="Tahoma"/>
            <family val="2"/>
          </rPr>
          <t>Lauren Manteuffel:</t>
        </r>
        <r>
          <rPr>
            <sz val="9"/>
            <color indexed="81"/>
            <rFont val="Tahoma"/>
            <family val="2"/>
          </rPr>
          <t xml:space="preserve">
 Ken/David K. + Legal</t>
        </r>
      </text>
    </comment>
    <comment ref="D39" authorId="0" shapeId="0" xr:uid="{00000000-0006-0000-2B00-000007000000}">
      <text>
        <r>
          <rPr>
            <b/>
            <sz val="9"/>
            <color indexed="81"/>
            <rFont val="Tahoma"/>
            <family val="2"/>
          </rPr>
          <t>Lauren Manteuffel:</t>
        </r>
        <r>
          <rPr>
            <sz val="9"/>
            <color indexed="81"/>
            <rFont val="Tahoma"/>
            <family val="2"/>
          </rPr>
          <t xml:space="preserve">
Langley Gateway included. All to CDN Contract. Net of rev from products.</t>
        </r>
      </text>
    </comment>
    <comment ref="D40" authorId="0" shapeId="0" xr:uid="{00000000-0006-0000-2B00-000008000000}">
      <text>
        <r>
          <rPr>
            <b/>
            <sz val="9"/>
            <color indexed="81"/>
            <rFont val="Tahoma"/>
            <family val="2"/>
          </rPr>
          <t>Lauren Manteuffel:</t>
        </r>
        <r>
          <rPr>
            <sz val="9"/>
            <color indexed="81"/>
            <rFont val="Tahoma"/>
            <family val="2"/>
          </rPr>
          <t xml:space="preserve">
 Removed interco interest expense.</t>
        </r>
      </text>
    </comment>
    <comment ref="D48" authorId="1" shapeId="0" xr:uid="{00000000-0006-0000-2B00-000009000000}">
      <text>
        <r>
          <rPr>
            <b/>
            <sz val="9"/>
            <color indexed="81"/>
            <rFont val="Tahoma"/>
            <family val="2"/>
          </rPr>
          <t>Andrew Kim:</t>
        </r>
        <r>
          <rPr>
            <sz val="9"/>
            <color indexed="81"/>
            <rFont val="Tahoma"/>
            <family val="2"/>
          </rPr>
          <t xml:space="preserve">
Special Project + COO office</t>
        </r>
      </text>
    </comment>
    <comment ref="C69" authorId="1" shapeId="0" xr:uid="{00000000-0006-0000-2B00-00000A000000}">
      <text>
        <r>
          <rPr>
            <b/>
            <sz val="9"/>
            <color indexed="81"/>
            <rFont val="Tahoma"/>
            <family val="2"/>
          </rPr>
          <t>Andrew Kim:</t>
        </r>
        <r>
          <rPr>
            <sz val="9"/>
            <color indexed="81"/>
            <rFont val="Tahoma"/>
            <family val="2"/>
          </rPr>
          <t xml:space="preserve">
If $CDN, markup to US companies only, not CDN companies (vice versa)</t>
        </r>
      </text>
    </comment>
    <comment ref="D72" authorId="0" shapeId="0" xr:uid="{00000000-0006-0000-2B00-00000B000000}">
      <text>
        <r>
          <rPr>
            <b/>
            <sz val="9"/>
            <color indexed="81"/>
            <rFont val="Tahoma"/>
            <family val="2"/>
          </rPr>
          <t>Lauren Manteuffel:</t>
        </r>
        <r>
          <rPr>
            <sz val="9"/>
            <color indexed="81"/>
            <rFont val="Tahoma"/>
            <family val="2"/>
          </rPr>
          <t xml:space="preserve">
CEO cost centre less: rent (line below)
</t>
        </r>
      </text>
    </comment>
    <comment ref="A74" authorId="0" shapeId="0" xr:uid="{00000000-0006-0000-2B00-00000C000000}">
      <text>
        <r>
          <rPr>
            <b/>
            <sz val="9"/>
            <color indexed="81"/>
            <rFont val="Tahoma"/>
            <family val="2"/>
          </rPr>
          <t>Lauren Manteuffel:</t>
        </r>
        <r>
          <rPr>
            <sz val="9"/>
            <color indexed="81"/>
            <rFont val="Tahoma"/>
            <family val="2"/>
          </rPr>
          <t xml:space="preserve">
licenses for state registration, ecodistricts - marketing/sponsorship + conference
</t>
        </r>
      </text>
    </comment>
    <comment ref="D75" authorId="0" shapeId="0" xr:uid="{00000000-0006-0000-2B00-00000D000000}">
      <text>
        <r>
          <rPr>
            <b/>
            <sz val="9"/>
            <color indexed="81"/>
            <rFont val="Tahoma"/>
            <family val="2"/>
          </rPr>
          <t>Lauren Manteuffel:</t>
        </r>
        <r>
          <rPr>
            <sz val="9"/>
            <color indexed="81"/>
            <rFont val="Tahoma"/>
            <family val="2"/>
          </rPr>
          <t xml:space="preserve">
Includes $162K depreciation for Hyperion - see note on assumptions page.</t>
        </r>
      </text>
    </comment>
    <comment ref="D76" authorId="0" shapeId="0" xr:uid="{00000000-0006-0000-2B00-00000E000000}">
      <text>
        <r>
          <rPr>
            <b/>
            <sz val="9"/>
            <color indexed="81"/>
            <rFont val="Tahoma"/>
            <family val="2"/>
          </rPr>
          <t>Lauren Manteuffel:</t>
        </r>
        <r>
          <rPr>
            <sz val="9"/>
            <color indexed="81"/>
            <rFont val="Tahoma"/>
            <family val="2"/>
          </rPr>
          <t xml:space="preserve">
1.08M of depreciation moved to 8033. Relates to IT SS per CV 1/3/2019</t>
        </r>
      </text>
    </comment>
    <comment ref="A78" authorId="0" shapeId="0" xr:uid="{00000000-0006-0000-2B00-00000F000000}">
      <text>
        <r>
          <rPr>
            <b/>
            <sz val="9"/>
            <color indexed="81"/>
            <rFont val="Tahoma"/>
            <family val="2"/>
          </rPr>
          <t>Lauren Manteuffel:</t>
        </r>
        <r>
          <rPr>
            <sz val="9"/>
            <color indexed="81"/>
            <rFont val="Tahoma"/>
            <family val="2"/>
          </rPr>
          <t xml:space="preserve">
HR program that couldn't be allocated by headcount. US Contract.
</t>
        </r>
      </text>
    </comment>
    <comment ref="A79" authorId="0" shapeId="0" xr:uid="{00000000-0006-0000-2B00-000010000000}">
      <text>
        <r>
          <rPr>
            <b/>
            <sz val="9"/>
            <color indexed="81"/>
            <rFont val="Tahoma"/>
            <family val="2"/>
          </rPr>
          <t>Lauren Manteuffel:</t>
        </r>
        <r>
          <rPr>
            <sz val="9"/>
            <color indexed="81"/>
            <rFont val="Tahoma"/>
            <family val="2"/>
          </rPr>
          <t xml:space="preserve">
Legal budget allocated to all - legal support has been pushed down into CUI in dept 6700. </t>
        </r>
      </text>
    </comment>
    <comment ref="D111" authorId="0" shapeId="0" xr:uid="{00000000-0006-0000-2B00-000011000000}">
      <text>
        <r>
          <rPr>
            <b/>
            <sz val="9"/>
            <color indexed="81"/>
            <rFont val="Tahoma"/>
            <family val="2"/>
          </rPr>
          <t>Lauren Manteuffel:</t>
        </r>
        <r>
          <rPr>
            <sz val="9"/>
            <color indexed="81"/>
            <rFont val="Tahoma"/>
            <family val="2"/>
          </rPr>
          <t xml:space="preserve">
Updated per MW on 12/20/2018</t>
        </r>
      </text>
    </comment>
    <comment ref="D112" authorId="0" shapeId="0" xr:uid="{00000000-0006-0000-2B00-000012000000}">
      <text>
        <r>
          <rPr>
            <b/>
            <sz val="9"/>
            <color indexed="81"/>
            <rFont val="Tahoma"/>
            <family val="2"/>
          </rPr>
          <t>Lauren Manteuffel:</t>
        </r>
        <r>
          <rPr>
            <sz val="9"/>
            <color indexed="81"/>
            <rFont val="Tahoma"/>
            <family val="2"/>
          </rPr>
          <t xml:space="preserve">
Includes Tina/Morrigan
Number updated per MW 12/19/2018</t>
        </r>
      </text>
    </comment>
    <comment ref="E130" authorId="1" shapeId="0" xr:uid="{00000000-0006-0000-2B00-000013000000}">
      <text>
        <r>
          <rPr>
            <b/>
            <sz val="9"/>
            <color indexed="81"/>
            <rFont val="Tahoma"/>
            <family val="2"/>
          </rPr>
          <t>Andrew Kim:</t>
        </r>
        <r>
          <rPr>
            <sz val="9"/>
            <color indexed="81"/>
            <rFont val="Tahoma"/>
            <family val="2"/>
          </rPr>
          <t xml:space="preserve">
Note that this is simply a formula, NOT correct/final markup to allocate, which is BL130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Lauren Manteuffel</author>
  </authors>
  <commentList>
    <comment ref="D8" authorId="0" shapeId="0" xr:uid="{00000000-0006-0000-2C00-000001000000}">
      <text>
        <r>
          <rPr>
            <b/>
            <sz val="9"/>
            <color indexed="81"/>
            <rFont val="Tahoma"/>
            <family val="2"/>
          </rPr>
          <t>Lauren Manteuffel:</t>
        </r>
        <r>
          <rPr>
            <sz val="9"/>
            <color indexed="81"/>
            <rFont val="Tahoma"/>
            <family val="2"/>
          </rPr>
          <t xml:space="preserve">
CEO cost centre less: rent (line below)
</t>
        </r>
      </text>
    </comment>
    <comment ref="A10" authorId="0" shapeId="0" xr:uid="{00000000-0006-0000-2C00-000002000000}">
      <text>
        <r>
          <rPr>
            <b/>
            <sz val="9"/>
            <color indexed="81"/>
            <rFont val="Tahoma"/>
            <family val="2"/>
          </rPr>
          <t>Lauren Manteuffel:</t>
        </r>
        <r>
          <rPr>
            <sz val="9"/>
            <color indexed="81"/>
            <rFont val="Tahoma"/>
            <family val="2"/>
          </rPr>
          <t xml:space="preserve">
licenses for state registration, ecodistricts - marketing/sponsorship + conference
</t>
        </r>
      </text>
    </comment>
    <comment ref="A14" authorId="0" shapeId="0" xr:uid="{00000000-0006-0000-2C00-000003000000}">
      <text>
        <r>
          <rPr>
            <b/>
            <sz val="9"/>
            <color indexed="81"/>
            <rFont val="Tahoma"/>
            <family val="2"/>
          </rPr>
          <t>Lauren Manteuffel:</t>
        </r>
        <r>
          <rPr>
            <sz val="9"/>
            <color indexed="81"/>
            <rFont val="Tahoma"/>
            <family val="2"/>
          </rPr>
          <t xml:space="preserve">
HR program that couldn't be allocated by headcount. US Contract.
</t>
        </r>
      </text>
    </comment>
    <comment ref="A15" authorId="0" shapeId="0" xr:uid="{00000000-0006-0000-2C00-000004000000}">
      <text>
        <r>
          <rPr>
            <b/>
            <sz val="9"/>
            <color indexed="81"/>
            <rFont val="Tahoma"/>
            <family val="2"/>
          </rPr>
          <t>Lauren Manteuffel:</t>
        </r>
        <r>
          <rPr>
            <sz val="9"/>
            <color indexed="81"/>
            <rFont val="Tahoma"/>
            <family val="2"/>
          </rPr>
          <t xml:space="preserve">
Legal budget allocated to all - legal support has been pushed down into CUI in dept 6700. </t>
        </r>
      </text>
    </comment>
    <comment ref="D39" authorId="0" shapeId="0" xr:uid="{00000000-0006-0000-2C00-000005000000}">
      <text>
        <r>
          <rPr>
            <b/>
            <sz val="9"/>
            <color indexed="81"/>
            <rFont val="Tahoma"/>
            <family val="2"/>
          </rPr>
          <t>Lauren Manteuffel:</t>
        </r>
        <r>
          <rPr>
            <sz val="9"/>
            <color indexed="81"/>
            <rFont val="Tahoma"/>
            <family val="2"/>
          </rPr>
          <t xml:space="preserve">
Langley Gateway included. All to CDN Contract. Net of rev from products.</t>
        </r>
      </text>
    </comment>
    <comment ref="D40" authorId="0" shapeId="0" xr:uid="{00000000-0006-0000-2C00-000006000000}">
      <text>
        <r>
          <rPr>
            <b/>
            <sz val="9"/>
            <color indexed="81"/>
            <rFont val="Tahoma"/>
            <family val="2"/>
          </rPr>
          <t>Lauren Manteuffel:</t>
        </r>
        <r>
          <rPr>
            <sz val="9"/>
            <color indexed="81"/>
            <rFont val="Tahoma"/>
            <family val="2"/>
          </rPr>
          <t xml:space="preserve">
 Removed interco interest expense.</t>
        </r>
      </text>
    </comment>
    <comment ref="D48" authorId="0" shapeId="0" xr:uid="{00000000-0006-0000-2C00-000007000000}">
      <text>
        <r>
          <rPr>
            <b/>
            <sz val="9"/>
            <color indexed="81"/>
            <rFont val="Tahoma"/>
            <family val="2"/>
          </rPr>
          <t>Lauren Manteuffel:</t>
        </r>
        <r>
          <rPr>
            <sz val="9"/>
            <color indexed="81"/>
            <rFont val="Tahoma"/>
            <family val="2"/>
          </rPr>
          <t xml:space="preserve">
Includes Tina/Morrigan</t>
        </r>
      </text>
    </comment>
    <comment ref="A50" authorId="0" shapeId="0" xr:uid="{00000000-0006-0000-2C00-000008000000}">
      <text>
        <r>
          <rPr>
            <b/>
            <sz val="9"/>
            <color indexed="81"/>
            <rFont val="Tahoma"/>
            <family val="2"/>
          </rPr>
          <t>Lauren Manteuffel:</t>
        </r>
        <r>
          <rPr>
            <sz val="9"/>
            <color indexed="81"/>
            <rFont val="Tahoma"/>
            <family val="2"/>
          </rPr>
          <t xml:space="preserve">
Do not include in 2019B years (2019-2021), already 50% in OU and 50% in UI. For 2020B process, use CAM.</t>
        </r>
      </text>
    </comment>
    <comment ref="D122" authorId="0" shapeId="0" xr:uid="{00000000-0006-0000-2C00-000009000000}">
      <text>
        <r>
          <rPr>
            <b/>
            <sz val="9"/>
            <color indexed="81"/>
            <rFont val="Tahoma"/>
            <family val="2"/>
          </rPr>
          <t>Lauren Manteuffel:</t>
        </r>
        <r>
          <rPr>
            <sz val="9"/>
            <color indexed="81"/>
            <rFont val="Tahoma"/>
            <family val="2"/>
          </rPr>
          <t xml:space="preserve">
Updated per MW on 12/20/2018</t>
        </r>
      </text>
    </comment>
    <comment ref="D123" authorId="0" shapeId="0" xr:uid="{00000000-0006-0000-2C00-00000A000000}">
      <text>
        <r>
          <rPr>
            <b/>
            <sz val="9"/>
            <color indexed="81"/>
            <rFont val="Tahoma"/>
            <family val="2"/>
          </rPr>
          <t>Lauren Manteuffel:</t>
        </r>
        <r>
          <rPr>
            <sz val="9"/>
            <color indexed="81"/>
            <rFont val="Tahoma"/>
            <family val="2"/>
          </rPr>
          <t xml:space="preserve">
Includes Tina/Morrigan
Number updated per MW 12/19/2018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Andrew Kim</author>
  </authors>
  <commentList>
    <comment ref="C54" authorId="0" shapeId="0" xr:uid="{00000000-0006-0000-0600-000001000000}">
      <text>
        <r>
          <rPr>
            <b/>
            <sz val="8"/>
            <color indexed="81"/>
            <rFont val="Tahoma"/>
            <family val="2"/>
          </rPr>
          <t>Andrew Kim:</t>
        </r>
        <r>
          <rPr>
            <sz val="8"/>
            <color indexed="81"/>
            <rFont val="Tahoma"/>
            <family val="2"/>
          </rPr>
          <t xml:space="preserve">
interest income excluded per EBITDA definition in Adaptive </t>
        </r>
      </text>
    </comment>
    <comment ref="D54" authorId="0" shapeId="0" xr:uid="{00000000-0006-0000-0600-000002000000}">
      <text>
        <r>
          <rPr>
            <b/>
            <sz val="8"/>
            <color indexed="81"/>
            <rFont val="Tahoma"/>
            <family val="2"/>
          </rPr>
          <t>Andrew Kim:</t>
        </r>
        <r>
          <rPr>
            <sz val="8"/>
            <color indexed="81"/>
            <rFont val="Tahoma"/>
            <family val="2"/>
          </rPr>
          <t xml:space="preserve">
excluding 8037 IT RS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Andrew Kim</author>
  </authors>
  <commentList>
    <comment ref="B4" authorId="0" shapeId="0" xr:uid="{00000000-0006-0000-0700-000001000000}">
      <text>
        <r>
          <rPr>
            <b/>
            <sz val="8"/>
            <color indexed="81"/>
            <rFont val="Tahoma"/>
            <family val="2"/>
          </rPr>
          <t>Andrew Kim:</t>
        </r>
        <r>
          <rPr>
            <sz val="8"/>
            <color indexed="81"/>
            <rFont val="Tahoma"/>
            <family val="2"/>
          </rPr>
          <t xml:space="preserve">
Do not use any infor from the table below (C5 to H20) &lt;= includes WSC portion not included in the JE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Andrew Kim</author>
  </authors>
  <commentList>
    <comment ref="J1" authorId="0" shapeId="0" xr:uid="{00000000-0006-0000-0800-000001000000}">
      <text>
        <r>
          <rPr>
            <b/>
            <sz val="9"/>
            <color indexed="81"/>
            <rFont val="Tahoma"/>
            <family val="2"/>
          </rPr>
          <t>Andrew Kim:</t>
        </r>
        <r>
          <rPr>
            <sz val="9"/>
            <color indexed="81"/>
            <rFont val="Tahoma"/>
            <family val="2"/>
          </rPr>
          <t xml:space="preserve">
Budget moved from CUI to CMUS per  Silvana's request on Feb12/20</t>
        </r>
      </text>
    </comment>
    <comment ref="D36" authorId="0" shapeId="0" xr:uid="{00000000-0006-0000-0800-000002000000}">
      <text>
        <r>
          <rPr>
            <b/>
            <sz val="9"/>
            <color indexed="81"/>
            <rFont val="Tahoma"/>
            <family val="2"/>
          </rPr>
          <t>Andrew Kim:</t>
        </r>
        <r>
          <rPr>
            <sz val="9"/>
            <color indexed="81"/>
            <rFont val="Tahoma"/>
            <family val="2"/>
          </rPr>
          <t xml:space="preserve">
This is not "ALL" but "All less RU-48" because the portion belonging to WSC already kept in WSC </t>
        </r>
      </text>
    </comment>
    <comment ref="D37" authorId="0" shapeId="0" xr:uid="{00000000-0006-0000-0800-000003000000}">
      <text>
        <r>
          <rPr>
            <b/>
            <sz val="9"/>
            <color indexed="81"/>
            <rFont val="Tahoma"/>
            <family val="2"/>
          </rPr>
          <t>Andrew Kim:</t>
        </r>
        <r>
          <rPr>
            <sz val="9"/>
            <color indexed="81"/>
            <rFont val="Tahoma"/>
            <family val="2"/>
          </rPr>
          <t xml:space="preserve">
This is not "ALL" but "All less RU-48" because the portion belonging to WSC already kept in WSC </t>
        </r>
      </text>
    </comment>
    <comment ref="D38" authorId="0" shapeId="0" xr:uid="{00000000-0006-0000-0800-000004000000}">
      <text>
        <r>
          <rPr>
            <b/>
            <sz val="9"/>
            <color indexed="81"/>
            <rFont val="Tahoma"/>
            <family val="2"/>
          </rPr>
          <t>Andrew Kim:</t>
        </r>
        <r>
          <rPr>
            <sz val="9"/>
            <color indexed="81"/>
            <rFont val="Tahoma"/>
            <family val="2"/>
          </rPr>
          <t xml:space="preserve">
This is not "ALL" but "Canadian RU + Alaska" because the portion belonging to WSC already kept in WSC </t>
        </r>
      </text>
    </comment>
    <comment ref="D39" authorId="0" shapeId="0" xr:uid="{00000000-0006-0000-0800-000005000000}">
      <text>
        <r>
          <rPr>
            <b/>
            <sz val="9"/>
            <color indexed="81"/>
            <rFont val="Tahoma"/>
            <family val="2"/>
          </rPr>
          <t>Andrew Kim:</t>
        </r>
        <r>
          <rPr>
            <sz val="9"/>
            <color indexed="81"/>
            <rFont val="Tahoma"/>
            <family val="2"/>
          </rPr>
          <t xml:space="preserve">
This is not "ALL" but "All less RU-48" because the portion belonging to WSC already kept in WSC </t>
        </r>
      </text>
    </comment>
    <comment ref="D40" authorId="0" shapeId="0" xr:uid="{00000000-0006-0000-0800-000006000000}">
      <text>
        <r>
          <rPr>
            <b/>
            <sz val="9"/>
            <color indexed="81"/>
            <rFont val="Tahoma"/>
            <family val="2"/>
          </rPr>
          <t>Andrew Kim:</t>
        </r>
        <r>
          <rPr>
            <sz val="9"/>
            <color indexed="81"/>
            <rFont val="Tahoma"/>
            <family val="2"/>
          </rPr>
          <t xml:space="preserve">
This is not "ALL" but "All less RU-48" because the portion belonging to WSC already kept in WSC </t>
        </r>
      </text>
    </comment>
    <comment ref="D41" authorId="0" shapeId="0" xr:uid="{00000000-0006-0000-0800-000007000000}">
      <text>
        <r>
          <rPr>
            <b/>
            <sz val="9"/>
            <color indexed="81"/>
            <rFont val="Tahoma"/>
            <family val="2"/>
          </rPr>
          <t>Andrew Kim:</t>
        </r>
        <r>
          <rPr>
            <sz val="9"/>
            <color indexed="81"/>
            <rFont val="Tahoma"/>
            <family val="2"/>
          </rPr>
          <t xml:space="preserve">
This is not "ALL" but "All less RU-48" because the portion belonging to WSC already kept in WSC </t>
        </r>
      </text>
    </comment>
    <comment ref="D42" authorId="0" shapeId="0" xr:uid="{00000000-0006-0000-0800-000008000000}">
      <text>
        <r>
          <rPr>
            <b/>
            <sz val="9"/>
            <color indexed="81"/>
            <rFont val="Tahoma"/>
            <family val="2"/>
          </rPr>
          <t>Andrew Kim:</t>
        </r>
        <r>
          <rPr>
            <sz val="9"/>
            <color indexed="81"/>
            <rFont val="Tahoma"/>
            <family val="2"/>
          </rPr>
          <t xml:space="preserve">
This is not "ALL" but "All less RU-48" because the portion belonging to WSC already kept in WSC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Andrew Kim</author>
  </authors>
  <commentList>
    <comment ref="G21" authorId="0" shapeId="0" xr:uid="{00000000-0006-0000-0900-000001000000}">
      <text>
        <r>
          <rPr>
            <b/>
            <sz val="9"/>
            <color indexed="81"/>
            <rFont val="Tahoma"/>
            <family val="2"/>
          </rPr>
          <t>Andrew Kim:</t>
        </r>
        <r>
          <rPr>
            <sz val="9"/>
            <color indexed="81"/>
            <rFont val="Tahoma"/>
            <family val="2"/>
          </rPr>
          <t xml:space="preserve">
remove interco dividend $900K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abacalso</author>
    <author>Andrew Kim</author>
  </authors>
  <commentList>
    <comment ref="H199" authorId="0" shapeId="0" xr:uid="{00000000-0006-0000-0A00-000001000000}">
      <text>
        <r>
          <rPr>
            <b/>
            <sz val="9"/>
            <color indexed="81"/>
            <rFont val="Tahoma"/>
            <family val="2"/>
          </rPr>
          <t>abacalso:</t>
        </r>
        <r>
          <rPr>
            <sz val="9"/>
            <color indexed="81"/>
            <rFont val="Tahoma"/>
            <family val="2"/>
          </rPr>
          <t xml:space="preserve">
Don's salary</t>
        </r>
      </text>
    </comment>
    <comment ref="I199" authorId="0" shapeId="0" xr:uid="{00000000-0006-0000-0A00-000002000000}">
      <text>
        <r>
          <rPr>
            <b/>
            <sz val="9"/>
            <color indexed="81"/>
            <rFont val="Tahoma"/>
            <family val="2"/>
          </rPr>
          <t>abacalso:</t>
        </r>
        <r>
          <rPr>
            <sz val="9"/>
            <color indexed="81"/>
            <rFont val="Tahoma"/>
            <family val="2"/>
          </rPr>
          <t xml:space="preserve">
Don's salary</t>
        </r>
      </text>
    </comment>
    <comment ref="E293" authorId="1" shapeId="0" xr:uid="{00000000-0006-0000-0A00-000003000000}">
      <text>
        <r>
          <rPr>
            <b/>
            <sz val="9"/>
            <color indexed="81"/>
            <rFont val="Tahoma"/>
            <family val="2"/>
          </rPr>
          <t>Andrew Kim:</t>
        </r>
        <r>
          <rPr>
            <sz val="9"/>
            <color indexed="81"/>
            <rFont val="Tahoma"/>
            <family val="2"/>
          </rPr>
          <t xml:space="preserve">
not included in CAM calculation</t>
        </r>
      </text>
    </comment>
    <comment ref="H293" authorId="1" shapeId="0" xr:uid="{00000000-0006-0000-0A00-000004000000}">
      <text>
        <r>
          <rPr>
            <b/>
            <sz val="9"/>
            <color indexed="81"/>
            <rFont val="Tahoma"/>
            <family val="2"/>
          </rPr>
          <t>Andrew Kim:</t>
        </r>
        <r>
          <rPr>
            <sz val="9"/>
            <color indexed="81"/>
            <rFont val="Tahoma"/>
            <family val="2"/>
          </rPr>
          <t xml:space="preserve">
not included in CAM calculation</t>
        </r>
      </text>
    </comment>
    <comment ref="J293" authorId="1" shapeId="0" xr:uid="{00000000-0006-0000-0A00-000005000000}">
      <text>
        <r>
          <rPr>
            <b/>
            <sz val="9"/>
            <color indexed="81"/>
            <rFont val="Tahoma"/>
            <family val="2"/>
          </rPr>
          <t>Andrew Kim:</t>
        </r>
        <r>
          <rPr>
            <sz val="9"/>
            <color indexed="81"/>
            <rFont val="Tahoma"/>
            <family val="2"/>
          </rPr>
          <t xml:space="preserve">
not included in CAM calculation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Andrew Kim</author>
  </authors>
  <commentList>
    <comment ref="B29" authorId="0" shapeId="0" xr:uid="{00000000-0006-0000-1000-000001000000}">
      <text>
        <r>
          <rPr>
            <b/>
            <sz val="8"/>
            <color indexed="81"/>
            <rFont val="Tahoma"/>
            <family val="2"/>
          </rPr>
          <t>Andrew Kim:</t>
        </r>
        <r>
          <rPr>
            <sz val="8"/>
            <color indexed="81"/>
            <rFont val="Tahoma"/>
            <family val="2"/>
          </rPr>
          <t xml:space="preserve">
excluding interest income (non-operating income/expense) per EBITDA definition in Adaptive</t>
        </r>
      </text>
    </comment>
    <comment ref="B34" authorId="0" shapeId="0" xr:uid="{00000000-0006-0000-1000-000002000000}">
      <text>
        <r>
          <rPr>
            <b/>
            <sz val="8"/>
            <color indexed="81"/>
            <rFont val="Tahoma"/>
            <family val="2"/>
          </rPr>
          <t>Andrew Kim:</t>
        </r>
        <r>
          <rPr>
            <sz val="8"/>
            <color indexed="81"/>
            <rFont val="Tahoma"/>
            <family val="2"/>
          </rPr>
          <t xml:space="preserve">
excluding interest income (non-operating income/expense) per EBITDA definition in Adaptive</t>
        </r>
      </text>
    </comment>
    <comment ref="O53" authorId="0" shapeId="0" xr:uid="{00000000-0006-0000-1000-000003000000}">
      <text>
        <r>
          <rPr>
            <b/>
            <sz val="8"/>
            <color indexed="81"/>
            <rFont val="Tahoma"/>
            <family val="2"/>
          </rPr>
          <t>Andrew Kim:</t>
        </r>
        <r>
          <rPr>
            <sz val="8"/>
            <color indexed="81"/>
            <rFont val="Tahoma"/>
            <family val="2"/>
          </rPr>
          <t xml:space="preserve">
added "US"</t>
        </r>
      </text>
    </comment>
    <comment ref="H65" authorId="0" shapeId="0" xr:uid="{00000000-0006-0000-1000-000004000000}">
      <text>
        <r>
          <rPr>
            <b/>
            <sz val="8"/>
            <color indexed="81"/>
            <rFont val="Tahoma"/>
            <family val="2"/>
          </rPr>
          <t>Andrew Kim:</t>
        </r>
        <r>
          <rPr>
            <sz val="8"/>
            <color indexed="81"/>
            <rFont val="Tahoma"/>
            <family val="2"/>
          </rPr>
          <t xml:space="preserve">
s/b CCUUS, but left as is for formula pickup</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Andrew Kim</author>
  </authors>
  <commentList>
    <comment ref="B2" authorId="0" shapeId="0" xr:uid="{00000000-0006-0000-1100-000001000000}">
      <text>
        <r>
          <rPr>
            <b/>
            <sz val="8"/>
            <color indexed="81"/>
            <rFont val="Tahoma"/>
            <family val="2"/>
          </rPr>
          <t>Andrew Kim:</t>
        </r>
        <r>
          <rPr>
            <sz val="8"/>
            <color indexed="81"/>
            <rFont val="Tahoma"/>
            <family val="2"/>
          </rPr>
          <t xml:space="preserve">
WSC cost is a "net" amount after cross charging CISUS</t>
        </r>
      </text>
    </comment>
  </commentList>
</comments>
</file>

<file path=xl/sharedStrings.xml><?xml version="1.0" encoding="utf-8"?>
<sst xmlns="http://schemas.openxmlformats.org/spreadsheetml/2006/main" count="7546" uniqueCount="1185">
  <si>
    <t>RU</t>
  </si>
  <si>
    <t>Alaska</t>
  </si>
  <si>
    <t>Tribus</t>
  </si>
  <si>
    <t>Total</t>
  </si>
  <si>
    <t>(1) Corix Water Services Inc. headcount (full time) is equal to 13 Full Time Employees plus 25 Union Employees</t>
  </si>
  <si>
    <t>Notes</t>
  </si>
  <si>
    <t>Totals</t>
  </si>
  <si>
    <t>R:\Dept-R:\Dept-Acct\Finance\2019\Budget\Canadian Utilities\Submission 1 - October 22 Presentation</t>
  </si>
  <si>
    <t>CMUS</t>
  </si>
  <si>
    <t>CMUS Admin</t>
  </si>
  <si>
    <t>CMUS_Admin</t>
  </si>
  <si>
    <t>R:\Dept-Acct\Finance\2019\Budget\Canadian Utilities\October 26th Budget Files</t>
  </si>
  <si>
    <t>CUI</t>
  </si>
  <si>
    <t>6139 - Energy Services</t>
  </si>
  <si>
    <t>6700-CUI Admin</t>
  </si>
  <si>
    <t>Dept 6700 - Combine with Langley Gateway</t>
  </si>
  <si>
    <t>CEI</t>
  </si>
  <si>
    <t>Corix Energy Inc.</t>
  </si>
  <si>
    <t>CWSI</t>
  </si>
  <si>
    <t>Corix Water Services Inc. (See note)</t>
  </si>
  <si>
    <t>Special Project</t>
  </si>
  <si>
    <t>R:\Dept-Acct\Finance\2019\Budget\Canadian Utilities\Submission 1 - October 22 Presentation</t>
  </si>
  <si>
    <t>AB_Admin</t>
  </si>
  <si>
    <t>Alberta Ops (South)</t>
  </si>
  <si>
    <t>Alberta Ops (North)</t>
  </si>
  <si>
    <t>BC Ops</t>
  </si>
  <si>
    <t>Dept 6155</t>
  </si>
  <si>
    <t>Kootenay Ops</t>
  </si>
  <si>
    <t>Kamloops Ops</t>
  </si>
  <si>
    <t>Island Ops</t>
  </si>
  <si>
    <t>6138 Coastal O&amp;M</t>
  </si>
  <si>
    <t>Coastal Ops</t>
  </si>
  <si>
    <t>Beaver Barracks</t>
  </si>
  <si>
    <t>LIEC</t>
  </si>
  <si>
    <t>RG GAAP - Related to LIEC</t>
  </si>
  <si>
    <t>Riverport</t>
  </si>
  <si>
    <t>SFU Biomass</t>
  </si>
  <si>
    <t>SFU UniverCity</t>
  </si>
  <si>
    <t>UBC</t>
  </si>
  <si>
    <t>Rise</t>
  </si>
  <si>
    <t>West Shore Environmental Services</t>
  </si>
  <si>
    <t>Wastewater Treatment Plant &amp; ADMIN</t>
  </si>
  <si>
    <t>Energy</t>
  </si>
  <si>
    <t>Gas</t>
  </si>
  <si>
    <t xml:space="preserve">Electric </t>
  </si>
  <si>
    <t>Wastewater</t>
  </si>
  <si>
    <t>Water</t>
  </si>
  <si>
    <t xml:space="preserve">CMUS </t>
  </si>
  <si>
    <t>Municipal</t>
  </si>
  <si>
    <t>Sun Rivers</t>
  </si>
  <si>
    <t>Geothermal</t>
  </si>
  <si>
    <t>Sewer</t>
  </si>
  <si>
    <t>Irrigation Water</t>
  </si>
  <si>
    <t>Domestic Water</t>
  </si>
  <si>
    <t>Admin</t>
  </si>
  <si>
    <t>PA-Admin</t>
  </si>
  <si>
    <t>Panorama</t>
  </si>
  <si>
    <t>Propane Distribution</t>
  </si>
  <si>
    <t>Propane Storage Farm</t>
  </si>
  <si>
    <t>Wastewater Treatment Plant</t>
  </si>
  <si>
    <t>Source Location (For Links)</t>
  </si>
  <si>
    <t>Headcount
(Part time)</t>
  </si>
  <si>
    <t>Headcount
(Full time)</t>
  </si>
  <si>
    <t>Revenue</t>
  </si>
  <si>
    <t>Entity</t>
  </si>
  <si>
    <t>Utility Type</t>
  </si>
  <si>
    <t>Business Unit</t>
  </si>
  <si>
    <t>This file contains information collected for the CAM Model project.</t>
  </si>
  <si>
    <t>1. Exchange Rate</t>
  </si>
  <si>
    <t>Headcount</t>
  </si>
  <si>
    <t>Plant</t>
  </si>
  <si>
    <t>Cost centres to be allocated to profit centres using composites</t>
  </si>
  <si>
    <t>Panorama - Wastewater Treatment Plant</t>
  </si>
  <si>
    <t>Panorama - Propane Storage Farm</t>
  </si>
  <si>
    <t>Panorama - Propane Distribution</t>
  </si>
  <si>
    <t>Panorama - Water</t>
  </si>
  <si>
    <t>Panorama - Sewer</t>
  </si>
  <si>
    <t>Sun Rivers - Electric</t>
  </si>
  <si>
    <t>Sun Rivers - Gas</t>
  </si>
  <si>
    <t>Sun Rivers - Domestic Water</t>
  </si>
  <si>
    <t>Sun Rivers - Irrigation Water</t>
  </si>
  <si>
    <t>Sun Rivers - Sewer</t>
  </si>
  <si>
    <t>Sun Rivers - Geothermal</t>
  </si>
  <si>
    <t>Sun Rivers - Municipal</t>
  </si>
  <si>
    <t>Cost centres</t>
  </si>
  <si>
    <t>Profit centres</t>
  </si>
  <si>
    <t>Foothills - Water</t>
  </si>
  <si>
    <t>Foothills - Wastewater</t>
  </si>
  <si>
    <t>Sage Meadows - Wastewater</t>
  </si>
  <si>
    <t>Sage Meadows - Water</t>
  </si>
  <si>
    <t>Canadian Lakeview Estates (in Adventure Bay) - Wastewater</t>
  </si>
  <si>
    <t>Canadian Lakeview Estates (in Adventure Bay) - Water</t>
  </si>
  <si>
    <t>Sonoma Pines - Electric</t>
  </si>
  <si>
    <t>Sonoma Pines - Gas</t>
  </si>
  <si>
    <t>Dockside Green - Energy</t>
  </si>
  <si>
    <t>Dockside Green  - Wastewater and Admin</t>
  </si>
  <si>
    <t>Check</t>
  </si>
  <si>
    <t>Weight</t>
  </si>
  <si>
    <t>Allocation</t>
  </si>
  <si>
    <t>Cdn Utilities</t>
  </si>
  <si>
    <t xml:space="preserve">Cost centres not allocated </t>
  </si>
  <si>
    <t>2. Composite allocation</t>
  </si>
  <si>
    <t>3. Plant Gross or Net</t>
  </si>
  <si>
    <t>Gross</t>
  </si>
  <si>
    <t>Net</t>
  </si>
  <si>
    <t>← dropdown menu</t>
  </si>
  <si>
    <t>DEU</t>
  </si>
  <si>
    <t>RICK Direct</t>
  </si>
  <si>
    <t>Cost centres allocated directly using CAM</t>
  </si>
  <si>
    <t>Oklahoma</t>
  </si>
  <si>
    <t>Cleveland Thermal</t>
  </si>
  <si>
    <t>4. Include Doyon</t>
  </si>
  <si>
    <t>Yes</t>
  </si>
  <si>
    <t>No</t>
  </si>
  <si>
    <t>Gillem Enclave</t>
  </si>
  <si>
    <t>Plant - end of period</t>
  </si>
  <si>
    <t>DES</t>
  </si>
  <si>
    <t>Rick</t>
  </si>
  <si>
    <t>check</t>
  </si>
  <si>
    <t>Revenues/Expenses - average</t>
  </si>
  <si>
    <t>Gross Plant</t>
  </si>
  <si>
    <t>ERC</t>
  </si>
  <si>
    <t>Atlantic</t>
  </si>
  <si>
    <t>Midwest</t>
  </si>
  <si>
    <t>Florida</t>
  </si>
  <si>
    <t>South</t>
  </si>
  <si>
    <t>West</t>
  </si>
  <si>
    <t>Texas</t>
  </si>
  <si>
    <t>%</t>
  </si>
  <si>
    <t>All composites in $USD</t>
  </si>
  <si>
    <t>5. Tribus allocation</t>
  </si>
  <si>
    <t>applies to Finance and CEO cost centre</t>
  </si>
  <si>
    <t>ALL</t>
  </si>
  <si>
    <t>Panorama Admin</t>
  </si>
  <si>
    <t>% Plant</t>
  </si>
  <si>
    <t>% headcount</t>
  </si>
  <si>
    <t>Pre allocation:</t>
  </si>
  <si>
    <t>Post allocation:</t>
  </si>
  <si>
    <t>Assumptions</t>
  </si>
  <si>
    <t>Note - check in on Corix Water Services - Ontario ops</t>
  </si>
  <si>
    <t>In Canadian Dollars</t>
  </si>
  <si>
    <t>Cultus Lake - Water</t>
  </si>
  <si>
    <t>Cultus Lake - Wastewater</t>
  </si>
  <si>
    <t>Sun Rivers Admin</t>
  </si>
  <si>
    <t xml:space="preserve">Check: </t>
  </si>
  <si>
    <t>COST CENTRE ALLOCATION - ADMIN WITHIN UTILITY GROUP</t>
  </si>
  <si>
    <t>AB Admin</t>
  </si>
  <si>
    <t>BC ops</t>
  </si>
  <si>
    <t>All Cdn Contract</t>
  </si>
  <si>
    <t>**Note: below we are adjusting for headcount/revs/plant in the profit centres as a sig portion of headcount specifically are in the cost centres. We are allocating out using the CAM composites.  If we do not do this, the weight to Cdn Contract will be artificially low.</t>
  </si>
  <si>
    <t>RICK - allocation</t>
  </si>
  <si>
    <t>COST CENTRE ALLOCATION - Overhead - Note: Use Post-allocation for Panorama, Sun Rivers and BC Ops</t>
  </si>
  <si>
    <t>Total Allocation</t>
  </si>
  <si>
    <t>DEU allocation</t>
  </si>
  <si>
    <t>Check to total</t>
  </si>
  <si>
    <t xml:space="preserve">CAM Model </t>
  </si>
  <si>
    <t>Gillem</t>
  </si>
  <si>
    <r>
      <t xml:space="preserve">Table below is </t>
    </r>
    <r>
      <rPr>
        <u/>
        <sz val="11"/>
        <color rgb="FF0070C0"/>
        <rFont val="Calibri"/>
        <family val="2"/>
        <scheme val="minor"/>
      </rPr>
      <t>after</t>
    </r>
    <r>
      <rPr>
        <sz val="11"/>
        <color rgb="FF0070C0"/>
        <rFont val="Calibri"/>
        <family val="2"/>
        <scheme val="minor"/>
      </rPr>
      <t xml:space="preserve"> allocations for cost centres</t>
    </r>
  </si>
  <si>
    <t>Original pulled by ES - based on 2019 budget files</t>
  </si>
  <si>
    <t>← NOTE: USE GROSS</t>
  </si>
  <si>
    <t>6. Margin</t>
  </si>
  <si>
    <t>Consulting/Pass through (USD)</t>
  </si>
  <si>
    <t>Total Costs Allocated (No mark up)</t>
  </si>
  <si>
    <t>Per disc. With E&amp;Y</t>
  </si>
  <si>
    <t>CUFWW</t>
  </si>
  <si>
    <t>CUFW</t>
  </si>
  <si>
    <t>USD</t>
  </si>
  <si>
    <t>CAD</t>
  </si>
  <si>
    <t>Cambie Thermal</t>
  </si>
  <si>
    <t>CTLP</t>
  </si>
  <si>
    <t>TTM to June 30/19</t>
  </si>
  <si>
    <t>Gross PP&amp;E June 30, 2019</t>
  </si>
  <si>
    <t>Accum Amort June 30, 2019</t>
  </si>
  <si>
    <t>Total
Headcount
June 30, 2019</t>
  </si>
  <si>
    <t>TTM to June 30, 2019</t>
  </si>
  <si>
    <t>Revenue - TTM June 30, 2019</t>
  </si>
  <si>
    <t>June 30, 2019 Headcount</t>
  </si>
  <si>
    <t>June 30, 2019 
Plant</t>
  </si>
  <si>
    <t>Doyon Notional Allocation</t>
  </si>
  <si>
    <t>Currency</t>
  </si>
  <si>
    <t>COO</t>
  </si>
  <si>
    <t>CU</t>
  </si>
  <si>
    <t>WSC</t>
  </si>
  <si>
    <t>CAM Framework</t>
  </si>
  <si>
    <t>Revenue - TTM June 30, 2019 (%)</t>
  </si>
  <si>
    <t>June 30, 2019 Plant (%)</t>
  </si>
  <si>
    <t>June 30, 2019 Headcount (%)</t>
  </si>
  <si>
    <t>US Only</t>
  </si>
  <si>
    <t>Canada Only</t>
  </si>
  <si>
    <t>RU Only</t>
  </si>
  <si>
    <t>CU Only</t>
  </si>
  <si>
    <t>Column C</t>
  </si>
  <si>
    <t>Column D</t>
  </si>
  <si>
    <t>CAM Framework - Allocation % Split</t>
  </si>
  <si>
    <t>Cost Center</t>
  </si>
  <si>
    <t>CAM Framework - Cost Allocation</t>
  </si>
  <si>
    <t>ALL + Tribus</t>
  </si>
  <si>
    <t>IRREGULAR FORMULAS</t>
  </si>
  <si>
    <t>Include Doyon</t>
  </si>
  <si>
    <t>Group</t>
  </si>
  <si>
    <t>Shared Services Group</t>
  </si>
  <si>
    <t>Contract Shared Services</t>
  </si>
  <si>
    <t>USA</t>
  </si>
  <si>
    <t>Column E</t>
  </si>
  <si>
    <t>Column F</t>
  </si>
  <si>
    <t>CU USD Headcount</t>
  </si>
  <si>
    <t>In $USD</t>
  </si>
  <si>
    <t>Amount in CAD</t>
  </si>
  <si>
    <t>Amount in USD</t>
  </si>
  <si>
    <t>CU USD Composite</t>
  </si>
  <si>
    <t>Contract Shared Services - Composite</t>
  </si>
  <si>
    <t>Canadian Contract Shared Services - Headcount</t>
  </si>
  <si>
    <t>HAVE TO LEAVE FOR CANADA TAB</t>
  </si>
  <si>
    <t>UPDATED</t>
  </si>
  <si>
    <t>WSES</t>
  </si>
  <si>
    <t>Special Project &gt;&gt;&gt; 6501 - COO Cost Centre</t>
  </si>
  <si>
    <t>Note: $1.30 is rate used for budget for 2020-2022</t>
  </si>
  <si>
    <t>% of Costs Allocated</t>
  </si>
  <si>
    <t>1010-000100 - Corporate Admin</t>
  </si>
  <si>
    <t>1010-000110 - Corporate Recovery</t>
  </si>
  <si>
    <t>1010-000120 - Transformation</t>
  </si>
  <si>
    <t>1010-000200 - Business Development</t>
  </si>
  <si>
    <t>1010-000300 - Corporate Communications</t>
  </si>
  <si>
    <t>1010-000400 - Finance</t>
  </si>
  <si>
    <t>1010-000500 - IT Governance</t>
  </si>
  <si>
    <t>1010-000600 - Human Resources</t>
  </si>
  <si>
    <t>1010-000800 - Legal, Regulatory &amp; Govt Relations</t>
  </si>
  <si>
    <t>1010-000900 - Treasury</t>
  </si>
  <si>
    <t>1010-001000 - HSE</t>
  </si>
  <si>
    <t>1010-001100 - Internal Audit</t>
  </si>
  <si>
    <t>1010-009010 - Account Payable SS</t>
  </si>
  <si>
    <t>1010-009100 - Financial Planning &amp; Analysis SS</t>
  </si>
  <si>
    <t>1010-009110 - Legal SS</t>
  </si>
  <si>
    <t>1010-009040 - IT Support Services</t>
  </si>
  <si>
    <t>1010-009140 - HSE Canada SS</t>
  </si>
  <si>
    <t>1010-009130 - Human Resources SS</t>
  </si>
  <si>
    <t>1010-009030 - Payroll SS</t>
  </si>
  <si>
    <t>1016-000200 - Business Development</t>
  </si>
  <si>
    <t>1016-000900 - HR</t>
  </si>
  <si>
    <t>1016-001000 - HSE</t>
  </si>
  <si>
    <t>009010 - Water Service Corporation Admin</t>
  </si>
  <si>
    <t>009020 - Accounting/Tax Cost Ctr</t>
  </si>
  <si>
    <t>009030 - COM / ENG</t>
  </si>
  <si>
    <t>009040 - Human Resources Cost Ctr</t>
  </si>
  <si>
    <t>009050 - IT Cost Ctr</t>
  </si>
  <si>
    <t>009060 - Billing</t>
  </si>
  <si>
    <t>009070 - Customer Service</t>
  </si>
  <si>
    <t>009075 - COO Regulated Utility Cost Ctr</t>
  </si>
  <si>
    <t>009080 - CSSO Cost Ctr</t>
  </si>
  <si>
    <t>009085 - Legal Costs Center</t>
  </si>
  <si>
    <t>009090 - Chicago Admin Cost Ctr</t>
  </si>
  <si>
    <t>009100 - HSE Support</t>
  </si>
  <si>
    <t>009105 - Computer System Cost Ctr</t>
  </si>
  <si>
    <t>Cost Center (Adaptive Numbering)</t>
  </si>
  <si>
    <t>Organization</t>
  </si>
  <si>
    <t>G/L</t>
  </si>
  <si>
    <t>Current Budget Owner</t>
  </si>
  <si>
    <t>Allocation Comment</t>
  </si>
  <si>
    <t>JDE</t>
  </si>
  <si>
    <t>Jim D</t>
  </si>
  <si>
    <t>Catherine</t>
  </si>
  <si>
    <t>Allocate to RU</t>
  </si>
  <si>
    <t>Shawn</t>
  </si>
  <si>
    <t>Full company</t>
  </si>
  <si>
    <t>Corporate Departments</t>
  </si>
  <si>
    <t>CII</t>
  </si>
  <si>
    <t>NAV</t>
  </si>
  <si>
    <t>Lisa</t>
  </si>
  <si>
    <t>Full company + Tribus</t>
  </si>
  <si>
    <t>Don</t>
  </si>
  <si>
    <t>Bruce</t>
  </si>
  <si>
    <t>Mark</t>
  </si>
  <si>
    <t>1010-000500 - IT</t>
  </si>
  <si>
    <t>1010-001000 - Internal Audit</t>
  </si>
  <si>
    <t>Don/Catherine</t>
  </si>
  <si>
    <t>1010-009040 - IT SS</t>
  </si>
  <si>
    <t>Jim</t>
  </si>
  <si>
    <t>CISUS</t>
  </si>
  <si>
    <t>Costs Allocated (No mark up)</t>
  </si>
  <si>
    <t>Allocation Percentage</t>
  </si>
  <si>
    <t>009015 - Corporate Finance Cost Ctr</t>
  </si>
  <si>
    <t>009035 -  Business Betterment Cost Ctr</t>
  </si>
  <si>
    <t>009084 - CRO Cost Center</t>
  </si>
  <si>
    <t>1010-000700 - Business Betterment</t>
  </si>
  <si>
    <t>1010-001200 - Strategy</t>
  </si>
  <si>
    <t>ALL - Except Doyon</t>
  </si>
  <si>
    <t>ALL - Except Doyon - Headcount</t>
  </si>
  <si>
    <t>COMPOSITE</t>
  </si>
  <si>
    <t>HEADCOUNT</t>
  </si>
  <si>
    <t>1010-009020 - Communication SS</t>
  </si>
  <si>
    <t>1016 - Corix Infrastructure Services (US) Inc. (Only)</t>
  </si>
  <si>
    <t>Direct Costs</t>
  </si>
  <si>
    <t>To Other Units</t>
  </si>
  <si>
    <t>From Other Units</t>
  </si>
  <si>
    <t>% To Other Units</t>
  </si>
  <si>
    <t>% Kept at WSC</t>
  </si>
  <si>
    <t>From Other Units Excluding BD</t>
  </si>
  <si>
    <t>RU - L48</t>
  </si>
  <si>
    <t>See WSC Breakdown Tab</t>
  </si>
  <si>
    <t>Net Costs Allocated (No BD and no mark up)</t>
  </si>
  <si>
    <t>009150 - Restructuring Adjustment</t>
  </si>
  <si>
    <t>1010-000140 - Restructuring Adjustment</t>
  </si>
  <si>
    <t>1010-009150 - IT Canada (CUI) SS</t>
  </si>
  <si>
    <t>Full company (based on conversation with Max)</t>
  </si>
  <si>
    <t>1016-001200 - Corporate HR</t>
  </si>
  <si>
    <t>Total Costs Allocated (With mark up)</t>
  </si>
  <si>
    <t>Mark up</t>
  </si>
  <si>
    <t>009160 - Transformation</t>
  </si>
  <si>
    <t>1016-001300 - ECU COO Admin</t>
  </si>
  <si>
    <t>518cef0e-a4fc-46b4-a87f-f3d518a7f551</t>
  </si>
  <si>
    <t>cb3b9f61-6d93-44cf-9fd5-bc80d03359e8</t>
  </si>
  <si>
    <t>Currently RU - L48</t>
  </si>
  <si>
    <t>Full company - Except Doyon</t>
  </si>
  <si>
    <t>All ECU</t>
  </si>
  <si>
    <t>c78f5c24-79fe-4486-81ce-eaabfbb0fcca</t>
  </si>
  <si>
    <t>FSW Board Fees</t>
  </si>
  <si>
    <t>Credit for board Alaska board fees</t>
  </si>
  <si>
    <t>Total Costs From Other Units Summary</t>
  </si>
  <si>
    <t>Business Development</t>
  </si>
  <si>
    <t>Mark Up</t>
  </si>
  <si>
    <t>7bf70284-01e9-4302-9ea8-66cb3f7e0ede</t>
  </si>
  <si>
    <t>1016-009015 - Corporate Finance Cost Ctr</t>
  </si>
  <si>
    <t>1016-009035 -  Business Betterment Cost Ctr</t>
  </si>
  <si>
    <t>1016-009075 - COO Regulated Utility Cost Ctr</t>
  </si>
  <si>
    <t>1016-009084 - CRO Cost Center</t>
  </si>
  <si>
    <t>1016-009105 - Computer System Cost Ctr</t>
  </si>
  <si>
    <t>1016-009150 - Restructuring Adjustment</t>
  </si>
  <si>
    <t>1016-009160 - Transformation</t>
  </si>
  <si>
    <t>Q1-FY20</t>
  </si>
  <si>
    <t>(#1 entry)</t>
  </si>
  <si>
    <t>Dr (Cr)</t>
  </si>
  <si>
    <t>GL</t>
  </si>
  <si>
    <t>(#2 entry)</t>
  </si>
  <si>
    <t>post to #70002</t>
  </si>
  <si>
    <t>FSW</t>
  </si>
  <si>
    <t>Allocate Corporate portion down to respective companies</t>
  </si>
  <si>
    <t>post to #70007</t>
  </si>
  <si>
    <t>Corporate Allocation - Corporate Cost</t>
  </si>
  <si>
    <t>Corporate Allocation - Markup only</t>
  </si>
  <si>
    <t>2020 Q1 FX</t>
  </si>
  <si>
    <t xml:space="preserve">2020 Q1 Actual CAM </t>
  </si>
  <si>
    <t>Reverse 2020 Q1 Budget CAM  (Jan to Mar)</t>
  </si>
  <si>
    <t>Difference (adjustment) between 2020 Q1 Actual vs Budget</t>
  </si>
  <si>
    <t>Allocate Corporate portion to respective companies</t>
  </si>
  <si>
    <t>in '000s</t>
  </si>
  <si>
    <t>1010 - Corix Infrastructure Inc.</t>
  </si>
  <si>
    <t>1330 - West Shore Environmental Services Limited Partnership</t>
  </si>
  <si>
    <t>1355 - Corix Energy Inc.</t>
  </si>
  <si>
    <t>1310 - Corix Utilities Inc.</t>
  </si>
  <si>
    <t>1315 - Corix Multi-Utility Services Inc.</t>
  </si>
  <si>
    <t>1360 - Corix Utilities (Foothills Water) Inc.</t>
  </si>
  <si>
    <t>1365 - Corix Utilities (Foothills Wastewater) Inc.</t>
  </si>
  <si>
    <t>1345 - Corix Water Services Inc.</t>
  </si>
  <si>
    <t>1016 - Corix Infrastructure Services (US) Inc.</t>
  </si>
  <si>
    <t>1210 - Fairbanks Sewer &amp; Water Inc.</t>
  </si>
  <si>
    <t>1110 - Utilities, Inc.</t>
  </si>
  <si>
    <t>1410 - Corix Utilities (Oklahoma) Inc.</t>
  </si>
  <si>
    <t>1710 - Cleveland Thermal LLC Consolidated</t>
  </si>
  <si>
    <t>1610 - Corix Utility Systems (Georgia) Inc.</t>
  </si>
  <si>
    <t xml:space="preserve">Corporate Allocation </t>
  </si>
  <si>
    <t>1010 - Corix Infrastructure Inc.-Corporate Allocations-2020 - 2024 Budget Final</t>
  </si>
  <si>
    <t>1330 - West Shore Environmental Services Limited Partnership-Corporate Allocations-2020 - 2024 Budget Final</t>
  </si>
  <si>
    <t>1355 - Corix Energy Inc.-Corporate Allocations-2020 - 2024 Budget Final</t>
  </si>
  <si>
    <t>1310 - Corix Utilities Inc.-Corporate Allocations-2020 - 2024 Budget Final</t>
  </si>
  <si>
    <t>1315 - Corix Multi-Utility Services Inc.-Corporate Allocations-CAD - Canada, Dollars-2020 - 2024 Budget Final</t>
  </si>
  <si>
    <t>1360 - Corix Utilities (Foothills Water) Inc.-Corporate Allocations-2020 - 2024 Budget Final</t>
  </si>
  <si>
    <t>1365 - Corix Utilities (Foothills Wastewater) Inc.-Corporate Allocations-CAD - Canada, Dollars-2020 - 2024 Budget Final</t>
  </si>
  <si>
    <t>1345 - Corix Water Services Inc.-Corporate Allocations-CAD - Canada, Dollars-2020 - 2024 Budget Final</t>
  </si>
  <si>
    <t>1016 - Corix Infrastructure Services (US) Inc.-CAD - Canada, Dollars-Corporate Allocations-2020 - 2024 Budget Final</t>
  </si>
  <si>
    <t>1210 - Fairbanks Sewer &amp; Water Inc.-CAD - Canada, Dollars-Corporate Allocations-2020 - 2024 Budget Final</t>
  </si>
  <si>
    <t>1110 - Utilities, Inc.-CAD - Canada, Dollars-Corporate Allocations-2020 - 2024 Budget Final</t>
  </si>
  <si>
    <t>1410 - Corix Utilities (Oklahoma) Inc.-Corporate Allocations-CAD - Canada, Dollars-2020 - 2024 Budget Final</t>
  </si>
  <si>
    <t>1710 - Cleveland Thermal LLC Consolidated-CAD - Canada, Dollars-Corporate Allocations-2020 - 2024 Budget Final</t>
  </si>
  <si>
    <t>1610 - Corix Utility Systems (Georgia) Inc.-CAD - Canada, Dollars-Corporate Allocations-2020 - 2024 Budget Final</t>
  </si>
  <si>
    <t>Allocation Markup</t>
  </si>
  <si>
    <t>WSES LP</t>
  </si>
  <si>
    <t>Tribus Inc</t>
  </si>
  <si>
    <t>2020 Q1</t>
  </si>
  <si>
    <t>2020 Total</t>
  </si>
  <si>
    <t>2020 CAM Budget</t>
  </si>
  <si>
    <t>P&amp;L FX rate</t>
  </si>
  <si>
    <t>Total Allocation in CAD</t>
  </si>
  <si>
    <t>Allocate Markup portion to respective companies</t>
  </si>
  <si>
    <t>For Journal Entry purposes:</t>
  </si>
  <si>
    <t>CUS(GA)</t>
  </si>
  <si>
    <t>CU(OK)</t>
  </si>
  <si>
    <t>CT LLC</t>
  </si>
  <si>
    <t>CIS(US)</t>
  </si>
  <si>
    <t>CRU(US)</t>
  </si>
  <si>
    <t>CHECK - Management fee Allocation - Total</t>
  </si>
  <si>
    <t>Doyon</t>
  </si>
  <si>
    <t>Corp Cost</t>
  </si>
  <si>
    <t>Markup only</t>
  </si>
  <si>
    <r>
      <t>FSW Board Fees</t>
    </r>
    <r>
      <rPr>
        <sz val="11"/>
        <color rgb="FFFF0000"/>
        <rFont val="Calibri"/>
        <family val="2"/>
        <scheme val="minor"/>
      </rPr>
      <t xml:space="preserve"> (hardcoded)</t>
    </r>
  </si>
  <si>
    <t xml:space="preserve">Corporate &amp; Contract Shared Services </t>
  </si>
  <si>
    <t>&lt;= YTD Mar20 updated</t>
  </si>
  <si>
    <t>Per Allocation $</t>
  </si>
  <si>
    <t>Certain US contract</t>
  </si>
  <si>
    <t>all except L48</t>
  </si>
  <si>
    <t>All except L48</t>
  </si>
  <si>
    <t>Canadian Regulated + FSW</t>
  </si>
  <si>
    <t xml:space="preserve">All ECU </t>
  </si>
  <si>
    <t>All</t>
  </si>
  <si>
    <t>For CAM actual allocation purpose</t>
  </si>
  <si>
    <t>Corporate Allocation - Regional Cost</t>
  </si>
  <si>
    <t>Corporate Allocation - Shared Services</t>
  </si>
  <si>
    <t>(#3 entry)</t>
  </si>
  <si>
    <t>(#4 entry)</t>
  </si>
  <si>
    <t>All Less RU - L48</t>
  </si>
  <si>
    <t>Canadian RU + Alaska</t>
  </si>
  <si>
    <t>Corporate Cost</t>
  </si>
  <si>
    <t>Regional Cost</t>
  </si>
  <si>
    <t>Shared Services Cost</t>
  </si>
  <si>
    <t>Markup Only</t>
  </si>
  <si>
    <t>check without WSC</t>
  </si>
  <si>
    <t>Allocate Regional portion to respective companies</t>
  </si>
  <si>
    <t>Allocate Regional portion down to respective companies</t>
  </si>
  <si>
    <t>Allocate Shared Services portion to respective companies</t>
  </si>
  <si>
    <t>Allocate Shared Services portion down to respective companies</t>
  </si>
  <si>
    <t>Not part of Allocation JE</t>
  </si>
  <si>
    <t xml:space="preserve">Do not include </t>
  </si>
  <si>
    <t>Doyon Board Fees</t>
  </si>
  <si>
    <r>
      <t>Doyon Board Fees</t>
    </r>
    <r>
      <rPr>
        <sz val="11"/>
        <color rgb="FFFF0000"/>
        <rFont val="Calibri"/>
        <family val="2"/>
        <scheme val="minor"/>
      </rPr>
      <t xml:space="preserve"> (hardcoded)</t>
    </r>
  </si>
  <si>
    <t>Credit for board Doyon board fees</t>
  </si>
  <si>
    <t>A</t>
  </si>
  <si>
    <t>B</t>
  </si>
  <si>
    <t>D</t>
  </si>
  <si>
    <t>A + B</t>
  </si>
  <si>
    <t>C</t>
  </si>
  <si>
    <t>B - C - D</t>
  </si>
  <si>
    <t>Reverse 2020 !Q Actual CAM  (Jan to Mar)</t>
  </si>
  <si>
    <t>post to #70005</t>
  </si>
  <si>
    <t>post to #70006</t>
  </si>
  <si>
    <t>Summarized JE by legal entity</t>
  </si>
  <si>
    <t xml:space="preserve"> -   </t>
  </si>
  <si>
    <t>2020 BUDGET WSC ALLOCATION</t>
  </si>
  <si>
    <t>Net Costs Allocated (No BD with mark up)</t>
  </si>
  <si>
    <t>Budget</t>
  </si>
  <si>
    <t>Actual</t>
  </si>
  <si>
    <t>CAM Budget model</t>
  </si>
  <si>
    <t>Variance between CAM Budget model &amp; CAM Budget entries</t>
  </si>
  <si>
    <t>Auto+Hide+Values</t>
  </si>
  <si>
    <t>Corporate Cost Summary</t>
  </si>
  <si>
    <t xml:space="preserve">Adjustments for Regulatory Rate Filings </t>
  </si>
  <si>
    <t>Cost</t>
  </si>
  <si>
    <t>D&amp;A</t>
  </si>
  <si>
    <t>Adj</t>
  </si>
  <si>
    <t>Net Cost</t>
  </si>
  <si>
    <t>Excluded 3rd party costs</t>
  </si>
  <si>
    <t>Note 1</t>
  </si>
  <si>
    <t>Note 2</t>
  </si>
  <si>
    <t>RU Net Cost</t>
  </si>
  <si>
    <t>Corporate Cost - CII</t>
  </si>
  <si>
    <t>US Contract Only</t>
  </si>
  <si>
    <t>All contracts only</t>
  </si>
  <si>
    <t>RU only</t>
  </si>
  <si>
    <t>Corporate Cost - CISUS</t>
  </si>
  <si>
    <t>Add : FSW Board Fees</t>
  </si>
  <si>
    <t>Shared Services Cost - CII</t>
  </si>
  <si>
    <t>-To remove Business Development and Transformation department costs, any cost not applicable to regulated business</t>
  </si>
  <si>
    <t>-To remove corporate donations (includes community sharing and scholarship program)</t>
  </si>
  <si>
    <t>CII - Corporate Cost in $CAD</t>
  </si>
  <si>
    <t>Depreciation</t>
  </si>
  <si>
    <t>Note</t>
  </si>
  <si>
    <t>Note 3</t>
  </si>
  <si>
    <t>Note 4</t>
  </si>
  <si>
    <t>Note 5</t>
  </si>
  <si>
    <t>Note 6</t>
  </si>
  <si>
    <t>Note 7</t>
  </si>
  <si>
    <t>6300 - BD</t>
  </si>
  <si>
    <t>7501 - Corp Communications</t>
  </si>
  <si>
    <t xml:space="preserve">8000 - Corporate Functions </t>
  </si>
  <si>
    <t>8000 - Corporate Functions (Vancouver rent)</t>
  </si>
  <si>
    <t>8020 - Finance</t>
  </si>
  <si>
    <t>8030 - IT Governance</t>
  </si>
  <si>
    <t>8040 - HR</t>
  </si>
  <si>
    <t>8060 - Legal</t>
  </si>
  <si>
    <t>8080 - Treasury</t>
  </si>
  <si>
    <t>FX for entire CII is excluded</t>
  </si>
  <si>
    <t>8090 - HSE</t>
  </si>
  <si>
    <t>9000 - Transition &amp; Recovery</t>
  </si>
  <si>
    <t>9100 - Transformation</t>
  </si>
  <si>
    <t>Other</t>
  </si>
  <si>
    <t>Total Corporate Costs before adjustment</t>
  </si>
  <si>
    <t>total cost to allocate</t>
  </si>
  <si>
    <t>Add : Corporate revenue allocation in $USD</t>
  </si>
  <si>
    <t>Total CII CAM cost in $CAD</t>
  </si>
  <si>
    <t>CISUS - Corporate Cost Allocation in $USD</t>
  </si>
  <si>
    <t>Total CISUS CAM cost in $USD</t>
  </si>
  <si>
    <t>-To remove Business Development, Transition, and Transformation department costs</t>
  </si>
  <si>
    <t>-To remove customer awareness expenditures (advertising, community/employee involvement, tradeshows)</t>
  </si>
  <si>
    <t>-To remove hourly costs spent of Business Development projects by CII employees outside the business development department"</t>
  </si>
  <si>
    <t>Employee</t>
  </si>
  <si>
    <t>Hours</t>
  </si>
  <si>
    <t>Hourly rate (loaded)</t>
  </si>
  <si>
    <t>Department</t>
  </si>
  <si>
    <t>-Gord</t>
  </si>
  <si>
    <t>-Mark</t>
  </si>
  <si>
    <t>-Chris</t>
  </si>
  <si>
    <t>-Ann</t>
  </si>
  <si>
    <t>-Sophia</t>
  </si>
  <si>
    <t>-To remove 0.5 FTE for HR advisor that works partially for Corp./Contract utilities -</t>
  </si>
  <si>
    <t xml:space="preserve">-To remove a Director, Corporate Development into the Canadian Utilities business unit - </t>
  </si>
  <si>
    <t>Note7</t>
  </si>
  <si>
    <t xml:space="preserve">-Expenses for Q1 have been reviewed with CII budget holders. Any expenditures that does not </t>
  </si>
  <si>
    <t>related to the entire organization will be individually removed:</t>
  </si>
  <si>
    <t>HR</t>
  </si>
  <si>
    <t>- all recruitment expenses, all outside services except NAVEX Annual subscription of $517.02/month</t>
  </si>
  <si>
    <t>Corp. Communications</t>
  </si>
  <si>
    <t>- all computer license expenses</t>
  </si>
  <si>
    <t>Corp. Function</t>
  </si>
  <si>
    <t>-Dues and Memberships, courses and conference amounts have been removed</t>
  </si>
  <si>
    <t>Hide</t>
  </si>
  <si>
    <t>Filters</t>
  </si>
  <si>
    <t>Date Filter</t>
  </si>
  <si>
    <t>Budget Filter</t>
  </si>
  <si>
    <t>CORPORATE</t>
  </si>
  <si>
    <t>CDN</t>
  </si>
  <si>
    <t>Department Dimension</t>
  </si>
  <si>
    <t>6300-BUS DEVELOPMENT</t>
  </si>
  <si>
    <t>6305-UTL DEVELOPMENT</t>
  </si>
  <si>
    <t>7501-SM ADMIN</t>
  </si>
  <si>
    <t>8000-CORP ADMIN</t>
  </si>
  <si>
    <t>8010-CFS</t>
  </si>
  <si>
    <t>8020-FINANCE</t>
  </si>
  <si>
    <t>8025-FINANCE SS</t>
  </si>
  <si>
    <t>8030-IT</t>
  </si>
  <si>
    <t>8031-IT TS</t>
  </si>
  <si>
    <t>8032-IT PS</t>
  </si>
  <si>
    <t>8033-IT SS</t>
  </si>
  <si>
    <t>8034-IT IS</t>
  </si>
  <si>
    <t>8040-HR</t>
  </si>
  <si>
    <t>8045-HR SS</t>
  </si>
  <si>
    <t>8050-IEAM</t>
  </si>
  <si>
    <t>8060-LEGAL</t>
  </si>
  <si>
    <t>8080-TREASURY</t>
  </si>
  <si>
    <t>8090-HSE</t>
  </si>
  <si>
    <t>8100-LANGLEY GATEWAY</t>
  </si>
  <si>
    <t>9000-CORP RECOVERY</t>
  </si>
  <si>
    <t>9100-TRANSFORMATION</t>
  </si>
  <si>
    <t>"''"</t>
  </si>
  <si>
    <t>Service Dimension</t>
  </si>
  <si>
    <t>Blank Dept</t>
  </si>
  <si>
    <t>REVENUE</t>
  </si>
  <si>
    <t>Revenue from Sales</t>
  </si>
  <si>
    <t>Revenue - Service</t>
  </si>
  <si>
    <t>Revenue - Accrual</t>
  </si>
  <si>
    <t>Revenue from Sales Total</t>
  </si>
  <si>
    <t>Other Revenue</t>
  </si>
  <si>
    <t>Interest Income - General</t>
  </si>
  <si>
    <t>Miscellaneous Revenue</t>
  </si>
  <si>
    <t>48200|48202</t>
  </si>
  <si>
    <t>Gain/Loss-Sale of Fixed Assets &amp; Investments</t>
  </si>
  <si>
    <t>Sales - PmtTolerance diff</t>
  </si>
  <si>
    <t>Dividend Income from Affiliated Co.</t>
  </si>
  <si>
    <t>Total Other Revenue</t>
  </si>
  <si>
    <t>TOTAL REVENUE</t>
  </si>
  <si>
    <t>COST OF GOODS SOLD</t>
  </si>
  <si>
    <t>Cost of Sale - Product</t>
  </si>
  <si>
    <t>Cost of Sale - Material</t>
  </si>
  <si>
    <t>Cost of Sale - Labr-Time entry</t>
  </si>
  <si>
    <t>Cost of Sale - Outside Contrac</t>
  </si>
  <si>
    <t>Cost of Sale - Vehicle</t>
  </si>
  <si>
    <t>Cost of Sale - Travel</t>
  </si>
  <si>
    <t>Cost of Sale - Mileage</t>
  </si>
  <si>
    <t>Cost of Sale - Meals &amp; Ent</t>
  </si>
  <si>
    <t>Cost of Sale - Equip Rental</t>
  </si>
  <si>
    <t>Cost of Sale - Chemical</t>
  </si>
  <si>
    <t>Cost of Sale - Commodity</t>
  </si>
  <si>
    <t>Cost of Sale - Security &amp; Safety</t>
  </si>
  <si>
    <t>Cost of Sale - Repair &amp; Maint</t>
  </si>
  <si>
    <t>Cost of Sale - Other</t>
  </si>
  <si>
    <t>Cost of Sale - Accrual</t>
  </si>
  <si>
    <t>TOTAL COST OF GOODS SOLD</t>
  </si>
  <si>
    <t>Gross Margin</t>
  </si>
  <si>
    <t>(A0300/A0130)*100</t>
  </si>
  <si>
    <t>Gross Margin %</t>
  </si>
  <si>
    <t>Other Cost of Sales</t>
  </si>
  <si>
    <t>Freight In</t>
  </si>
  <si>
    <t>Freight Out</t>
  </si>
  <si>
    <t>Duty</t>
  </si>
  <si>
    <t>Exchange</t>
  </si>
  <si>
    <t>Miscellaneous Cost of Sales</t>
  </si>
  <si>
    <t>Total Other Cost of Goods</t>
  </si>
  <si>
    <t>Inventory Provision &amp; Obsolesc</t>
  </si>
  <si>
    <t>Inventory write off Provision</t>
  </si>
  <si>
    <t>Obsolete Inventory</t>
  </si>
  <si>
    <t>Total Inventory Provis &amp; Obsol</t>
  </si>
  <si>
    <t>TOTAL COST OF SALES</t>
  </si>
  <si>
    <t>Gross Margin Before Rebates</t>
  </si>
  <si>
    <t>Rebates and Purchase Discounts</t>
  </si>
  <si>
    <t>Volume Rebates</t>
  </si>
  <si>
    <t>Cash Discounts</t>
  </si>
  <si>
    <t>Total Rebates &amp; Purchase Disc</t>
  </si>
  <si>
    <t>GROSS PROFIT</t>
  </si>
  <si>
    <t>(A0550/A0130)*100</t>
  </si>
  <si>
    <t>GROSS PROFIT %</t>
  </si>
  <si>
    <t>OPERATING EXPENSES</t>
  </si>
  <si>
    <t>Customer Awareness</t>
  </si>
  <si>
    <t>Advertising</t>
  </si>
  <si>
    <t>61200|61210</t>
  </si>
  <si>
    <t>Community/employee involvement</t>
  </si>
  <si>
    <t>Trade Shows</t>
  </si>
  <si>
    <t>Total Customer Awareness Expenses</t>
  </si>
  <si>
    <t>Salaries and Benefits</t>
  </si>
  <si>
    <t>Wages &amp; Salaries</t>
  </si>
  <si>
    <t>Salaries from CWP incl Ben</t>
  </si>
  <si>
    <t>62112|62149</t>
  </si>
  <si>
    <t>Salaries from CI incl Ben</t>
  </si>
  <si>
    <t>Salaries from Gas incl Ben</t>
  </si>
  <si>
    <t>Salaries from ENRG with Ben</t>
  </si>
  <si>
    <t>Salaries to CMUS incl Ben</t>
  </si>
  <si>
    <t>Salaries from CUI incl Ben</t>
  </si>
  <si>
    <t>Salaries to CUI incl Ben</t>
  </si>
  <si>
    <t>Salaries to WES incl Ben</t>
  </si>
  <si>
    <t>62150|62152</t>
  </si>
  <si>
    <t>Overtime &amp; OT Banked</t>
  </si>
  <si>
    <t>Vacation Expenses</t>
  </si>
  <si>
    <t>Vacation</t>
  </si>
  <si>
    <t>Labour charged(sold)-Int Resou</t>
  </si>
  <si>
    <t>Wages/Salaries Charge to Captl</t>
  </si>
  <si>
    <t>Labour cost frm Job Time entry</t>
  </si>
  <si>
    <t>Car Allow Charged to Vehicles</t>
  </si>
  <si>
    <t>Employer Benefits-CPP</t>
  </si>
  <si>
    <t>Employer Benefits-EI</t>
  </si>
  <si>
    <t>Employer Benefit-MSP</t>
  </si>
  <si>
    <t>Employer Benefit-Grp Medical</t>
  </si>
  <si>
    <t>Employer Benefit-Grp Insurance</t>
  </si>
  <si>
    <t>Employer Benefit-Pension Plan</t>
  </si>
  <si>
    <t>Employer Benefit-WCB</t>
  </si>
  <si>
    <t>EIP Bonus</t>
  </si>
  <si>
    <t>Bonus Other</t>
  </si>
  <si>
    <t>Share Options</t>
  </si>
  <si>
    <t>Total Salaries and Benefits</t>
  </si>
  <si>
    <t>Vehicle Expenses</t>
  </si>
  <si>
    <t>Leasing Costs</t>
  </si>
  <si>
    <t>Car Allowance</t>
  </si>
  <si>
    <t>Employee mileage claim</t>
  </si>
  <si>
    <t>Registration Fees</t>
  </si>
  <si>
    <t>Repairs and Maintenance</t>
  </si>
  <si>
    <t>Fuel</t>
  </si>
  <si>
    <t>Vehicle Insurance</t>
  </si>
  <si>
    <t>Vehicle charged(sold) to COGS</t>
  </si>
  <si>
    <t>Total Vehicle Expenses</t>
  </si>
  <si>
    <t>Computer Expenses</t>
  </si>
  <si>
    <t>Software</t>
  </si>
  <si>
    <t>Computer Supplies</t>
  </si>
  <si>
    <t>Computer Consultant Services</t>
  </si>
  <si>
    <t>Computer Licensing</t>
  </si>
  <si>
    <t>Computer Repair &amp; Maintenance</t>
  </si>
  <si>
    <t>Other Computer Expenses</t>
  </si>
  <si>
    <t>Total Computer Expenses</t>
  </si>
  <si>
    <t>Building Expenses</t>
  </si>
  <si>
    <t>Rent</t>
  </si>
  <si>
    <t>Langley Gateway allocation</t>
  </si>
  <si>
    <t>Rent Inducement</t>
  </si>
  <si>
    <t>Cleaning</t>
  </si>
  <si>
    <t>Garbage &amp; Recycling</t>
  </si>
  <si>
    <t>Security</t>
  </si>
  <si>
    <t>Hydro/Utilities</t>
  </si>
  <si>
    <t>Insurance</t>
  </si>
  <si>
    <t>Building Repairs and Maint</t>
  </si>
  <si>
    <t>Total Building Expenses</t>
  </si>
  <si>
    <t>Office Expenses</t>
  </si>
  <si>
    <t>Office Supplies</t>
  </si>
  <si>
    <t>Forms &amp; templates</t>
  </si>
  <si>
    <t>Artwork, Display &amp; Banner</t>
  </si>
  <si>
    <t>Office Equipment</t>
  </si>
  <si>
    <t>Office Equipment Lease/rental</t>
  </si>
  <si>
    <t>Office Equip Repairs &amp; Maint</t>
  </si>
  <si>
    <t>Telephone &amp; Fax &amp; Internet</t>
  </si>
  <si>
    <t>Postage and Courier</t>
  </si>
  <si>
    <t>Total Office Expenses</t>
  </si>
  <si>
    <t>Other Operating Expenses</t>
  </si>
  <si>
    <t>Accounting</t>
  </si>
  <si>
    <t>Legal Services</t>
  </si>
  <si>
    <t>Continuing Services</t>
  </si>
  <si>
    <t>Recruitment Expenses</t>
  </si>
  <si>
    <t>Bad Debt Expenses</t>
  </si>
  <si>
    <t>Bad Debt Collection Expenses</t>
  </si>
  <si>
    <t>Consulting</t>
  </si>
  <si>
    <t>Outside Services</t>
  </si>
  <si>
    <t>Donations-Tax Deductible</t>
  </si>
  <si>
    <t>Donations-Non Tax Deductible</t>
  </si>
  <si>
    <t>Dues and Membership</t>
  </si>
  <si>
    <t>Education and Training</t>
  </si>
  <si>
    <t>Courses and Conferences</t>
  </si>
  <si>
    <t>Cellular Phones</t>
  </si>
  <si>
    <t>Pagers</t>
  </si>
  <si>
    <t>Travel</t>
  </si>
  <si>
    <t>VISA Expense Outstanding</t>
  </si>
  <si>
    <t>66146|66147|66150|66141</t>
  </si>
  <si>
    <t>Meals &amp; Entertainment-50%+100% Tax</t>
  </si>
  <si>
    <t>Uniform &amp; Laundry</t>
  </si>
  <si>
    <t>Shop Supplies</t>
  </si>
  <si>
    <t>Equipment Repairs &amp; Maint.</t>
  </si>
  <si>
    <t>Tools and Equipment</t>
  </si>
  <si>
    <t>Equipment rental</t>
  </si>
  <si>
    <t>Equipment Charged to COGS</t>
  </si>
  <si>
    <t>Safety Supplies &amp; Forms</t>
  </si>
  <si>
    <t>Repair and Maintenance</t>
  </si>
  <si>
    <t>Moving Expenses</t>
  </si>
  <si>
    <t>Meter Installation Claims</t>
  </si>
  <si>
    <t>66170|66171</t>
  </si>
  <si>
    <t>Bank Charges/credit card charges</t>
  </si>
  <si>
    <t>Late Pmt Chrg/Int Exp/discount</t>
  </si>
  <si>
    <t>Business Tax, Licences, Permit</t>
  </si>
  <si>
    <t>Payroll Admin Fee</t>
  </si>
  <si>
    <t>Warehouse &amp; Shop</t>
  </si>
  <si>
    <t>Operating &amp; Maintenance</t>
  </si>
  <si>
    <t>Lab Analyses</t>
  </si>
  <si>
    <t>Alum Chemical</t>
  </si>
  <si>
    <t>Sludge Disposal</t>
  </si>
  <si>
    <t>Snow Removal</t>
  </si>
  <si>
    <t>Landscape Maintenance</t>
  </si>
  <si>
    <t>Resort Gardening</t>
  </si>
  <si>
    <t>Street Cleaning &amp; Maintenance</t>
  </si>
  <si>
    <t>Line Painting</t>
  </si>
  <si>
    <t>Property Managment Fee</t>
  </si>
  <si>
    <t>Billings</t>
  </si>
  <si>
    <t>Exchange Gain &amp; Loss</t>
  </si>
  <si>
    <t>Miscellaneous</t>
  </si>
  <si>
    <t>PST Paid</t>
  </si>
  <si>
    <t>Other OH Allocations</t>
  </si>
  <si>
    <t>Charges to Terasen Internation</t>
  </si>
  <si>
    <t>SGA Cost Recovey</t>
  </si>
  <si>
    <t>Director's Fees</t>
  </si>
  <si>
    <t>Other Operating Exp.  Total</t>
  </si>
  <si>
    <t>TOTAL OPERATING EXPENSES</t>
  </si>
  <si>
    <t>(A1790/A0130)*100</t>
  </si>
  <si>
    <t xml:space="preserve"> EBITDA before Allocation excluding FX</t>
  </si>
  <si>
    <t>70002|70005|70006|70007|70010</t>
  </si>
  <si>
    <t>Corporate Allocations</t>
  </si>
  <si>
    <t>Allocation to AB Supply</t>
  </si>
  <si>
    <t>Allocation - CUUS CUOU CU Texa</t>
  </si>
  <si>
    <t>71000.10..71000.98</t>
  </si>
  <si>
    <t>Interco Allocation</t>
  </si>
  <si>
    <t>TOTAL ALLOCATION</t>
  </si>
  <si>
    <t>Total Expense incl. Allocation</t>
  </si>
  <si>
    <t>(A1890/A0130)*100</t>
  </si>
  <si>
    <t>EBITDA excluding FX</t>
  </si>
  <si>
    <t>(A1920/A0130)*100</t>
  </si>
  <si>
    <t>Depreciation-Vehicles</t>
  </si>
  <si>
    <t>Depreciation-Equipment</t>
  </si>
  <si>
    <t>Depreciation-Rental Equipment</t>
  </si>
  <si>
    <t>Depreciation-Leasehold Improv.</t>
  </si>
  <si>
    <t>Depreciation-Building</t>
  </si>
  <si>
    <t>Deprn-Computer Hardware</t>
  </si>
  <si>
    <t>Deprn-Computer Software</t>
  </si>
  <si>
    <t>Deprn-Service Application</t>
  </si>
  <si>
    <t>Deprn-Computer S/W-Super Log</t>
  </si>
  <si>
    <t>Deprn-Furniture</t>
  </si>
  <si>
    <t>Deprn-Sewer</t>
  </si>
  <si>
    <t>Total Depreciation</t>
  </si>
  <si>
    <t>Amortization</t>
  </si>
  <si>
    <t>Amort-GeoRetail</t>
  </si>
  <si>
    <t>Total Amortization</t>
  </si>
  <si>
    <t>Capital Taxes</t>
  </si>
  <si>
    <t>BC Capital Taxes</t>
  </si>
  <si>
    <t>Total Capital Taxes</t>
  </si>
  <si>
    <t>Total Deprn Amort &amp;Taxes</t>
  </si>
  <si>
    <t>EBIT</t>
  </si>
  <si>
    <t>(A2180/A0130)*100</t>
  </si>
  <si>
    <t>Interest Expenses</t>
  </si>
  <si>
    <t>Int Inc/Exp on Bank Balance</t>
  </si>
  <si>
    <t>Letter of Credit Fees</t>
  </si>
  <si>
    <t>Int Inc/Exp on I/C Notes</t>
  </si>
  <si>
    <t>Int Exp - LT Debt (HSBC)</t>
  </si>
  <si>
    <t>Int Exp - LT Debt (SunLife+TD)</t>
  </si>
  <si>
    <t>Amort of Disc Prem &amp; Exp</t>
  </si>
  <si>
    <t>Amort of Deferred Fin Fees</t>
  </si>
  <si>
    <t>Amort of Capital Lease Obligation</t>
  </si>
  <si>
    <t>Int Exp - Note Indenture</t>
  </si>
  <si>
    <t>Int Exp - Preferred Shares</t>
  </si>
  <si>
    <t>Unrealized G/L-Derivative Inst</t>
  </si>
  <si>
    <t>Total Interest Expenses</t>
  </si>
  <si>
    <t>Income Taxes</t>
  </si>
  <si>
    <t>Large Corporation Tax (LCT)</t>
  </si>
  <si>
    <t>86200..86205</t>
  </si>
  <si>
    <t>Income Tax (Current &amp; Deferred)</t>
  </si>
  <si>
    <t>Total Income Taxes</t>
  </si>
  <si>
    <t>NET INCOME (LOSS)</t>
  </si>
  <si>
    <t>CII CAM Cost to allocate</t>
  </si>
  <si>
    <t>Company</t>
  </si>
  <si>
    <t>Corix Infr Services US Inc</t>
  </si>
  <si>
    <t>9000-TRANSFER</t>
  </si>
  <si>
    <t>Remove excess allocation</t>
  </si>
  <si>
    <t>Add back: Don's salary</t>
  </si>
  <si>
    <t>CISUS CAM Cost to be combined with CII</t>
  </si>
  <si>
    <t>Fit</t>
  </si>
  <si>
    <t>IPRI (USD)</t>
  </si>
  <si>
    <t>GL Code</t>
  </si>
  <si>
    <t>Board Fees</t>
  </si>
  <si>
    <t>Posting Date</t>
  </si>
  <si>
    <t>Document Date</t>
  </si>
  <si>
    <t>Description</t>
  </si>
  <si>
    <t>Amount</t>
  </si>
  <si>
    <t>Additional-Currency Amount</t>
  </si>
  <si>
    <t>User ID</t>
  </si>
  <si>
    <t>Entry No.</t>
  </si>
  <si>
    <t>8000-ADMIN</t>
  </si>
  <si>
    <t>Corix Contract Utilities (US)</t>
  </si>
  <si>
    <r>
      <t xml:space="preserve">Revenues/Expenses </t>
    </r>
    <r>
      <rPr>
        <sz val="11"/>
        <color rgb="FFFF0000"/>
        <rFont val="Calibri"/>
        <family val="2"/>
        <scheme val="minor"/>
      </rPr>
      <t>- average for YTD December 2019</t>
    </r>
  </si>
  <si>
    <t>Note: $1.27 is rate used for budget for 2019-2021</t>
  </si>
  <si>
    <t>Notes:</t>
  </si>
  <si>
    <t>Ignored admin related to specific utilities (ex. Panorama admin) as this would be included in their filings/reporting.</t>
  </si>
  <si>
    <t>Hyperion is currently only used by CISUS. The implementation was meant to be corporate in nature and rolled out to Corix US +</t>
  </si>
  <si>
    <t>Canada. The investment was a test case for a larger implementation plan.</t>
  </si>
  <si>
    <t>`</t>
  </si>
  <si>
    <t>For Periods: (a) 12 months ending Dec 31, 2019</t>
  </si>
  <si>
    <t>FX</t>
  </si>
  <si>
    <t>= A/B</t>
  </si>
  <si>
    <t>(CND) (No Mark Up)</t>
  </si>
  <si>
    <t>Q4 2019</t>
  </si>
  <si>
    <t>Tier 1 Allocation</t>
  </si>
  <si>
    <t>Corporate</t>
  </si>
  <si>
    <t>Percent of</t>
  </si>
  <si>
    <t>Corix Department</t>
  </si>
  <si>
    <t>Services</t>
  </si>
  <si>
    <t>UI Utilities</t>
  </si>
  <si>
    <t>Total RU</t>
  </si>
  <si>
    <t>Shareholders</t>
  </si>
  <si>
    <t>6300 - BD ($Cdn)</t>
  </si>
  <si>
    <t>6300 - BD ($Usd)</t>
  </si>
  <si>
    <t xml:space="preserve">8000 - Corporate Admin </t>
  </si>
  <si>
    <t>8000 - Corporate Admin (Vancouver rent)</t>
  </si>
  <si>
    <t>8000 - Corporate Admin ($Usd)</t>
  </si>
  <si>
    <t>8040 - HR $Usd</t>
  </si>
  <si>
    <t>8090 - Health, Safety &amp; Environmental</t>
  </si>
  <si>
    <t>8090 - Health, Safety &amp; Environmental $Usd</t>
  </si>
  <si>
    <t>Total Corix Corporate Services Charges</t>
  </si>
  <si>
    <t>(USD) (No Mark Up)</t>
  </si>
  <si>
    <t>Contract Utilities</t>
  </si>
  <si>
    <t>UI Utilities Summary with Eliminated BD and Consolidation of Similar Line Items</t>
  </si>
  <si>
    <t>WSC Assigned</t>
  </si>
  <si>
    <t>Corp Svcs (USD)</t>
  </si>
  <si>
    <t>Tie Out to Above</t>
  </si>
  <si>
    <t>Shareholder Bucket</t>
  </si>
  <si>
    <t>Regulated Utilities</t>
  </si>
  <si>
    <t>% Change</t>
  </si>
  <si>
    <t>2019 Budget</t>
  </si>
  <si>
    <t>Tribus Inc.</t>
  </si>
  <si>
    <t>in USD</t>
  </si>
  <si>
    <t>updated for 4Q</t>
  </si>
  <si>
    <t>CUOK</t>
  </si>
  <si>
    <t>CUGA</t>
  </si>
  <si>
    <t>CT</t>
  </si>
  <si>
    <t>Detail</t>
  </si>
  <si>
    <t>Mark up?</t>
  </si>
  <si>
    <t>Amount (2019A 4Q) in CDN</t>
  </si>
  <si>
    <t>Amount (2019A 4Q) in USD</t>
  </si>
  <si>
    <t>Marked Up costs</t>
  </si>
  <si>
    <t>Total Contract</t>
  </si>
  <si>
    <t>Total Regulated</t>
  </si>
  <si>
    <t>Corporate cost allocation</t>
  </si>
  <si>
    <t>with markup</t>
  </si>
  <si>
    <t>markup only</t>
  </si>
  <si>
    <t>Y</t>
  </si>
  <si>
    <t>ALL + TRIBUS</t>
  </si>
  <si>
    <t>PRORATA CORP. ALL</t>
  </si>
  <si>
    <t>8000 - Corporate Functions ($Usd)</t>
  </si>
  <si>
    <t>ALL CONTRACT</t>
  </si>
  <si>
    <t>US CONTRACT Headcount</t>
  </si>
  <si>
    <t>N</t>
  </si>
  <si>
    <t>8090 - HSE $Usd</t>
  </si>
  <si>
    <t>Corporate Costs</t>
  </si>
  <si>
    <t>w/o Tribus</t>
  </si>
  <si>
    <t>Corporate revenue allocation</t>
  </si>
  <si>
    <t>DOYON</t>
  </si>
  <si>
    <t>Net revenue allocated</t>
  </si>
  <si>
    <t>Net corporate costs (no mark up)</t>
  </si>
  <si>
    <t>Non-Corporate Cost Allocation</t>
  </si>
  <si>
    <t>FP&amp;A Canada (6700)</t>
  </si>
  <si>
    <t>COO office</t>
  </si>
  <si>
    <t>Langley Office rent</t>
  </si>
  <si>
    <t>CDN CONTRACT</t>
  </si>
  <si>
    <t>Other costs</t>
  </si>
  <si>
    <t>Net income</t>
  </si>
  <si>
    <t xml:space="preserve">Vancouver Rent direct </t>
  </si>
  <si>
    <t>Energy Services (6139)</t>
  </si>
  <si>
    <t>COO Office</t>
  </si>
  <si>
    <t>US Senior Tax Manager</t>
  </si>
  <si>
    <t>US CONTRACT/ REGULATED</t>
  </si>
  <si>
    <t>Non-Corporate Cost Allocation (no mark up)</t>
  </si>
  <si>
    <t>Shared Services</t>
  </si>
  <si>
    <t>8025 -Finance SS</t>
  </si>
  <si>
    <t>8033 - IT Support Service</t>
  </si>
  <si>
    <t>8045 - HR Shared Service</t>
  </si>
  <si>
    <t>HEADCOUNT IN CDN CONTRACT</t>
  </si>
  <si>
    <t>Total Shared Services (no mark up)</t>
  </si>
  <si>
    <t>Mark ups Costs below</t>
  </si>
  <si>
    <t>Corporate cost allocation (including mark ups)</t>
  </si>
  <si>
    <t>Net corporate costs including mark ups</t>
  </si>
  <si>
    <t>Non-Corporate Cost Allocation including mark ups</t>
  </si>
  <si>
    <t>Total Shared Services including mark ups</t>
  </si>
  <si>
    <t>Total Costs Allocated including mark up</t>
  </si>
  <si>
    <t>Without markup</t>
  </si>
  <si>
    <t>Delta = markup</t>
  </si>
  <si>
    <t>Allocation without markup</t>
  </si>
  <si>
    <t>CII - Corp</t>
  </si>
  <si>
    <t>CII - Regional</t>
  </si>
  <si>
    <t>CII - Shared Services</t>
  </si>
  <si>
    <t>CISUS - Corp</t>
  </si>
  <si>
    <t>CISUS - Regional</t>
  </si>
  <si>
    <t>CUI - Regional</t>
  </si>
  <si>
    <t>CMUS - Regional</t>
  </si>
  <si>
    <t>Allocation including markup</t>
  </si>
  <si>
    <t>A. Values with markup</t>
  </si>
  <si>
    <t>Entity to x-charge</t>
  </si>
  <si>
    <t>Entity x-charging</t>
  </si>
  <si>
    <t>Shareholder Bucket (CII)</t>
  </si>
  <si>
    <t>Lower 48</t>
  </si>
  <si>
    <t>ok</t>
  </si>
  <si>
    <t xml:space="preserve"> 1) CISUS/CUI/CMUS charging CII</t>
  </si>
  <si>
    <t>CISUS to charge to CII</t>
  </si>
  <si>
    <t>CUI to charge to CII</t>
  </si>
  <si>
    <t>CMUS to charge to CII</t>
  </si>
  <si>
    <t>2) Allocation required after including CISUS/CUI/CMUS</t>
  </si>
  <si>
    <t>B. Values without markup</t>
  </si>
  <si>
    <t>CISUS/CUI/CMUS charging CII</t>
  </si>
  <si>
    <t>hardcode</t>
  </si>
  <si>
    <t>copy from 180</t>
  </si>
  <si>
    <t>copy from 181</t>
  </si>
  <si>
    <t>copy from 182</t>
  </si>
  <si>
    <t>copy from 183</t>
  </si>
  <si>
    <t>copy from 184</t>
  </si>
  <si>
    <t>copy from 185</t>
  </si>
  <si>
    <t>copy from 186</t>
  </si>
  <si>
    <t>copy from 191</t>
  </si>
  <si>
    <t>copy from 192</t>
  </si>
  <si>
    <t>copy from 193</t>
  </si>
  <si>
    <t>copy from 194</t>
  </si>
  <si>
    <t>copy from 195</t>
  </si>
  <si>
    <t>copy from 196</t>
  </si>
  <si>
    <t>copy from 197</t>
  </si>
  <si>
    <t>C. Markup only</t>
  </si>
  <si>
    <t>ERC check</t>
  </si>
  <si>
    <t>Cdn Utilites</t>
  </si>
  <si>
    <t>US contract</t>
  </si>
  <si>
    <t>Total direct + SS</t>
  </si>
  <si>
    <t>Total Costs allocated (no mark up)</t>
  </si>
  <si>
    <t>Total Not incl. Senior Tax Manager (pre mark up, see below for mark up)</t>
  </si>
  <si>
    <t xml:space="preserve">Check </t>
  </si>
  <si>
    <t>Variance due to ERC vs. Composites (negative = lower costs in ERC version)</t>
  </si>
  <si>
    <t>Check to Tier 1</t>
  </si>
  <si>
    <t>Composites</t>
  </si>
  <si>
    <t>MARK UP VERSION</t>
  </si>
  <si>
    <t>Proof</t>
  </si>
  <si>
    <t>diff due to rounding.</t>
  </si>
  <si>
    <t>Travis</t>
  </si>
  <si>
    <t>Total including mark up without senior tax manager</t>
  </si>
  <si>
    <t>diff due to rounding</t>
  </si>
  <si>
    <t>CAM Framework - Allocation between Contract and Regulated</t>
  </si>
  <si>
    <t>Scenario:</t>
  </si>
  <si>
    <t>Plant:</t>
  </si>
  <si>
    <t>Note: composites for Cdn/US contract will not tie to mgmt reports as we</t>
  </si>
  <si>
    <t>Doyon:</t>
  </si>
  <si>
    <t>have allocated out rev/plant/headcount from cost centres to each</t>
  </si>
  <si>
    <t>profit centre.</t>
  </si>
  <si>
    <t>Allocation to CU and RU</t>
  </si>
  <si>
    <t>CAM</t>
  </si>
  <si>
    <t xml:space="preserve">If 100% to US </t>
  </si>
  <si>
    <t xml:space="preserve">Regulated Only </t>
  </si>
  <si>
    <t>Framework</t>
  </si>
  <si>
    <t>CONTRACT/RU</t>
  </si>
  <si>
    <t>for IT RU Costs</t>
  </si>
  <si>
    <t>Cdn Contract</t>
  </si>
  <si>
    <t>Breakdown:</t>
  </si>
  <si>
    <t>US Contract</t>
  </si>
  <si>
    <t>Total Contract + Regulated</t>
  </si>
  <si>
    <t>*Can expand cells under Cdn Contract to see breakdown to profit centers for DEU and Canadian Utilities</t>
  </si>
  <si>
    <t>Rent Prorata</t>
  </si>
  <si>
    <t>Total Employees In Vancouver</t>
  </si>
  <si>
    <t>Cost per Employee</t>
  </si>
  <si>
    <t>Total "Corporate" Employees</t>
  </si>
  <si>
    <t>Total Rent Cost for Corporate Employees</t>
  </si>
  <si>
    <t>Total Shared Services Employees</t>
  </si>
  <si>
    <t>Total Rent for Shared Services Employees</t>
  </si>
  <si>
    <t>Column</t>
  </si>
  <si>
    <t>B/C</t>
  </si>
  <si>
    <t>E</t>
  </si>
  <si>
    <t>E*D</t>
  </si>
  <si>
    <t>C-E</t>
  </si>
  <si>
    <t>G*D</t>
  </si>
  <si>
    <t>2019 Budget:</t>
  </si>
  <si>
    <t xml:space="preserve">Vancouver </t>
  </si>
  <si>
    <t>=&gt; CDN CONTRACT</t>
  </si>
  <si>
    <t>Rent includes:  rent, wages (if applicable),  utilities, supplies, maintenance, etc.</t>
  </si>
  <si>
    <t>Rent from budget presentation to CII</t>
  </si>
  <si>
    <t>Allocation between corporate and shared service per 11/27/2018 email from Ann Tuck/HR</t>
  </si>
  <si>
    <t>Rent at 555,985 = budgeted rent of $622,392 - rent inducment of $66,046) per MW on 12/19/2018</t>
  </si>
  <si>
    <t xml:space="preserve">HR shared services will go to Canadian Contract </t>
  </si>
  <si>
    <t>NOTE: ALL COMPOSITES IN USD</t>
  </si>
  <si>
    <t>If 100% to CDN CONTRACT</t>
  </si>
  <si>
    <t>If 100% to DEU</t>
  </si>
  <si>
    <t>If 100% to CDN UTILITIES</t>
  </si>
  <si>
    <t>If 100% To Contract CAN + US</t>
  </si>
  <si>
    <t>Canadian Contract</t>
  </si>
  <si>
    <t>(Ken)</t>
  </si>
  <si>
    <t>(Travis)</t>
  </si>
  <si>
    <t>(Rick)</t>
  </si>
  <si>
    <t>Utility</t>
  </si>
  <si>
    <t xml:space="preserve">Revenue -2018 YEF </t>
  </si>
  <si>
    <t>% of Revenue</t>
  </si>
  <si>
    <t>% of Plant</t>
  </si>
  <si>
    <t>2019F Headcount</t>
  </si>
  <si>
    <t>% of Headcount</t>
  </si>
  <si>
    <t>Total Contract Cdn</t>
  </si>
  <si>
    <t>Contract US</t>
  </si>
  <si>
    <t>If 100% to Contract US</t>
  </si>
  <si>
    <t>Total Contract US</t>
  </si>
  <si>
    <t>If 100% to RU</t>
  </si>
  <si>
    <t>% of ERC</t>
  </si>
  <si>
    <t>Total Regulated Utilities</t>
  </si>
  <si>
    <t>ERC vs. Composite Variance</t>
  </si>
  <si>
    <t>South Carolina</t>
  </si>
  <si>
    <t>ERCs</t>
  </si>
  <si>
    <t>Variance</t>
  </si>
  <si>
    <t>2018 F</t>
  </si>
  <si>
    <t>2019 B</t>
  </si>
  <si>
    <t>If 100% to RU:</t>
  </si>
  <si>
    <t>Non-labor Exp</t>
  </si>
  <si>
    <t>% of Non-labor Exp</t>
  </si>
  <si>
    <t>% of Gross Plant</t>
  </si>
  <si>
    <t>Net Plant</t>
  </si>
  <si>
    <t>% of Net Plant</t>
  </si>
  <si>
    <t>Rate Base</t>
  </si>
  <si>
    <t>% of Rate Base</t>
  </si>
  <si>
    <t>Salary Expense</t>
  </si>
  <si>
    <t>% of Salary Exp</t>
  </si>
  <si>
    <t>% of HC</t>
  </si>
  <si>
    <t>Composites EX Alaska</t>
  </si>
  <si>
    <t>IF used ERCs</t>
  </si>
  <si>
    <t>Delta</t>
  </si>
  <si>
    <t>2018 July Acquisition to date</t>
  </si>
  <si>
    <t>Total
Headcount</t>
  </si>
  <si>
    <t>2018 YEF</t>
  </si>
  <si>
    <t>2020 Budget</t>
  </si>
  <si>
    <t>2021 Budget</t>
  </si>
  <si>
    <r>
      <t xml:space="preserve">Revenues/Expenses </t>
    </r>
    <r>
      <rPr>
        <sz val="11"/>
        <color rgb="FFFF0000"/>
        <rFont val="Calibri"/>
        <family val="2"/>
        <scheme val="minor"/>
      </rPr>
      <t>- average for YTD 2019 1Q</t>
    </r>
  </si>
  <si>
    <t>Amount (2019A 1Q) in CDN</t>
  </si>
  <si>
    <t>Amount (2019A 1Q) in USD</t>
  </si>
  <si>
    <t>Corix Cost Centers</t>
  </si>
  <si>
    <t>TTM Q1 2020 Actuals</t>
  </si>
  <si>
    <t>Tribus Allocation %</t>
  </si>
  <si>
    <t>Amount Allocated to Tribus</t>
  </si>
  <si>
    <t>Tier 1 Amount to Be Allocated</t>
  </si>
  <si>
    <t>Amount Allocated to Contract Utilities</t>
  </si>
  <si>
    <t>Amount Allocated to Alaska</t>
  </si>
  <si>
    <t>8000 - Corporate Functions (CAN)</t>
  </si>
  <si>
    <t>8000 - Corporate Functions (US)</t>
  </si>
  <si>
    <t>8040 - HR (CAN)</t>
  </si>
  <si>
    <t>8040 - HR (US)</t>
  </si>
  <si>
    <t>8090 - HSE (CAN)</t>
  </si>
  <si>
    <t>8090 - HSE (US)</t>
  </si>
  <si>
    <t>Tier 2 Allocation</t>
  </si>
  <si>
    <r>
      <t xml:space="preserve">Less: Excluded Costs </t>
    </r>
    <r>
      <rPr>
        <b/>
        <u/>
        <vertAlign val="superscript"/>
        <sz val="10"/>
        <rFont val="Book Antiqua"/>
        <family val="1"/>
      </rPr>
      <t>1</t>
    </r>
  </si>
  <si>
    <t>Net Amount to be Allocated</t>
  </si>
  <si>
    <t>1 - Includes cost related to customer outreach &amp; awareness, corporate donations, business development, transition and transformation, and Canadian-only operations.</t>
  </si>
  <si>
    <t>Purpose:</t>
  </si>
  <si>
    <t>The Company receives these services from Corix and costs are allocated based on a 2-tier system.  The first tier allocates to Corix's direct subsidiaries including the Shared Services subsidiary, Water Service Corporation ("WSC"),</t>
  </si>
  <si>
    <t>Method:</t>
  </si>
  <si>
    <t>Auto+Hide+Values+Formulas=Sheet29,Sheet19,Sheet20</t>
  </si>
  <si>
    <t>1010-009100 - Finance CU SS</t>
  </si>
  <si>
    <t>1010-000700 - Infrastructure Engineering &amp; Asset Management</t>
  </si>
  <si>
    <t>7506-SM CU SS</t>
  </si>
  <si>
    <t>8022-INTERNAL AUDIT</t>
  </si>
  <si>
    <t>8026-FINANCE CU SS</t>
  </si>
  <si>
    <t>8036-IT CU SS</t>
  </si>
  <si>
    <t>8037-IT RU SS</t>
  </si>
  <si>
    <t>8046-HR CU SS</t>
  </si>
  <si>
    <t>8066-LEGAL CU SS</t>
  </si>
  <si>
    <t>8096-HSE CU SS</t>
  </si>
  <si>
    <t>8200-STRATEGY</t>
  </si>
  <si>
    <t>Adaptive Levels</t>
  </si>
  <si>
    <t>1010-009045 IT RU SS</t>
  </si>
  <si>
    <t>Selling Expenses</t>
  </si>
  <si>
    <t>Promotion</t>
  </si>
  <si>
    <t>Total Selling Expenses</t>
  </si>
  <si>
    <t xml:space="preserve">all license excluding shared services </t>
  </si>
  <si>
    <t>n/a</t>
  </si>
  <si>
    <t>EBITDA Reconciliation:</t>
  </si>
  <si>
    <t>EBITDA excluding FX in NAV</t>
  </si>
  <si>
    <t>Reconciling items:</t>
  </si>
  <si>
    <t>in Consol, this is part of Revenues but in Adaptive, this is under Non-operating income (below EBITDA)</t>
  </si>
  <si>
    <t>EBITDA in Adaptive</t>
  </si>
  <si>
    <t>Excluded Costs:</t>
  </si>
  <si>
    <t>Nexonia Exp - Unallocated</t>
  </si>
  <si>
    <t>Excluded costs in Adaptive</t>
  </si>
  <si>
    <t>Removed from Excluded costs 05.15.2020</t>
  </si>
  <si>
    <t>Auto+Hide+Values+Formulas=Sheet30,Sheet21,Sheet22</t>
  </si>
  <si>
    <t>8001-COO ADMIN</t>
  </si>
  <si>
    <t>8002-COO REG</t>
  </si>
  <si>
    <t>8021-FPA</t>
  </si>
  <si>
    <t>8041-CORP HR</t>
  </si>
  <si>
    <t>8060-Legal</t>
  </si>
  <si>
    <t>=#REF!F51</t>
  </si>
  <si>
    <t>per Summary tab</t>
  </si>
  <si>
    <t xml:space="preserve">diff </t>
  </si>
  <si>
    <t>Auto+Hide+Values+Formulas=Sheet31,Sheet23,Sheet24</t>
  </si>
  <si>
    <t>FSW Board &amp; Audit Committee fees CHeigel</t>
  </si>
  <si>
    <t>LCOSICO</t>
  </si>
  <si>
    <t>FSW Board &amp; Audit Committee fees JDevine</t>
  </si>
  <si>
    <t>FSW Board &amp; Audit Committee fees JAndrejko</t>
  </si>
  <si>
    <t>FSW Board &amp; Audit Committee fees SRejendran</t>
  </si>
  <si>
    <t>FSW Board &amp; Audit Committee fees LGranier</t>
  </si>
  <si>
    <t>Manual FX Adj. February</t>
  </si>
  <si>
    <t>Doyon BOD Fees Q1</t>
  </si>
  <si>
    <t>Manual FX Adj March</t>
  </si>
  <si>
    <t>no more change since June</t>
  </si>
  <si>
    <t>-Lisa</t>
  </si>
  <si>
    <t>3Q &amp; 4Q</t>
  </si>
  <si>
    <t>left Oct 28</t>
  </si>
  <si>
    <t>-Ann/Shawn</t>
  </si>
  <si>
    <t>-Fan</t>
  </si>
  <si>
    <t>-To remove deferred compensation of Director, Corporate Development into the Canadian Utilities business unit</t>
  </si>
  <si>
    <t xml:space="preserve">-Expenses for Q4 that do not relate to all business units. Any expenditures that does not </t>
  </si>
  <si>
    <t>HR :</t>
  </si>
  <si>
    <t>- all recruitment expenses, all outside services except NAVEX Annual subscription of $517.02/month (different amount since June)</t>
  </si>
  <si>
    <t>Corp. Communications :</t>
  </si>
  <si>
    <t xml:space="preserve">Corp. Function : </t>
  </si>
  <si>
    <t>Auto+Hide+Values+Formulas=Sheet49,Sheet31,Sheet32</t>
  </si>
  <si>
    <t>net income as of Feb 10, 2020</t>
  </si>
  <si>
    <t>Less:</t>
  </si>
  <si>
    <t>Depreciation belonging to IT SS</t>
  </si>
  <si>
    <t>Rent for Contract Utilities</t>
  </si>
  <si>
    <t>Auto+Hide+Values+Formulas=Sheet51,Sheet35,Sheet36</t>
  </si>
  <si>
    <t>8022 - Internal Audit</t>
  </si>
  <si>
    <t>8200 - Strategy</t>
  </si>
  <si>
    <t>8050 - IEAM (US)</t>
  </si>
  <si>
    <t>8050 - IEAM (CAN)</t>
  </si>
  <si>
    <t>8002 - COO REG</t>
  </si>
  <si>
    <t>8060 - Legal (US)</t>
  </si>
  <si>
    <t>8060 - Legal (CAN)</t>
  </si>
  <si>
    <t>Q1 2020</t>
  </si>
  <si>
    <t>Q1 2019</t>
  </si>
  <si>
    <t>Net Cost in USD</t>
  </si>
  <si>
    <t>Excluded Cost in USD</t>
  </si>
  <si>
    <t>8020 - Finance (US)</t>
  </si>
  <si>
    <t>8020 - Finance (CAN)</t>
  </si>
  <si>
    <t>Excluded Cost for RU in USD</t>
  </si>
  <si>
    <t>TTM Q1 2020 Net Amount Allocated to WSC</t>
  </si>
  <si>
    <t>TTM Q1 2020</t>
  </si>
  <si>
    <t>2020 Tier 1 Allocation % Contract Utilities</t>
  </si>
  <si>
    <t>Q1 2020 Total</t>
  </si>
  <si>
    <t>Contract</t>
  </si>
  <si>
    <t>add BD</t>
  </si>
  <si>
    <t>add ECU COO Admin</t>
  </si>
  <si>
    <t>add ECU HR</t>
  </si>
  <si>
    <t>Recon to total CAM</t>
  </si>
  <si>
    <t>Excluded Costs</t>
  </si>
  <si>
    <t>Excluded Costs Breakdown by BU</t>
  </si>
  <si>
    <t>Corporate Cost less Excluded Cost</t>
  </si>
  <si>
    <t>Breakdown of Corporate Cost by BU</t>
  </si>
  <si>
    <t>CHECK</t>
  </si>
  <si>
    <t xml:space="preserve"> 01/01/19..03/31/19</t>
  </si>
  <si>
    <t xml:space="preserve"> 01/01/20..03/31/20</t>
  </si>
  <si>
    <t xml:space="preserve"> 01/01/19..12/31/19</t>
  </si>
  <si>
    <t>2020 Tier 1 Allocated % Alaska</t>
  </si>
  <si>
    <t>Tier 1 Allocation % Contract Utilities</t>
  </si>
  <si>
    <t>Tier 1 Allocated %  Alaska</t>
  </si>
  <si>
    <t>Tier 2 Allocation % to WSCK</t>
  </si>
  <si>
    <t>WATER SERVICE CORPORATION OF KENTUCKY</t>
  </si>
  <si>
    <t>Case No. 2020-00160</t>
  </si>
  <si>
    <t>Test Year Ended 3/31/2020</t>
  </si>
  <si>
    <t>Allocation of Corporate Costs</t>
  </si>
  <si>
    <t>WSCK</t>
  </si>
  <si>
    <t>Cost Center Allocations</t>
  </si>
  <si>
    <t>ERC Count</t>
  </si>
  <si>
    <t>Allocation %</t>
  </si>
  <si>
    <t>President</t>
  </si>
  <si>
    <t>Region</t>
  </si>
  <si>
    <t>State</t>
  </si>
  <si>
    <t xml:space="preserve">Water </t>
  </si>
  <si>
    <t>Waste Water</t>
  </si>
  <si>
    <t>PRESIDENT-MIDWEST/MID ATLANTIC</t>
  </si>
  <si>
    <t>KY</t>
  </si>
  <si>
    <t>Water Serv Corp Kentucky</t>
  </si>
  <si>
    <t>TTM Q1 2020 Net Amount Allocated to WSCK</t>
  </si>
  <si>
    <t>WSCK Allocated Corp Costs (Per Books - TYE 3/31/2020)</t>
  </si>
  <si>
    <t>Pro Forma Corporate Costs</t>
  </si>
  <si>
    <t>To include pro-forma costs allocated to WSCK from Corix Infrastructure, Inc. ("Corix").</t>
  </si>
  <si>
    <t xml:space="preserve">WSCK compiled the year-to-date actual activity by Corix that is allocated to its subsidiaries, by department, in order to flow the costs through the Tier 1 and Tier 2 allocation method </t>
  </si>
  <si>
    <t>WSC then allocates these costs to the regulated subsidiaries under it's umbrella, which includes WSCK, using ERC's.  This Tier 2 allocation methodology is consistent with the allocation of other corporate and Shared Services costs to WSCK by WSC.</t>
  </si>
  <si>
    <t xml:space="preserve">After allocating for Tier 1, which produces the WSC costs to be allocated in Tier 2, certain costs related to activities for which WSCK is not requesting recovery; such as business development, corporate donations, customer outreach,and other activites were removed.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</si>
</sst>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_(* #,##0_);_(* \(#,##0\);_(* &quot;-&quot;??_);_(@_)"/>
    <numFmt numFmtId="167" formatCode="_(* #,##0.0_);_(* \(#,##0.0\);_(* &quot;-&quot;??_);_(@_)"/>
    <numFmt numFmtId="168" formatCode="0.0%"/>
    <numFmt numFmtId="169" formatCode="[$-409]#,##0.00;\([$-409]#,##0.00\)"/>
    <numFmt numFmtId="170" formatCode="#,##0;\(#,##0\);\-?"/>
    <numFmt numFmtId="171" formatCode="[$-409]#,##0;\([$-409]#,##0\)"/>
    <numFmt numFmtId="172" formatCode="_(* #,##0.00000_);_(* \(#,##0.00000\);_(* &quot;-&quot;??_);_(@_)"/>
    <numFmt numFmtId="173" formatCode="_-* #,##0.00_-;\-* #,##0.00_-;_-* &quot;-&quot;??_-;_-@_-"/>
    <numFmt numFmtId="174" formatCode="_(&quot;$&quot;* #,##0.0000_);_(&quot;$&quot;* \(#,##0.0000\);_(&quot;$&quot;* &quot;-&quot;??_);_(@_)"/>
    <numFmt numFmtId="175" formatCode="_(* #,##0.0000_);_(* \(#,##0.0000\);_(* &quot;-&quot;??_);_(@_)"/>
    <numFmt numFmtId="176" formatCode="[$-409]mmm\-yy;@"/>
    <numFmt numFmtId="177" formatCode="_-&quot;$&quot;* #,##0.00_-;\-&quot;$&quot;* #,##0.00_-;_-&quot;$&quot;* &quot;-&quot;??_-;_-@_-"/>
    <numFmt numFmtId="178" formatCode="0.000"/>
    <numFmt numFmtId="179" formatCode="_-&quot;$&quot;* #,##0_-;\-&quot;$&quot;* #,##0_-;_-&quot;$&quot;* &quot;-&quot;??_-;_-@_-"/>
    <numFmt numFmtId="180" formatCode="0.0000000000000000%"/>
  </numFmts>
  <fonts count="62"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0"/>
      <color theme="1"/>
      <name val="Calibri"/>
      <family val="2"/>
      <scheme val="minor"/>
    </font>
    <font>
      <sz val="11"/>
      <name val="Calibri"/>
      <family val="2"/>
      <scheme val="minor"/>
    </font>
    <font>
      <sz val="11"/>
      <color rgb="FF0070C0"/>
      <name val="Calibri"/>
      <family val="2"/>
      <scheme val="minor"/>
    </font>
    <font>
      <sz val="9"/>
      <color indexed="81"/>
      <name val="Tahoma"/>
      <family val="2"/>
    </font>
    <font>
      <b/>
      <sz val="9"/>
      <color indexed="81"/>
      <name val="Tahoma"/>
      <family val="2"/>
    </font>
    <font>
      <sz val="11"/>
      <color theme="1"/>
      <name val="Calibri"/>
      <family val="2"/>
    </font>
    <font>
      <b/>
      <u/>
      <sz val="11"/>
      <color theme="1"/>
      <name val="Calibri"/>
      <family val="2"/>
      <scheme val="minor"/>
    </font>
    <font>
      <sz val="11"/>
      <color rgb="FFFF0000"/>
      <name val="Calibri"/>
      <family val="2"/>
      <scheme val="minor"/>
    </font>
    <font>
      <u/>
      <sz val="11"/>
      <color rgb="FF0070C0"/>
      <name val="Calibri"/>
      <family val="2"/>
      <scheme val="minor"/>
    </font>
    <font>
      <sz val="10"/>
      <color theme="1"/>
      <name val="Arial"/>
      <family val="2"/>
    </font>
    <font>
      <sz val="8"/>
      <color theme="1"/>
      <name val="Calibri"/>
      <family val="2"/>
      <scheme val="minor"/>
    </font>
    <font>
      <b/>
      <sz val="14"/>
      <color theme="1"/>
      <name val="Calibri"/>
      <family val="2"/>
      <scheme val="minor"/>
    </font>
    <font>
      <b/>
      <sz val="11"/>
      <color rgb="FFFF0000"/>
      <name val="Calibri"/>
      <family val="2"/>
      <scheme val="minor"/>
    </font>
    <font>
      <i/>
      <sz val="11"/>
      <color theme="1"/>
      <name val="Calibri"/>
      <family val="2"/>
      <scheme val="minor"/>
    </font>
    <font>
      <u/>
      <sz val="11"/>
      <color theme="10"/>
      <name val="Calibri"/>
      <family val="2"/>
      <scheme val="minor"/>
    </font>
    <font>
      <b/>
      <sz val="8"/>
      <color indexed="81"/>
      <name val="Tahoma"/>
      <family val="2"/>
    </font>
    <font>
      <sz val="8"/>
      <color indexed="81"/>
      <name val="Tahoma"/>
      <family val="2"/>
    </font>
    <font>
      <sz val="10"/>
      <name val="Arial"/>
      <family val="2"/>
    </font>
    <font>
      <sz val="11"/>
      <color rgb="FF7030A0"/>
      <name val="Calibri"/>
      <family val="2"/>
      <scheme val="minor"/>
    </font>
    <font>
      <sz val="11"/>
      <color theme="0" tint="-0.14999847407452621"/>
      <name val="Calibri"/>
      <family val="2"/>
      <scheme val="minor"/>
    </font>
    <font>
      <sz val="11"/>
      <color rgb="FF3F3F76"/>
      <name val="Calibri"/>
      <family val="2"/>
      <scheme val="minor"/>
    </font>
    <font>
      <sz val="11"/>
      <color theme="0"/>
      <name val="Calibri"/>
      <family val="2"/>
      <scheme val="minor"/>
    </font>
    <font>
      <sz val="10"/>
      <name val="Arial"/>
      <family val="2"/>
    </font>
    <font>
      <b/>
      <sz val="10"/>
      <name val="Arial"/>
      <family val="2"/>
    </font>
    <font>
      <sz val="10"/>
      <color rgb="FFFF0000"/>
      <name val="Arial"/>
      <family val="2"/>
    </font>
    <font>
      <b/>
      <sz val="14"/>
      <name val="Calibri"/>
      <family val="2"/>
      <scheme val="minor"/>
    </font>
    <font>
      <b/>
      <sz val="12"/>
      <name val="Calibri"/>
      <family val="2"/>
      <scheme val="minor"/>
    </font>
    <font>
      <b/>
      <sz val="11"/>
      <name val="Calibri"/>
      <family val="2"/>
      <scheme val="minor"/>
    </font>
    <font>
      <sz val="10"/>
      <color rgb="FF00B0F0"/>
      <name val="Arial"/>
      <family val="2"/>
    </font>
    <font>
      <b/>
      <sz val="10"/>
      <color rgb="FF00B0F0"/>
      <name val="Arial"/>
      <family val="2"/>
    </font>
    <font>
      <i/>
      <sz val="10"/>
      <color rgb="FFFF0000"/>
      <name val="Arial"/>
      <family val="2"/>
    </font>
    <font>
      <b/>
      <sz val="10"/>
      <color rgb="FF0070C0"/>
      <name val="Arial"/>
      <family val="2"/>
    </font>
    <font>
      <sz val="10"/>
      <color rgb="FF0070C0"/>
      <name val="Arial"/>
      <family val="2"/>
    </font>
    <font>
      <i/>
      <sz val="10"/>
      <color indexed="10"/>
      <name val="Arial"/>
      <family val="2"/>
    </font>
    <font>
      <sz val="12"/>
      <color theme="1"/>
      <name val="Arial"/>
      <family val="2"/>
    </font>
    <font>
      <sz val="14"/>
      <color theme="1"/>
      <name val="Arial"/>
      <family val="2"/>
    </font>
    <font>
      <sz val="14"/>
      <color rgb="FFFF0000"/>
      <name val="Arial"/>
      <family val="2"/>
    </font>
    <font>
      <b/>
      <sz val="10"/>
      <color theme="1"/>
      <name val="Arial"/>
      <family val="2"/>
    </font>
    <font>
      <sz val="10"/>
      <color theme="4" tint="-0.249977111117893"/>
      <name val="Arial"/>
      <family val="2"/>
    </font>
    <font>
      <sz val="9"/>
      <color theme="1"/>
      <name val="Arial"/>
      <family val="2"/>
    </font>
    <font>
      <b/>
      <i/>
      <sz val="11"/>
      <color theme="1"/>
      <name val="Calibri"/>
      <family val="2"/>
      <scheme val="minor"/>
    </font>
    <font>
      <sz val="11"/>
      <color theme="1" tint="0.499984740745262"/>
      <name val="Calibri"/>
      <family val="2"/>
      <scheme val="minor"/>
    </font>
    <font>
      <b/>
      <sz val="11"/>
      <color rgb="FF0070C0"/>
      <name val="Calibri"/>
      <family val="2"/>
      <scheme val="minor"/>
    </font>
    <font>
      <strike/>
      <sz val="11"/>
      <color theme="1"/>
      <name val="Calibri"/>
      <family val="2"/>
      <scheme val="minor"/>
    </font>
    <font>
      <u val="singleAccounting"/>
      <sz val="11"/>
      <color theme="1"/>
      <name val="Calibri"/>
      <family val="2"/>
      <scheme val="minor"/>
    </font>
    <font>
      <b/>
      <sz val="10"/>
      <color theme="1"/>
      <name val="Book Antiqua"/>
      <family val="1"/>
    </font>
    <font>
      <sz val="10"/>
      <color theme="1"/>
      <name val="Book Antiqua"/>
      <family val="1"/>
    </font>
    <font>
      <b/>
      <u/>
      <sz val="10"/>
      <color theme="1"/>
      <name val="Book Antiqua"/>
      <family val="1"/>
    </font>
    <font>
      <b/>
      <u/>
      <sz val="10"/>
      <name val="Book Antiqua"/>
      <family val="1"/>
    </font>
    <font>
      <b/>
      <u/>
      <vertAlign val="superscript"/>
      <sz val="10"/>
      <name val="Book Antiqua"/>
      <family val="1"/>
    </font>
    <font>
      <b/>
      <sz val="10"/>
      <color rgb="FFFF0000"/>
      <name val="Arial"/>
      <family val="2"/>
    </font>
    <font>
      <b/>
      <u/>
      <sz val="10"/>
      <name val="Arial"/>
      <family val="2"/>
    </font>
    <font>
      <sz val="9"/>
      <color rgb="FFFF0000"/>
      <name val="Arial"/>
      <family val="2"/>
    </font>
    <font>
      <b/>
      <i/>
      <sz val="10"/>
      <color rgb="FFFF0000"/>
      <name val="Arial"/>
      <family val="2"/>
    </font>
    <font>
      <sz val="10"/>
      <color theme="3" tint="0.39997558519241921"/>
      <name val="Arial"/>
      <family val="2"/>
    </font>
    <font>
      <b/>
      <sz val="10"/>
      <color theme="3" tint="0.39997558519241921"/>
      <name val="Arial"/>
      <family val="2"/>
    </font>
    <font>
      <sz val="18"/>
      <color theme="3"/>
      <name val="Calibri Light"/>
      <family val="2"/>
      <scheme val="major"/>
    </font>
    <font>
      <b/>
      <sz val="11"/>
      <color theme="3"/>
      <name val="Calibri"/>
      <family val="2"/>
      <scheme val="minor"/>
    </font>
  </fonts>
  <fills count="41">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00B05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CC99"/>
      </patternFill>
    </fill>
    <fill>
      <patternFill patternType="solid">
        <fgColor theme="6" tint="0.79998168889431442"/>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15"/>
        <bgColor indexed="64"/>
      </patternFill>
    </fill>
    <fill>
      <patternFill patternType="solid">
        <fgColor indexed="43"/>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bgColor indexed="64"/>
      </patternFill>
    </fill>
    <fill>
      <patternFill patternType="solid">
        <fgColor rgb="FF00B0F0"/>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7"/>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1" tint="0.499984740745262"/>
        <bgColor indexed="64"/>
      </patternFill>
    </fill>
  </fills>
  <borders count="5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right/>
      <top style="thin">
        <color indexed="64"/>
      </top>
      <bottom style="double">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hair">
        <color indexed="64"/>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bottom style="thin">
        <color indexed="64"/>
      </bottom>
      <diagonal/>
    </border>
    <border>
      <left/>
      <right/>
      <top/>
      <bottom style="medium">
        <color theme="4" tint="0.39997558519241921"/>
      </bottom>
      <diagonal/>
    </border>
  </borders>
  <cellStyleXfs count="2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18" applyNumberFormat="0" applyFill="0" applyAlignment="0" applyProtection="0"/>
    <xf numFmtId="170" fontId="13" fillId="0" borderId="0" applyFill="0" applyBorder="0" applyAlignment="0" applyProtection="0"/>
    <xf numFmtId="0" fontId="18" fillId="0" borderId="0" applyNumberFormat="0" applyFill="0" applyBorder="0" applyAlignment="0" applyProtection="0"/>
    <xf numFmtId="43" fontId="21" fillId="0" borderId="0" applyFont="0" applyFill="0" applyBorder="0" applyAlignment="0" applyProtection="0"/>
    <xf numFmtId="0" fontId="21" fillId="0" borderId="0"/>
    <xf numFmtId="9" fontId="21" fillId="0" borderId="0" applyFont="0" applyFill="0" applyBorder="0" applyAlignment="0" applyProtection="0"/>
    <xf numFmtId="0" fontId="24" fillId="19" borderId="38" applyNumberFormat="0" applyAlignment="0" applyProtection="0"/>
    <xf numFmtId="0" fontId="26" fillId="0" borderId="0"/>
    <xf numFmtId="0" fontId="1" fillId="0" borderId="0"/>
    <xf numFmtId="0" fontId="1" fillId="0" borderId="0"/>
    <xf numFmtId="0" fontId="1" fillId="0" borderId="0"/>
    <xf numFmtId="43" fontId="1" fillId="0" borderId="0" applyFont="0" applyFill="0" applyBorder="0" applyAlignment="0" applyProtection="0"/>
    <xf numFmtId="44" fontId="21" fillId="0" borderId="0" applyFont="0" applyFill="0" applyBorder="0" applyAlignment="0" applyProtection="0"/>
    <xf numFmtId="0" fontId="21" fillId="0" borderId="0"/>
    <xf numFmtId="177" fontId="1" fillId="0" borderId="0" applyFont="0" applyFill="0" applyBorder="0" applyAlignment="0" applyProtection="0"/>
    <xf numFmtId="173" fontId="1" fillId="0" borderId="0" applyFont="0" applyFill="0" applyBorder="0" applyAlignment="0" applyProtection="0"/>
    <xf numFmtId="0" fontId="21" fillId="0" borderId="0"/>
    <xf numFmtId="0" fontId="21" fillId="0" borderId="0"/>
    <xf numFmtId="0" fontId="1" fillId="0" borderId="0"/>
    <xf numFmtId="44" fontId="21" fillId="0" borderId="0" applyFont="0" applyFill="0" applyBorder="0" applyAlignment="0" applyProtection="0"/>
    <xf numFmtId="0" fontId="60" fillId="0" borderId="0" applyNumberFormat="0" applyFill="0" applyBorder="0" applyAlignment="0" applyProtection="0"/>
    <xf numFmtId="0" fontId="61" fillId="0" borderId="56" applyNumberFormat="0" applyFill="0" applyAlignment="0" applyProtection="0"/>
    <xf numFmtId="0" fontId="61" fillId="0" borderId="0" applyNumberFormat="0" applyFill="0" applyBorder="0" applyAlignment="0" applyProtection="0"/>
  </cellStyleXfs>
  <cellXfs count="1375">
    <xf numFmtId="0" fontId="0" fillId="0" borderId="0" xfId="0"/>
    <xf numFmtId="0" fontId="2" fillId="0" borderId="0" xfId="0" applyFont="1"/>
    <xf numFmtId="0" fontId="0" fillId="0" borderId="0" xfId="0" applyFill="1"/>
    <xf numFmtId="0" fontId="0" fillId="0" borderId="0" xfId="0" applyAlignment="1">
      <alignment horizontal="center"/>
    </xf>
    <xf numFmtId="0" fontId="3" fillId="0" borderId="0" xfId="0" applyFont="1"/>
    <xf numFmtId="0" fontId="0" fillId="0" borderId="2" xfId="0" applyFill="1" applyBorder="1"/>
    <xf numFmtId="0" fontId="0" fillId="0" borderId="3" xfId="0" applyFill="1" applyBorder="1"/>
    <xf numFmtId="0" fontId="0" fillId="0" borderId="2" xfId="0" applyBorder="1"/>
    <xf numFmtId="0" fontId="0" fillId="0" borderId="2" xfId="0" applyBorder="1" applyAlignment="1">
      <alignment horizontal="center"/>
    </xf>
    <xf numFmtId="0" fontId="0" fillId="0" borderId="3" xfId="0" applyBorder="1"/>
    <xf numFmtId="0" fontId="2" fillId="0" borderId="0" xfId="0" applyFont="1" applyBorder="1" applyAlignment="1">
      <alignment horizontal="center"/>
    </xf>
    <xf numFmtId="0" fontId="0" fillId="0" borderId="0" xfId="0" applyBorder="1"/>
    <xf numFmtId="0" fontId="0" fillId="0" borderId="6" xfId="0" applyBorder="1"/>
    <xf numFmtId="164" fontId="0" fillId="0" borderId="7" xfId="1" applyNumberFormat="1" applyFont="1" applyBorder="1" applyAlignment="1">
      <alignment horizontal="center"/>
    </xf>
    <xf numFmtId="164" fontId="0" fillId="0" borderId="8" xfId="1" applyNumberFormat="1" applyFont="1" applyFill="1" applyBorder="1" applyAlignment="1">
      <alignment horizontal="center"/>
    </xf>
    <xf numFmtId="164" fontId="0" fillId="0" borderId="9" xfId="1" applyNumberFormat="1" applyFont="1" applyFill="1" applyBorder="1" applyAlignment="1">
      <alignment horizontal="center"/>
    </xf>
    <xf numFmtId="0" fontId="0" fillId="0" borderId="8" xfId="0" applyBorder="1"/>
    <xf numFmtId="0" fontId="0" fillId="0" borderId="8" xfId="0" applyBorder="1" applyAlignment="1">
      <alignment horizontal="center"/>
    </xf>
    <xf numFmtId="0" fontId="0" fillId="0" borderId="9" xfId="0" applyBorder="1"/>
    <xf numFmtId="0" fontId="0" fillId="0" borderId="0" xfId="0" applyFill="1" applyBorder="1" applyAlignment="1">
      <alignment horizontal="center"/>
    </xf>
    <xf numFmtId="0" fontId="0" fillId="0" borderId="0" xfId="0" applyFill="1" applyBorder="1"/>
    <xf numFmtId="0" fontId="0" fillId="0" borderId="6" xfId="0" applyFill="1" applyBorder="1"/>
    <xf numFmtId="0" fontId="4" fillId="0" borderId="0" xfId="0" applyFont="1" applyAlignment="1">
      <alignment horizontal="center"/>
    </xf>
    <xf numFmtId="0" fontId="0" fillId="0" borderId="8" xfId="0" applyFill="1" applyBorder="1" applyAlignment="1">
      <alignment horizontal="center"/>
    </xf>
    <xf numFmtId="0" fontId="0" fillId="0" borderId="8" xfId="0" applyFill="1" applyBorder="1"/>
    <xf numFmtId="0" fontId="0" fillId="0" borderId="9" xfId="0" applyFill="1" applyBorder="1"/>
    <xf numFmtId="0" fontId="0" fillId="0" borderId="2" xfId="0" applyFill="1" applyBorder="1" applyAlignment="1">
      <alignment horizontal="center"/>
    </xf>
    <xf numFmtId="0" fontId="0" fillId="0" borderId="0" xfId="0" applyFill="1" applyAlignment="1">
      <alignment horizontal="center"/>
    </xf>
    <xf numFmtId="166" fontId="0" fillId="0" borderId="0" xfId="1" applyNumberFormat="1" applyFont="1"/>
    <xf numFmtId="166" fontId="0" fillId="0" borderId="0" xfId="1" applyNumberFormat="1" applyFont="1" applyBorder="1"/>
    <xf numFmtId="167" fontId="0" fillId="0" borderId="0" xfId="1" applyNumberFormat="1" applyFont="1" applyBorder="1"/>
    <xf numFmtId="0" fontId="0" fillId="3" borderId="0" xfId="0" applyFill="1"/>
    <xf numFmtId="165" fontId="0" fillId="0" borderId="0" xfId="0" applyNumberFormat="1"/>
    <xf numFmtId="166" fontId="0" fillId="0" borderId="0" xfId="0" applyNumberFormat="1"/>
    <xf numFmtId="10" fontId="0" fillId="0" borderId="0" xfId="3" applyNumberFormat="1" applyFont="1"/>
    <xf numFmtId="0" fontId="2" fillId="0" borderId="0" xfId="0" applyFont="1" applyAlignment="1">
      <alignment horizontal="center"/>
    </xf>
    <xf numFmtId="10" fontId="6" fillId="0" borderId="0" xfId="3" applyNumberFormat="1" applyFont="1"/>
    <xf numFmtId="166" fontId="0" fillId="0" borderId="12" xfId="1" applyNumberFormat="1" applyFont="1" applyBorder="1"/>
    <xf numFmtId="0" fontId="0" fillId="0" borderId="12" xfId="0" applyBorder="1"/>
    <xf numFmtId="0" fontId="0" fillId="4" borderId="0" xfId="0" applyFill="1"/>
    <xf numFmtId="10" fontId="6" fillId="0" borderId="12" xfId="3" applyNumberFormat="1" applyFont="1" applyBorder="1"/>
    <xf numFmtId="10" fontId="6" fillId="0" borderId="0" xfId="3" applyNumberFormat="1" applyFont="1" applyBorder="1"/>
    <xf numFmtId="10" fontId="5" fillId="0" borderId="0" xfId="3" applyNumberFormat="1" applyFont="1" applyBorder="1"/>
    <xf numFmtId="0" fontId="9" fillId="0" borderId="0" xfId="0" applyFont="1"/>
    <xf numFmtId="10" fontId="0" fillId="0" borderId="0" xfId="0" applyNumberFormat="1"/>
    <xf numFmtId="168" fontId="0" fillId="0" borderId="0" xfId="3" applyNumberFormat="1" applyFont="1"/>
    <xf numFmtId="0" fontId="0" fillId="0" borderId="0" xfId="0" applyBorder="1" applyAlignment="1">
      <alignment horizontal="center"/>
    </xf>
    <xf numFmtId="164" fontId="0" fillId="0" borderId="0" xfId="0" applyNumberFormat="1" applyFill="1"/>
    <xf numFmtId="165" fontId="0" fillId="0" borderId="0" xfId="0" applyNumberFormat="1" applyBorder="1"/>
    <xf numFmtId="0" fontId="11" fillId="0" borderId="0" xfId="0" applyFont="1" applyFill="1"/>
    <xf numFmtId="9" fontId="0" fillId="0" borderId="0" xfId="3" applyFont="1"/>
    <xf numFmtId="166" fontId="0" fillId="0" borderId="0" xfId="1" applyNumberFormat="1" applyFont="1" applyFill="1"/>
    <xf numFmtId="167" fontId="0" fillId="0" borderId="0" xfId="1" applyNumberFormat="1" applyFont="1"/>
    <xf numFmtId="0" fontId="0" fillId="7" borderId="0" xfId="0" applyFill="1"/>
    <xf numFmtId="166" fontId="0" fillId="7" borderId="0" xfId="1" applyNumberFormat="1" applyFont="1" applyFill="1"/>
    <xf numFmtId="167" fontId="0" fillId="7" borderId="0" xfId="1" applyNumberFormat="1" applyFont="1" applyFill="1"/>
    <xf numFmtId="167" fontId="0" fillId="0" borderId="0" xfId="1" applyNumberFormat="1" applyFont="1" applyFill="1"/>
    <xf numFmtId="167" fontId="0" fillId="0" borderId="12" xfId="1" applyNumberFormat="1" applyFont="1" applyBorder="1"/>
    <xf numFmtId="168" fontId="0" fillId="0" borderId="12" xfId="3" applyNumberFormat="1" applyFont="1" applyBorder="1"/>
    <xf numFmtId="168" fontId="0" fillId="0" borderId="0" xfId="3" applyNumberFormat="1" applyFont="1" applyBorder="1"/>
    <xf numFmtId="10" fontId="6" fillId="0" borderId="0" xfId="0" applyNumberFormat="1" applyFont="1"/>
    <xf numFmtId="9" fontId="0" fillId="0" borderId="0" xfId="3" applyFont="1" applyBorder="1"/>
    <xf numFmtId="9" fontId="0" fillId="0" borderId="12" xfId="3" applyFont="1" applyBorder="1"/>
    <xf numFmtId="166" fontId="0" fillId="7" borderId="0" xfId="0" applyNumberFormat="1" applyFill="1"/>
    <xf numFmtId="166" fontId="0" fillId="7" borderId="12" xfId="1" applyNumberFormat="1" applyFont="1" applyFill="1" applyBorder="1"/>
    <xf numFmtId="9" fontId="0" fillId="0" borderId="0" xfId="3" applyNumberFormat="1" applyFont="1"/>
    <xf numFmtId="164" fontId="0" fillId="6" borderId="1" xfId="0" applyNumberFormat="1" applyFill="1" applyBorder="1"/>
    <xf numFmtId="165" fontId="0" fillId="6" borderId="2" xfId="0" applyNumberFormat="1" applyFill="1" applyBorder="1"/>
    <xf numFmtId="0" fontId="0" fillId="0" borderId="0" xfId="0"/>
    <xf numFmtId="0" fontId="0" fillId="0" borderId="0" xfId="0" applyFill="1"/>
    <xf numFmtId="165" fontId="2" fillId="0" borderId="5" xfId="2" applyNumberFormat="1" applyFont="1" applyBorder="1"/>
    <xf numFmtId="0" fontId="0" fillId="0" borderId="0" xfId="0" applyBorder="1"/>
    <xf numFmtId="0" fontId="2" fillId="2" borderId="8" xfId="0" applyFont="1" applyFill="1" applyBorder="1" applyAlignment="1">
      <alignment horizontal="center"/>
    </xf>
    <xf numFmtId="166" fontId="0" fillId="0" borderId="0" xfId="1" applyNumberFormat="1" applyFont="1"/>
    <xf numFmtId="166" fontId="0" fillId="0" borderId="0" xfId="1" applyNumberFormat="1" applyFont="1" applyBorder="1"/>
    <xf numFmtId="167" fontId="0" fillId="0" borderId="0" xfId="1" applyNumberFormat="1" applyFont="1" applyBorder="1"/>
    <xf numFmtId="166" fontId="0" fillId="0" borderId="0" xfId="0" applyNumberFormat="1"/>
    <xf numFmtId="10" fontId="0" fillId="0" borderId="0" xfId="3" applyNumberFormat="1" applyFont="1"/>
    <xf numFmtId="166" fontId="0" fillId="0" borderId="12" xfId="1" applyNumberFormat="1" applyFont="1" applyBorder="1"/>
    <xf numFmtId="0" fontId="0" fillId="0" borderId="12" xfId="0" applyBorder="1"/>
    <xf numFmtId="9" fontId="0" fillId="0" borderId="0" xfId="3" applyFont="1"/>
    <xf numFmtId="166" fontId="0" fillId="0" borderId="0" xfId="1" applyNumberFormat="1" applyFont="1" applyFill="1"/>
    <xf numFmtId="167" fontId="0" fillId="0" borderId="0" xfId="1" applyNumberFormat="1" applyFont="1"/>
    <xf numFmtId="0" fontId="0" fillId="7" borderId="0" xfId="0" applyFill="1"/>
    <xf numFmtId="166" fontId="0" fillId="7" borderId="0" xfId="1" applyNumberFormat="1" applyFont="1" applyFill="1"/>
    <xf numFmtId="167" fontId="0" fillId="7" borderId="0" xfId="1" applyNumberFormat="1" applyFont="1" applyFill="1"/>
    <xf numFmtId="167" fontId="0" fillId="0" borderId="0" xfId="1" applyNumberFormat="1" applyFont="1" applyFill="1"/>
    <xf numFmtId="167" fontId="0" fillId="0" borderId="12" xfId="1" applyNumberFormat="1" applyFont="1" applyBorder="1"/>
    <xf numFmtId="168" fontId="0" fillId="0" borderId="12" xfId="3" applyNumberFormat="1" applyFont="1" applyBorder="1"/>
    <xf numFmtId="168" fontId="0" fillId="0" borderId="0" xfId="3" applyNumberFormat="1" applyFont="1" applyBorder="1"/>
    <xf numFmtId="9" fontId="0" fillId="0" borderId="0" xfId="3" applyFont="1" applyBorder="1"/>
    <xf numFmtId="9" fontId="0" fillId="0" borderId="12" xfId="3" applyFont="1" applyBorder="1"/>
    <xf numFmtId="165" fontId="11" fillId="0" borderId="0" xfId="2" applyNumberFormat="1" applyFont="1" applyFill="1" applyBorder="1"/>
    <xf numFmtId="164" fontId="11" fillId="0" borderId="6" xfId="1" applyNumberFormat="1" applyFont="1" applyFill="1" applyBorder="1" applyAlignment="1">
      <alignment horizontal="center"/>
    </xf>
    <xf numFmtId="164" fontId="11" fillId="0" borderId="0" xfId="1" applyNumberFormat="1" applyFont="1" applyFill="1" applyBorder="1" applyAlignment="1">
      <alignment horizontal="center"/>
    </xf>
    <xf numFmtId="165" fontId="11" fillId="0" borderId="8" xfId="2" applyNumberFormat="1" applyFont="1" applyFill="1" applyBorder="1"/>
    <xf numFmtId="164" fontId="11" fillId="0" borderId="9" xfId="1" applyNumberFormat="1" applyFont="1" applyFill="1" applyBorder="1" applyAlignment="1">
      <alignment horizontal="center"/>
    </xf>
    <xf numFmtId="164" fontId="11" fillId="0" borderId="8" xfId="1" applyNumberFormat="1" applyFont="1" applyFill="1" applyBorder="1" applyAlignment="1">
      <alignment horizontal="center"/>
    </xf>
    <xf numFmtId="165" fontId="11" fillId="0" borderId="8" xfId="2" applyNumberFormat="1" applyFont="1" applyFill="1" applyBorder="1" applyAlignment="1">
      <alignment horizontal="center"/>
    </xf>
    <xf numFmtId="44" fontId="11" fillId="0" borderId="0" xfId="2" applyFont="1" applyFill="1" applyBorder="1"/>
    <xf numFmtId="165" fontId="11" fillId="0" borderId="0" xfId="2" applyNumberFormat="1" applyFont="1" applyFill="1" applyBorder="1" applyAlignment="1">
      <alignment horizontal="left" indent="2"/>
    </xf>
    <xf numFmtId="165" fontId="11" fillId="0" borderId="2" xfId="2" applyNumberFormat="1" applyFont="1" applyFill="1" applyBorder="1"/>
    <xf numFmtId="164" fontId="11" fillId="0" borderId="3" xfId="1" applyNumberFormat="1" applyFont="1" applyFill="1" applyBorder="1" applyAlignment="1">
      <alignment horizontal="center"/>
    </xf>
    <xf numFmtId="164" fontId="11" fillId="0" borderId="2" xfId="1" applyNumberFormat="1" applyFont="1" applyFill="1" applyBorder="1" applyAlignment="1">
      <alignment horizontal="center"/>
    </xf>
    <xf numFmtId="165" fontId="11" fillId="0" borderId="1" xfId="2" applyNumberFormat="1" applyFont="1" applyFill="1" applyBorder="1"/>
    <xf numFmtId="165" fontId="11" fillId="0" borderId="7" xfId="2" applyNumberFormat="1" applyFont="1" applyFill="1" applyBorder="1"/>
    <xf numFmtId="165" fontId="11" fillId="0" borderId="4" xfId="2" applyNumberFormat="1" applyFont="1" applyFill="1" applyBorder="1"/>
    <xf numFmtId="165" fontId="11" fillId="0" borderId="0" xfId="2" applyNumberFormat="1" applyFont="1" applyFill="1" applyBorder="1" applyAlignment="1">
      <alignment horizontal="left"/>
    </xf>
    <xf numFmtId="167" fontId="0" fillId="0" borderId="0" xfId="0" applyNumberFormat="1"/>
    <xf numFmtId="0" fontId="0" fillId="0" borderId="0" xfId="0" applyAlignment="1">
      <alignment horizontal="left"/>
    </xf>
    <xf numFmtId="165" fontId="0" fillId="7" borderId="0" xfId="0" applyNumberFormat="1" applyFill="1"/>
    <xf numFmtId="166" fontId="0" fillId="7" borderId="0" xfId="1" applyNumberFormat="1" applyFont="1" applyFill="1" applyBorder="1"/>
    <xf numFmtId="167" fontId="0" fillId="7" borderId="0" xfId="1" applyNumberFormat="1" applyFont="1" applyFill="1" applyBorder="1"/>
    <xf numFmtId="0" fontId="0" fillId="7" borderId="0" xfId="0" applyFill="1" applyBorder="1"/>
    <xf numFmtId="0" fontId="0" fillId="7" borderId="12" xfId="0" applyFill="1" applyBorder="1"/>
    <xf numFmtId="167" fontId="0" fillId="7" borderId="12" xfId="1" applyNumberFormat="1" applyFont="1" applyFill="1" applyBorder="1"/>
    <xf numFmtId="167" fontId="0" fillId="7" borderId="0" xfId="0" applyNumberFormat="1" applyFill="1"/>
    <xf numFmtId="0" fontId="0" fillId="0" borderId="15" xfId="0" applyBorder="1"/>
    <xf numFmtId="0" fontId="0" fillId="0" borderId="13" xfId="0" applyBorder="1"/>
    <xf numFmtId="0" fontId="11" fillId="0" borderId="0" xfId="0" applyFont="1" applyFill="1" applyAlignment="1">
      <alignment horizontal="left"/>
    </xf>
    <xf numFmtId="165" fontId="1" fillId="0" borderId="8" xfId="2" applyNumberFormat="1" applyFont="1" applyFill="1" applyBorder="1" applyAlignment="1">
      <alignment horizontal="center"/>
    </xf>
    <xf numFmtId="165" fontId="1" fillId="0" borderId="8" xfId="2" applyNumberFormat="1" applyFont="1" applyFill="1" applyBorder="1"/>
    <xf numFmtId="164" fontId="1" fillId="0" borderId="7" xfId="1" applyNumberFormat="1" applyFont="1" applyFill="1" applyBorder="1" applyAlignment="1">
      <alignment horizontal="center"/>
    </xf>
    <xf numFmtId="165" fontId="1" fillId="0" borderId="0" xfId="2" applyNumberFormat="1" applyFont="1" applyFill="1" applyBorder="1"/>
    <xf numFmtId="164" fontId="1" fillId="0" borderId="0" xfId="1" applyNumberFormat="1" applyFont="1" applyFill="1" applyBorder="1" applyAlignment="1">
      <alignment horizontal="center"/>
    </xf>
    <xf numFmtId="164" fontId="1" fillId="0" borderId="4" xfId="1" applyNumberFormat="1" applyFont="1" applyFill="1" applyBorder="1" applyAlignment="1">
      <alignment horizontal="center"/>
    </xf>
    <xf numFmtId="165" fontId="2" fillId="0" borderId="0" xfId="2" applyNumberFormat="1" applyFont="1" applyBorder="1"/>
    <xf numFmtId="165" fontId="1" fillId="0" borderId="0" xfId="2" applyNumberFormat="1" applyFont="1" applyFill="1" applyBorder="1" applyAlignment="1">
      <alignment horizontal="center"/>
    </xf>
    <xf numFmtId="0" fontId="2" fillId="0" borderId="2" xfId="0" applyFont="1" applyBorder="1" applyAlignment="1">
      <alignment horizontal="center"/>
    </xf>
    <xf numFmtId="165" fontId="2" fillId="0" borderId="2" xfId="2" applyNumberFormat="1" applyFont="1" applyBorder="1"/>
    <xf numFmtId="15" fontId="0" fillId="0" borderId="0" xfId="0" applyNumberFormat="1"/>
    <xf numFmtId="0" fontId="0" fillId="0" borderId="0" xfId="0"/>
    <xf numFmtId="164" fontId="1" fillId="3" borderId="1" xfId="1" applyNumberFormat="1" applyFont="1" applyFill="1" applyBorder="1" applyAlignment="1">
      <alignment horizontal="center"/>
    </xf>
    <xf numFmtId="164" fontId="1" fillId="3" borderId="4" xfId="1" applyNumberFormat="1" applyFont="1" applyFill="1" applyBorder="1" applyAlignment="1">
      <alignment horizontal="center"/>
    </xf>
    <xf numFmtId="164" fontId="1" fillId="0" borderId="1" xfId="1" applyNumberFormat="1" applyFont="1" applyFill="1" applyBorder="1" applyAlignment="1">
      <alignment horizontal="center"/>
    </xf>
    <xf numFmtId="164" fontId="1" fillId="4" borderId="4" xfId="1" applyNumberFormat="1" applyFont="1" applyFill="1" applyBorder="1" applyAlignment="1">
      <alignment horizontal="center"/>
    </xf>
    <xf numFmtId="164" fontId="1" fillId="4" borderId="7" xfId="1" applyNumberFormat="1" applyFont="1" applyFill="1" applyBorder="1" applyAlignment="1">
      <alignment horizontal="center"/>
    </xf>
    <xf numFmtId="164" fontId="1" fillId="4" borderId="1" xfId="1" applyNumberFormat="1" applyFont="1" applyFill="1" applyBorder="1" applyAlignment="1">
      <alignment horizontal="center"/>
    </xf>
    <xf numFmtId="0" fontId="6" fillId="0" borderId="0" xfId="0" applyFont="1" applyFill="1"/>
    <xf numFmtId="0" fontId="11" fillId="0" borderId="0" xfId="0" applyFont="1"/>
    <xf numFmtId="0" fontId="2" fillId="2" borderId="8"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0" xfId="0" applyFont="1" applyFill="1" applyBorder="1" applyAlignment="1">
      <alignment horizontal="center" vertical="center" wrapText="1"/>
    </xf>
    <xf numFmtId="0" fontId="2" fillId="2" borderId="0" xfId="0" applyFont="1" applyFill="1" applyBorder="1" applyAlignment="1">
      <alignment horizontal="center" vertical="center" wrapText="1"/>
    </xf>
    <xf numFmtId="164" fontId="0" fillId="0" borderId="0" xfId="1" applyNumberFormat="1" applyFont="1" applyFill="1" applyBorder="1" applyAlignment="1">
      <alignment horizontal="center"/>
    </xf>
    <xf numFmtId="0" fontId="2" fillId="2" borderId="11" xfId="0" applyFont="1" applyFill="1" applyBorder="1" applyAlignment="1">
      <alignment horizontal="center"/>
    </xf>
    <xf numFmtId="165" fontId="2" fillId="0" borderId="0" xfId="2" applyNumberFormat="1" applyFont="1" applyFill="1" applyBorder="1"/>
    <xf numFmtId="165" fontId="2" fillId="0" borderId="17" xfId="2" applyNumberFormat="1" applyFont="1" applyBorder="1"/>
    <xf numFmtId="166" fontId="6" fillId="0" borderId="0" xfId="1" applyNumberFormat="1" applyFont="1" applyAlignment="1">
      <alignment horizontal="center"/>
    </xf>
    <xf numFmtId="0" fontId="2" fillId="2" borderId="10" xfId="0" applyFont="1" applyFill="1" applyBorder="1" applyAlignment="1">
      <alignment horizontal="center" vertical="center" wrapText="1"/>
    </xf>
    <xf numFmtId="164" fontId="0" fillId="0" borderId="14" xfId="1" applyNumberFormat="1" applyFont="1" applyBorder="1" applyAlignment="1">
      <alignment horizontal="center"/>
    </xf>
    <xf numFmtId="165" fontId="2" fillId="0" borderId="1" xfId="2" applyNumberFormat="1" applyFont="1" applyBorder="1"/>
    <xf numFmtId="0" fontId="0" fillId="0" borderId="0" xfId="0" applyAlignment="1">
      <alignment horizontal="center" wrapText="1"/>
    </xf>
    <xf numFmtId="0" fontId="2" fillId="0" borderId="18" xfId="4"/>
    <xf numFmtId="166" fontId="2" fillId="0" borderId="18" xfId="4" applyNumberFormat="1" applyAlignment="1">
      <alignment horizontal="center"/>
    </xf>
    <xf numFmtId="0" fontId="0" fillId="0" borderId="15" xfId="0" applyBorder="1" applyAlignment="1">
      <alignment horizontal="centerContinuous"/>
    </xf>
    <xf numFmtId="0" fontId="0" fillId="0" borderId="13" xfId="0" applyBorder="1" applyAlignment="1">
      <alignment horizontal="centerContinuous"/>
    </xf>
    <xf numFmtId="0" fontId="0" fillId="0" borderId="16" xfId="0" applyBorder="1" applyAlignment="1">
      <alignment horizontal="centerContinuous"/>
    </xf>
    <xf numFmtId="10" fontId="0" fillId="0" borderId="16" xfId="0" applyNumberFormat="1" applyBorder="1"/>
    <xf numFmtId="0" fontId="0" fillId="0" borderId="0" xfId="0" applyAlignment="1">
      <alignment wrapText="1"/>
    </xf>
    <xf numFmtId="166" fontId="2" fillId="0" borderId="18" xfId="4" applyNumberFormat="1"/>
    <xf numFmtId="14" fontId="0" fillId="0" borderId="0" xfId="0" applyNumberFormat="1" applyAlignment="1">
      <alignment horizontal="center" wrapText="1"/>
    </xf>
    <xf numFmtId="165" fontId="5" fillId="0" borderId="8" xfId="2" applyNumberFormat="1" applyFont="1" applyFill="1" applyBorder="1"/>
    <xf numFmtId="165" fontId="5" fillId="0" borderId="2" xfId="2" applyNumberFormat="1" applyFont="1" applyFill="1" applyBorder="1"/>
    <xf numFmtId="44" fontId="11" fillId="0" borderId="2" xfId="2" applyFont="1" applyFill="1" applyBorder="1"/>
    <xf numFmtId="9" fontId="0" fillId="0" borderId="0" xfId="0" applyNumberFormat="1"/>
    <xf numFmtId="0" fontId="0" fillId="0" borderId="0" xfId="0"/>
    <xf numFmtId="0" fontId="14" fillId="0" borderId="0" xfId="0" applyFont="1" applyAlignment="1">
      <alignment horizontal="center" vertical="center" wrapText="1"/>
    </xf>
    <xf numFmtId="0" fontId="0" fillId="8" borderId="0" xfId="0" applyFill="1"/>
    <xf numFmtId="0" fontId="0" fillId="9" borderId="11" xfId="0" applyFill="1" applyBorder="1"/>
    <xf numFmtId="10" fontId="0" fillId="9" borderId="28" xfId="3" applyNumberFormat="1" applyFont="1" applyFill="1" applyBorder="1"/>
    <xf numFmtId="10" fontId="0" fillId="9" borderId="10" xfId="3" applyNumberFormat="1" applyFont="1" applyFill="1" applyBorder="1"/>
    <xf numFmtId="0" fontId="0" fillId="9" borderId="0" xfId="0" applyFill="1"/>
    <xf numFmtId="166" fontId="0" fillId="9" borderId="0" xfId="1" applyNumberFormat="1" applyFont="1" applyFill="1"/>
    <xf numFmtId="166" fontId="0" fillId="9" borderId="0" xfId="0" applyNumberFormat="1" applyFill="1"/>
    <xf numFmtId="10" fontId="0" fillId="9" borderId="0" xfId="3" applyNumberFormat="1" applyFont="1" applyFill="1"/>
    <xf numFmtId="0" fontId="0" fillId="0" borderId="0" xfId="0"/>
    <xf numFmtId="0" fontId="0" fillId="0" borderId="0" xfId="0"/>
    <xf numFmtId="169" fontId="0" fillId="0" borderId="0" xfId="0" applyNumberFormat="1"/>
    <xf numFmtId="49" fontId="0" fillId="0" borderId="0" xfId="0" applyNumberFormat="1"/>
    <xf numFmtId="169" fontId="0" fillId="0" borderId="0" xfId="0" applyNumberFormat="1" applyFill="1"/>
    <xf numFmtId="49" fontId="0" fillId="0" borderId="0" xfId="0" quotePrefix="1" applyNumberFormat="1" applyFill="1"/>
    <xf numFmtId="0" fontId="0" fillId="0" borderId="19" xfId="0" applyFill="1" applyBorder="1" applyAlignment="1">
      <alignment vertical="center" wrapText="1"/>
    </xf>
    <xf numFmtId="0" fontId="0" fillId="0" borderId="20" xfId="0" applyFill="1" applyBorder="1" applyAlignment="1">
      <alignment vertical="center" wrapText="1"/>
    </xf>
    <xf numFmtId="0" fontId="0" fillId="0" borderId="21" xfId="0" applyFill="1" applyBorder="1" applyAlignment="1">
      <alignment vertical="center" wrapText="1"/>
    </xf>
    <xf numFmtId="0" fontId="0" fillId="0" borderId="22" xfId="0" applyFill="1" applyBorder="1" applyAlignment="1">
      <alignment vertical="center" wrapText="1"/>
    </xf>
    <xf numFmtId="0" fontId="0" fillId="0" borderId="23" xfId="0" applyFill="1" applyBorder="1" applyAlignment="1">
      <alignment vertical="center" wrapText="1"/>
    </xf>
    <xf numFmtId="0" fontId="0" fillId="0" borderId="24" xfId="0" applyFill="1" applyBorder="1" applyAlignment="1">
      <alignment vertical="center" wrapText="1"/>
    </xf>
    <xf numFmtId="0" fontId="0" fillId="0" borderId="25" xfId="0" applyFill="1" applyBorder="1" applyAlignment="1">
      <alignment vertical="center" wrapText="1"/>
    </xf>
    <xf numFmtId="0" fontId="0" fillId="0" borderId="26" xfId="0" applyFill="1" applyBorder="1" applyAlignment="1">
      <alignment vertical="center" wrapText="1"/>
    </xf>
    <xf numFmtId="0" fontId="0" fillId="0" borderId="27" xfId="0" applyFill="1" applyBorder="1" applyAlignment="1">
      <alignment vertical="center" wrapText="1"/>
    </xf>
    <xf numFmtId="0" fontId="0" fillId="0" borderId="23" xfId="0" applyFill="1" applyBorder="1" applyAlignment="1">
      <alignment horizontal="left" vertical="center" wrapText="1" indent="2"/>
    </xf>
    <xf numFmtId="0" fontId="0" fillId="0" borderId="0" xfId="0" applyFill="1" applyBorder="1" applyAlignment="1">
      <alignment vertical="center" wrapText="1"/>
    </xf>
    <xf numFmtId="0" fontId="2" fillId="0" borderId="0" xfId="0" applyFont="1" applyFill="1" applyBorder="1" applyAlignment="1">
      <alignment vertical="center" wrapText="1"/>
    </xf>
    <xf numFmtId="0" fontId="10" fillId="0" borderId="0" xfId="0" applyFont="1" applyFill="1" applyAlignment="1">
      <alignment vertical="center" wrapText="1"/>
    </xf>
    <xf numFmtId="0" fontId="0" fillId="0" borderId="20" xfId="0" applyFill="1" applyBorder="1" applyAlignment="1">
      <alignment horizontal="left" vertical="center" wrapText="1" indent="2"/>
    </xf>
    <xf numFmtId="0" fontId="10" fillId="0" borderId="0" xfId="0" applyFont="1" applyFill="1" applyBorder="1" applyAlignment="1">
      <alignment vertical="center" wrapText="1"/>
    </xf>
    <xf numFmtId="171" fontId="0" fillId="0" borderId="0" xfId="0" applyNumberFormat="1"/>
    <xf numFmtId="49" fontId="0" fillId="0" borderId="0" xfId="0" applyNumberFormat="1" applyFill="1"/>
    <xf numFmtId="0" fontId="10" fillId="0" borderId="0" xfId="0" applyFont="1"/>
    <xf numFmtId="166" fontId="0" fillId="0" borderId="0" xfId="0" applyNumberFormat="1" applyAlignment="1">
      <alignment horizontal="right"/>
    </xf>
    <xf numFmtId="0" fontId="0" fillId="0" borderId="29" xfId="0" applyFill="1" applyBorder="1" applyAlignment="1">
      <alignment vertical="center" wrapText="1"/>
    </xf>
    <xf numFmtId="0" fontId="0" fillId="0" borderId="30" xfId="0" applyFill="1" applyBorder="1" applyAlignment="1">
      <alignment vertical="center" wrapText="1"/>
    </xf>
    <xf numFmtId="169" fontId="0" fillId="3" borderId="0" xfId="0" applyNumberFormat="1" applyFill="1"/>
    <xf numFmtId="43" fontId="0" fillId="0" borderId="0" xfId="1" applyFont="1"/>
    <xf numFmtId="0" fontId="15" fillId="0" borderId="9" xfId="0" applyFont="1" applyBorder="1"/>
    <xf numFmtId="43" fontId="0" fillId="0" borderId="8" xfId="1" applyFont="1" applyBorder="1"/>
    <xf numFmtId="0" fontId="15" fillId="0" borderId="7" xfId="0" applyFont="1" applyBorder="1"/>
    <xf numFmtId="0" fontId="15" fillId="0" borderId="8" xfId="0" applyFont="1" applyBorder="1"/>
    <xf numFmtId="0" fontId="0" fillId="0" borderId="7" xfId="0" applyBorder="1"/>
    <xf numFmtId="0" fontId="15" fillId="0" borderId="0" xfId="0" applyFont="1"/>
    <xf numFmtId="0" fontId="15" fillId="0" borderId="6" xfId="0" applyFont="1" applyBorder="1"/>
    <xf numFmtId="0" fontId="0" fillId="0" borderId="0" xfId="1" applyNumberFormat="1" applyFont="1" applyAlignment="1">
      <alignment horizontal="right"/>
    </xf>
    <xf numFmtId="172" fontId="0" fillId="0" borderId="0" xfId="1" applyNumberFormat="1" applyFont="1"/>
    <xf numFmtId="0" fontId="0" fillId="0" borderId="4" xfId="0" applyBorder="1"/>
    <xf numFmtId="0" fontId="2" fillId="0" borderId="6" xfId="0" applyFont="1" applyBorder="1"/>
    <xf numFmtId="0" fontId="2" fillId="0" borderId="6" xfId="0" applyFont="1" applyBorder="1" applyAlignment="1">
      <alignment horizontal="center"/>
    </xf>
    <xf numFmtId="0" fontId="16" fillId="0" borderId="0" xfId="0" applyFont="1"/>
    <xf numFmtId="43" fontId="0" fillId="0" borderId="0" xfId="1" applyFont="1" applyAlignment="1">
      <alignment horizontal="center"/>
    </xf>
    <xf numFmtId="0" fontId="0" fillId="0" borderId="4" xfId="0" applyBorder="1" applyAlignment="1">
      <alignment horizontal="center"/>
    </xf>
    <xf numFmtId="0" fontId="0" fillId="0" borderId="6" xfId="0" applyBorder="1" applyAlignment="1">
      <alignment horizontal="center"/>
    </xf>
    <xf numFmtId="43" fontId="0" fillId="0" borderId="0" xfId="0" applyNumberFormat="1"/>
    <xf numFmtId="0" fontId="6" fillId="0" borderId="4" xfId="0" applyFont="1" applyBorder="1"/>
    <xf numFmtId="0" fontId="17" fillId="0" borderId="0" xfId="0" applyFont="1"/>
    <xf numFmtId="43" fontId="11" fillId="0" borderId="0" xfId="1" applyFont="1"/>
    <xf numFmtId="43" fontId="6" fillId="0" borderId="4" xfId="1" applyFont="1" applyBorder="1" applyAlignment="1">
      <alignment horizontal="center"/>
    </xf>
    <xf numFmtId="173" fontId="11" fillId="0" borderId="0" xfId="0" applyNumberFormat="1" applyFont="1" applyAlignment="1">
      <alignment horizontal="center"/>
    </xf>
    <xf numFmtId="43" fontId="6" fillId="0" borderId="4" xfId="1" applyFont="1" applyBorder="1"/>
    <xf numFmtId="0" fontId="2" fillId="0" borderId="3" xfId="0" applyFont="1" applyBorder="1"/>
    <xf numFmtId="43" fontId="11" fillId="0" borderId="2" xfId="1" applyFont="1" applyBorder="1"/>
    <xf numFmtId="0" fontId="0" fillId="0" borderId="1" xfId="0" applyBorder="1"/>
    <xf numFmtId="0" fontId="2" fillId="0" borderId="2" xfId="0" applyFont="1" applyBorder="1"/>
    <xf numFmtId="0" fontId="2" fillId="0" borderId="9" xfId="0" applyFont="1" applyBorder="1" applyAlignment="1">
      <alignment horizontal="center"/>
    </xf>
    <xf numFmtId="0" fontId="2" fillId="0" borderId="8" xfId="0" applyFont="1" applyBorder="1"/>
    <xf numFmtId="43" fontId="0" fillId="0" borderId="7" xfId="1" applyFont="1" applyBorder="1"/>
    <xf numFmtId="43" fontId="0" fillId="0" borderId="4" xfId="1" applyFont="1" applyBorder="1" applyAlignment="1">
      <alignment horizontal="center"/>
    </xf>
    <xf numFmtId="166" fontId="11" fillId="0" borderId="0" xfId="1" applyNumberFormat="1" applyFont="1"/>
    <xf numFmtId="43" fontId="5" fillId="0" borderId="4" xfId="1" applyFont="1" applyBorder="1"/>
    <xf numFmtId="166" fontId="2" fillId="0" borderId="3" xfId="0" applyNumberFormat="1" applyFont="1" applyBorder="1"/>
    <xf numFmtId="166" fontId="0" fillId="0" borderId="2" xfId="0" applyNumberFormat="1" applyBorder="1"/>
    <xf numFmtId="43" fontId="11" fillId="0" borderId="1" xfId="1" applyFont="1" applyBorder="1"/>
    <xf numFmtId="0" fontId="2" fillId="10" borderId="0" xfId="0" applyFont="1" applyFill="1"/>
    <xf numFmtId="0" fontId="0" fillId="10" borderId="0" xfId="0" applyFill="1"/>
    <xf numFmtId="0" fontId="0" fillId="10" borderId="0" xfId="0" applyFill="1" applyAlignment="1">
      <alignment horizontal="center"/>
    </xf>
    <xf numFmtId="43" fontId="0" fillId="10" borderId="0" xfId="1" applyFont="1" applyFill="1"/>
    <xf numFmtId="43" fontId="0" fillId="10" borderId="0" xfId="1" applyFont="1" applyFill="1" applyAlignment="1">
      <alignment horizontal="center"/>
    </xf>
    <xf numFmtId="0" fontId="18" fillId="10" borderId="0" xfId="6" quotePrefix="1" applyFill="1" applyAlignment="1">
      <alignment horizontal="right"/>
    </xf>
    <xf numFmtId="43" fontId="0" fillId="10" borderId="0" xfId="0" applyNumberFormat="1" applyFill="1"/>
    <xf numFmtId="166" fontId="11" fillId="10" borderId="0" xfId="1" applyNumberFormat="1" applyFont="1" applyFill="1"/>
    <xf numFmtId="43" fontId="11" fillId="10" borderId="0" xfId="1" applyFont="1" applyFill="1"/>
    <xf numFmtId="174" fontId="6" fillId="0" borderId="0" xfId="2" applyNumberFormat="1" applyFont="1" applyFill="1"/>
    <xf numFmtId="0" fontId="0" fillId="11" borderId="9" xfId="0" applyFill="1" applyBorder="1"/>
    <xf numFmtId="0" fontId="15" fillId="11" borderId="8" xfId="0" applyFont="1" applyFill="1" applyBorder="1"/>
    <xf numFmtId="0" fontId="0" fillId="11" borderId="8" xfId="0" applyFill="1" applyBorder="1"/>
    <xf numFmtId="0" fontId="0" fillId="11" borderId="8" xfId="0" applyFill="1" applyBorder="1" applyAlignment="1">
      <alignment horizontal="center"/>
    </xf>
    <xf numFmtId="43" fontId="0" fillId="11" borderId="8" xfId="1" applyFont="1" applyFill="1" applyBorder="1"/>
    <xf numFmtId="0" fontId="0" fillId="11" borderId="7" xfId="0" applyFill="1" applyBorder="1"/>
    <xf numFmtId="0" fontId="0" fillId="11" borderId="6" xfId="0" applyFill="1" applyBorder="1"/>
    <xf numFmtId="0" fontId="15" fillId="11" borderId="0" xfId="0" applyFont="1" applyFill="1"/>
    <xf numFmtId="0" fontId="0" fillId="11" borderId="0" xfId="0" applyFill="1"/>
    <xf numFmtId="0" fontId="0" fillId="11" borderId="0" xfId="0" applyFill="1" applyAlignment="1">
      <alignment horizontal="center"/>
    </xf>
    <xf numFmtId="43" fontId="0" fillId="11" borderId="0" xfId="1" applyFont="1" applyFill="1" applyAlignment="1">
      <alignment horizontal="right"/>
    </xf>
    <xf numFmtId="172" fontId="0" fillId="11" borderId="0" xfId="1" applyNumberFormat="1" applyFont="1" applyFill="1"/>
    <xf numFmtId="0" fontId="0" fillId="11" borderId="4" xfId="0" applyFill="1" applyBorder="1"/>
    <xf numFmtId="0" fontId="2" fillId="11" borderId="0" xfId="0" applyFont="1" applyFill="1"/>
    <xf numFmtId="43" fontId="0" fillId="11" borderId="0" xfId="1" applyFont="1" applyFill="1"/>
    <xf numFmtId="0" fontId="2" fillId="11" borderId="0" xfId="0" applyFont="1" applyFill="1" applyAlignment="1">
      <alignment horizontal="center"/>
    </xf>
    <xf numFmtId="0" fontId="16" fillId="11" borderId="0" xfId="0" applyFont="1" applyFill="1"/>
    <xf numFmtId="43" fontId="0" fillId="11" borderId="0" xfId="1" applyFont="1" applyFill="1" applyAlignment="1">
      <alignment horizontal="center"/>
    </xf>
    <xf numFmtId="0" fontId="0" fillId="11" borderId="6" xfId="0" applyFill="1" applyBorder="1" applyAlignment="1">
      <alignment horizontal="center"/>
    </xf>
    <xf numFmtId="0" fontId="0" fillId="11" borderId="4" xfId="0" applyFill="1" applyBorder="1" applyAlignment="1">
      <alignment horizontal="center"/>
    </xf>
    <xf numFmtId="0" fontId="17" fillId="11" borderId="0" xfId="0" applyFont="1" applyFill="1"/>
    <xf numFmtId="43" fontId="11" fillId="11" borderId="0" xfId="1" applyFont="1" applyFill="1"/>
    <xf numFmtId="0" fontId="0" fillId="11" borderId="3" xfId="0" applyFill="1" applyBorder="1"/>
    <xf numFmtId="0" fontId="2" fillId="11" borderId="2" xfId="0" applyFont="1" applyFill="1" applyBorder="1"/>
    <xf numFmtId="0" fontId="0" fillId="11" borderId="2" xfId="0" applyFill="1" applyBorder="1"/>
    <xf numFmtId="0" fontId="0" fillId="11" borderId="2" xfId="0" applyFill="1" applyBorder="1" applyAlignment="1">
      <alignment horizontal="center"/>
    </xf>
    <xf numFmtId="43" fontId="11" fillId="11" borderId="2" xfId="1" applyFont="1" applyFill="1" applyBorder="1"/>
    <xf numFmtId="0" fontId="0" fillId="11" borderId="1" xfId="0" applyFill="1" applyBorder="1"/>
    <xf numFmtId="43" fontId="1" fillId="0" borderId="0" xfId="1" applyFont="1"/>
    <xf numFmtId="43" fontId="0" fillId="0" borderId="0" xfId="1" applyFont="1" applyFill="1"/>
    <xf numFmtId="43" fontId="2" fillId="0" borderId="31" xfId="1" applyFont="1" applyFill="1" applyBorder="1"/>
    <xf numFmtId="43" fontId="2" fillId="0" borderId="0" xfId="1" quotePrefix="1" applyFont="1" applyFill="1" applyAlignment="1">
      <alignment horizontal="center"/>
    </xf>
    <xf numFmtId="176" fontId="2" fillId="0" borderId="0" xfId="1" applyNumberFormat="1" applyFont="1" applyAlignment="1">
      <alignment horizontal="center"/>
    </xf>
    <xf numFmtId="43" fontId="2" fillId="0" borderId="0" xfId="0" applyNumberFormat="1" applyFont="1"/>
    <xf numFmtId="43" fontId="2" fillId="0" borderId="31" xfId="1" applyFont="1" applyBorder="1"/>
    <xf numFmtId="43" fontId="1" fillId="12" borderId="0" xfId="1" applyFont="1" applyFill="1"/>
    <xf numFmtId="43" fontId="2" fillId="0" borderId="0" xfId="1" applyFont="1" applyFill="1" applyAlignment="1">
      <alignment horizontal="center"/>
    </xf>
    <xf numFmtId="43" fontId="0" fillId="13" borderId="0" xfId="1" applyFont="1" applyFill="1"/>
    <xf numFmtId="43" fontId="1" fillId="14" borderId="0" xfId="1" applyFont="1" applyFill="1"/>
    <xf numFmtId="175" fontId="1" fillId="12" borderId="0" xfId="1" applyNumberFormat="1" applyFont="1" applyFill="1"/>
    <xf numFmtId="175" fontId="0" fillId="13" borderId="0" xfId="1" applyNumberFormat="1" applyFont="1" applyFill="1"/>
    <xf numFmtId="175" fontId="0" fillId="10" borderId="0" xfId="1" applyNumberFormat="1" applyFont="1" applyFill="1"/>
    <xf numFmtId="43" fontId="0" fillId="0" borderId="4" xfId="0" applyNumberFormat="1" applyBorder="1"/>
    <xf numFmtId="0" fontId="0" fillId="15" borderId="0" xfId="0" applyFill="1"/>
    <xf numFmtId="43" fontId="0" fillId="15" borderId="0" xfId="1" applyFont="1" applyFill="1"/>
    <xf numFmtId="43" fontId="22" fillId="0" borderId="0" xfId="1" applyFont="1"/>
    <xf numFmtId="43" fontId="22" fillId="0" borderId="0" xfId="1" applyFont="1" applyAlignment="1">
      <alignment horizontal="right"/>
    </xf>
    <xf numFmtId="166" fontId="2" fillId="0" borderId="18" xfId="4" applyNumberFormat="1" applyFill="1"/>
    <xf numFmtId="43" fontId="2" fillId="4" borderId="0" xfId="0" applyNumberFormat="1" applyFont="1" applyFill="1"/>
    <xf numFmtId="10" fontId="5" fillId="5" borderId="0" xfId="3" applyNumberFormat="1" applyFont="1" applyFill="1" applyBorder="1" applyAlignment="1">
      <alignment horizontal="center"/>
    </xf>
    <xf numFmtId="10" fontId="6" fillId="0" borderId="0" xfId="3" applyNumberFormat="1" applyFont="1" applyBorder="1" applyAlignment="1">
      <alignment horizontal="center"/>
    </xf>
    <xf numFmtId="169" fontId="0" fillId="9" borderId="0" xfId="0" applyNumberFormat="1" applyFill="1"/>
    <xf numFmtId="166" fontId="0" fillId="15" borderId="0" xfId="1" applyNumberFormat="1" applyFont="1" applyFill="1"/>
    <xf numFmtId="169" fontId="0" fillId="15" borderId="0" xfId="0" applyNumberFormat="1" applyFill="1"/>
    <xf numFmtId="166" fontId="0" fillId="16" borderId="0" xfId="1" applyNumberFormat="1" applyFont="1" applyFill="1"/>
    <xf numFmtId="169" fontId="0" fillId="16" borderId="0" xfId="0" applyNumberFormat="1" applyFill="1"/>
    <xf numFmtId="169" fontId="0" fillId="17" borderId="0" xfId="0" applyNumberFormat="1" applyFill="1"/>
    <xf numFmtId="171" fontId="0" fillId="0" borderId="31" xfId="0" applyNumberFormat="1" applyBorder="1"/>
    <xf numFmtId="169" fontId="0" fillId="0" borderId="0" xfId="0" applyNumberFormat="1" applyAlignment="1">
      <alignment horizontal="right"/>
    </xf>
    <xf numFmtId="169" fontId="11" fillId="0" borderId="0" xfId="0" applyNumberFormat="1" applyFont="1"/>
    <xf numFmtId="49" fontId="0" fillId="0" borderId="0" xfId="0" quotePrefix="1" applyNumberFormat="1" applyFill="1" applyAlignment="1">
      <alignment horizontal="center"/>
    </xf>
    <xf numFmtId="169" fontId="2" fillId="9" borderId="0" xfId="0" applyNumberFormat="1" applyFont="1" applyFill="1"/>
    <xf numFmtId="169" fontId="2" fillId="15" borderId="0" xfId="0" applyNumberFormat="1" applyFont="1" applyFill="1"/>
    <xf numFmtId="169" fontId="2" fillId="16" borderId="0" xfId="0" applyNumberFormat="1" applyFont="1" applyFill="1"/>
    <xf numFmtId="169" fontId="2" fillId="0" borderId="0" xfId="0" applyNumberFormat="1" applyFont="1" applyFill="1"/>
    <xf numFmtId="169" fontId="0" fillId="4" borderId="0" xfId="0" applyNumberFormat="1" applyFill="1"/>
    <xf numFmtId="166" fontId="0" fillId="11" borderId="0" xfId="1" applyNumberFormat="1" applyFont="1" applyFill="1"/>
    <xf numFmtId="10" fontId="0" fillId="0" borderId="31" xfId="0" applyNumberFormat="1" applyBorder="1"/>
    <xf numFmtId="0" fontId="0" fillId="10" borderId="0" xfId="0" applyFill="1" applyAlignment="1">
      <alignment horizontal="center" wrapText="1"/>
    </xf>
    <xf numFmtId="166" fontId="0" fillId="10" borderId="0" xfId="1" applyNumberFormat="1" applyFont="1" applyFill="1"/>
    <xf numFmtId="10" fontId="0" fillId="10" borderId="0" xfId="3" applyNumberFormat="1" applyFont="1" applyFill="1"/>
    <xf numFmtId="10" fontId="0" fillId="10" borderId="0" xfId="3" applyNumberFormat="1" applyFont="1" applyFill="1" applyBorder="1"/>
    <xf numFmtId="10" fontId="0" fillId="10" borderId="31" xfId="0" applyNumberFormat="1" applyFill="1" applyBorder="1"/>
    <xf numFmtId="0" fontId="0" fillId="9" borderId="13" xfId="0" applyFill="1" applyBorder="1" applyAlignment="1">
      <alignment horizontal="centerContinuous"/>
    </xf>
    <xf numFmtId="0" fontId="0" fillId="9" borderId="0" xfId="0" applyFill="1" applyAlignment="1">
      <alignment horizontal="center" wrapText="1"/>
    </xf>
    <xf numFmtId="10" fontId="0" fillId="9" borderId="31" xfId="0" applyNumberFormat="1" applyFill="1" applyBorder="1"/>
    <xf numFmtId="0" fontId="0" fillId="9" borderId="0" xfId="0" applyFill="1" applyAlignment="1">
      <alignment horizontal="left"/>
    </xf>
    <xf numFmtId="0" fontId="0" fillId="0" borderId="0" xfId="0" applyAlignment="1"/>
    <xf numFmtId="166" fontId="0" fillId="0" borderId="31" xfId="0" applyNumberFormat="1" applyBorder="1"/>
    <xf numFmtId="166" fontId="11" fillId="0" borderId="0" xfId="0" applyNumberFormat="1" applyFont="1"/>
    <xf numFmtId="0" fontId="2" fillId="0" borderId="6" xfId="0" applyFont="1" applyFill="1" applyBorder="1" applyAlignment="1">
      <alignment horizontal="center"/>
    </xf>
    <xf numFmtId="0" fontId="16" fillId="0" borderId="0" xfId="0" applyFont="1" applyFill="1"/>
    <xf numFmtId="0" fontId="6" fillId="0" borderId="4" xfId="0" applyFont="1" applyFill="1" applyBorder="1"/>
    <xf numFmtId="0" fontId="2" fillId="0" borderId="0" xfId="0" applyFont="1" applyFill="1" applyAlignment="1">
      <alignment horizontal="center"/>
    </xf>
    <xf numFmtId="0" fontId="0" fillId="0" borderId="4" xfId="0" applyFill="1" applyBorder="1"/>
    <xf numFmtId="43" fontId="0" fillId="0" borderId="0" xfId="1" applyFont="1" applyFill="1" applyAlignment="1">
      <alignment horizontal="center"/>
    </xf>
    <xf numFmtId="43" fontId="6" fillId="0" borderId="4" xfId="1" applyFont="1" applyFill="1" applyBorder="1" applyAlignment="1">
      <alignment horizontal="center"/>
    </xf>
    <xf numFmtId="0" fontId="0" fillId="0" borderId="6" xfId="0" applyFill="1" applyBorder="1" applyAlignment="1">
      <alignment horizontal="center"/>
    </xf>
    <xf numFmtId="0" fontId="0" fillId="0" borderId="4" xfId="0" applyFill="1" applyBorder="1" applyAlignment="1">
      <alignment horizontal="center"/>
    </xf>
    <xf numFmtId="0" fontId="2" fillId="0" borderId="6" xfId="0" applyFont="1" applyFill="1" applyBorder="1"/>
    <xf numFmtId="43" fontId="22" fillId="0" borderId="0" xfId="1" applyFont="1" applyFill="1"/>
    <xf numFmtId="43" fontId="6" fillId="0" borderId="4" xfId="1" applyFont="1" applyFill="1" applyBorder="1"/>
    <xf numFmtId="0" fontId="2" fillId="0" borderId="0" xfId="0" applyFont="1" applyFill="1"/>
    <xf numFmtId="43" fontId="0" fillId="0" borderId="4" xfId="0" applyNumberFormat="1" applyFill="1" applyBorder="1"/>
    <xf numFmtId="43" fontId="11" fillId="0" borderId="0" xfId="1" applyFont="1" applyFill="1"/>
    <xf numFmtId="43" fontId="0" fillId="0" borderId="0" xfId="0" applyNumberFormat="1" applyAlignment="1">
      <alignment horizontal="center"/>
    </xf>
    <xf numFmtId="166" fontId="0" fillId="0" borderId="0" xfId="0" applyNumberFormat="1" applyAlignment="1">
      <alignment horizontal="center"/>
    </xf>
    <xf numFmtId="0" fontId="11" fillId="0" borderId="0" xfId="0" applyFont="1" applyAlignment="1">
      <alignment horizontal="left"/>
    </xf>
    <xf numFmtId="166" fontId="16" fillId="0" borderId="0" xfId="0" applyNumberFormat="1" applyFont="1"/>
    <xf numFmtId="166" fontId="2" fillId="0" borderId="0" xfId="4" applyNumberFormat="1" applyBorder="1"/>
    <xf numFmtId="166" fontId="0" fillId="0" borderId="0" xfId="0" applyNumberFormat="1" applyFill="1"/>
    <xf numFmtId="0" fontId="0" fillId="0" borderId="0" xfId="0" applyFill="1" applyAlignment="1">
      <alignment wrapText="1"/>
    </xf>
    <xf numFmtId="43" fontId="11" fillId="0" borderId="0" xfId="0" applyNumberFormat="1" applyFont="1"/>
    <xf numFmtId="166" fontId="2" fillId="16" borderId="0" xfId="1" applyNumberFormat="1" applyFont="1" applyFill="1"/>
    <xf numFmtId="43" fontId="16" fillId="0" borderId="32" xfId="0" applyNumberFormat="1" applyFont="1" applyBorder="1"/>
    <xf numFmtId="0" fontId="2" fillId="0" borderId="33" xfId="0" applyFont="1" applyBorder="1" applyAlignment="1">
      <alignment horizontal="center" wrapText="1"/>
    </xf>
    <xf numFmtId="43" fontId="5" fillId="0" borderId="0" xfId="1" applyFont="1"/>
    <xf numFmtId="43" fontId="5" fillId="0" borderId="0" xfId="1" applyFont="1" applyFill="1"/>
    <xf numFmtId="43" fontId="5" fillId="0" borderId="0" xfId="1" applyFont="1" applyFill="1" applyAlignment="1">
      <alignment horizontal="center"/>
    </xf>
    <xf numFmtId="0" fontId="5" fillId="0" borderId="0" xfId="0" applyFont="1" applyFill="1" applyAlignment="1">
      <alignment horizontal="center"/>
    </xf>
    <xf numFmtId="0" fontId="0" fillId="18" borderId="0" xfId="0" applyFill="1"/>
    <xf numFmtId="0" fontId="0" fillId="18" borderId="0" xfId="0" applyFill="1" applyAlignment="1">
      <alignment horizontal="center"/>
    </xf>
    <xf numFmtId="0" fontId="23" fillId="18" borderId="0" xfId="0" applyFont="1" applyFill="1"/>
    <xf numFmtId="166" fontId="23" fillId="18" borderId="0" xfId="0" applyNumberFormat="1" applyFont="1" applyFill="1"/>
    <xf numFmtId="0" fontId="23" fillId="0" borderId="0" xfId="0" applyFont="1" applyFill="1"/>
    <xf numFmtId="0" fontId="23" fillId="0" borderId="0" xfId="0" applyFont="1" applyFill="1" applyAlignment="1">
      <alignment horizontal="center"/>
    </xf>
    <xf numFmtId="0" fontId="23" fillId="0" borderId="0" xfId="0" applyFont="1" applyFill="1" applyAlignment="1">
      <alignment horizontal="left" wrapText="1"/>
    </xf>
    <xf numFmtId="0" fontId="23" fillId="0" borderId="0" xfId="0" applyFont="1" applyFill="1" applyAlignment="1">
      <alignment horizontal="center" wrapText="1"/>
    </xf>
    <xf numFmtId="166" fontId="23" fillId="0" borderId="0" xfId="1" applyNumberFormat="1" applyFont="1" applyFill="1"/>
    <xf numFmtId="0" fontId="23" fillId="0" borderId="0" xfId="0" applyFont="1" applyFill="1" applyAlignment="1">
      <alignment horizontal="left"/>
    </xf>
    <xf numFmtId="0" fontId="23" fillId="0" borderId="31" xfId="0" applyFont="1" applyFill="1" applyBorder="1"/>
    <xf numFmtId="166" fontId="23" fillId="0" borderId="31" xfId="0" applyNumberFormat="1" applyFont="1" applyFill="1" applyBorder="1"/>
    <xf numFmtId="166" fontId="23" fillId="0" borderId="31" xfId="1" applyNumberFormat="1" applyFont="1" applyFill="1" applyBorder="1"/>
    <xf numFmtId="43" fontId="0" fillId="18" borderId="0" xfId="1" applyFont="1" applyFill="1"/>
    <xf numFmtId="0" fontId="2" fillId="10" borderId="33" xfId="0" applyFont="1" applyFill="1" applyBorder="1" applyAlignment="1">
      <alignment horizontal="center"/>
    </xf>
    <xf numFmtId="43" fontId="16" fillId="10" borderId="32" xfId="0" applyNumberFormat="1" applyFont="1" applyFill="1" applyBorder="1"/>
    <xf numFmtId="43" fontId="5" fillId="0" borderId="0" xfId="0" applyNumberFormat="1" applyFont="1"/>
    <xf numFmtId="43" fontId="0" fillId="0" borderId="0" xfId="1" applyFont="1" applyFill="1" applyAlignment="1">
      <alignment horizontal="right"/>
    </xf>
    <xf numFmtId="43" fontId="0" fillId="0" borderId="0" xfId="0" applyNumberFormat="1" applyFill="1" applyBorder="1"/>
    <xf numFmtId="43" fontId="11" fillId="0" borderId="0" xfId="0" applyNumberFormat="1" applyFont="1" applyFill="1" applyBorder="1"/>
    <xf numFmtId="0" fontId="11" fillId="0" borderId="0" xfId="0" applyFont="1" applyAlignment="1">
      <alignment horizontal="right"/>
    </xf>
    <xf numFmtId="0" fontId="0" fillId="18" borderId="9" xfId="0" applyFill="1" applyBorder="1"/>
    <xf numFmtId="0" fontId="15" fillId="18" borderId="8" xfId="0" applyFont="1" applyFill="1" applyBorder="1"/>
    <xf numFmtId="0" fontId="0" fillId="18" borderId="8" xfId="0" applyFill="1" applyBorder="1"/>
    <xf numFmtId="0" fontId="0" fillId="18" borderId="8" xfId="0" applyFill="1" applyBorder="1" applyAlignment="1">
      <alignment horizontal="center"/>
    </xf>
    <xf numFmtId="43" fontId="0" fillId="18" borderId="8" xfId="1" applyFont="1" applyFill="1" applyBorder="1"/>
    <xf numFmtId="0" fontId="0" fillId="18" borderId="7" xfId="0" applyFill="1" applyBorder="1"/>
    <xf numFmtId="0" fontId="0" fillId="18" borderId="6" xfId="0" applyFill="1" applyBorder="1"/>
    <xf numFmtId="0" fontId="15" fillId="18" borderId="0" xfId="0" applyFont="1" applyFill="1"/>
    <xf numFmtId="43" fontId="0" fillId="18" borderId="0" xfId="1" applyFont="1" applyFill="1" applyAlignment="1">
      <alignment horizontal="right"/>
    </xf>
    <xf numFmtId="172" fontId="0" fillId="18" borderId="0" xfId="1" applyNumberFormat="1" applyFont="1" applyFill="1"/>
    <xf numFmtId="0" fontId="0" fillId="18" borderId="4" xfId="0" applyFill="1" applyBorder="1"/>
    <xf numFmtId="0" fontId="2" fillId="18" borderId="0" xfId="0" applyFont="1" applyFill="1"/>
    <xf numFmtId="0" fontId="2" fillId="18" borderId="0" xfId="0" applyFont="1" applyFill="1" applyAlignment="1">
      <alignment horizontal="center"/>
    </xf>
    <xf numFmtId="0" fontId="16" fillId="18" borderId="0" xfId="0" applyFont="1" applyFill="1"/>
    <xf numFmtId="43" fontId="0" fillId="18" borderId="0" xfId="1" applyFont="1" applyFill="1" applyAlignment="1">
      <alignment horizontal="center"/>
    </xf>
    <xf numFmtId="0" fontId="0" fillId="18" borderId="6" xfId="0" applyFill="1" applyBorder="1" applyAlignment="1">
      <alignment horizontal="center"/>
    </xf>
    <xf numFmtId="0" fontId="0" fillId="18" borderId="4" xfId="0" applyFill="1" applyBorder="1" applyAlignment="1">
      <alignment horizontal="center"/>
    </xf>
    <xf numFmtId="0" fontId="17" fillId="18" borderId="0" xfId="0" applyFont="1" applyFill="1"/>
    <xf numFmtId="43" fontId="11" fillId="18" borderId="0" xfId="1" applyFont="1" applyFill="1"/>
    <xf numFmtId="0" fontId="0" fillId="18" borderId="3" xfId="0" applyFill="1" applyBorder="1"/>
    <xf numFmtId="0" fontId="2" fillId="18" borderId="2" xfId="0" applyFont="1" applyFill="1" applyBorder="1"/>
    <xf numFmtId="0" fontId="0" fillId="18" borderId="2" xfId="0" applyFill="1" applyBorder="1"/>
    <xf numFmtId="0" fontId="0" fillId="18" borderId="2" xfId="0" applyFill="1" applyBorder="1" applyAlignment="1">
      <alignment horizontal="center"/>
    </xf>
    <xf numFmtId="43" fontId="11" fillId="18" borderId="2" xfId="1" applyFont="1" applyFill="1" applyBorder="1"/>
    <xf numFmtId="0" fontId="0" fillId="18" borderId="1" xfId="0" applyFill="1" applyBorder="1"/>
    <xf numFmtId="0" fontId="11" fillId="0" borderId="0" xfId="0" applyFont="1" applyFill="1" applyBorder="1"/>
    <xf numFmtId="0" fontId="2" fillId="0" borderId="12" xfId="0" applyFont="1" applyBorder="1" applyAlignment="1">
      <alignment horizontal="center" wrapText="1"/>
    </xf>
    <xf numFmtId="0" fontId="2" fillId="10" borderId="12" xfId="0" applyFont="1" applyFill="1" applyBorder="1" applyAlignment="1">
      <alignment horizontal="center"/>
    </xf>
    <xf numFmtId="0" fontId="0" fillId="0" borderId="0" xfId="0" applyAlignment="1"/>
    <xf numFmtId="0" fontId="2" fillId="0" borderId="0" xfId="0" applyFont="1" applyBorder="1" applyAlignment="1">
      <alignment horizontal="center"/>
    </xf>
    <xf numFmtId="43" fontId="0" fillId="3" borderId="0" xfId="1" applyFont="1" applyFill="1"/>
    <xf numFmtId="0" fontId="26" fillId="0" borderId="0" xfId="11"/>
    <xf numFmtId="43" fontId="0" fillId="0" borderId="0" xfId="7" applyFont="1"/>
    <xf numFmtId="0" fontId="27" fillId="0" borderId="0" xfId="11" applyFont="1"/>
    <xf numFmtId="0" fontId="2" fillId="0" borderId="15" xfId="12" applyFont="1" applyBorder="1" applyAlignment="1">
      <alignment horizontal="centerContinuous"/>
    </xf>
    <xf numFmtId="0" fontId="2" fillId="0" borderId="13" xfId="12" applyFont="1" applyBorder="1" applyAlignment="1">
      <alignment horizontal="centerContinuous"/>
    </xf>
    <xf numFmtId="0" fontId="2" fillId="0" borderId="16" xfId="12" applyFont="1" applyBorder="1" applyAlignment="1">
      <alignment horizontal="centerContinuous"/>
    </xf>
    <xf numFmtId="43" fontId="27" fillId="0" borderId="0" xfId="7" applyFont="1" applyAlignment="1">
      <alignment horizontal="center" wrapText="1"/>
    </xf>
    <xf numFmtId="0" fontId="2" fillId="0" borderId="3" xfId="12" applyFont="1" applyBorder="1" applyAlignment="1">
      <alignment horizontal="center"/>
    </xf>
    <xf numFmtId="0" fontId="2" fillId="0" borderId="2" xfId="12" applyFont="1" applyBorder="1" applyAlignment="1">
      <alignment horizontal="center"/>
    </xf>
    <xf numFmtId="0" fontId="2" fillId="0" borderId="0" xfId="12" applyFont="1" applyFill="1" applyBorder="1" applyAlignment="1">
      <alignment horizontal="center"/>
    </xf>
    <xf numFmtId="49" fontId="1" fillId="0" borderId="0" xfId="13" applyNumberFormat="1" applyFill="1"/>
    <xf numFmtId="43" fontId="0" fillId="20" borderId="0" xfId="7" applyFont="1" applyFill="1"/>
    <xf numFmtId="169" fontId="1" fillId="0" borderId="0" xfId="14" applyNumberFormat="1"/>
    <xf numFmtId="43" fontId="26" fillId="0" borderId="0" xfId="11" applyNumberFormat="1"/>
    <xf numFmtId="43" fontId="0" fillId="0" borderId="0" xfId="7" applyFont="1" applyFill="1"/>
    <xf numFmtId="0" fontId="26" fillId="0" borderId="0" xfId="11" applyFill="1"/>
    <xf numFmtId="49" fontId="1" fillId="0" borderId="0" xfId="13" applyNumberFormat="1" applyFont="1" applyFill="1" applyAlignment="1">
      <alignment horizontal="right"/>
    </xf>
    <xf numFmtId="43" fontId="0" fillId="0" borderId="31" xfId="7" applyFont="1" applyBorder="1"/>
    <xf numFmtId="43" fontId="0" fillId="0" borderId="0" xfId="7" applyFont="1" applyBorder="1"/>
    <xf numFmtId="43" fontId="1" fillId="0" borderId="0" xfId="7" applyFont="1" applyFill="1"/>
    <xf numFmtId="43" fontId="0" fillId="16" borderId="0" xfId="7" applyFont="1" applyFill="1"/>
    <xf numFmtId="49" fontId="1" fillId="0" borderId="0" xfId="13" applyNumberFormat="1" applyFont="1"/>
    <xf numFmtId="43" fontId="0" fillId="21" borderId="0" xfId="7" applyFont="1" applyFill="1"/>
    <xf numFmtId="49" fontId="11" fillId="0" borderId="0" xfId="13" applyNumberFormat="1" applyFont="1" applyFill="1" applyAlignment="1">
      <alignment horizontal="right"/>
    </xf>
    <xf numFmtId="43" fontId="28" fillId="0" borderId="0" xfId="7" applyFont="1"/>
    <xf numFmtId="0" fontId="1" fillId="0" borderId="0" xfId="12" quotePrefix="1" applyFont="1" applyFill="1"/>
    <xf numFmtId="0" fontId="10" fillId="0" borderId="0" xfId="12" applyFont="1" applyFill="1" applyAlignment="1">
      <alignment horizontal="center"/>
    </xf>
    <xf numFmtId="0" fontId="10" fillId="0" borderId="0" xfId="12" applyFont="1" applyFill="1" applyAlignment="1">
      <alignment horizontal="center" wrapText="1"/>
    </xf>
    <xf numFmtId="0" fontId="10" fillId="0" borderId="0" xfId="12" applyFont="1" applyFill="1" applyAlignment="1">
      <alignment horizontal="left"/>
    </xf>
    <xf numFmtId="0" fontId="1" fillId="0" borderId="0" xfId="12" applyFill="1"/>
    <xf numFmtId="166" fontId="1" fillId="0" borderId="0" xfId="7" applyNumberFormat="1" applyFont="1" applyFill="1"/>
    <xf numFmtId="0" fontId="1" fillId="0" borderId="0" xfId="12" applyFont="1" applyFill="1" applyAlignment="1">
      <alignment horizontal="left"/>
    </xf>
    <xf numFmtId="166" fontId="26" fillId="0" borderId="0" xfId="11" applyNumberFormat="1"/>
    <xf numFmtId="0" fontId="1" fillId="0" borderId="0" xfId="12"/>
    <xf numFmtId="0" fontId="16" fillId="0" borderId="0" xfId="12" applyFont="1" applyAlignment="1">
      <alignment horizontal="left"/>
    </xf>
    <xf numFmtId="43" fontId="1" fillId="0" borderId="0" xfId="7" applyNumberFormat="1" applyFont="1"/>
    <xf numFmtId="0" fontId="2" fillId="0" borderId="0" xfId="12" applyFont="1"/>
    <xf numFmtId="0" fontId="29" fillId="0" borderId="0" xfId="12" applyFont="1" applyAlignment="1">
      <alignment horizontal="left"/>
    </xf>
    <xf numFmtId="0" fontId="30" fillId="0" borderId="0" xfId="12" applyFont="1" applyAlignment="1">
      <alignment horizontal="left"/>
    </xf>
    <xf numFmtId="0" fontId="2" fillId="0" borderId="0" xfId="12" applyFont="1" applyBorder="1" applyAlignment="1">
      <alignment horizontal="center"/>
    </xf>
    <xf numFmtId="43" fontId="2" fillId="0" borderId="0" xfId="7" applyNumberFormat="1" applyFont="1" applyBorder="1" applyAlignment="1">
      <alignment horizontal="center"/>
    </xf>
    <xf numFmtId="0" fontId="2" fillId="0" borderId="11" xfId="12" applyFont="1" applyBorder="1" applyAlignment="1">
      <alignment horizontal="center"/>
    </xf>
    <xf numFmtId="0" fontId="2" fillId="0" borderId="12" xfId="12" applyFont="1" applyBorder="1" applyAlignment="1">
      <alignment horizontal="center"/>
    </xf>
    <xf numFmtId="43" fontId="2" fillId="0" borderId="12" xfId="7" applyNumberFormat="1" applyFont="1" applyBorder="1" applyAlignment="1">
      <alignment horizontal="center"/>
    </xf>
    <xf numFmtId="0" fontId="1" fillId="0" borderId="0" xfId="12" applyAlignment="1">
      <alignment horizontal="center"/>
    </xf>
    <xf numFmtId="0" fontId="2" fillId="0" borderId="39" xfId="12" applyFont="1" applyBorder="1" applyAlignment="1">
      <alignment horizontal="center"/>
    </xf>
    <xf numFmtId="0" fontId="2" fillId="0" borderId="40" xfId="12" applyFont="1" applyBorder="1" applyAlignment="1">
      <alignment horizontal="center"/>
    </xf>
    <xf numFmtId="0" fontId="1" fillId="0" borderId="40" xfId="12" applyBorder="1"/>
    <xf numFmtId="0" fontId="1" fillId="0" borderId="41" xfId="12" applyBorder="1"/>
    <xf numFmtId="43" fontId="2" fillId="0" borderId="10" xfId="7" applyNumberFormat="1" applyFont="1" applyBorder="1" applyAlignment="1">
      <alignment horizontal="center"/>
    </xf>
    <xf numFmtId="0" fontId="1" fillId="0" borderId="0" xfId="12" applyFont="1" applyAlignment="1">
      <alignment horizontal="left"/>
    </xf>
    <xf numFmtId="166" fontId="5" fillId="0" borderId="0" xfId="15" applyNumberFormat="1" applyFont="1"/>
    <xf numFmtId="166" fontId="0" fillId="0" borderId="0" xfId="15" applyNumberFormat="1" applyFont="1"/>
    <xf numFmtId="43" fontId="0" fillId="22" borderId="0" xfId="7" applyNumberFormat="1" applyFont="1" applyFill="1"/>
    <xf numFmtId="0" fontId="11" fillId="0" borderId="0" xfId="12" quotePrefix="1" applyFont="1"/>
    <xf numFmtId="166" fontId="1" fillId="0" borderId="0" xfId="7" applyNumberFormat="1" applyFont="1"/>
    <xf numFmtId="166" fontId="31" fillId="22" borderId="0" xfId="12" applyNumberFormat="1" applyFont="1" applyFill="1"/>
    <xf numFmtId="166" fontId="1" fillId="0" borderId="0" xfId="15" applyNumberFormat="1" applyFont="1" applyFill="1"/>
    <xf numFmtId="43" fontId="0" fillId="23" borderId="0" xfId="7" applyNumberFormat="1" applyFont="1" applyFill="1"/>
    <xf numFmtId="166" fontId="0" fillId="0" borderId="0" xfId="15" applyNumberFormat="1" applyFont="1" applyFill="1"/>
    <xf numFmtId="0" fontId="1" fillId="0" borderId="0" xfId="12" quotePrefix="1"/>
    <xf numFmtId="0" fontId="2" fillId="0" borderId="0" xfId="12" applyFont="1" applyAlignment="1">
      <alignment horizontal="left"/>
    </xf>
    <xf numFmtId="166" fontId="0" fillId="0" borderId="31" xfId="15" applyNumberFormat="1" applyFont="1" applyBorder="1"/>
    <xf numFmtId="43" fontId="0" fillId="0" borderId="31" xfId="7" applyNumberFormat="1" applyFont="1" applyFill="1" applyBorder="1"/>
    <xf numFmtId="166" fontId="1" fillId="0" borderId="0" xfId="12" applyNumberFormat="1"/>
    <xf numFmtId="0" fontId="2" fillId="0" borderId="0" xfId="12" applyFont="1" applyAlignment="1">
      <alignment horizontal="center"/>
    </xf>
    <xf numFmtId="3" fontId="11" fillId="0" borderId="0" xfId="12" applyNumberFormat="1" applyFont="1"/>
    <xf numFmtId="166" fontId="11" fillId="0" borderId="0" xfId="12" applyNumberFormat="1" applyFont="1"/>
    <xf numFmtId="43" fontId="1" fillId="0" borderId="0" xfId="7" applyNumberFormat="1" applyFont="1" applyAlignment="1">
      <alignment horizontal="center"/>
    </xf>
    <xf numFmtId="166" fontId="27" fillId="0" borderId="0" xfId="15" applyNumberFormat="1" applyFont="1" applyFill="1" applyBorder="1"/>
    <xf numFmtId="0" fontId="16" fillId="0" borderId="0" xfId="12" applyFont="1"/>
    <xf numFmtId="0" fontId="1" fillId="0" borderId="0" xfId="12" applyAlignment="1">
      <alignment horizontal="right"/>
    </xf>
    <xf numFmtId="166" fontId="0" fillId="0" borderId="0" xfId="15" applyNumberFormat="1" applyFont="1" applyAlignment="1">
      <alignment horizontal="right"/>
    </xf>
    <xf numFmtId="0" fontId="1" fillId="0" borderId="0" xfId="12" applyFont="1"/>
    <xf numFmtId="166" fontId="1" fillId="0" borderId="31" xfId="12" applyNumberFormat="1" applyBorder="1" applyAlignment="1">
      <alignment horizontal="right"/>
    </xf>
    <xf numFmtId="43" fontId="1" fillId="0" borderId="31" xfId="7" applyNumberFormat="1" applyFont="1" applyBorder="1" applyAlignment="1">
      <alignment horizontal="right"/>
    </xf>
    <xf numFmtId="166" fontId="2" fillId="0" borderId="0" xfId="12" applyNumberFormat="1" applyFont="1"/>
    <xf numFmtId="0" fontId="1" fillId="0" borderId="0" xfId="12" applyAlignment="1">
      <alignment horizontal="left"/>
    </xf>
    <xf numFmtId="43" fontId="1" fillId="0" borderId="0" xfId="7" applyFont="1" applyAlignment="1">
      <alignment horizontal="right"/>
    </xf>
    <xf numFmtId="166" fontId="5" fillId="4" borderId="31" xfId="12" applyNumberFormat="1" applyFont="1" applyFill="1" applyBorder="1" applyAlignment="1">
      <alignment horizontal="right"/>
    </xf>
    <xf numFmtId="166" fontId="5" fillId="4" borderId="31" xfId="12" applyNumberFormat="1" applyFont="1" applyFill="1" applyBorder="1"/>
    <xf numFmtId="166" fontId="5" fillId="0" borderId="31" xfId="12" applyNumberFormat="1" applyFont="1" applyFill="1" applyBorder="1"/>
    <xf numFmtId="166" fontId="31" fillId="0" borderId="31" xfId="12" applyNumberFormat="1" applyFont="1" applyFill="1" applyBorder="1"/>
    <xf numFmtId="43" fontId="1" fillId="0" borderId="0" xfId="7" applyNumberFormat="1" applyFont="1" applyFill="1"/>
    <xf numFmtId="43" fontId="1" fillId="0" borderId="0" xfId="7" applyFont="1"/>
    <xf numFmtId="173" fontId="1" fillId="0" borderId="0" xfId="12" applyNumberFormat="1" applyAlignment="1">
      <alignment horizontal="right"/>
    </xf>
    <xf numFmtId="166" fontId="1" fillId="0" borderId="0" xfId="15" applyNumberFormat="1" applyFont="1"/>
    <xf numFmtId="166" fontId="2" fillId="22" borderId="0" xfId="12" applyNumberFormat="1" applyFont="1" applyFill="1"/>
    <xf numFmtId="0" fontId="2" fillId="22" borderId="0" xfId="12" applyFont="1" applyFill="1"/>
    <xf numFmtId="43" fontId="5" fillId="4" borderId="31" xfId="7" applyNumberFormat="1" applyFont="1" applyFill="1" applyBorder="1"/>
    <xf numFmtId="0" fontId="1" fillId="0" borderId="0" xfId="12" quotePrefix="1" applyFont="1"/>
    <xf numFmtId="0" fontId="10" fillId="0" borderId="0" xfId="12" applyFont="1" applyAlignment="1">
      <alignment horizontal="center"/>
    </xf>
    <xf numFmtId="0" fontId="10" fillId="0" borderId="0" xfId="12" applyFont="1" applyAlignment="1">
      <alignment horizontal="center" wrapText="1"/>
    </xf>
    <xf numFmtId="0" fontId="10" fillId="0" borderId="0" xfId="12" applyFont="1" applyAlignment="1">
      <alignment horizontal="left"/>
    </xf>
    <xf numFmtId="0" fontId="2" fillId="0" borderId="0" xfId="12" applyFont="1" applyFill="1"/>
    <xf numFmtId="0" fontId="1" fillId="0" borderId="0" xfId="12" applyFont="1" applyFill="1"/>
    <xf numFmtId="0" fontId="1" fillId="0" borderId="0" xfId="12" applyFont="1" applyAlignment="1">
      <alignment horizontal="right"/>
    </xf>
    <xf numFmtId="0" fontId="21" fillId="15" borderId="0" xfId="11" applyFont="1" applyFill="1" applyAlignment="1">
      <alignment horizontal="left"/>
    </xf>
    <xf numFmtId="0" fontId="26" fillId="15" borderId="0" xfId="11" applyFill="1"/>
    <xf numFmtId="43" fontId="21" fillId="15" borderId="0" xfId="7" applyFont="1" applyFill="1"/>
    <xf numFmtId="0" fontId="21" fillId="15" borderId="0" xfId="11" applyFont="1" applyFill="1" applyAlignment="1">
      <alignment horizontal="right"/>
    </xf>
    <xf numFmtId="0" fontId="26" fillId="0" borderId="12" xfId="11" applyFill="1" applyBorder="1"/>
    <xf numFmtId="0" fontId="27" fillId="15" borderId="0" xfId="11" applyFont="1" applyFill="1" applyAlignment="1">
      <alignment horizontal="right"/>
    </xf>
    <xf numFmtId="0" fontId="27" fillId="0" borderId="0" xfId="11" applyFont="1" applyFill="1" applyBorder="1"/>
    <xf numFmtId="43" fontId="27" fillId="0" borderId="0" xfId="7" applyFont="1" applyFill="1" applyBorder="1" applyProtection="1"/>
    <xf numFmtId="43" fontId="27" fillId="0" borderId="0" xfId="7" applyFont="1"/>
    <xf numFmtId="43" fontId="27" fillId="0" borderId="0" xfId="7" applyFont="1" applyFill="1"/>
    <xf numFmtId="43" fontId="27" fillId="24" borderId="0" xfId="7" applyFont="1" applyFill="1" applyBorder="1"/>
    <xf numFmtId="0" fontId="27" fillId="0" borderId="0" xfId="11" applyFont="1" applyFill="1"/>
    <xf numFmtId="43" fontId="27" fillId="0" borderId="0" xfId="7" applyFont="1" applyBorder="1"/>
    <xf numFmtId="0" fontId="27" fillId="15" borderId="0" xfId="11" applyFont="1" applyFill="1" applyAlignment="1">
      <alignment horizontal="center"/>
    </xf>
    <xf numFmtId="43" fontId="27" fillId="25" borderId="0" xfId="7" applyFont="1" applyFill="1" applyBorder="1" applyAlignment="1">
      <alignment horizontal="center"/>
    </xf>
    <xf numFmtId="43" fontId="27" fillId="0" borderId="0" xfId="7" applyFont="1" applyFill="1" applyBorder="1" applyAlignment="1">
      <alignment horizontal="center"/>
    </xf>
    <xf numFmtId="173" fontId="27" fillId="0" borderId="0" xfId="11" applyNumberFormat="1" applyFont="1" applyAlignment="1">
      <alignment horizontal="center"/>
    </xf>
    <xf numFmtId="0" fontId="27" fillId="0" borderId="0" xfId="11" applyFont="1" applyAlignment="1">
      <alignment horizontal="center"/>
    </xf>
    <xf numFmtId="43" fontId="27" fillId="0" borderId="0" xfId="7" applyFont="1" applyFill="1" applyBorder="1"/>
    <xf numFmtId="0" fontId="21" fillId="0" borderId="0" xfId="11" applyFont="1" applyFill="1" applyBorder="1"/>
    <xf numFmtId="43" fontId="21" fillId="0" borderId="0" xfId="7" applyFont="1" applyFill="1" applyBorder="1"/>
    <xf numFmtId="43" fontId="21" fillId="0" borderId="12" xfId="7" applyFont="1" applyFill="1" applyBorder="1"/>
    <xf numFmtId="0" fontId="27" fillId="0" borderId="12" xfId="11" applyFont="1" applyFill="1" applyBorder="1"/>
    <xf numFmtId="43" fontId="27" fillId="0" borderId="12" xfId="7" applyFont="1" applyFill="1" applyBorder="1"/>
    <xf numFmtId="0" fontId="26" fillId="0" borderId="0" xfId="11" applyFill="1" applyBorder="1"/>
    <xf numFmtId="0" fontId="21" fillId="0" borderId="0" xfId="17" applyFill="1" applyBorder="1"/>
    <xf numFmtId="0" fontId="27" fillId="0" borderId="33" xfId="11" applyFont="1" applyFill="1" applyBorder="1"/>
    <xf numFmtId="43" fontId="27" fillId="0" borderId="33" xfId="7" applyFont="1" applyFill="1" applyBorder="1"/>
    <xf numFmtId="43" fontId="21" fillId="15" borderId="0" xfId="7" applyFont="1" applyFill="1" applyBorder="1"/>
    <xf numFmtId="43" fontId="27" fillId="15" borderId="0" xfId="7" applyFont="1" applyFill="1" applyBorder="1"/>
    <xf numFmtId="0" fontId="21" fillId="3" borderId="0" xfId="11" applyFont="1" applyFill="1" applyAlignment="1">
      <alignment horizontal="right"/>
    </xf>
    <xf numFmtId="0" fontId="26" fillId="3" borderId="0" xfId="11" applyFill="1" applyBorder="1"/>
    <xf numFmtId="43" fontId="21" fillId="15" borderId="12" xfId="7" applyFont="1" applyFill="1" applyBorder="1"/>
    <xf numFmtId="43" fontId="27" fillId="15" borderId="12" xfId="7" applyFont="1" applyFill="1" applyBorder="1"/>
    <xf numFmtId="9" fontId="27" fillId="0" borderId="0" xfId="9" applyFont="1" applyFill="1" applyBorder="1"/>
    <xf numFmtId="0" fontId="21" fillId="0" borderId="0" xfId="11" applyFont="1" applyFill="1"/>
    <xf numFmtId="0" fontId="21" fillId="12" borderId="0" xfId="11" applyFont="1" applyFill="1" applyAlignment="1">
      <alignment horizontal="right"/>
    </xf>
    <xf numFmtId="0" fontId="21" fillId="12" borderId="0" xfId="11" applyFont="1" applyFill="1" applyBorder="1"/>
    <xf numFmtId="43" fontId="21" fillId="12" borderId="0" xfId="7" applyFont="1" applyFill="1" applyBorder="1"/>
    <xf numFmtId="0" fontId="21" fillId="12" borderId="0" xfId="11" applyFont="1" applyFill="1"/>
    <xf numFmtId="0" fontId="32" fillId="12" borderId="0" xfId="11" applyFont="1" applyFill="1" applyBorder="1"/>
    <xf numFmtId="0" fontId="21" fillId="12" borderId="12" xfId="11" applyFont="1" applyFill="1" applyBorder="1"/>
    <xf numFmtId="0" fontId="33" fillId="12" borderId="33" xfId="11" applyFont="1" applyFill="1" applyBorder="1"/>
    <xf numFmtId="0" fontId="21" fillId="0" borderId="12" xfId="11" applyFont="1" applyFill="1" applyBorder="1"/>
    <xf numFmtId="173" fontId="21" fillId="0" borderId="0" xfId="11" applyNumberFormat="1" applyFont="1" applyFill="1"/>
    <xf numFmtId="0" fontId="21" fillId="3" borderId="0" xfId="11" applyFont="1" applyFill="1" applyBorder="1"/>
    <xf numFmtId="0" fontId="21" fillId="4" borderId="0" xfId="11" applyFont="1" applyFill="1" applyAlignment="1">
      <alignment horizontal="right"/>
    </xf>
    <xf numFmtId="0" fontId="21" fillId="4" borderId="0" xfId="11" applyFont="1" applyFill="1" applyBorder="1"/>
    <xf numFmtId="43" fontId="21" fillId="4" borderId="0" xfId="7" applyFont="1" applyFill="1" applyBorder="1"/>
    <xf numFmtId="0" fontId="21" fillId="4" borderId="0" xfId="11" applyFont="1" applyFill="1"/>
    <xf numFmtId="43" fontId="26" fillId="0" borderId="0" xfId="11" applyNumberFormat="1" applyFill="1"/>
    <xf numFmtId="43" fontId="0" fillId="0" borderId="12" xfId="7" applyFont="1" applyFill="1" applyBorder="1"/>
    <xf numFmtId="0" fontId="27" fillId="0" borderId="32" xfId="11" applyFont="1" applyFill="1" applyBorder="1"/>
    <xf numFmtId="43" fontId="0" fillId="0" borderId="0" xfId="7" applyFont="1" applyFill="1" applyBorder="1"/>
    <xf numFmtId="173" fontId="26" fillId="0" borderId="0" xfId="11" applyNumberFormat="1" applyFill="1"/>
    <xf numFmtId="0" fontId="27" fillId="0" borderId="33" xfId="11" applyFont="1" applyBorder="1"/>
    <xf numFmtId="0" fontId="27" fillId="0" borderId="0" xfId="11" applyFont="1" applyBorder="1"/>
    <xf numFmtId="43" fontId="34" fillId="0" borderId="0" xfId="7" applyFont="1" applyFill="1" applyBorder="1"/>
    <xf numFmtId="43" fontId="28" fillId="0" borderId="0" xfId="7" applyFont="1" applyFill="1" applyBorder="1"/>
    <xf numFmtId="0" fontId="26" fillId="0" borderId="0" xfId="11" applyBorder="1"/>
    <xf numFmtId="0" fontId="26" fillId="4" borderId="15" xfId="11" applyFill="1" applyBorder="1"/>
    <xf numFmtId="43" fontId="0" fillId="4" borderId="13" xfId="7" applyFont="1" applyFill="1" applyBorder="1"/>
    <xf numFmtId="43" fontId="0" fillId="4" borderId="16" xfId="7" applyFont="1" applyFill="1" applyBorder="1"/>
    <xf numFmtId="43" fontId="27" fillId="25" borderId="0" xfId="7" applyFont="1" applyFill="1" applyBorder="1"/>
    <xf numFmtId="0" fontId="35" fillId="12" borderId="0" xfId="11" applyFont="1" applyFill="1" applyBorder="1"/>
    <xf numFmtId="43" fontId="27" fillId="12" borderId="0" xfId="7" applyFont="1" applyFill="1" applyBorder="1"/>
    <xf numFmtId="0" fontId="26" fillId="12" borderId="0" xfId="11" applyFill="1"/>
    <xf numFmtId="0" fontId="36" fillId="12" borderId="0" xfId="11" applyFont="1" applyFill="1" applyBorder="1"/>
    <xf numFmtId="0" fontId="35" fillId="12" borderId="33" xfId="11" applyFont="1" applyFill="1" applyBorder="1"/>
    <xf numFmtId="43" fontId="27" fillId="12" borderId="33" xfId="7" applyFont="1" applyFill="1" applyBorder="1"/>
    <xf numFmtId="43" fontId="21" fillId="0" borderId="0" xfId="11" applyNumberFormat="1" applyFont="1" applyFill="1"/>
    <xf numFmtId="43" fontId="37" fillId="0" borderId="0" xfId="7" applyFont="1" applyFill="1" applyBorder="1"/>
    <xf numFmtId="0" fontId="21" fillId="4" borderId="15" xfId="11" applyFont="1" applyFill="1" applyBorder="1"/>
    <xf numFmtId="0" fontId="21" fillId="0" borderId="0" xfId="11" applyFont="1"/>
    <xf numFmtId="0" fontId="27" fillId="0" borderId="0" xfId="11" applyFont="1" applyAlignment="1">
      <alignment horizontal="center" wrapText="1"/>
    </xf>
    <xf numFmtId="14" fontId="26" fillId="0" borderId="0" xfId="11" applyNumberFormat="1"/>
    <xf numFmtId="43" fontId="34" fillId="0" borderId="0" xfId="7" applyFont="1"/>
    <xf numFmtId="174" fontId="6" fillId="0" borderId="0" xfId="2" applyNumberFormat="1" applyFont="1"/>
    <xf numFmtId="10" fontId="5" fillId="5" borderId="0" xfId="3" applyNumberFormat="1" applyFont="1" applyFill="1" applyBorder="1"/>
    <xf numFmtId="0" fontId="38" fillId="0" borderId="0" xfId="0" applyFont="1" applyAlignment="1">
      <alignment vertical="center"/>
    </xf>
    <xf numFmtId="0" fontId="39" fillId="0" borderId="0" xfId="0" applyFont="1" applyAlignment="1">
      <alignment horizontal="left" vertical="top" wrapText="1"/>
    </xf>
    <xf numFmtId="0" fontId="39" fillId="0" borderId="0" xfId="0" applyFont="1" applyAlignment="1">
      <alignment horizontal="center" vertical="top" wrapText="1"/>
    </xf>
    <xf numFmtId="0" fontId="40" fillId="0" borderId="0" xfId="0" applyFont="1" applyAlignment="1">
      <alignment horizontal="center" vertical="top" wrapText="1"/>
    </xf>
    <xf numFmtId="0" fontId="13" fillId="0" borderId="0" xfId="0" applyFont="1"/>
    <xf numFmtId="0" fontId="38" fillId="0" borderId="0" xfId="0" applyFont="1" applyAlignment="1">
      <alignment horizontal="left"/>
    </xf>
    <xf numFmtId="0" fontId="41" fillId="0" borderId="0" xfId="0" applyFont="1" applyAlignment="1">
      <alignment horizontal="center"/>
    </xf>
    <xf numFmtId="0" fontId="41" fillId="0" borderId="0" xfId="0" quotePrefix="1" applyFont="1" applyAlignment="1">
      <alignment horizontal="center"/>
    </xf>
    <xf numFmtId="0" fontId="28" fillId="0" borderId="0" xfId="0" applyFont="1" applyAlignment="1">
      <alignment horizontal="center"/>
    </xf>
    <xf numFmtId="0" fontId="13" fillId="0" borderId="0" xfId="0" applyFont="1" applyAlignment="1">
      <alignment horizontal="center"/>
    </xf>
    <xf numFmtId="0" fontId="13" fillId="0" borderId="12" xfId="0" applyFont="1" applyBorder="1" applyAlignment="1">
      <alignment horizontal="center"/>
    </xf>
    <xf numFmtId="0" fontId="13" fillId="0" borderId="0" xfId="0" applyFont="1" applyFill="1"/>
    <xf numFmtId="165" fontId="13" fillId="0" borderId="42" xfId="18" applyNumberFormat="1" applyFont="1" applyFill="1" applyBorder="1"/>
    <xf numFmtId="43" fontId="28" fillId="0" borderId="0" xfId="1" applyFont="1" applyFill="1"/>
    <xf numFmtId="168" fontId="13" fillId="0" borderId="0" xfId="3" applyNumberFormat="1" applyFont="1" applyFill="1"/>
    <xf numFmtId="165" fontId="42" fillId="0" borderId="42" xfId="18" applyNumberFormat="1" applyFont="1" applyFill="1" applyBorder="1"/>
    <xf numFmtId="165" fontId="13" fillId="0" borderId="43" xfId="18" applyNumberFormat="1" applyFont="1" applyFill="1" applyBorder="1"/>
    <xf numFmtId="165" fontId="13" fillId="0" borderId="44" xfId="18" applyNumberFormat="1" applyFont="1" applyFill="1" applyBorder="1"/>
    <xf numFmtId="165" fontId="28" fillId="0" borderId="0" xfId="0" applyNumberFormat="1" applyFont="1" applyFill="1"/>
    <xf numFmtId="0" fontId="13" fillId="21" borderId="0" xfId="0" applyFont="1" applyFill="1"/>
    <xf numFmtId="0" fontId="41" fillId="0" borderId="0" xfId="0" applyFont="1"/>
    <xf numFmtId="0" fontId="13" fillId="0" borderId="0" xfId="0" applyFont="1" applyFill="1" applyBorder="1"/>
    <xf numFmtId="0" fontId="13" fillId="0" borderId="0" xfId="0" applyFont="1" applyFill="1" applyBorder="1" applyAlignment="1">
      <alignment horizontal="center"/>
    </xf>
    <xf numFmtId="0" fontId="13" fillId="0" borderId="0" xfId="0" quotePrefix="1" applyFont="1" applyFill="1" applyBorder="1" applyAlignment="1">
      <alignment horizontal="center"/>
    </xf>
    <xf numFmtId="165" fontId="13" fillId="0" borderId="45" xfId="18" applyNumberFormat="1" applyFont="1" applyBorder="1"/>
    <xf numFmtId="0" fontId="13" fillId="0" borderId="0" xfId="0" applyFont="1" applyFill="1" applyBorder="1" applyAlignment="1">
      <alignment horizontal="right"/>
    </xf>
    <xf numFmtId="165" fontId="13" fillId="0" borderId="0" xfId="18" applyNumberFormat="1" applyFont="1" applyFill="1" applyBorder="1"/>
    <xf numFmtId="178" fontId="13" fillId="0" borderId="0" xfId="19" applyNumberFormat="1" applyFont="1" applyFill="1" applyBorder="1" applyAlignment="1">
      <alignment horizontal="center"/>
    </xf>
    <xf numFmtId="179" fontId="13" fillId="0" borderId="0" xfId="0" applyNumberFormat="1" applyFont="1" applyFill="1" applyBorder="1"/>
    <xf numFmtId="165" fontId="13" fillId="0" borderId="42" xfId="18" applyNumberFormat="1" applyFont="1" applyBorder="1"/>
    <xf numFmtId="165" fontId="13" fillId="0" borderId="44" xfId="18" applyNumberFormat="1" applyFont="1" applyBorder="1"/>
    <xf numFmtId="0" fontId="43" fillId="0" borderId="0" xfId="0" applyFont="1" applyFill="1" applyBorder="1" applyAlignment="1">
      <alignment horizontal="left"/>
    </xf>
    <xf numFmtId="165" fontId="13" fillId="0" borderId="32" xfId="0" applyNumberFormat="1" applyFont="1" applyFill="1" applyBorder="1"/>
    <xf numFmtId="0" fontId="44" fillId="0" borderId="0" xfId="0" applyFont="1"/>
    <xf numFmtId="168" fontId="0" fillId="0" borderId="4" xfId="3" applyNumberFormat="1" applyFont="1" applyBorder="1"/>
    <xf numFmtId="166" fontId="0" fillId="0" borderId="4" xfId="1" applyNumberFormat="1" applyFont="1" applyBorder="1"/>
    <xf numFmtId="166" fontId="0" fillId="0" borderId="2" xfId="1" applyNumberFormat="1" applyFont="1" applyBorder="1"/>
    <xf numFmtId="166" fontId="0" fillId="0" borderId="1" xfId="1" applyNumberFormat="1" applyFont="1" applyBorder="1"/>
    <xf numFmtId="0" fontId="2" fillId="0" borderId="0" xfId="0" applyFont="1" applyBorder="1"/>
    <xf numFmtId="0" fontId="0" fillId="0" borderId="0" xfId="0" applyAlignment="1">
      <alignment horizontal="right"/>
    </xf>
    <xf numFmtId="0" fontId="2" fillId="0" borderId="0" xfId="0" applyFont="1" applyFill="1" applyBorder="1"/>
    <xf numFmtId="0" fontId="16" fillId="0" borderId="0" xfId="0" applyFont="1" applyBorder="1"/>
    <xf numFmtId="0" fontId="11" fillId="0" borderId="0" xfId="0" applyFont="1" applyAlignment="1">
      <alignment horizontal="center"/>
    </xf>
    <xf numFmtId="43" fontId="0" fillId="0" borderId="0" xfId="1" applyFont="1" applyFill="1" applyBorder="1"/>
    <xf numFmtId="0" fontId="6" fillId="0" borderId="0" xfId="0" applyFont="1"/>
    <xf numFmtId="43" fontId="11" fillId="0" borderId="0" xfId="1" applyFont="1" applyFill="1" applyBorder="1"/>
    <xf numFmtId="0" fontId="2" fillId="10" borderId="0" xfId="0" applyFont="1" applyFill="1" applyBorder="1"/>
    <xf numFmtId="0" fontId="0" fillId="10" borderId="0" xfId="0" applyFill="1" applyBorder="1"/>
    <xf numFmtId="166" fontId="0" fillId="10" borderId="0" xfId="0" applyNumberFormat="1" applyFill="1"/>
    <xf numFmtId="0" fontId="11" fillId="26" borderId="0" xfId="0" applyFont="1" applyFill="1"/>
    <xf numFmtId="0" fontId="0" fillId="0" borderId="0" xfId="0" applyFill="1" applyAlignment="1">
      <alignment horizontal="center" vertical="center"/>
    </xf>
    <xf numFmtId="0" fontId="11" fillId="27" borderId="0" xfId="0" applyFont="1" applyFill="1"/>
    <xf numFmtId="0" fontId="0" fillId="28" borderId="0" xfId="0" applyFill="1" applyBorder="1" applyAlignment="1">
      <alignment horizontal="center"/>
    </xf>
    <xf numFmtId="0" fontId="0" fillId="0" borderId="12" xfId="0" applyBorder="1" applyAlignment="1"/>
    <xf numFmtId="0" fontId="0" fillId="0" borderId="0" xfId="0" applyAlignment="1">
      <alignment horizontal="center" vertical="center"/>
    </xf>
    <xf numFmtId="0" fontId="0" fillId="0" borderId="12" xfId="0" applyBorder="1" applyAlignment="1">
      <alignment horizontal="center" vertical="center"/>
    </xf>
    <xf numFmtId="0" fontId="0" fillId="0" borderId="12" xfId="0" applyBorder="1" applyAlignment="1">
      <alignment horizontal="center" vertical="center" wrapText="1"/>
    </xf>
    <xf numFmtId="0" fontId="0" fillId="6" borderId="12" xfId="0" applyFill="1" applyBorder="1" applyAlignment="1">
      <alignment horizontal="center" vertical="center" wrapText="1"/>
    </xf>
    <xf numFmtId="0" fontId="2" fillId="10" borderId="19" xfId="0" applyFont="1" applyFill="1" applyBorder="1" applyAlignment="1">
      <alignment horizontal="center" vertical="center" wrapText="1"/>
    </xf>
    <xf numFmtId="0" fontId="0" fillId="0" borderId="33" xfId="0" applyBorder="1" applyAlignment="1">
      <alignment horizontal="center" vertical="center" wrapText="1"/>
    </xf>
    <xf numFmtId="0" fontId="0" fillId="0" borderId="33" xfId="0" applyFill="1" applyBorder="1" applyAlignment="1">
      <alignment horizontal="center" vertical="center" wrapText="1"/>
    </xf>
    <xf numFmtId="0" fontId="0" fillId="0" borderId="35" xfId="0" applyBorder="1" applyAlignment="1">
      <alignment horizontal="center" vertical="center" wrapText="1"/>
    </xf>
    <xf numFmtId="0" fontId="11" fillId="0" borderId="0" xfId="0" applyFont="1" applyAlignment="1">
      <alignment horizontal="center" vertical="center"/>
    </xf>
    <xf numFmtId="43" fontId="0" fillId="0" borderId="0" xfId="1" applyFont="1" applyAlignment="1">
      <alignment horizontal="center" vertical="center"/>
    </xf>
    <xf numFmtId="0" fontId="0" fillId="0" borderId="0" xfId="0" applyBorder="1" applyAlignment="1">
      <alignment horizontal="center" vertical="center"/>
    </xf>
    <xf numFmtId="0" fontId="11" fillId="0" borderId="0" xfId="0" applyFont="1" applyBorder="1" applyAlignment="1">
      <alignment horizontal="right" vertical="center"/>
    </xf>
    <xf numFmtId="166" fontId="45" fillId="0" borderId="0" xfId="0" applyNumberFormat="1" applyFont="1" applyBorder="1" applyAlignment="1">
      <alignment horizontal="center" vertical="center" wrapText="1"/>
    </xf>
    <xf numFmtId="0" fontId="0" fillId="0" borderId="0" xfId="0" applyBorder="1" applyAlignment="1">
      <alignment horizontal="center" vertical="center" wrapText="1"/>
    </xf>
    <xf numFmtId="0" fontId="0" fillId="10" borderId="0" xfId="0" applyFill="1" applyBorder="1" applyAlignment="1">
      <alignment horizontal="center" vertical="center" wrapText="1"/>
    </xf>
    <xf numFmtId="0" fontId="2" fillId="10" borderId="0" xfId="0" applyFont="1" applyFill="1" applyBorder="1" applyAlignment="1">
      <alignment horizontal="center" vertical="center" wrapText="1"/>
    </xf>
    <xf numFmtId="166" fontId="0" fillId="0" borderId="0" xfId="0" applyNumberFormat="1" applyBorder="1" applyAlignment="1">
      <alignment horizontal="center" vertical="center" wrapText="1"/>
    </xf>
    <xf numFmtId="43" fontId="0" fillId="0" borderId="0" xfId="0" applyNumberFormat="1" applyBorder="1" applyAlignment="1">
      <alignment horizontal="center" vertical="center" wrapText="1"/>
    </xf>
    <xf numFmtId="0" fontId="0" fillId="0" borderId="0" xfId="0" applyFill="1" applyBorder="1" applyAlignment="1">
      <alignment horizontal="center" vertical="center" wrapText="1"/>
    </xf>
    <xf numFmtId="0" fontId="0" fillId="0" borderId="0" xfId="0" applyAlignment="1">
      <alignment horizontal="right" vertical="center"/>
    </xf>
    <xf numFmtId="166" fontId="6" fillId="27" borderId="0" xfId="1" applyNumberFormat="1" applyFont="1" applyFill="1"/>
    <xf numFmtId="166" fontId="5" fillId="0" borderId="0" xfId="1" applyNumberFormat="1" applyFont="1"/>
    <xf numFmtId="166" fontId="6" fillId="0" borderId="0" xfId="1" applyNumberFormat="1" applyFont="1"/>
    <xf numFmtId="166" fontId="2" fillId="10" borderId="0" xfId="0" applyNumberFormat="1" applyFont="1" applyFill="1"/>
    <xf numFmtId="166" fontId="11" fillId="0" borderId="0" xfId="0" applyNumberFormat="1" applyFont="1" applyAlignment="1">
      <alignment horizontal="center"/>
    </xf>
    <xf numFmtId="0" fontId="6" fillId="0" borderId="0" xfId="0" applyFont="1" applyAlignment="1">
      <alignment horizontal="center" vertical="center"/>
    </xf>
    <xf numFmtId="0" fontId="0" fillId="0" borderId="0" xfId="0" applyAlignment="1">
      <alignment horizontal="left" vertical="center"/>
    </xf>
    <xf numFmtId="0" fontId="0" fillId="0" borderId="0" xfId="0" applyFill="1" applyAlignment="1">
      <alignment horizontal="center" vertical="center" wrapText="1"/>
    </xf>
    <xf numFmtId="166" fontId="5" fillId="0" borderId="0" xfId="1" applyNumberFormat="1" applyFont="1" applyAlignment="1">
      <alignment horizontal="center" vertical="center"/>
    </xf>
    <xf numFmtId="166" fontId="6" fillId="27" borderId="0" xfId="1" applyNumberFormat="1" applyFont="1" applyFill="1" applyAlignment="1">
      <alignment horizontal="center" vertical="center"/>
    </xf>
    <xf numFmtId="166" fontId="6" fillId="0" borderId="0" xfId="1" applyNumberFormat="1" applyFont="1" applyAlignment="1">
      <alignment horizontal="center" vertical="center"/>
    </xf>
    <xf numFmtId="0" fontId="0" fillId="10" borderId="0" xfId="0" applyFill="1" applyAlignment="1">
      <alignment horizontal="center" vertical="center"/>
    </xf>
    <xf numFmtId="166" fontId="2" fillId="10" borderId="0" xfId="0" applyNumberFormat="1" applyFont="1" applyFill="1" applyAlignment="1">
      <alignment horizontal="center" vertical="center"/>
    </xf>
    <xf numFmtId="166" fontId="0" fillId="0" borderId="0" xfId="1" applyNumberFormat="1" applyFont="1" applyAlignment="1">
      <alignment horizontal="center" vertical="center"/>
    </xf>
    <xf numFmtId="166" fontId="0" fillId="0" borderId="0" xfId="0" applyNumberFormat="1" applyAlignment="1">
      <alignment horizontal="center" vertical="center"/>
    </xf>
    <xf numFmtId="166" fontId="11" fillId="0" borderId="0" xfId="0" applyNumberFormat="1" applyFont="1" applyAlignment="1">
      <alignment horizontal="center" vertical="center"/>
    </xf>
    <xf numFmtId="0" fontId="11" fillId="0" borderId="0" xfId="0" applyFont="1" applyFill="1" applyAlignment="1">
      <alignment horizontal="center" vertical="center"/>
    </xf>
    <xf numFmtId="166" fontId="6" fillId="27" borderId="12" xfId="1" applyNumberFormat="1" applyFont="1" applyFill="1" applyBorder="1"/>
    <xf numFmtId="166" fontId="5" fillId="0" borderId="12" xfId="1" applyNumberFormat="1" applyFont="1" applyBorder="1"/>
    <xf numFmtId="166" fontId="6" fillId="0" borderId="12" xfId="1" applyNumberFormat="1" applyFont="1" applyBorder="1"/>
    <xf numFmtId="0" fontId="0" fillId="10" borderId="12" xfId="0" applyFill="1" applyBorder="1"/>
    <xf numFmtId="166" fontId="2" fillId="10" borderId="12" xfId="0" applyNumberFormat="1" applyFont="1" applyFill="1" applyBorder="1"/>
    <xf numFmtId="166" fontId="0" fillId="0" borderId="12" xfId="0" applyNumberFormat="1" applyBorder="1"/>
    <xf numFmtId="0" fontId="2" fillId="0" borderId="0" xfId="0" applyFont="1" applyAlignment="1">
      <alignment horizontal="center" vertical="center"/>
    </xf>
    <xf numFmtId="166" fontId="2" fillId="0" borderId="0" xfId="0" applyNumberFormat="1" applyFont="1"/>
    <xf numFmtId="166" fontId="2" fillId="10" borderId="0" xfId="1" applyNumberFormat="1" applyFont="1" applyFill="1"/>
    <xf numFmtId="166" fontId="16" fillId="0" borderId="0" xfId="0" applyNumberFormat="1" applyFont="1" applyAlignment="1">
      <alignment horizontal="center"/>
    </xf>
    <xf numFmtId="0" fontId="46" fillId="0" borderId="0" xfId="0" applyFont="1" applyAlignment="1">
      <alignment horizontal="center" vertical="center"/>
    </xf>
    <xf numFmtId="43" fontId="2" fillId="0" borderId="0" xfId="1" applyFont="1"/>
    <xf numFmtId="168" fontId="2" fillId="10" borderId="0" xfId="3" applyNumberFormat="1" applyFont="1" applyFill="1"/>
    <xf numFmtId="0" fontId="0" fillId="0" borderId="0" xfId="0" applyFont="1"/>
    <xf numFmtId="166" fontId="2" fillId="10" borderId="0" xfId="0" applyNumberFormat="1" applyFont="1" applyFill="1" applyBorder="1"/>
    <xf numFmtId="166" fontId="0" fillId="0" borderId="0" xfId="0" applyNumberFormat="1" applyBorder="1"/>
    <xf numFmtId="166" fontId="6" fillId="0" borderId="0" xfId="1" applyNumberFormat="1" applyFont="1" applyFill="1"/>
    <xf numFmtId="168" fontId="2" fillId="10" borderId="12" xfId="3" applyNumberFormat="1" applyFont="1" applyFill="1" applyBorder="1"/>
    <xf numFmtId="166" fontId="2" fillId="0" borderId="0" xfId="1" applyNumberFormat="1" applyFont="1"/>
    <xf numFmtId="0" fontId="31" fillId="17" borderId="33" xfId="0" applyFont="1" applyFill="1" applyBorder="1"/>
    <xf numFmtId="0" fontId="31" fillId="17" borderId="33" xfId="0" applyFont="1" applyFill="1" applyBorder="1" applyAlignment="1">
      <alignment horizontal="center"/>
    </xf>
    <xf numFmtId="0" fontId="31" fillId="17" borderId="33" xfId="0" applyFont="1" applyFill="1" applyBorder="1" applyAlignment="1">
      <alignment horizontal="center" vertical="center"/>
    </xf>
    <xf numFmtId="166" fontId="31" fillId="17" borderId="33" xfId="0" applyNumberFormat="1" applyFont="1" applyFill="1" applyBorder="1"/>
    <xf numFmtId="166" fontId="16" fillId="17" borderId="33" xfId="0" applyNumberFormat="1" applyFont="1" applyFill="1" applyBorder="1" applyAlignment="1">
      <alignment horizontal="center"/>
    </xf>
    <xf numFmtId="43" fontId="31" fillId="17" borderId="33" xfId="1" applyFont="1" applyFill="1" applyBorder="1"/>
    <xf numFmtId="166" fontId="2" fillId="10" borderId="0" xfId="1" applyNumberFormat="1" applyFont="1" applyFill="1" applyBorder="1"/>
    <xf numFmtId="10" fontId="0" fillId="0" borderId="0" xfId="3" applyNumberFormat="1" applyFont="1" applyFill="1"/>
    <xf numFmtId="0" fontId="47" fillId="0" borderId="0" xfId="0" applyFont="1" applyFill="1"/>
    <xf numFmtId="0" fontId="0" fillId="0" borderId="0" xfId="0" applyFill="1" applyBorder="1" applyAlignment="1">
      <alignment horizontal="center" vertical="center"/>
    </xf>
    <xf numFmtId="0" fontId="6" fillId="0" borderId="0" xfId="0" applyFont="1" applyFill="1" applyBorder="1" applyAlignment="1">
      <alignment horizontal="center" vertical="center"/>
    </xf>
    <xf numFmtId="0" fontId="0" fillId="0" borderId="0" xfId="0" applyFill="1" applyBorder="1" applyAlignment="1">
      <alignment horizontal="right" vertical="center"/>
    </xf>
    <xf numFmtId="0" fontId="11" fillId="0" borderId="0" xfId="0" applyFont="1" applyFill="1" applyBorder="1" applyAlignment="1">
      <alignment horizontal="center" vertical="center"/>
    </xf>
    <xf numFmtId="0" fontId="6" fillId="0" borderId="0" xfId="0" applyFont="1" applyFill="1" applyAlignment="1">
      <alignment horizontal="center" vertical="center"/>
    </xf>
    <xf numFmtId="166" fontId="5" fillId="0" borderId="0" xfId="1" applyNumberFormat="1" applyFont="1" applyFill="1"/>
    <xf numFmtId="0" fontId="2" fillId="0" borderId="0" xfId="0" applyFont="1" applyAlignment="1">
      <alignment vertical="center"/>
    </xf>
    <xf numFmtId="166" fontId="0" fillId="0" borderId="0" xfId="1" applyNumberFormat="1" applyFont="1" applyAlignment="1">
      <alignment vertical="center"/>
    </xf>
    <xf numFmtId="166" fontId="6" fillId="0" borderId="0" xfId="1" applyNumberFormat="1" applyFont="1" applyAlignment="1">
      <alignment vertical="center"/>
    </xf>
    <xf numFmtId="0" fontId="0" fillId="10" borderId="0" xfId="0" applyFill="1" applyAlignment="1">
      <alignment vertical="center"/>
    </xf>
    <xf numFmtId="166" fontId="2" fillId="10" borderId="0" xfId="1" applyNumberFormat="1" applyFont="1" applyFill="1" applyBorder="1" applyAlignment="1">
      <alignment vertical="center"/>
    </xf>
    <xf numFmtId="166" fontId="2" fillId="10" borderId="0" xfId="1" applyNumberFormat="1" applyFont="1" applyFill="1" applyAlignment="1">
      <alignment vertical="center"/>
    </xf>
    <xf numFmtId="166" fontId="0" fillId="0" borderId="0" xfId="0" applyNumberFormat="1" applyAlignment="1">
      <alignment vertical="center"/>
    </xf>
    <xf numFmtId="0" fontId="0" fillId="0" borderId="0" xfId="0" applyAlignment="1">
      <alignment vertical="center"/>
    </xf>
    <xf numFmtId="0" fontId="11" fillId="0" borderId="0" xfId="0" applyFont="1" applyFill="1" applyAlignment="1">
      <alignment horizontal="center" vertical="center" wrapText="1"/>
    </xf>
    <xf numFmtId="43" fontId="0" fillId="0" borderId="0" xfId="1" applyFont="1" applyAlignment="1">
      <alignment vertical="center"/>
    </xf>
    <xf numFmtId="0" fontId="6" fillId="0" borderId="0" xfId="0" applyFont="1" applyFill="1" applyAlignment="1">
      <alignment horizontal="center" vertical="center" wrapText="1"/>
    </xf>
    <xf numFmtId="0" fontId="2" fillId="29" borderId="0" xfId="0" applyFont="1" applyFill="1"/>
    <xf numFmtId="0" fontId="0" fillId="29" borderId="0" xfId="0" applyFill="1" applyAlignment="1">
      <alignment horizontal="center"/>
    </xf>
    <xf numFmtId="0" fontId="0" fillId="29" borderId="0" xfId="0" applyFill="1" applyAlignment="1">
      <alignment horizontal="center" vertical="center"/>
    </xf>
    <xf numFmtId="166" fontId="2" fillId="29" borderId="0" xfId="0" applyNumberFormat="1" applyFont="1" applyFill="1"/>
    <xf numFmtId="166" fontId="11" fillId="29" borderId="0" xfId="0" applyNumberFormat="1" applyFont="1" applyFill="1" applyBorder="1" applyAlignment="1">
      <alignment horizontal="center" vertical="center"/>
    </xf>
    <xf numFmtId="0" fontId="0" fillId="29" borderId="0" xfId="0" applyFill="1"/>
    <xf numFmtId="0" fontId="6" fillId="29" borderId="0" xfId="0" applyFont="1" applyFill="1" applyAlignment="1">
      <alignment horizontal="center" vertical="center"/>
    </xf>
    <xf numFmtId="43" fontId="0" fillId="29" borderId="0" xfId="1" applyFont="1" applyFill="1"/>
    <xf numFmtId="0" fontId="0" fillId="0" borderId="0" xfId="0" applyFill="1" applyAlignment="1">
      <alignment horizontal="right" vertical="center"/>
    </xf>
    <xf numFmtId="0" fontId="0" fillId="0" borderId="0" xfId="0" applyAlignment="1">
      <alignment horizontal="center" vertical="center" wrapText="1"/>
    </xf>
    <xf numFmtId="0" fontId="0" fillId="0" borderId="0" xfId="0" applyAlignment="1">
      <alignment horizontal="right" vertical="center" wrapText="1"/>
    </xf>
    <xf numFmtId="166" fontId="6" fillId="27" borderId="12" xfId="1" applyNumberFormat="1" applyFont="1" applyFill="1" applyBorder="1" applyAlignment="1">
      <alignment vertical="center"/>
    </xf>
    <xf numFmtId="166" fontId="5" fillId="0" borderId="12" xfId="1" applyNumberFormat="1" applyFont="1" applyBorder="1" applyAlignment="1">
      <alignment vertical="center"/>
    </xf>
    <xf numFmtId="0" fontId="0" fillId="10" borderId="12" xfId="0" applyFill="1" applyBorder="1" applyAlignment="1">
      <alignment vertical="center"/>
    </xf>
    <xf numFmtId="166" fontId="2" fillId="10" borderId="12" xfId="0" applyNumberFormat="1" applyFont="1" applyFill="1" applyBorder="1" applyAlignment="1">
      <alignment vertical="center"/>
    </xf>
    <xf numFmtId="166" fontId="0" fillId="0" borderId="12" xfId="1" applyNumberFormat="1" applyFont="1" applyFill="1" applyBorder="1" applyAlignment="1">
      <alignment vertical="center"/>
    </xf>
    <xf numFmtId="0" fontId="0" fillId="0" borderId="12" xfId="0" applyBorder="1" applyAlignment="1">
      <alignment vertical="center"/>
    </xf>
    <xf numFmtId="166" fontId="0" fillId="0" borderId="12" xfId="0" applyNumberFormat="1" applyBorder="1" applyAlignment="1">
      <alignment vertical="center"/>
    </xf>
    <xf numFmtId="166" fontId="11" fillId="0" borderId="12" xfId="0" applyNumberFormat="1" applyFont="1" applyBorder="1" applyAlignment="1">
      <alignment horizontal="center" vertical="center"/>
    </xf>
    <xf numFmtId="0" fontId="11" fillId="0" borderId="0" xfId="0" applyFont="1" applyAlignment="1">
      <alignment horizontal="center" vertical="center" wrapText="1"/>
    </xf>
    <xf numFmtId="0" fontId="2" fillId="15" borderId="0" xfId="0" applyFont="1" applyFill="1"/>
    <xf numFmtId="0" fontId="0" fillId="15" borderId="0" xfId="0" applyFill="1" applyAlignment="1">
      <alignment horizontal="center"/>
    </xf>
    <xf numFmtId="0" fontId="0" fillId="15" borderId="0" xfId="0" applyFill="1" applyAlignment="1">
      <alignment horizontal="right" vertical="center"/>
    </xf>
    <xf numFmtId="166" fontId="0" fillId="15" borderId="0" xfId="0" applyNumberFormat="1" applyFill="1"/>
    <xf numFmtId="166" fontId="2" fillId="15" borderId="0" xfId="0" applyNumberFormat="1" applyFont="1" applyFill="1"/>
    <xf numFmtId="166" fontId="0" fillId="15" borderId="0" xfId="1" applyNumberFormat="1" applyFont="1" applyFill="1" applyBorder="1"/>
    <xf numFmtId="166" fontId="11" fillId="15" borderId="0" xfId="0" applyNumberFormat="1" applyFont="1" applyFill="1" applyAlignment="1">
      <alignment horizontal="center"/>
    </xf>
    <xf numFmtId="168" fontId="2" fillId="0" borderId="0" xfId="3" applyNumberFormat="1" applyFont="1" applyFill="1"/>
    <xf numFmtId="0" fontId="2" fillId="30" borderId="0" xfId="0" applyFont="1" applyFill="1"/>
    <xf numFmtId="0" fontId="2" fillId="30" borderId="0" xfId="0" applyFont="1" applyFill="1" applyAlignment="1">
      <alignment horizontal="center"/>
    </xf>
    <xf numFmtId="0" fontId="2" fillId="30" borderId="0" xfId="0" applyFont="1" applyFill="1" applyAlignment="1">
      <alignment horizontal="center" vertical="center"/>
    </xf>
    <xf numFmtId="166" fontId="2" fillId="30" borderId="0" xfId="0" applyNumberFormat="1" applyFont="1" applyFill="1"/>
    <xf numFmtId="166" fontId="2" fillId="30" borderId="46" xfId="0" applyNumberFormat="1" applyFont="1" applyFill="1" applyBorder="1"/>
    <xf numFmtId="43" fontId="2" fillId="30" borderId="0" xfId="0" applyNumberFormat="1" applyFont="1" applyFill="1"/>
    <xf numFmtId="166" fontId="2" fillId="30" borderId="0" xfId="0" applyNumberFormat="1" applyFont="1" applyFill="1" applyBorder="1"/>
    <xf numFmtId="166" fontId="11" fillId="30" borderId="0" xfId="0" applyNumberFormat="1" applyFont="1" applyFill="1" applyBorder="1" applyAlignment="1">
      <alignment horizontal="center" vertical="center"/>
    </xf>
    <xf numFmtId="168" fontId="2" fillId="0" borderId="0" xfId="0" applyNumberFormat="1" applyFont="1"/>
    <xf numFmtId="0" fontId="2" fillId="6" borderId="0" xfId="0" applyFont="1" applyFill="1"/>
    <xf numFmtId="0" fontId="0" fillId="6" borderId="0" xfId="0" applyFill="1" applyAlignment="1">
      <alignment horizontal="center"/>
    </xf>
    <xf numFmtId="0" fontId="0" fillId="6" borderId="0" xfId="0" applyFill="1" applyAlignment="1">
      <alignment horizontal="center" vertical="center"/>
    </xf>
    <xf numFmtId="0" fontId="0" fillId="6" borderId="0" xfId="0" applyFill="1"/>
    <xf numFmtId="43" fontId="0" fillId="6" borderId="0" xfId="0" applyNumberFormat="1" applyFill="1"/>
    <xf numFmtId="166" fontId="0" fillId="6" borderId="0" xfId="0" applyNumberFormat="1" applyFill="1"/>
    <xf numFmtId="168" fontId="0" fillId="6" borderId="12" xfId="3" applyNumberFormat="1" applyFont="1" applyFill="1" applyBorder="1"/>
    <xf numFmtId="0" fontId="11" fillId="6" borderId="0" xfId="0" applyFont="1" applyFill="1" applyAlignment="1">
      <alignment horizontal="center"/>
    </xf>
    <xf numFmtId="43" fontId="0" fillId="6" borderId="0" xfId="1" applyFont="1" applyFill="1"/>
    <xf numFmtId="168" fontId="0" fillId="0" borderId="0" xfId="0" applyNumberFormat="1"/>
    <xf numFmtId="166" fontId="0" fillId="10" borderId="0" xfId="0" applyNumberFormat="1" applyFill="1" applyBorder="1" applyAlignment="1">
      <alignment horizontal="center" vertical="center" wrapText="1"/>
    </xf>
    <xf numFmtId="166" fontId="2" fillId="10" borderId="0" xfId="0" applyNumberFormat="1" applyFont="1" applyFill="1" applyBorder="1" applyAlignment="1">
      <alignment horizontal="center" vertical="center" wrapText="1"/>
    </xf>
    <xf numFmtId="9" fontId="0" fillId="0" borderId="0" xfId="3" applyFont="1" applyBorder="1" applyAlignment="1">
      <alignment horizontal="center" vertical="center" wrapText="1"/>
    </xf>
    <xf numFmtId="166" fontId="5" fillId="0" borderId="0" xfId="1" applyNumberFormat="1" applyFont="1" applyBorder="1"/>
    <xf numFmtId="166" fontId="2" fillId="0" borderId="0" xfId="0" applyNumberFormat="1" applyFont="1" applyFill="1"/>
    <xf numFmtId="43" fontId="11" fillId="3" borderId="0" xfId="0" applyNumberFormat="1" applyFont="1" applyFill="1"/>
    <xf numFmtId="166" fontId="1" fillId="0" borderId="0" xfId="1" applyNumberFormat="1" applyFont="1"/>
    <xf numFmtId="166" fontId="0" fillId="0" borderId="0" xfId="0" applyNumberFormat="1" applyFill="1" applyAlignment="1">
      <alignment horizontal="right"/>
    </xf>
    <xf numFmtId="43" fontId="11" fillId="0" borderId="0" xfId="0" applyNumberFormat="1" applyFont="1" applyFill="1"/>
    <xf numFmtId="0" fontId="0" fillId="0" borderId="0" xfId="0" applyFont="1" applyFill="1"/>
    <xf numFmtId="166" fontId="5" fillId="0" borderId="0" xfId="1" applyNumberFormat="1" applyFont="1" applyAlignment="1">
      <alignment vertical="center"/>
    </xf>
    <xf numFmtId="166" fontId="5" fillId="0" borderId="12" xfId="1" applyNumberFormat="1" applyFont="1" applyFill="1" applyBorder="1"/>
    <xf numFmtId="0" fontId="2" fillId="15" borderId="0" xfId="0" applyFont="1" applyFill="1" applyAlignment="1">
      <alignment horizontal="center"/>
    </xf>
    <xf numFmtId="0" fontId="2" fillId="15" borderId="0" xfId="0" applyFont="1" applyFill="1" applyAlignment="1">
      <alignment horizontal="center" vertical="center"/>
    </xf>
    <xf numFmtId="166" fontId="2" fillId="15" borderId="0" xfId="1" applyNumberFormat="1" applyFont="1" applyFill="1" applyBorder="1"/>
    <xf numFmtId="0" fontId="11" fillId="30" borderId="0" xfId="0" applyFont="1" applyFill="1" applyAlignment="1">
      <alignment horizontal="center"/>
    </xf>
    <xf numFmtId="43" fontId="2" fillId="30" borderId="0" xfId="1" applyFont="1" applyFill="1"/>
    <xf numFmtId="166" fontId="2" fillId="0" borderId="9" xfId="0" applyNumberFormat="1" applyFont="1" applyBorder="1"/>
    <xf numFmtId="166" fontId="2" fillId="10" borderId="8" xfId="0" applyNumberFormat="1" applyFont="1" applyFill="1" applyBorder="1"/>
    <xf numFmtId="166" fontId="2" fillId="0" borderId="8" xfId="0" applyNumberFormat="1" applyFont="1" applyBorder="1"/>
    <xf numFmtId="166" fontId="11" fillId="0" borderId="8" xfId="0" applyNumberFormat="1" applyFont="1" applyBorder="1" applyAlignment="1">
      <alignment horizontal="center"/>
    </xf>
    <xf numFmtId="0" fontId="2" fillId="0" borderId="7" xfId="0" applyFont="1" applyBorder="1"/>
    <xf numFmtId="0" fontId="16" fillId="0" borderId="0" xfId="0" applyFont="1" applyBorder="1" applyAlignment="1">
      <alignment horizontal="right"/>
    </xf>
    <xf numFmtId="0" fontId="11" fillId="0" borderId="0" xfId="0" applyFont="1" applyBorder="1" applyAlignment="1">
      <alignment horizontal="center"/>
    </xf>
    <xf numFmtId="0" fontId="11" fillId="0" borderId="6" xfId="0" applyFont="1" applyBorder="1" applyAlignment="1">
      <alignment horizontal="right"/>
    </xf>
    <xf numFmtId="0" fontId="0" fillId="28" borderId="0" xfId="0" applyFill="1" applyBorder="1"/>
    <xf numFmtId="166" fontId="0" fillId="10" borderId="0" xfId="0" applyNumberFormat="1" applyFill="1" applyBorder="1"/>
    <xf numFmtId="166" fontId="11" fillId="0" borderId="0" xfId="0" applyNumberFormat="1" applyFont="1" applyBorder="1" applyAlignment="1">
      <alignment horizontal="center"/>
    </xf>
    <xf numFmtId="166" fontId="0" fillId="0" borderId="4" xfId="0" applyNumberFormat="1" applyBorder="1"/>
    <xf numFmtId="0" fontId="0" fillId="31" borderId="0" xfId="0" applyFill="1" applyBorder="1"/>
    <xf numFmtId="0" fontId="0" fillId="0" borderId="6" xfId="0" applyBorder="1" applyAlignment="1">
      <alignment horizontal="right"/>
    </xf>
    <xf numFmtId="0" fontId="0" fillId="30" borderId="0" xfId="0" applyFill="1" applyBorder="1"/>
    <xf numFmtId="0" fontId="0" fillId="32" borderId="0" xfId="0" applyFill="1" applyBorder="1"/>
    <xf numFmtId="0" fontId="0" fillId="6" borderId="0" xfId="0" applyFill="1" applyBorder="1"/>
    <xf numFmtId="0" fontId="0" fillId="2" borderId="0" xfId="0" applyFill="1" applyBorder="1"/>
    <xf numFmtId="0" fontId="0" fillId="27" borderId="0" xfId="0" applyFill="1" applyBorder="1"/>
    <xf numFmtId="166" fontId="2" fillId="10" borderId="33" xfId="0" applyNumberFormat="1" applyFont="1" applyFill="1" applyBorder="1"/>
    <xf numFmtId="166" fontId="2" fillId="0" borderId="33" xfId="0" applyNumberFormat="1" applyFont="1" applyBorder="1"/>
    <xf numFmtId="0" fontId="11" fillId="0" borderId="4" xfId="0" applyFont="1" applyBorder="1"/>
    <xf numFmtId="166" fontId="11" fillId="0" borderId="0" xfId="0" applyNumberFormat="1" applyFont="1" applyBorder="1"/>
    <xf numFmtId="166" fontId="0" fillId="0" borderId="11" xfId="0" applyNumberFormat="1" applyBorder="1"/>
    <xf numFmtId="166" fontId="0" fillId="0" borderId="28" xfId="0" applyNumberFormat="1" applyBorder="1"/>
    <xf numFmtId="166" fontId="0" fillId="0" borderId="10" xfId="0" applyNumberFormat="1" applyBorder="1"/>
    <xf numFmtId="166" fontId="2" fillId="0" borderId="12" xfId="0" applyNumberFormat="1" applyFont="1" applyBorder="1"/>
    <xf numFmtId="0" fontId="16" fillId="0" borderId="0" xfId="0" applyFont="1" applyBorder="1" applyAlignment="1">
      <alignment horizontal="left"/>
    </xf>
    <xf numFmtId="166" fontId="0" fillId="0" borderId="0" xfId="1" applyNumberFormat="1" applyFont="1" applyAlignment="1">
      <alignment horizontal="center"/>
    </xf>
    <xf numFmtId="166" fontId="0" fillId="0" borderId="3" xfId="1" applyNumberFormat="1" applyFont="1" applyBorder="1"/>
    <xf numFmtId="166" fontId="11" fillId="10" borderId="2" xfId="1" applyNumberFormat="1" applyFont="1" applyFill="1" applyBorder="1" applyAlignment="1"/>
    <xf numFmtId="166" fontId="2" fillId="10" borderId="2" xfId="1" applyNumberFormat="1" applyFont="1" applyFill="1" applyBorder="1"/>
    <xf numFmtId="166" fontId="11" fillId="0" borderId="2" xfId="1" applyNumberFormat="1" applyFont="1" applyBorder="1" applyAlignment="1"/>
    <xf numFmtId="166" fontId="11" fillId="0" borderId="2" xfId="1" applyNumberFormat="1" applyFont="1" applyBorder="1" applyAlignment="1">
      <alignment horizontal="center"/>
    </xf>
    <xf numFmtId="166" fontId="0" fillId="0" borderId="8" xfId="0" applyNumberFormat="1" applyBorder="1"/>
    <xf numFmtId="166" fontId="0" fillId="0" borderId="7" xfId="0" applyNumberFormat="1" applyBorder="1"/>
    <xf numFmtId="0" fontId="16" fillId="0" borderId="6" xfId="0" applyFont="1" applyBorder="1"/>
    <xf numFmtId="0" fontId="0" fillId="0" borderId="19" xfId="0" applyFill="1" applyBorder="1" applyAlignment="1">
      <alignment horizontal="center"/>
    </xf>
    <xf numFmtId="0" fontId="0" fillId="33" borderId="19" xfId="0" applyFill="1" applyBorder="1" applyAlignment="1">
      <alignment horizontal="center"/>
    </xf>
    <xf numFmtId="0" fontId="0" fillId="33" borderId="19" xfId="0" applyFill="1" applyBorder="1" applyAlignment="1">
      <alignment horizontal="center" wrapText="1"/>
    </xf>
    <xf numFmtId="0" fontId="0" fillId="33" borderId="30" xfId="0" applyFill="1" applyBorder="1" applyAlignment="1">
      <alignment horizontal="center" wrapText="1"/>
    </xf>
    <xf numFmtId="0" fontId="0" fillId="28" borderId="0" xfId="0" applyFill="1" applyBorder="1" applyAlignment="1">
      <alignment horizontal="left"/>
    </xf>
    <xf numFmtId="166" fontId="0" fillId="21" borderId="0" xfId="0" applyNumberFormat="1" applyFill="1" applyBorder="1"/>
    <xf numFmtId="166" fontId="2" fillId="0" borderId="30" xfId="0" applyNumberFormat="1" applyFont="1" applyBorder="1"/>
    <xf numFmtId="166" fontId="2" fillId="0" borderId="47" xfId="0" applyNumberFormat="1" applyFont="1" applyBorder="1"/>
    <xf numFmtId="0" fontId="0" fillId="31" borderId="0" xfId="0" applyFill="1" applyBorder="1" applyAlignment="1">
      <alignment horizontal="left"/>
    </xf>
    <xf numFmtId="0" fontId="0" fillId="30" borderId="0" xfId="0" applyFill="1" applyBorder="1" applyAlignment="1">
      <alignment horizontal="left"/>
    </xf>
    <xf numFmtId="0" fontId="0" fillId="32" borderId="0" xfId="0" applyFill="1" applyBorder="1" applyAlignment="1">
      <alignment horizontal="left"/>
    </xf>
    <xf numFmtId="166" fontId="2" fillId="4" borderId="47" xfId="0" applyNumberFormat="1" applyFont="1" applyFill="1" applyBorder="1"/>
    <xf numFmtId="166" fontId="16" fillId="0" borderId="47" xfId="0" applyNumberFormat="1" applyFont="1" applyBorder="1"/>
    <xf numFmtId="0" fontId="0" fillId="6" borderId="0" xfId="0" applyFill="1" applyBorder="1" applyAlignment="1">
      <alignment horizontal="left"/>
    </xf>
    <xf numFmtId="0" fontId="0" fillId="2" borderId="0" xfId="0" applyFill="1" applyBorder="1" applyAlignment="1">
      <alignment horizontal="left"/>
    </xf>
    <xf numFmtId="0" fontId="0" fillId="27" borderId="0" xfId="0" applyFill="1" applyBorder="1" applyAlignment="1">
      <alignment horizontal="left"/>
    </xf>
    <xf numFmtId="0" fontId="0" fillId="0" borderId="33" xfId="0" applyBorder="1" applyAlignment="1">
      <alignment horizontal="left"/>
    </xf>
    <xf numFmtId="166" fontId="2" fillId="21" borderId="33" xfId="0" applyNumberFormat="1" applyFont="1" applyFill="1" applyBorder="1"/>
    <xf numFmtId="166" fontId="16" fillId="0" borderId="19" xfId="0" applyNumberFormat="1" applyFont="1" applyBorder="1"/>
    <xf numFmtId="0" fontId="11" fillId="0" borderId="4" xfId="0" quotePrefix="1" applyFont="1" applyBorder="1"/>
    <xf numFmtId="0" fontId="0" fillId="0" borderId="0" xfId="0" applyBorder="1" applyAlignment="1">
      <alignment horizontal="left"/>
    </xf>
    <xf numFmtId="0" fontId="0" fillId="33" borderId="0" xfId="0" applyFill="1" applyBorder="1" applyAlignment="1">
      <alignment horizontal="left"/>
    </xf>
    <xf numFmtId="0" fontId="0" fillId="33" borderId="19" xfId="0" applyFill="1" applyBorder="1" applyAlignment="1">
      <alignment horizontal="left"/>
    </xf>
    <xf numFmtId="0" fontId="0" fillId="33" borderId="34" xfId="0" applyFill="1" applyBorder="1" applyAlignment="1">
      <alignment horizontal="center" wrapText="1"/>
    </xf>
    <xf numFmtId="166" fontId="0" fillId="0" borderId="30" xfId="0" applyNumberFormat="1" applyFont="1" applyBorder="1"/>
    <xf numFmtId="166" fontId="0" fillId="0" borderId="47" xfId="0" applyNumberFormat="1" applyFont="1" applyBorder="1"/>
    <xf numFmtId="0" fontId="11" fillId="0" borderId="0" xfId="0" quotePrefix="1" applyFont="1" applyBorder="1" applyAlignment="1">
      <alignment horizontal="right"/>
    </xf>
    <xf numFmtId="166" fontId="0" fillId="4" borderId="47" xfId="0" applyNumberFormat="1" applyFont="1" applyFill="1" applyBorder="1"/>
    <xf numFmtId="0" fontId="0" fillId="0" borderId="4" xfId="0" quotePrefix="1" applyBorder="1"/>
    <xf numFmtId="0" fontId="0" fillId="0" borderId="33" xfId="0" applyBorder="1"/>
    <xf numFmtId="166" fontId="2" fillId="4" borderId="33" xfId="0" applyNumberFormat="1" applyFont="1" applyFill="1" applyBorder="1"/>
    <xf numFmtId="0" fontId="0" fillId="33" borderId="0" xfId="0" applyFill="1" applyBorder="1"/>
    <xf numFmtId="0" fontId="0" fillId="33" borderId="34" xfId="0" applyFill="1" applyBorder="1" applyAlignment="1">
      <alignment horizontal="center"/>
    </xf>
    <xf numFmtId="0" fontId="2" fillId="33" borderId="19" xfId="0" applyFont="1" applyFill="1" applyBorder="1" applyAlignment="1">
      <alignment horizontal="center"/>
    </xf>
    <xf numFmtId="166" fontId="16" fillId="0" borderId="47" xfId="1" applyNumberFormat="1" applyFont="1" applyBorder="1"/>
    <xf numFmtId="0" fontId="11" fillId="0" borderId="32" xfId="0" applyFont="1" applyFill="1" applyBorder="1" applyAlignment="1">
      <alignment horizontal="right"/>
    </xf>
    <xf numFmtId="166" fontId="16" fillId="0" borderId="0" xfId="0" applyNumberFormat="1" applyFont="1" applyFill="1" applyBorder="1"/>
    <xf numFmtId="0" fontId="11" fillId="0" borderId="0" xfId="0" applyFont="1" applyFill="1" applyAlignment="1">
      <alignment horizontal="center"/>
    </xf>
    <xf numFmtId="0" fontId="2" fillId="0" borderId="2" xfId="0" applyFont="1" applyFill="1" applyBorder="1"/>
    <xf numFmtId="0" fontId="2" fillId="0" borderId="8" xfId="0" applyFont="1" applyFill="1" applyBorder="1"/>
    <xf numFmtId="0" fontId="0" fillId="33" borderId="35" xfId="0" applyFill="1" applyBorder="1" applyAlignment="1">
      <alignment horizontal="center"/>
    </xf>
    <xf numFmtId="166" fontId="2" fillId="0" borderId="48" xfId="0" applyNumberFormat="1" applyFont="1" applyBorder="1"/>
    <xf numFmtId="166" fontId="2" fillId="0" borderId="49" xfId="0" applyNumberFormat="1" applyFont="1" applyBorder="1"/>
    <xf numFmtId="166" fontId="2" fillId="0" borderId="19" xfId="0" applyNumberFormat="1" applyFont="1" applyBorder="1"/>
    <xf numFmtId="0" fontId="0" fillId="0" borderId="35" xfId="0" applyFill="1" applyBorder="1" applyAlignment="1">
      <alignment horizontal="center"/>
    </xf>
    <xf numFmtId="166" fontId="2" fillId="0" borderId="49" xfId="1" applyNumberFormat="1" applyFont="1" applyBorder="1"/>
    <xf numFmtId="0" fontId="0" fillId="0" borderId="0" xfId="0" applyFont="1" applyFill="1" applyBorder="1" applyAlignment="1">
      <alignment horizontal="center"/>
    </xf>
    <xf numFmtId="0" fontId="0" fillId="0" borderId="0" xfId="0" applyFont="1" applyBorder="1" applyAlignment="1">
      <alignment horizontal="center"/>
    </xf>
    <xf numFmtId="0" fontId="0" fillId="0" borderId="0" xfId="0" applyFont="1" applyBorder="1" applyAlignment="1">
      <alignment horizontal="left"/>
    </xf>
    <xf numFmtId="43" fontId="1" fillId="3" borderId="0" xfId="1" applyFont="1" applyFill="1" applyBorder="1"/>
    <xf numFmtId="43" fontId="1" fillId="3" borderId="31" xfId="1" applyFont="1" applyFill="1" applyBorder="1"/>
    <xf numFmtId="0" fontId="0" fillId="0" borderId="0" xfId="0" applyFont="1" applyFill="1" applyBorder="1"/>
    <xf numFmtId="0" fontId="0" fillId="0" borderId="0" xfId="0" applyFont="1" applyBorder="1"/>
    <xf numFmtId="0" fontId="0" fillId="0" borderId="0" xfId="0" applyBorder="1" applyAlignment="1">
      <alignment horizontal="right"/>
    </xf>
    <xf numFmtId="166" fontId="11" fillId="0" borderId="2" xfId="0" applyNumberFormat="1" applyFont="1" applyBorder="1"/>
    <xf numFmtId="0" fontId="0" fillId="26" borderId="0" xfId="0" applyFill="1" applyAlignment="1">
      <alignment horizontal="center"/>
    </xf>
    <xf numFmtId="0" fontId="0" fillId="0" borderId="34" xfId="0" applyBorder="1" applyAlignment="1">
      <alignment horizontal="center" vertical="center" wrapText="1"/>
    </xf>
    <xf numFmtId="166" fontId="0" fillId="34" borderId="0" xfId="1" applyNumberFormat="1" applyFont="1" applyFill="1"/>
    <xf numFmtId="166" fontId="0" fillId="0" borderId="0" xfId="0" applyNumberFormat="1" applyFill="1" applyBorder="1"/>
    <xf numFmtId="166" fontId="0" fillId="0" borderId="12" xfId="0" applyNumberFormat="1" applyFill="1" applyBorder="1"/>
    <xf numFmtId="166" fontId="0" fillId="34" borderId="12" xfId="1" applyNumberFormat="1" applyFont="1" applyFill="1" applyBorder="1"/>
    <xf numFmtId="166" fontId="2" fillId="34" borderId="0" xfId="0" applyNumberFormat="1" applyFont="1" applyFill="1"/>
    <xf numFmtId="168" fontId="2" fillId="0" borderId="0" xfId="3" applyNumberFormat="1" applyFont="1"/>
    <xf numFmtId="166" fontId="0" fillId="34" borderId="0" xfId="0" applyNumberFormat="1" applyFill="1"/>
    <xf numFmtId="0" fontId="0" fillId="34" borderId="0" xfId="0" applyFill="1"/>
    <xf numFmtId="168" fontId="2" fillId="0" borderId="12" xfId="3" applyNumberFormat="1" applyFont="1" applyBorder="1"/>
    <xf numFmtId="166" fontId="2" fillId="17" borderId="33" xfId="0" applyNumberFormat="1" applyFont="1" applyFill="1" applyBorder="1"/>
    <xf numFmtId="166" fontId="5" fillId="0" borderId="0" xfId="0" applyNumberFormat="1" applyFont="1"/>
    <xf numFmtId="166" fontId="31" fillId="0" borderId="0" xfId="0" applyNumberFormat="1" applyFont="1" applyFill="1" applyBorder="1"/>
    <xf numFmtId="0" fontId="5" fillId="0" borderId="0" xfId="0" applyFont="1"/>
    <xf numFmtId="0" fontId="2" fillId="26" borderId="0" xfId="0" applyFont="1" applyFill="1" applyAlignment="1">
      <alignment vertical="center"/>
    </xf>
    <xf numFmtId="0" fontId="0" fillId="26" borderId="0" xfId="0" applyFill="1" applyAlignment="1">
      <alignment horizontal="center" vertical="center" wrapText="1"/>
    </xf>
    <xf numFmtId="166" fontId="5" fillId="26" borderId="0" xfId="1" applyNumberFormat="1" applyFont="1" applyFill="1" applyAlignment="1">
      <alignment vertical="center"/>
    </xf>
    <xf numFmtId="0" fontId="0" fillId="26" borderId="0" xfId="0" applyFill="1" applyAlignment="1">
      <alignment vertical="center"/>
    </xf>
    <xf numFmtId="166" fontId="2" fillId="26" borderId="0" xfId="1" applyNumberFormat="1" applyFont="1" applyFill="1" applyBorder="1" applyAlignment="1">
      <alignment vertical="center"/>
    </xf>
    <xf numFmtId="166" fontId="0" fillId="26" borderId="0" xfId="1" applyNumberFormat="1" applyFont="1" applyFill="1" applyAlignment="1">
      <alignment vertical="center"/>
    </xf>
    <xf numFmtId="166" fontId="2" fillId="26" borderId="0" xfId="0" applyNumberFormat="1" applyFont="1" applyFill="1" applyAlignment="1">
      <alignment vertical="center"/>
    </xf>
    <xf numFmtId="166" fontId="0" fillId="34" borderId="0" xfId="1" applyNumberFormat="1" applyFont="1" applyFill="1" applyAlignment="1">
      <alignment vertical="center"/>
    </xf>
    <xf numFmtId="166" fontId="0" fillId="0" borderId="0" xfId="0" applyNumberFormat="1" applyFill="1" applyAlignment="1">
      <alignment vertical="center"/>
    </xf>
    <xf numFmtId="0" fontId="0" fillId="0" borderId="0" xfId="0" applyFill="1" applyBorder="1" applyAlignment="1">
      <alignment vertical="center"/>
    </xf>
    <xf numFmtId="166" fontId="2" fillId="10" borderId="0" xfId="0" applyNumberFormat="1" applyFont="1" applyFill="1" applyAlignment="1">
      <alignment vertical="center"/>
    </xf>
    <xf numFmtId="166" fontId="0" fillId="0" borderId="0" xfId="1" applyNumberFormat="1" applyFont="1" applyFill="1" applyAlignment="1">
      <alignment vertical="center"/>
    </xf>
    <xf numFmtId="166" fontId="0" fillId="29" borderId="0" xfId="0" applyNumberFormat="1" applyFill="1" applyBorder="1" applyAlignment="1">
      <alignment vertical="center"/>
    </xf>
    <xf numFmtId="166" fontId="0" fillId="0" borderId="12" xfId="1" applyNumberFormat="1" applyFont="1" applyBorder="1" applyAlignment="1">
      <alignment vertical="center"/>
    </xf>
    <xf numFmtId="166" fontId="5" fillId="15" borderId="0" xfId="0" applyNumberFormat="1" applyFont="1" applyFill="1"/>
    <xf numFmtId="0" fontId="2" fillId="29" borderId="0" xfId="0" applyFont="1" applyFill="1" applyAlignment="1">
      <alignment horizontal="center"/>
    </xf>
    <xf numFmtId="166" fontId="2" fillId="35" borderId="0" xfId="0" applyNumberFormat="1" applyFont="1" applyFill="1" applyBorder="1"/>
    <xf numFmtId="0" fontId="2" fillId="26" borderId="0" xfId="0" applyFont="1" applyFill="1"/>
    <xf numFmtId="166" fontId="2" fillId="26" borderId="0" xfId="0" applyNumberFormat="1" applyFont="1" applyFill="1"/>
    <xf numFmtId="166" fontId="2" fillId="26" borderId="0" xfId="0" applyNumberFormat="1" applyFont="1" applyFill="1" applyBorder="1"/>
    <xf numFmtId="166" fontId="0" fillId="26" borderId="0" xfId="0" applyNumberFormat="1" applyFill="1"/>
    <xf numFmtId="0" fontId="0" fillId="26" borderId="0" xfId="0" applyFill="1"/>
    <xf numFmtId="0" fontId="0" fillId="26" borderId="0" xfId="0" applyFill="1" applyBorder="1"/>
    <xf numFmtId="0" fontId="2" fillId="0" borderId="9" xfId="0" applyFont="1" applyBorder="1"/>
    <xf numFmtId="166" fontId="0" fillId="15" borderId="6" xfId="0" applyNumberFormat="1" applyFill="1" applyBorder="1"/>
    <xf numFmtId="166" fontId="0" fillId="15" borderId="0" xfId="0" applyNumberFormat="1" applyFill="1" applyBorder="1"/>
    <xf numFmtId="166" fontId="0" fillId="15" borderId="4" xfId="0" applyNumberFormat="1" applyFill="1" applyBorder="1"/>
    <xf numFmtId="166" fontId="0" fillId="0" borderId="50" xfId="1" applyNumberFormat="1" applyFont="1" applyBorder="1"/>
    <xf numFmtId="166" fontId="0" fillId="0" borderId="14" xfId="1" applyNumberFormat="1" applyFont="1" applyBorder="1"/>
    <xf numFmtId="166" fontId="0" fillId="0" borderId="6" xfId="0" applyNumberFormat="1" applyBorder="1"/>
    <xf numFmtId="166" fontId="0" fillId="0" borderId="3" xfId="0" applyNumberFormat="1" applyBorder="1"/>
    <xf numFmtId="166" fontId="0" fillId="0" borderId="1" xfId="0" applyNumberFormat="1" applyBorder="1"/>
    <xf numFmtId="9" fontId="0" fillId="0" borderId="0" xfId="3" applyFont="1" applyFill="1"/>
    <xf numFmtId="168" fontId="0" fillId="0" borderId="12" xfId="0" applyNumberFormat="1" applyBorder="1"/>
    <xf numFmtId="0" fontId="2" fillId="3" borderId="0" xfId="0" applyFont="1" applyFill="1"/>
    <xf numFmtId="166" fontId="1" fillId="0" borderId="0" xfId="1" applyNumberFormat="1" applyFont="1" applyFill="1"/>
    <xf numFmtId="166" fontId="1" fillId="15" borderId="0" xfId="1" applyNumberFormat="1" applyFont="1" applyFill="1"/>
    <xf numFmtId="0" fontId="2" fillId="0" borderId="31" xfId="0" applyFont="1" applyBorder="1"/>
    <xf numFmtId="166" fontId="2" fillId="0" borderId="31" xfId="1" applyNumberFormat="1" applyFont="1" applyBorder="1"/>
    <xf numFmtId="166" fontId="2" fillId="10" borderId="31" xfId="1" applyNumberFormat="1" applyFont="1" applyFill="1" applyBorder="1"/>
    <xf numFmtId="166" fontId="2" fillId="0" borderId="31" xfId="1" applyNumberFormat="1" applyFont="1" applyFill="1" applyBorder="1"/>
    <xf numFmtId="166" fontId="2" fillId="15" borderId="31" xfId="1" applyNumberFormat="1" applyFont="1" applyFill="1" applyBorder="1"/>
    <xf numFmtId="0" fontId="0" fillId="0" borderId="31" xfId="0" applyBorder="1"/>
    <xf numFmtId="9" fontId="2" fillId="10" borderId="0" xfId="3" applyFont="1" applyFill="1"/>
    <xf numFmtId="9" fontId="2" fillId="0" borderId="0" xfId="3" applyFont="1" applyFill="1"/>
    <xf numFmtId="9" fontId="2" fillId="0" borderId="0" xfId="3" applyFont="1"/>
    <xf numFmtId="166" fontId="2" fillId="0" borderId="0" xfId="1" applyNumberFormat="1" applyFont="1" applyFill="1"/>
    <xf numFmtId="0" fontId="0" fillId="0" borderId="12" xfId="0" applyFont="1" applyBorder="1"/>
    <xf numFmtId="166" fontId="1" fillId="0" borderId="12" xfId="1" applyNumberFormat="1" applyFont="1" applyBorder="1"/>
    <xf numFmtId="166" fontId="2" fillId="10" borderId="12" xfId="1" applyNumberFormat="1" applyFont="1" applyFill="1" applyBorder="1"/>
    <xf numFmtId="166" fontId="2" fillId="0" borderId="12" xfId="1" applyNumberFormat="1" applyFont="1" applyFill="1" applyBorder="1"/>
    <xf numFmtId="166" fontId="2" fillId="0" borderId="12" xfId="1" applyNumberFormat="1" applyFont="1" applyBorder="1"/>
    <xf numFmtId="0" fontId="2" fillId="17" borderId="33" xfId="0" applyFont="1" applyFill="1" applyBorder="1"/>
    <xf numFmtId="166" fontId="2" fillId="17" borderId="33" xfId="1" applyNumberFormat="1" applyFont="1" applyFill="1" applyBorder="1"/>
    <xf numFmtId="166" fontId="0" fillId="17" borderId="0" xfId="0" applyNumberFormat="1" applyFill="1"/>
    <xf numFmtId="0" fontId="0" fillId="17" borderId="33" xfId="0" applyFill="1" applyBorder="1"/>
    <xf numFmtId="166" fontId="0" fillId="17" borderId="33" xfId="0" applyNumberFormat="1" applyFill="1" applyBorder="1"/>
    <xf numFmtId="166" fontId="1" fillId="0" borderId="12" xfId="1" applyNumberFormat="1" applyFont="1" applyFill="1" applyBorder="1"/>
    <xf numFmtId="0" fontId="2" fillId="0" borderId="33" xfId="0" applyFont="1" applyBorder="1"/>
    <xf numFmtId="166" fontId="2" fillId="0" borderId="33" xfId="1" applyNumberFormat="1" applyFont="1" applyBorder="1"/>
    <xf numFmtId="166" fontId="2" fillId="10" borderId="33" xfId="1" applyNumberFormat="1" applyFont="1" applyFill="1" applyBorder="1"/>
    <xf numFmtId="166" fontId="2" fillId="0" borderId="33" xfId="1" applyNumberFormat="1" applyFont="1" applyFill="1" applyBorder="1"/>
    <xf numFmtId="166" fontId="1" fillId="10" borderId="0" xfId="1" applyNumberFormat="1" applyFont="1" applyFill="1"/>
    <xf numFmtId="0" fontId="2" fillId="7" borderId="0" xfId="0" applyFont="1" applyFill="1"/>
    <xf numFmtId="0" fontId="0" fillId="7" borderId="0" xfId="0" applyFill="1" applyAlignment="1">
      <alignment horizontal="center"/>
    </xf>
    <xf numFmtId="166" fontId="2" fillId="7" borderId="0" xfId="0" applyNumberFormat="1" applyFont="1" applyFill="1"/>
    <xf numFmtId="166" fontId="2" fillId="7" borderId="0" xfId="1" applyNumberFormat="1" applyFont="1" applyFill="1"/>
    <xf numFmtId="166" fontId="0" fillId="0" borderId="6" xfId="1" applyNumberFormat="1" applyFont="1" applyBorder="1"/>
    <xf numFmtId="0" fontId="2" fillId="2" borderId="0" xfId="0" applyFont="1" applyFill="1"/>
    <xf numFmtId="0" fontId="0" fillId="2" borderId="0" xfId="0" applyFill="1"/>
    <xf numFmtId="0" fontId="17" fillId="2" borderId="0" xfId="0" applyFont="1" applyFill="1"/>
    <xf numFmtId="0" fontId="2" fillId="0" borderId="0" xfId="0" applyFont="1" applyAlignment="1">
      <alignment horizontal="right"/>
    </xf>
    <xf numFmtId="10" fontId="0" fillId="0" borderId="7" xfId="0" applyNumberFormat="1" applyFont="1" applyBorder="1"/>
    <xf numFmtId="10" fontId="0" fillId="0" borderId="1" xfId="0" applyNumberFormat="1" applyFont="1" applyBorder="1"/>
    <xf numFmtId="0" fontId="6" fillId="0" borderId="0" xfId="0" applyFont="1" applyAlignment="1">
      <alignment vertical="top"/>
    </xf>
    <xf numFmtId="0" fontId="11" fillId="0" borderId="0" xfId="0" applyFont="1" applyFill="1" applyBorder="1" applyAlignment="1">
      <alignment horizontal="center"/>
    </xf>
    <xf numFmtId="0" fontId="0" fillId="0" borderId="11" xfId="0" applyBorder="1" applyAlignment="1">
      <alignment horizontal="center" vertical="center"/>
    </xf>
    <xf numFmtId="0" fontId="0" fillId="0" borderId="11" xfId="0" applyFill="1" applyBorder="1" applyAlignment="1">
      <alignment horizontal="center"/>
    </xf>
    <xf numFmtId="10" fontId="0" fillId="0" borderId="10" xfId="0" applyNumberFormat="1" applyBorder="1" applyAlignment="1">
      <alignment horizontal="center" vertical="center"/>
    </xf>
    <xf numFmtId="0" fontId="0" fillId="0" borderId="10" xfId="0" applyFill="1" applyBorder="1" applyAlignment="1">
      <alignment horizontal="center"/>
    </xf>
    <xf numFmtId="10" fontId="11" fillId="0" borderId="0" xfId="0" applyNumberFormat="1" applyFont="1" applyFill="1" applyBorder="1" applyAlignment="1">
      <alignment horizontal="center" vertical="center"/>
    </xf>
    <xf numFmtId="0" fontId="2" fillId="0" borderId="46" xfId="0" applyFont="1" applyBorder="1" applyAlignment="1">
      <alignment horizontal="center" vertical="center"/>
    </xf>
    <xf numFmtId="0" fontId="0" fillId="0" borderId="11" xfId="0" applyFill="1" applyBorder="1"/>
    <xf numFmtId="0" fontId="16" fillId="0" borderId="0" xfId="0" applyFont="1" applyFill="1" applyBorder="1" applyAlignment="1">
      <alignment horizontal="center" vertical="center"/>
    </xf>
    <xf numFmtId="0" fontId="0" fillId="0" borderId="11" xfId="0" applyBorder="1" applyAlignment="1">
      <alignment horizontal="center"/>
    </xf>
    <xf numFmtId="0" fontId="0" fillId="0" borderId="28" xfId="0" applyFill="1" applyBorder="1"/>
    <xf numFmtId="10" fontId="11" fillId="0" borderId="0" xfId="0" applyNumberFormat="1" applyFont="1" applyFill="1" applyBorder="1"/>
    <xf numFmtId="0" fontId="0" fillId="0" borderId="28" xfId="0" applyBorder="1"/>
    <xf numFmtId="166" fontId="11" fillId="0" borderId="0" xfId="1" applyNumberFormat="1" applyFont="1" applyFill="1" applyBorder="1"/>
    <xf numFmtId="0" fontId="11" fillId="0" borderId="0" xfId="0" quotePrefix="1" applyFont="1" applyFill="1" applyBorder="1"/>
    <xf numFmtId="168" fontId="0" fillId="0" borderId="28" xfId="3" applyNumberFormat="1" applyFont="1" applyBorder="1"/>
    <xf numFmtId="1" fontId="0" fillId="0" borderId="0" xfId="0" applyNumberFormat="1"/>
    <xf numFmtId="9" fontId="0" fillId="0" borderId="6" xfId="3" applyFont="1" applyBorder="1"/>
    <xf numFmtId="0" fontId="2" fillId="35" borderId="0" xfId="0" applyFont="1" applyFill="1"/>
    <xf numFmtId="166" fontId="2" fillId="35" borderId="0" xfId="0" applyNumberFormat="1" applyFont="1" applyFill="1"/>
    <xf numFmtId="168" fontId="2" fillId="35" borderId="0" xfId="3" applyNumberFormat="1" applyFont="1" applyFill="1"/>
    <xf numFmtId="168" fontId="2" fillId="35" borderId="28" xfId="3" applyNumberFormat="1" applyFont="1" applyFill="1" applyBorder="1"/>
    <xf numFmtId="9" fontId="2" fillId="35" borderId="6" xfId="3" applyFont="1" applyFill="1" applyBorder="1"/>
    <xf numFmtId="168" fontId="2" fillId="35" borderId="4" xfId="0" applyNumberFormat="1" applyFont="1" applyFill="1" applyBorder="1"/>
    <xf numFmtId="0" fontId="2" fillId="0" borderId="28" xfId="0" applyFont="1" applyFill="1" applyBorder="1"/>
    <xf numFmtId="0" fontId="16" fillId="0" borderId="0" xfId="0" applyFont="1" applyFill="1" applyBorder="1"/>
    <xf numFmtId="43" fontId="16" fillId="0" borderId="0" xfId="1" applyFont="1" applyFill="1" applyBorder="1"/>
    <xf numFmtId="166" fontId="11" fillId="0" borderId="0" xfId="0" applyNumberFormat="1" applyFont="1" applyFill="1" applyBorder="1"/>
    <xf numFmtId="43" fontId="16" fillId="0" borderId="0" xfId="0" applyNumberFormat="1" applyFont="1" applyFill="1" applyBorder="1"/>
    <xf numFmtId="180" fontId="0" fillId="0" borderId="28" xfId="0" applyNumberFormat="1" applyBorder="1"/>
    <xf numFmtId="10" fontId="0" fillId="0" borderId="0" xfId="3" applyNumberFormat="1" applyFont="1" applyFill="1" applyBorder="1"/>
    <xf numFmtId="43" fontId="0" fillId="3" borderId="0" xfId="1" applyFont="1" applyFill="1" applyBorder="1"/>
    <xf numFmtId="10" fontId="0" fillId="0" borderId="0" xfId="0" applyNumberFormat="1" applyFill="1" applyBorder="1"/>
    <xf numFmtId="168" fontId="11" fillId="0" borderId="0" xfId="3" applyNumberFormat="1" applyFont="1" applyFill="1" applyBorder="1"/>
    <xf numFmtId="168" fontId="2" fillId="35" borderId="10" xfId="0" applyNumberFormat="1" applyFont="1" applyFill="1" applyBorder="1"/>
    <xf numFmtId="0" fontId="2" fillId="29" borderId="31" xfId="0" applyFont="1" applyFill="1" applyBorder="1"/>
    <xf numFmtId="166" fontId="2" fillId="29" borderId="31" xfId="0" applyNumberFormat="1" applyFont="1" applyFill="1" applyBorder="1"/>
    <xf numFmtId="168" fontId="2" fillId="29" borderId="31" xfId="0" applyNumberFormat="1" applyFont="1" applyFill="1" applyBorder="1"/>
    <xf numFmtId="168" fontId="2" fillId="29" borderId="51" xfId="3" applyNumberFormat="1" applyFont="1" applyFill="1" applyBorder="1"/>
    <xf numFmtId="9" fontId="2" fillId="29" borderId="52" xfId="3" applyFont="1" applyFill="1" applyBorder="1"/>
    <xf numFmtId="9" fontId="2" fillId="29" borderId="53" xfId="3" applyFont="1" applyFill="1" applyBorder="1"/>
    <xf numFmtId="10" fontId="0" fillId="0" borderId="0" xfId="3" applyNumberFormat="1" applyFont="1" applyAlignment="1"/>
    <xf numFmtId="179" fontId="0" fillId="0" borderId="0" xfId="18" applyNumberFormat="1" applyFont="1"/>
    <xf numFmtId="0" fontId="2" fillId="0" borderId="0" xfId="0" applyFont="1" applyAlignment="1">
      <alignment horizontal="center" wrapText="1"/>
    </xf>
    <xf numFmtId="179" fontId="2" fillId="0" borderId="0" xfId="18" applyNumberFormat="1" applyFont="1" applyAlignment="1">
      <alignment horizontal="center" wrapText="1"/>
    </xf>
    <xf numFmtId="179" fontId="0" fillId="0" borderId="0" xfId="18" applyNumberFormat="1" applyFont="1" applyAlignment="1">
      <alignment horizontal="center"/>
    </xf>
    <xf numFmtId="0" fontId="0" fillId="3" borderId="12" xfId="0" applyFill="1" applyBorder="1"/>
    <xf numFmtId="179" fontId="0" fillId="0" borderId="12" xfId="0" applyNumberFormat="1" applyBorder="1"/>
    <xf numFmtId="179" fontId="48" fillId="0" borderId="0" xfId="18" applyNumberFormat="1" applyFont="1"/>
    <xf numFmtId="179" fontId="48" fillId="0" borderId="0" xfId="0" applyNumberFormat="1" applyFont="1"/>
    <xf numFmtId="179" fontId="0" fillId="0" borderId="0" xfId="0" applyNumberFormat="1"/>
    <xf numFmtId="0" fontId="5" fillId="0" borderId="0" xfId="6" applyFont="1"/>
    <xf numFmtId="179" fontId="5" fillId="0" borderId="0" xfId="6" applyNumberFormat="1" applyFont="1"/>
    <xf numFmtId="179" fontId="5" fillId="4" borderId="0" xfId="6" applyNumberFormat="1" applyFont="1" applyFill="1"/>
    <xf numFmtId="0" fontId="11" fillId="0" borderId="0" xfId="0" quotePrefix="1" applyFont="1"/>
    <xf numFmtId="0" fontId="0" fillId="21" borderId="0" xfId="0" applyFill="1"/>
    <xf numFmtId="0" fontId="0" fillId="27" borderId="0" xfId="0" applyFill="1"/>
    <xf numFmtId="0" fontId="0" fillId="22" borderId="0" xfId="0" applyFill="1"/>
    <xf numFmtId="10" fontId="5" fillId="0" borderId="0" xfId="3" applyNumberFormat="1" applyFont="1"/>
    <xf numFmtId="0" fontId="31" fillId="0" borderId="0" xfId="0" applyFont="1"/>
    <xf numFmtId="0" fontId="2" fillId="2" borderId="0" xfId="0" applyFont="1" applyFill="1" applyAlignment="1">
      <alignment horizontal="center" vertical="center"/>
    </xf>
    <xf numFmtId="0" fontId="2" fillId="21" borderId="0" xfId="0" applyFont="1" applyFill="1" applyAlignment="1">
      <alignment horizontal="center" vertical="center"/>
    </xf>
    <xf numFmtId="0" fontId="2" fillId="27" borderId="0" xfId="0" applyFont="1" applyFill="1" applyAlignment="1">
      <alignment horizontal="center" wrapText="1"/>
    </xf>
    <xf numFmtId="0" fontId="0" fillId="2" borderId="0" xfId="0" applyFont="1" applyFill="1"/>
    <xf numFmtId="10" fontId="2" fillId="0" borderId="0" xfId="3" applyNumberFormat="1" applyFont="1" applyAlignment="1">
      <alignment horizontal="center"/>
    </xf>
    <xf numFmtId="10" fontId="0" fillId="2" borderId="0" xfId="3" applyNumberFormat="1" applyFont="1" applyFill="1"/>
    <xf numFmtId="10" fontId="0" fillId="21" borderId="0" xfId="3" applyNumberFormat="1" applyFont="1" applyFill="1"/>
    <xf numFmtId="10" fontId="0" fillId="27" borderId="0" xfId="3" applyNumberFormat="1" applyFont="1" applyFill="1"/>
    <xf numFmtId="10" fontId="0" fillId="22" borderId="0" xfId="3" applyNumberFormat="1" applyFont="1" applyFill="1"/>
    <xf numFmtId="0" fontId="2" fillId="8" borderId="0" xfId="0" applyFont="1" applyFill="1"/>
    <xf numFmtId="166" fontId="2" fillId="8" borderId="0" xfId="0" applyNumberFormat="1" applyFont="1" applyFill="1"/>
    <xf numFmtId="10" fontId="2" fillId="8" borderId="0" xfId="3" applyNumberFormat="1" applyFont="1" applyFill="1"/>
    <xf numFmtId="10" fontId="2" fillId="2" borderId="0" xfId="3" applyNumberFormat="1" applyFont="1" applyFill="1"/>
    <xf numFmtId="10" fontId="2" fillId="21" borderId="0" xfId="3" applyNumberFormat="1" applyFont="1" applyFill="1"/>
    <xf numFmtId="10" fontId="2" fillId="27" borderId="0" xfId="3" applyNumberFormat="1" applyFont="1" applyFill="1"/>
    <xf numFmtId="0" fontId="2" fillId="22" borderId="0" xfId="0" applyFont="1" applyFill="1"/>
    <xf numFmtId="0" fontId="2" fillId="9" borderId="0" xfId="0" applyFont="1" applyFill="1"/>
    <xf numFmtId="9" fontId="6" fillId="3" borderId="0" xfId="0" applyNumberFormat="1" applyFont="1" applyFill="1"/>
    <xf numFmtId="165" fontId="21" fillId="0" borderId="0" xfId="2" applyNumberFormat="1" applyFont="1" applyFill="1" applyAlignment="1">
      <alignment horizontal="center"/>
    </xf>
    <xf numFmtId="10" fontId="2" fillId="22" borderId="0" xfId="0" applyNumberFormat="1" applyFont="1" applyFill="1"/>
    <xf numFmtId="0" fontId="13" fillId="0" borderId="0" xfId="0" applyFont="1" applyBorder="1"/>
    <xf numFmtId="41" fontId="36" fillId="0" borderId="0" xfId="1" applyNumberFormat="1" applyFont="1" applyBorder="1"/>
    <xf numFmtId="0" fontId="21" fillId="0" borderId="0" xfId="20" applyFont="1" applyBorder="1" applyAlignment="1">
      <alignment horizontal="left"/>
    </xf>
    <xf numFmtId="0" fontId="21" fillId="0" borderId="0" xfId="21" applyFont="1" applyBorder="1"/>
    <xf numFmtId="41" fontId="21" fillId="0" borderId="0" xfId="1" applyNumberFormat="1" applyFont="1" applyBorder="1"/>
    <xf numFmtId="41" fontId="13" fillId="0" borderId="0" xfId="1" applyNumberFormat="1" applyFont="1" applyBorder="1"/>
    <xf numFmtId="0" fontId="2" fillId="2" borderId="0" xfId="0" applyFont="1" applyFill="1" applyAlignment="1">
      <alignment horizontal="center"/>
    </xf>
    <xf numFmtId="14" fontId="0" fillId="0" borderId="0" xfId="0" applyNumberFormat="1" applyAlignment="1">
      <alignment horizontal="center"/>
    </xf>
    <xf numFmtId="10" fontId="24" fillId="19" borderId="38" xfId="10" applyNumberFormat="1" applyAlignment="1">
      <alignment horizontal="center"/>
    </xf>
    <xf numFmtId="10" fontId="0" fillId="0" borderId="0" xfId="3" applyNumberFormat="1" applyFont="1" applyAlignment="1">
      <alignment horizontal="center"/>
    </xf>
    <xf numFmtId="168" fontId="0" fillId="2" borderId="11" xfId="3" applyNumberFormat="1" applyFont="1" applyFill="1" applyBorder="1" applyAlignment="1">
      <alignment horizontal="center"/>
    </xf>
    <xf numFmtId="168" fontId="0" fillId="2" borderId="28" xfId="3" applyNumberFormat="1" applyFont="1" applyFill="1" applyBorder="1" applyAlignment="1">
      <alignment horizontal="center"/>
    </xf>
    <xf numFmtId="166" fontId="0" fillId="9" borderId="0" xfId="1" applyNumberFormat="1" applyFont="1" applyFill="1" applyAlignment="1">
      <alignment horizontal="center"/>
    </xf>
    <xf numFmtId="10" fontId="0" fillId="3" borderId="0" xfId="3" applyNumberFormat="1" applyFont="1" applyFill="1" applyAlignment="1">
      <alignment horizontal="center"/>
    </xf>
    <xf numFmtId="168" fontId="0" fillId="2" borderId="10" xfId="3" applyNumberFormat="1" applyFont="1" applyFill="1" applyBorder="1" applyAlignment="1">
      <alignment horizontal="center"/>
    </xf>
    <xf numFmtId="0" fontId="0" fillId="2" borderId="0" xfId="0" applyFill="1" applyAlignment="1">
      <alignment horizontal="center"/>
    </xf>
    <xf numFmtId="166" fontId="2" fillId="8" borderId="0" xfId="0" applyNumberFormat="1" applyFont="1" applyFill="1" applyAlignment="1">
      <alignment horizontal="center"/>
    </xf>
    <xf numFmtId="10" fontId="2" fillId="8" borderId="0" xfId="3" applyNumberFormat="1" applyFont="1" applyFill="1" applyAlignment="1">
      <alignment horizontal="center"/>
    </xf>
    <xf numFmtId="10" fontId="2" fillId="2" borderId="0" xfId="3" applyNumberFormat="1" applyFont="1" applyFill="1" applyAlignment="1">
      <alignment horizontal="center"/>
    </xf>
    <xf numFmtId="10" fontId="0" fillId="3" borderId="0" xfId="3" applyNumberFormat="1" applyFont="1" applyFill="1"/>
    <xf numFmtId="180" fontId="0" fillId="0" borderId="0" xfId="0" applyNumberFormat="1"/>
    <xf numFmtId="180" fontId="0" fillId="3" borderId="0" xfId="0" applyNumberFormat="1" applyFill="1"/>
    <xf numFmtId="0" fontId="2" fillId="2" borderId="0" xfId="0" applyFont="1" applyFill="1" applyBorder="1" applyAlignment="1">
      <alignment horizontal="center"/>
    </xf>
    <xf numFmtId="165" fontId="1" fillId="0" borderId="8" xfId="2" applyNumberFormat="1" applyFont="1" applyFill="1" applyBorder="1" applyAlignment="1">
      <alignment horizontal="left"/>
    </xf>
    <xf numFmtId="164" fontId="1" fillId="0" borderId="8" xfId="1" applyNumberFormat="1" applyFont="1" applyFill="1" applyBorder="1" applyAlignment="1">
      <alignment horizontal="center"/>
    </xf>
    <xf numFmtId="165" fontId="1" fillId="0" borderId="0" xfId="2" applyNumberFormat="1" applyFont="1" applyFill="1" applyBorder="1" applyAlignment="1">
      <alignment horizontal="left" indent="2"/>
    </xf>
    <xf numFmtId="165" fontId="1" fillId="0" borderId="0" xfId="2" applyNumberFormat="1" applyFont="1" applyFill="1" applyBorder="1" applyAlignment="1">
      <alignment horizontal="left"/>
    </xf>
    <xf numFmtId="44" fontId="1" fillId="0" borderId="0" xfId="2" applyFont="1" applyFill="1" applyBorder="1"/>
    <xf numFmtId="164" fontId="0" fillId="0" borderId="12" xfId="1" applyNumberFormat="1" applyFont="1" applyFill="1" applyBorder="1" applyAlignment="1">
      <alignment horizontal="center"/>
    </xf>
    <xf numFmtId="0" fontId="2" fillId="2" borderId="2" xfId="0" applyFont="1" applyFill="1" applyBorder="1" applyAlignment="1">
      <alignment horizontal="center"/>
    </xf>
    <xf numFmtId="165" fontId="11" fillId="0" borderId="8" xfId="2" applyNumberFormat="1" applyFont="1" applyFill="1" applyBorder="1" applyAlignment="1">
      <alignment horizontal="left"/>
    </xf>
    <xf numFmtId="0" fontId="0" fillId="0" borderId="7" xfId="0" applyFill="1" applyBorder="1"/>
    <xf numFmtId="0" fontId="0" fillId="3" borderId="3" xfId="0" applyFill="1" applyBorder="1"/>
    <xf numFmtId="0" fontId="0" fillId="3" borderId="2" xfId="0" applyFill="1" applyBorder="1"/>
    <xf numFmtId="0" fontId="0" fillId="3" borderId="2" xfId="0" applyFill="1" applyBorder="1" applyAlignment="1">
      <alignment horizontal="center"/>
    </xf>
    <xf numFmtId="165" fontId="11" fillId="3" borderId="2" xfId="2" applyNumberFormat="1" applyFont="1" applyFill="1" applyBorder="1"/>
    <xf numFmtId="164" fontId="11" fillId="3" borderId="3" xfId="1" applyNumberFormat="1" applyFont="1" applyFill="1" applyBorder="1" applyAlignment="1">
      <alignment horizontal="center"/>
    </xf>
    <xf numFmtId="164" fontId="11" fillId="3" borderId="2" xfId="1" applyNumberFormat="1" applyFont="1" applyFill="1" applyBorder="1" applyAlignment="1">
      <alignment horizontal="center"/>
    </xf>
    <xf numFmtId="0" fontId="0" fillId="0" borderId="1" xfId="0" applyFill="1" applyBorder="1"/>
    <xf numFmtId="0" fontId="0" fillId="3" borderId="9" xfId="0" applyFill="1" applyBorder="1"/>
    <xf numFmtId="0" fontId="0" fillId="3" borderId="8" xfId="0" applyFill="1" applyBorder="1"/>
    <xf numFmtId="0" fontId="0" fillId="3" borderId="8" xfId="0" applyFill="1" applyBorder="1" applyAlignment="1">
      <alignment horizontal="center"/>
    </xf>
    <xf numFmtId="165" fontId="11" fillId="3" borderId="8" xfId="2" applyNumberFormat="1" applyFont="1" applyFill="1" applyBorder="1"/>
    <xf numFmtId="165" fontId="11" fillId="3" borderId="7" xfId="2" applyNumberFormat="1" applyFont="1" applyFill="1" applyBorder="1"/>
    <xf numFmtId="164" fontId="11" fillId="3" borderId="6" xfId="1" applyNumberFormat="1" applyFont="1" applyFill="1" applyBorder="1" applyAlignment="1">
      <alignment horizontal="center"/>
    </xf>
    <xf numFmtId="164" fontId="11" fillId="3" borderId="0" xfId="1" applyNumberFormat="1" applyFont="1" applyFill="1" applyBorder="1" applyAlignment="1">
      <alignment horizontal="center"/>
    </xf>
    <xf numFmtId="165" fontId="11" fillId="15" borderId="0" xfId="2" applyNumberFormat="1" applyFont="1" applyFill="1" applyBorder="1"/>
    <xf numFmtId="165" fontId="11" fillId="15" borderId="4" xfId="2" applyNumberFormat="1" applyFont="1" applyFill="1" applyBorder="1"/>
    <xf numFmtId="164" fontId="11" fillId="15" borderId="3" xfId="1" applyNumberFormat="1" applyFont="1" applyFill="1" applyBorder="1" applyAlignment="1">
      <alignment horizontal="center"/>
    </xf>
    <xf numFmtId="165" fontId="11" fillId="15" borderId="2" xfId="2" applyNumberFormat="1" applyFont="1" applyFill="1" applyBorder="1"/>
    <xf numFmtId="165" fontId="11" fillId="15" borderId="1" xfId="2" applyNumberFormat="1" applyFont="1" applyFill="1" applyBorder="1"/>
    <xf numFmtId="165" fontId="11" fillId="36" borderId="8" xfId="2" applyNumberFormat="1" applyFont="1" applyFill="1" applyBorder="1"/>
    <xf numFmtId="165" fontId="5" fillId="36" borderId="8" xfId="2" applyNumberFormat="1" applyFont="1" applyFill="1" applyBorder="1"/>
    <xf numFmtId="165" fontId="11" fillId="36" borderId="2" xfId="2" applyNumberFormat="1" applyFont="1" applyFill="1" applyBorder="1"/>
    <xf numFmtId="165" fontId="5" fillId="36" borderId="2" xfId="2" applyNumberFormat="1" applyFont="1" applyFill="1" applyBorder="1"/>
    <xf numFmtId="165" fontId="11" fillId="4" borderId="8" xfId="2" applyNumberFormat="1" applyFont="1" applyFill="1" applyBorder="1"/>
    <xf numFmtId="165" fontId="11" fillId="6" borderId="0" xfId="2" applyNumberFormat="1" applyFont="1" applyFill="1" applyBorder="1"/>
    <xf numFmtId="165" fontId="11" fillId="0" borderId="0" xfId="2" applyNumberFormat="1" applyFont="1" applyFill="1" applyAlignment="1">
      <alignment horizontal="left"/>
    </xf>
    <xf numFmtId="0" fontId="0" fillId="4" borderId="6" xfId="0" applyFill="1" applyBorder="1"/>
    <xf numFmtId="0" fontId="0" fillId="4" borderId="0" xfId="0" applyFill="1" applyBorder="1"/>
    <xf numFmtId="0" fontId="0" fillId="4" borderId="0" xfId="0" applyFill="1" applyBorder="1" applyAlignment="1">
      <alignment horizontal="center"/>
    </xf>
    <xf numFmtId="165" fontId="11" fillId="4" borderId="0" xfId="2" applyNumberFormat="1" applyFont="1" applyFill="1"/>
    <xf numFmtId="165" fontId="11" fillId="4" borderId="0" xfId="2" applyNumberFormat="1" applyFont="1" applyFill="1" applyBorder="1"/>
    <xf numFmtId="164" fontId="11" fillId="4" borderId="6" xfId="1" applyNumberFormat="1" applyFont="1" applyFill="1" applyBorder="1" applyAlignment="1">
      <alignment horizontal="center"/>
    </xf>
    <xf numFmtId="164" fontId="11" fillId="4" borderId="0" xfId="1" applyNumberFormat="1" applyFont="1" applyFill="1" applyBorder="1" applyAlignment="1">
      <alignment horizontal="center"/>
    </xf>
    <xf numFmtId="44" fontId="11" fillId="3" borderId="2" xfId="2" applyFont="1" applyFill="1" applyBorder="1"/>
    <xf numFmtId="0" fontId="0" fillId="4" borderId="9" xfId="0" applyFill="1" applyBorder="1"/>
    <xf numFmtId="0" fontId="0" fillId="4" borderId="8" xfId="0" applyFill="1" applyBorder="1"/>
    <xf numFmtId="0" fontId="0" fillId="4" borderId="8" xfId="0" applyFill="1" applyBorder="1" applyAlignment="1">
      <alignment horizontal="center"/>
    </xf>
    <xf numFmtId="164" fontId="11" fillId="4" borderId="9" xfId="1" applyNumberFormat="1" applyFont="1" applyFill="1" applyBorder="1" applyAlignment="1">
      <alignment horizontal="center"/>
    </xf>
    <xf numFmtId="164" fontId="11" fillId="4" borderId="8" xfId="1" applyNumberFormat="1" applyFont="1" applyFill="1" applyBorder="1" applyAlignment="1">
      <alignment horizontal="center"/>
    </xf>
    <xf numFmtId="165" fontId="11" fillId="4" borderId="4" xfId="2" applyNumberFormat="1" applyFont="1" applyFill="1" applyBorder="1"/>
    <xf numFmtId="164" fontId="11" fillId="4" borderId="3" xfId="1" applyNumberFormat="1" applyFont="1" applyFill="1" applyBorder="1" applyAlignment="1">
      <alignment horizontal="center"/>
    </xf>
    <xf numFmtId="164" fontId="11" fillId="4" borderId="2" xfId="1" applyNumberFormat="1" applyFont="1" applyFill="1" applyBorder="1" applyAlignment="1">
      <alignment horizontal="center"/>
    </xf>
    <xf numFmtId="166" fontId="6" fillId="22" borderId="0" xfId="1" applyNumberFormat="1" applyFont="1" applyFill="1"/>
    <xf numFmtId="166" fontId="6" fillId="22" borderId="0" xfId="1" applyNumberFormat="1" applyFont="1" applyFill="1" applyAlignment="1">
      <alignment horizontal="center" vertical="center"/>
    </xf>
    <xf numFmtId="166" fontId="6" fillId="22" borderId="12" xfId="1" applyNumberFormat="1" applyFont="1" applyFill="1" applyBorder="1"/>
    <xf numFmtId="166" fontId="6" fillId="22" borderId="12" xfId="1" applyNumberFormat="1" applyFont="1" applyFill="1" applyBorder="1" applyAlignment="1">
      <alignment vertical="center"/>
    </xf>
    <xf numFmtId="0" fontId="50" fillId="0" borderId="0" xfId="0" applyFont="1"/>
    <xf numFmtId="0" fontId="49" fillId="0" borderId="0" xfId="0" applyFont="1"/>
    <xf numFmtId="0" fontId="50" fillId="0" borderId="0" xfId="0" applyFont="1" applyBorder="1"/>
    <xf numFmtId="0" fontId="50" fillId="0" borderId="0" xfId="0" applyFont="1" applyAlignment="1"/>
    <xf numFmtId="0" fontId="49" fillId="2" borderId="0" xfId="0" applyFont="1" applyFill="1" applyBorder="1" applyAlignment="1">
      <alignment horizontal="centerContinuous" vertical="center"/>
    </xf>
    <xf numFmtId="0" fontId="50" fillId="2" borderId="0" xfId="0" applyFont="1" applyFill="1" applyAlignment="1">
      <alignment horizontal="centerContinuous"/>
    </xf>
    <xf numFmtId="0" fontId="50" fillId="2" borderId="0" xfId="0" applyFont="1" applyFill="1" applyBorder="1" applyAlignment="1">
      <alignment horizontal="centerContinuous"/>
    </xf>
    <xf numFmtId="0" fontId="49" fillId="0" borderId="12" xfId="0" applyFont="1" applyBorder="1" applyAlignment="1">
      <alignment horizontal="center"/>
    </xf>
    <xf numFmtId="0" fontId="49" fillId="0" borderId="0" xfId="0" applyFont="1" applyBorder="1"/>
    <xf numFmtId="165" fontId="50" fillId="0" borderId="0" xfId="2" applyNumberFormat="1" applyFont="1"/>
    <xf numFmtId="43" fontId="50" fillId="0" borderId="0" xfId="0" applyNumberFormat="1" applyFont="1"/>
    <xf numFmtId="10" fontId="50" fillId="0" borderId="0" xfId="3" applyNumberFormat="1" applyFont="1"/>
    <xf numFmtId="166" fontId="50" fillId="0" borderId="0" xfId="1" applyNumberFormat="1" applyFont="1"/>
    <xf numFmtId="165" fontId="49" fillId="0" borderId="32" xfId="2" applyNumberFormat="1" applyFont="1" applyBorder="1"/>
    <xf numFmtId="0" fontId="51" fillId="0" borderId="0" xfId="0" applyFont="1" applyAlignment="1">
      <alignment horizontal="center" wrapText="1"/>
    </xf>
    <xf numFmtId="165" fontId="50" fillId="0" borderId="0" xfId="2" applyNumberFormat="1" applyFont="1" applyBorder="1"/>
    <xf numFmtId="43" fontId="50" fillId="0" borderId="0" xfId="1" applyFont="1" applyBorder="1"/>
    <xf numFmtId="0" fontId="51" fillId="0" borderId="0" xfId="0" applyFont="1"/>
    <xf numFmtId="0" fontId="27" fillId="15" borderId="0" xfId="11" applyFont="1" applyFill="1" applyAlignment="1">
      <alignment horizontal="center" wrapText="1"/>
    </xf>
    <xf numFmtId="0" fontId="27" fillId="0" borderId="0" xfId="11" applyFont="1" applyFill="1" applyBorder="1" applyAlignment="1">
      <alignment wrapText="1"/>
    </xf>
    <xf numFmtId="43" fontId="27" fillId="25" borderId="0" xfId="7" applyFont="1" applyFill="1" applyBorder="1" applyAlignment="1">
      <alignment horizontal="center" wrapText="1"/>
    </xf>
    <xf numFmtId="43" fontId="27" fillId="0" borderId="0" xfId="7" applyFont="1" applyFill="1" applyBorder="1" applyAlignment="1">
      <alignment horizontal="center" wrapText="1"/>
    </xf>
    <xf numFmtId="173" fontId="27" fillId="0" borderId="0" xfId="11" applyNumberFormat="1" applyFont="1" applyAlignment="1">
      <alignment horizontal="center" wrapText="1"/>
    </xf>
    <xf numFmtId="43" fontId="27" fillId="37" borderId="0" xfId="7" applyFont="1" applyFill="1" applyBorder="1" applyAlignment="1">
      <alignment horizontal="center" wrapText="1"/>
    </xf>
    <xf numFmtId="43" fontId="27" fillId="37" borderId="0" xfId="7" applyFont="1" applyFill="1" applyAlignment="1">
      <alignment wrapText="1"/>
    </xf>
    <xf numFmtId="43" fontId="21" fillId="3" borderId="12" xfId="7" applyFont="1" applyFill="1" applyBorder="1"/>
    <xf numFmtId="43" fontId="21" fillId="37" borderId="0" xfId="7" applyFont="1" applyFill="1" applyBorder="1"/>
    <xf numFmtId="43" fontId="21" fillId="26" borderId="0" xfId="7" applyFont="1" applyFill="1" applyBorder="1"/>
    <xf numFmtId="43" fontId="27" fillId="26" borderId="12" xfId="7" applyFont="1" applyFill="1" applyBorder="1"/>
    <xf numFmtId="43" fontId="27" fillId="28" borderId="12" xfId="7" applyFont="1" applyFill="1" applyBorder="1"/>
    <xf numFmtId="43" fontId="27" fillId="6" borderId="33" xfId="7" applyFont="1" applyFill="1" applyBorder="1"/>
    <xf numFmtId="43" fontId="0" fillId="6" borderId="0" xfId="7" applyFont="1" applyFill="1" applyBorder="1"/>
    <xf numFmtId="0" fontId="54" fillId="0" borderId="0" xfId="11" applyFont="1" applyFill="1"/>
    <xf numFmtId="43" fontId="0" fillId="4" borderId="13" xfId="7" applyFont="1" applyFill="1" applyBorder="1" applyAlignment="1">
      <alignment horizontal="center"/>
    </xf>
    <xf numFmtId="43" fontId="28" fillId="0" borderId="0" xfId="7" applyFont="1" applyFill="1"/>
    <xf numFmtId="43" fontId="0" fillId="0" borderId="0" xfId="7" quotePrefix="1" applyFont="1" applyFill="1"/>
    <xf numFmtId="43" fontId="21" fillId="0" borderId="0" xfId="7" applyFont="1" applyFill="1"/>
    <xf numFmtId="0" fontId="55" fillId="0" borderId="0" xfId="11" applyFont="1"/>
    <xf numFmtId="43" fontId="56" fillId="0" borderId="0" xfId="7" applyFont="1" applyFill="1"/>
    <xf numFmtId="43" fontId="21" fillId="3" borderId="0" xfId="7" applyFont="1" applyFill="1" applyBorder="1"/>
    <xf numFmtId="0" fontId="27" fillId="0" borderId="9" xfId="11" applyFont="1" applyBorder="1"/>
    <xf numFmtId="43" fontId="27" fillId="0" borderId="8" xfId="7" applyFont="1" applyFill="1" applyBorder="1"/>
    <xf numFmtId="43" fontId="27" fillId="0" borderId="7" xfId="7" applyFont="1" applyFill="1" applyBorder="1"/>
    <xf numFmtId="0" fontId="27" fillId="0" borderId="3" xfId="11" applyFont="1" applyBorder="1"/>
    <xf numFmtId="43" fontId="27" fillId="0" borderId="2" xfId="7" applyFont="1" applyFill="1" applyBorder="1"/>
    <xf numFmtId="43" fontId="27" fillId="0" borderId="1" xfId="7" applyFont="1" applyFill="1" applyBorder="1"/>
    <xf numFmtId="43" fontId="27" fillId="0" borderId="8" xfId="7" applyFont="1" applyBorder="1"/>
    <xf numFmtId="43" fontId="27" fillId="0" borderId="7" xfId="7" applyFont="1" applyBorder="1"/>
    <xf numFmtId="43" fontId="27" fillId="0" borderId="2" xfId="7" applyFont="1" applyBorder="1"/>
    <xf numFmtId="43" fontId="27" fillId="0" borderId="1" xfId="7" applyFont="1" applyBorder="1"/>
    <xf numFmtId="175" fontId="0" fillId="0" borderId="0" xfId="7" applyNumberFormat="1" applyFont="1"/>
    <xf numFmtId="175" fontId="27" fillId="0" borderId="0" xfId="7" applyNumberFormat="1" applyFont="1" applyFill="1"/>
    <xf numFmtId="175" fontId="27" fillId="0" borderId="0" xfId="7" applyNumberFormat="1" applyFont="1"/>
    <xf numFmtId="0" fontId="27" fillId="15" borderId="0" xfId="11" applyFont="1" applyFill="1" applyAlignment="1">
      <alignment horizontal="right" wrapText="1"/>
    </xf>
    <xf numFmtId="43" fontId="27" fillId="37" borderId="0" xfId="7" applyFont="1" applyFill="1" applyBorder="1" applyAlignment="1">
      <alignment wrapText="1"/>
    </xf>
    <xf numFmtId="43" fontId="27" fillId="0" borderId="0" xfId="7" applyFont="1" applyFill="1" applyBorder="1" applyAlignment="1">
      <alignment wrapText="1"/>
    </xf>
    <xf numFmtId="0" fontId="27" fillId="0" borderId="0" xfId="11" applyFont="1" applyAlignment="1">
      <alignment wrapText="1"/>
    </xf>
    <xf numFmtId="0" fontId="21" fillId="15" borderId="0" xfId="11" applyFont="1" applyFill="1" applyBorder="1"/>
    <xf numFmtId="0" fontId="26" fillId="15" borderId="0" xfId="11" applyFill="1" applyBorder="1"/>
    <xf numFmtId="0" fontId="26" fillId="15" borderId="12" xfId="11" applyFill="1" applyBorder="1"/>
    <xf numFmtId="43" fontId="21" fillId="30" borderId="0" xfId="7" applyFont="1" applyFill="1" applyBorder="1"/>
    <xf numFmtId="43" fontId="27" fillId="3" borderId="33" xfId="7" applyFont="1" applyFill="1" applyBorder="1"/>
    <xf numFmtId="43" fontId="27" fillId="28" borderId="33" xfId="7" applyFont="1" applyFill="1" applyBorder="1"/>
    <xf numFmtId="43" fontId="21" fillId="0" borderId="0" xfId="7" applyFont="1" applyFill="1" applyAlignment="1">
      <alignment horizontal="center"/>
    </xf>
    <xf numFmtId="43" fontId="27" fillId="11" borderId="2" xfId="7" applyFont="1" applyFill="1" applyBorder="1"/>
    <xf numFmtId="0" fontId="25" fillId="38" borderId="0" xfId="11" applyNumberFormat="1" applyFont="1" applyFill="1" applyAlignment="1">
      <alignment horizontal="center" vertical="center" wrapText="1"/>
    </xf>
    <xf numFmtId="43" fontId="25" fillId="38" borderId="0" xfId="7" applyFont="1" applyFill="1" applyAlignment="1">
      <alignment horizontal="center" vertical="center" wrapText="1"/>
    </xf>
    <xf numFmtId="43" fontId="27" fillId="0" borderId="31" xfId="11" applyNumberFormat="1" applyFont="1" applyFill="1" applyBorder="1"/>
    <xf numFmtId="0" fontId="28" fillId="0" borderId="0" xfId="11" applyFont="1"/>
    <xf numFmtId="173" fontId="28" fillId="0" borderId="0" xfId="11" applyNumberFormat="1" applyFont="1"/>
    <xf numFmtId="173" fontId="57" fillId="0" borderId="0" xfId="11" applyNumberFormat="1" applyFont="1"/>
    <xf numFmtId="0" fontId="5" fillId="0" borderId="0" xfId="22" applyFont="1" applyFill="1"/>
    <xf numFmtId="172" fontId="1" fillId="0" borderId="0" xfId="12" applyNumberFormat="1"/>
    <xf numFmtId="166" fontId="1" fillId="0" borderId="0" xfId="12" applyNumberFormat="1" applyFont="1" applyAlignment="1">
      <alignment horizontal="right"/>
    </xf>
    <xf numFmtId="166" fontId="2" fillId="0" borderId="0" xfId="12" applyNumberFormat="1" applyFont="1" applyFill="1" applyBorder="1" applyAlignment="1">
      <alignment horizontal="center"/>
    </xf>
    <xf numFmtId="166" fontId="2" fillId="0" borderId="0" xfId="12" applyNumberFormat="1" applyFont="1" applyBorder="1" applyAlignment="1">
      <alignment horizontal="center"/>
    </xf>
    <xf numFmtId="0" fontId="16" fillId="0" borderId="12" xfId="12" applyFont="1" applyFill="1" applyBorder="1" applyAlignment="1">
      <alignment horizontal="center"/>
    </xf>
    <xf numFmtId="0" fontId="2" fillId="0" borderId="15" xfId="12" applyFont="1" applyBorder="1" applyAlignment="1">
      <alignment horizontal="center"/>
    </xf>
    <xf numFmtId="0" fontId="2" fillId="0" borderId="13" xfId="12" applyFont="1" applyBorder="1" applyAlignment="1">
      <alignment horizontal="center"/>
    </xf>
    <xf numFmtId="0" fontId="1" fillId="0" borderId="13" xfId="12" applyBorder="1"/>
    <xf numFmtId="0" fontId="1" fillId="0" borderId="16" xfId="12" applyBorder="1"/>
    <xf numFmtId="166" fontId="5" fillId="0" borderId="0" xfId="15" applyNumberFormat="1" applyFont="1" applyFill="1"/>
    <xf numFmtId="166" fontId="0" fillId="23" borderId="0" xfId="15" applyNumberFormat="1" applyFont="1" applyFill="1"/>
    <xf numFmtId="43" fontId="11" fillId="0" borderId="0" xfId="12" applyNumberFormat="1" applyFont="1"/>
    <xf numFmtId="166" fontId="5" fillId="30" borderId="46" xfId="12" applyNumberFormat="1" applyFont="1" applyFill="1" applyBorder="1"/>
    <xf numFmtId="166" fontId="0" fillId="0" borderId="31" xfId="15" applyNumberFormat="1" applyFont="1" applyFill="1" applyBorder="1"/>
    <xf numFmtId="3" fontId="11" fillId="0" borderId="0" xfId="12" applyNumberFormat="1" applyFont="1" applyFill="1"/>
    <xf numFmtId="166" fontId="11" fillId="0" borderId="0" xfId="12" applyNumberFormat="1" applyFont="1" applyFill="1"/>
    <xf numFmtId="0" fontId="1" fillId="0" borderId="0" xfId="12" applyFill="1" applyAlignment="1">
      <alignment horizontal="right"/>
    </xf>
    <xf numFmtId="166" fontId="0" fillId="0" borderId="0" xfId="15" applyNumberFormat="1" applyFont="1" applyFill="1" applyAlignment="1">
      <alignment horizontal="right"/>
    </xf>
    <xf numFmtId="43" fontId="11" fillId="0" borderId="0" xfId="7" applyFont="1"/>
    <xf numFmtId="0" fontId="11" fillId="0" borderId="0" xfId="12" applyFont="1"/>
    <xf numFmtId="166" fontId="1" fillId="0" borderId="0" xfId="12" applyNumberFormat="1" applyFill="1"/>
    <xf numFmtId="43" fontId="1" fillId="0" borderId="0" xfId="15" applyNumberFormat="1" applyFont="1" applyFill="1"/>
    <xf numFmtId="0" fontId="1" fillId="0" borderId="0" xfId="12" applyFont="1" applyFill="1" applyBorder="1"/>
    <xf numFmtId="166" fontId="1" fillId="0" borderId="0" xfId="12" applyNumberFormat="1" applyFill="1" applyBorder="1"/>
    <xf numFmtId="43" fontId="1" fillId="0" borderId="0" xfId="12" applyNumberFormat="1" applyFill="1" applyBorder="1"/>
    <xf numFmtId="0" fontId="1" fillId="0" borderId="0" xfId="12" applyFill="1" applyBorder="1"/>
    <xf numFmtId="0" fontId="11" fillId="0" borderId="0" xfId="12" applyFont="1" applyFill="1"/>
    <xf numFmtId="165" fontId="1" fillId="0" borderId="0" xfId="23" applyNumberFormat="1" applyFont="1" applyFill="1"/>
    <xf numFmtId="0" fontId="21" fillId="39" borderId="0" xfId="11" applyFont="1" applyFill="1" applyAlignment="1">
      <alignment horizontal="right"/>
    </xf>
    <xf numFmtId="0" fontId="21" fillId="39" borderId="0" xfId="11" applyFont="1" applyFill="1" applyBorder="1"/>
    <xf numFmtId="43" fontId="21" fillId="39" borderId="0" xfId="7" applyFont="1" applyFill="1" applyBorder="1"/>
    <xf numFmtId="0" fontId="58" fillId="39" borderId="0" xfId="11" applyFont="1" applyFill="1" applyBorder="1"/>
    <xf numFmtId="0" fontId="21" fillId="39" borderId="12" xfId="11" applyFont="1" applyFill="1" applyBorder="1"/>
    <xf numFmtId="0" fontId="59" fillId="39" borderId="33" xfId="11" applyFont="1" applyFill="1" applyBorder="1"/>
    <xf numFmtId="43" fontId="27" fillId="39" borderId="33" xfId="7" applyFont="1" applyFill="1" applyBorder="1"/>
    <xf numFmtId="43" fontId="27" fillId="26" borderId="33" xfId="7" applyFont="1" applyFill="1" applyBorder="1"/>
    <xf numFmtId="43" fontId="21" fillId="0" borderId="0" xfId="7" applyFont="1" applyFill="1" applyAlignment="1">
      <alignment horizontal="right"/>
    </xf>
    <xf numFmtId="43" fontId="27" fillId="0" borderId="5" xfId="7" applyFont="1" applyFill="1" applyBorder="1"/>
    <xf numFmtId="43" fontId="0" fillId="40" borderId="0" xfId="7" applyFont="1" applyFill="1"/>
    <xf numFmtId="165" fontId="1" fillId="0" borderId="0" xfId="23" applyNumberFormat="1" applyFont="1"/>
    <xf numFmtId="0" fontId="49" fillId="0" borderId="0" xfId="0" applyFont="1" applyBorder="1" applyAlignment="1">
      <alignment horizontal="center"/>
    </xf>
    <xf numFmtId="43" fontId="1" fillId="0" borderId="0" xfId="12" applyNumberFormat="1"/>
    <xf numFmtId="0" fontId="0" fillId="0" borderId="0" xfId="12" applyFont="1"/>
    <xf numFmtId="43" fontId="2" fillId="0" borderId="0" xfId="12" applyNumberFormat="1" applyFont="1"/>
    <xf numFmtId="0" fontId="0" fillId="3" borderId="0" xfId="0" applyFill="1" applyAlignment="1">
      <alignment horizontal="center" vertical="center"/>
    </xf>
    <xf numFmtId="0" fontId="31" fillId="3" borderId="33" xfId="0" applyFont="1" applyFill="1" applyBorder="1"/>
    <xf numFmtId="0" fontId="0" fillId="3" borderId="0" xfId="0" applyFill="1" applyAlignment="1">
      <alignment vertical="center"/>
    </xf>
    <xf numFmtId="0" fontId="0" fillId="3" borderId="0" xfId="0" applyFill="1" applyBorder="1"/>
    <xf numFmtId="0" fontId="0" fillId="3" borderId="33" xfId="0" applyFill="1" applyBorder="1"/>
    <xf numFmtId="0" fontId="0" fillId="3" borderId="31" xfId="0" applyFill="1" applyBorder="1"/>
    <xf numFmtId="0" fontId="50" fillId="3" borderId="0" xfId="0" applyFont="1" applyFill="1"/>
    <xf numFmtId="166" fontId="0" fillId="3" borderId="0" xfId="1" applyNumberFormat="1" applyFont="1" applyFill="1"/>
    <xf numFmtId="0" fontId="11" fillId="3" borderId="0" xfId="0" applyFont="1" applyFill="1"/>
    <xf numFmtId="166" fontId="0" fillId="3" borderId="0" xfId="0" applyNumberFormat="1" applyFill="1"/>
    <xf numFmtId="165" fontId="50" fillId="0" borderId="0" xfId="0" applyNumberFormat="1" applyFont="1"/>
    <xf numFmtId="166" fontId="2" fillId="0" borderId="5" xfId="1" applyNumberFormat="1" applyFont="1" applyBorder="1"/>
    <xf numFmtId="43" fontId="26" fillId="30" borderId="0" xfId="11" applyNumberFormat="1" applyFill="1"/>
    <xf numFmtId="166" fontId="2" fillId="0" borderId="5" xfId="0" applyNumberFormat="1" applyFont="1" applyBorder="1"/>
    <xf numFmtId="166" fontId="0" fillId="0" borderId="31" xfId="1" applyNumberFormat="1" applyFont="1" applyBorder="1"/>
    <xf numFmtId="43" fontId="1" fillId="0" borderId="31" xfId="12" applyNumberFormat="1" applyBorder="1"/>
    <xf numFmtId="166" fontId="0" fillId="0" borderId="0" xfId="1" applyNumberFormat="1" applyFont="1" applyAlignment="1">
      <alignment horizontal="right"/>
    </xf>
    <xf numFmtId="166" fontId="2" fillId="29" borderId="0" xfId="1" applyNumberFormat="1" applyFont="1" applyFill="1"/>
    <xf numFmtId="166" fontId="2" fillId="29" borderId="5" xfId="1" applyNumberFormat="1" applyFont="1" applyFill="1" applyBorder="1"/>
    <xf numFmtId="166" fontId="2" fillId="29" borderId="31" xfId="1" applyNumberFormat="1" applyFont="1" applyFill="1" applyBorder="1"/>
    <xf numFmtId="166" fontId="1" fillId="0" borderId="0" xfId="1" applyNumberFormat="1"/>
    <xf numFmtId="166" fontId="31" fillId="0" borderId="31" xfId="1" applyNumberFormat="1" applyFont="1" applyFill="1" applyBorder="1"/>
    <xf numFmtId="166" fontId="0" fillId="29" borderId="0" xfId="1" applyNumberFormat="1" applyFont="1" applyFill="1"/>
    <xf numFmtId="0" fontId="16" fillId="0" borderId="0" xfId="0" applyFont="1" applyAlignment="1">
      <alignment horizontal="center"/>
    </xf>
    <xf numFmtId="166" fontId="16" fillId="0" borderId="0" xfId="1" applyNumberFormat="1" applyFont="1" applyAlignment="1">
      <alignment horizontal="center"/>
    </xf>
    <xf numFmtId="43" fontId="2" fillId="29" borderId="5" xfId="0" applyNumberFormat="1" applyFont="1" applyFill="1" applyBorder="1"/>
    <xf numFmtId="43" fontId="2" fillId="29" borderId="0" xfId="0" applyNumberFormat="1" applyFont="1" applyFill="1"/>
    <xf numFmtId="166" fontId="0" fillId="29" borderId="0" xfId="0" applyNumberFormat="1" applyFill="1"/>
    <xf numFmtId="166" fontId="2" fillId="29" borderId="5" xfId="0" applyNumberFormat="1" applyFont="1" applyFill="1" applyBorder="1"/>
    <xf numFmtId="166" fontId="2" fillId="0" borderId="0" xfId="1" applyNumberFormat="1" applyFont="1" applyAlignment="1">
      <alignment horizontal="center"/>
    </xf>
    <xf numFmtId="166" fontId="2" fillId="29" borderId="0" xfId="1" applyNumberFormat="1" applyFont="1" applyFill="1" applyAlignment="1">
      <alignment horizontal="center"/>
    </xf>
    <xf numFmtId="166" fontId="11" fillId="0" borderId="0" xfId="1" applyNumberFormat="1" applyFont="1" applyFill="1"/>
    <xf numFmtId="0" fontId="2" fillId="0" borderId="0" xfId="0" applyFont="1" applyAlignment="1">
      <alignment vertical="center" wrapText="1"/>
    </xf>
    <xf numFmtId="0" fontId="2" fillId="0" borderId="0" xfId="0" applyFont="1" applyAlignment="1">
      <alignment horizontal="center" vertical="center" wrapText="1"/>
    </xf>
    <xf numFmtId="0" fontId="16" fillId="0" borderId="0" xfId="0" applyFont="1" applyAlignment="1">
      <alignment horizontal="center" vertical="center" wrapText="1"/>
    </xf>
    <xf numFmtId="166" fontId="16" fillId="0" borderId="0" xfId="1" applyNumberFormat="1" applyFont="1" applyAlignment="1">
      <alignment vertical="center" wrapText="1"/>
    </xf>
    <xf numFmtId="0" fontId="2" fillId="29" borderId="19" xfId="0" applyFont="1" applyFill="1" applyBorder="1" applyAlignment="1">
      <alignment horizontal="center" vertical="center" wrapText="1"/>
    </xf>
    <xf numFmtId="0" fontId="2" fillId="0" borderId="0" xfId="0" applyFont="1" applyBorder="1" applyAlignment="1">
      <alignment vertical="center" wrapText="1"/>
    </xf>
    <xf numFmtId="0" fontId="51" fillId="18" borderId="0" xfId="0" applyFont="1" applyFill="1" applyBorder="1" applyAlignment="1">
      <alignment horizontal="center" wrapText="1"/>
    </xf>
    <xf numFmtId="0" fontId="49" fillId="18" borderId="0" xfId="0" applyFont="1" applyFill="1" applyBorder="1"/>
    <xf numFmtId="0" fontId="49" fillId="18" borderId="0" xfId="0" applyFont="1" applyFill="1" applyBorder="1" applyAlignment="1">
      <alignment horizontal="center" wrapText="1"/>
    </xf>
    <xf numFmtId="165" fontId="50" fillId="18" borderId="0" xfId="2" applyNumberFormat="1" applyFont="1" applyFill="1"/>
    <xf numFmtId="43" fontId="50" fillId="18" borderId="0" xfId="1" applyFont="1" applyFill="1"/>
    <xf numFmtId="0" fontId="49" fillId="18" borderId="0" xfId="0" applyFont="1" applyFill="1" applyAlignment="1">
      <alignment horizontal="center"/>
    </xf>
    <xf numFmtId="0" fontId="50" fillId="18" borderId="0" xfId="0" applyFont="1" applyFill="1" applyBorder="1"/>
    <xf numFmtId="43" fontId="50" fillId="18" borderId="0" xfId="0" applyNumberFormat="1" applyFont="1" applyFill="1"/>
    <xf numFmtId="168" fontId="50" fillId="18" borderId="0" xfId="3" applyNumberFormat="1" applyFont="1" applyFill="1" applyAlignment="1">
      <alignment horizontal="right" wrapText="1"/>
    </xf>
    <xf numFmtId="9" fontId="50" fillId="18" borderId="0" xfId="3" applyFont="1" applyFill="1" applyAlignment="1">
      <alignment horizontal="right" wrapText="1"/>
    </xf>
    <xf numFmtId="168" fontId="50" fillId="18" borderId="0" xfId="3" applyNumberFormat="1" applyFont="1" applyFill="1"/>
    <xf numFmtId="10" fontId="50" fillId="18" borderId="0" xfId="3" applyNumberFormat="1" applyFont="1" applyFill="1"/>
    <xf numFmtId="166" fontId="50" fillId="18" borderId="0" xfId="1" applyNumberFormat="1" applyFont="1" applyFill="1"/>
    <xf numFmtId="43" fontId="50" fillId="18" borderId="0" xfId="0" applyNumberFormat="1" applyFont="1" applyFill="1" applyBorder="1"/>
    <xf numFmtId="168" fontId="50" fillId="18" borderId="0" xfId="0" applyNumberFormat="1" applyFont="1" applyFill="1"/>
    <xf numFmtId="9" fontId="50" fillId="18" borderId="0" xfId="0" applyNumberFormat="1" applyFont="1" applyFill="1"/>
    <xf numFmtId="10" fontId="50" fillId="18" borderId="0" xfId="0" applyNumberFormat="1" applyFont="1" applyFill="1"/>
    <xf numFmtId="0" fontId="50" fillId="18" borderId="0" xfId="0" applyFont="1" applyFill="1"/>
    <xf numFmtId="168" fontId="50" fillId="18" borderId="0" xfId="0" applyNumberFormat="1" applyFont="1" applyFill="1" applyAlignment="1">
      <alignment horizontal="right"/>
    </xf>
    <xf numFmtId="165" fontId="49" fillId="18" borderId="32" xfId="2" applyNumberFormat="1" applyFont="1" applyFill="1" applyBorder="1"/>
    <xf numFmtId="43" fontId="49" fillId="18" borderId="0" xfId="1" applyFont="1" applyFill="1" applyBorder="1"/>
    <xf numFmtId="0" fontId="49" fillId="18" borderId="0" xfId="0" applyFont="1" applyFill="1"/>
    <xf numFmtId="43" fontId="49" fillId="18" borderId="32" xfId="1" applyFont="1" applyFill="1" applyBorder="1"/>
    <xf numFmtId="0" fontId="52" fillId="18" borderId="0" xfId="0" applyFont="1" applyFill="1" applyAlignment="1">
      <alignment horizontal="center" wrapText="1"/>
    </xf>
    <xf numFmtId="0" fontId="2" fillId="0" borderId="34"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54" xfId="0" applyFont="1" applyBorder="1" applyAlignment="1">
      <alignment horizontal="center" vertical="center"/>
    </xf>
    <xf numFmtId="0" fontId="2" fillId="0" borderId="32" xfId="0" applyFont="1" applyBorder="1" applyAlignment="1">
      <alignment horizontal="center" vertical="center"/>
    </xf>
    <xf numFmtId="0" fontId="2" fillId="0" borderId="48" xfId="0" applyFont="1" applyBorder="1" applyAlignment="1">
      <alignment horizontal="center" vertical="center"/>
    </xf>
    <xf numFmtId="0" fontId="2" fillId="0" borderId="36" xfId="0" applyFont="1" applyBorder="1" applyAlignment="1">
      <alignment horizontal="center" vertical="center"/>
    </xf>
    <xf numFmtId="0" fontId="2" fillId="0" borderId="12" xfId="0" applyFont="1" applyBorder="1" applyAlignment="1">
      <alignment horizontal="center" vertical="center"/>
    </xf>
    <xf numFmtId="0" fontId="2" fillId="0" borderId="55" xfId="0" applyFont="1" applyBorder="1" applyAlignment="1">
      <alignment horizontal="center" vertical="center"/>
    </xf>
    <xf numFmtId="0" fontId="2" fillId="0" borderId="34" xfId="0" applyFont="1" applyBorder="1" applyAlignment="1">
      <alignment horizontal="center"/>
    </xf>
    <xf numFmtId="0" fontId="2" fillId="0" borderId="33" xfId="0" applyFont="1" applyBorder="1" applyAlignment="1">
      <alignment horizontal="center"/>
    </xf>
    <xf numFmtId="0" fontId="2" fillId="0" borderId="35" xfId="0" applyFont="1" applyBorder="1" applyAlignment="1">
      <alignment horizontal="center"/>
    </xf>
    <xf numFmtId="0" fontId="2" fillId="0" borderId="37" xfId="0" applyFont="1" applyBorder="1" applyAlignment="1">
      <alignment horizontal="center"/>
    </xf>
    <xf numFmtId="0" fontId="2" fillId="0" borderId="0" xfId="0" applyFont="1" applyBorder="1" applyAlignment="1">
      <alignment horizontal="center"/>
    </xf>
    <xf numFmtId="0" fontId="2" fillId="0" borderId="36" xfId="0" applyFont="1" applyBorder="1" applyAlignment="1">
      <alignment horizontal="center"/>
    </xf>
    <xf numFmtId="0" fontId="2" fillId="0" borderId="12" xfId="0" applyFont="1" applyBorder="1" applyAlignment="1">
      <alignment horizontal="center"/>
    </xf>
    <xf numFmtId="166" fontId="23" fillId="0" borderId="0" xfId="1" applyNumberFormat="1" applyFont="1" applyFill="1" applyAlignment="1">
      <alignment horizontal="center" vertical="center" wrapText="1"/>
    </xf>
    <xf numFmtId="0" fontId="0" fillId="0" borderId="0" xfId="0" applyAlignment="1"/>
    <xf numFmtId="0" fontId="2" fillId="2" borderId="1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4"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2" xfId="0" applyFont="1" applyFill="1" applyBorder="1" applyAlignment="1">
      <alignment horizontal="center" vertical="center"/>
    </xf>
    <xf numFmtId="0" fontId="0" fillId="0" borderId="0" xfId="0" applyFill="1" applyAlignment="1">
      <alignment horizontal="left"/>
    </xf>
    <xf numFmtId="0" fontId="2" fillId="2" borderId="8"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11" xfId="0" applyFont="1" applyFill="1" applyBorder="1" applyAlignment="1">
      <alignment horizontal="center" vertical="center"/>
    </xf>
    <xf numFmtId="0" fontId="2" fillId="0" borderId="15" xfId="12" applyFont="1" applyBorder="1" applyAlignment="1">
      <alignment horizontal="center"/>
    </xf>
    <xf numFmtId="0" fontId="2" fillId="0" borderId="13" xfId="12" applyFont="1" applyBorder="1" applyAlignment="1">
      <alignment horizontal="center"/>
    </xf>
    <xf numFmtId="0" fontId="0" fillId="33" borderId="12" xfId="0" applyFill="1" applyBorder="1" applyAlignment="1">
      <alignment horizontal="center"/>
    </xf>
    <xf numFmtId="0" fontId="13" fillId="0" borderId="12" xfId="0" applyFont="1" applyBorder="1" applyAlignment="1">
      <alignment horizontal="center"/>
    </xf>
    <xf numFmtId="0" fontId="13" fillId="0" borderId="33" xfId="0" applyFont="1" applyBorder="1" applyAlignment="1">
      <alignment horizontal="center"/>
    </xf>
    <xf numFmtId="0" fontId="11" fillId="0" borderId="0" xfId="0" applyFont="1" applyFill="1"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0" fillId="0" borderId="1" xfId="0" applyBorder="1" applyAlignment="1">
      <alignment horizontal="center"/>
    </xf>
    <xf numFmtId="0" fontId="2" fillId="22" borderId="0" xfId="0" applyFont="1" applyFill="1" applyAlignment="1">
      <alignment horizontal="center" vertical="center" wrapText="1"/>
    </xf>
    <xf numFmtId="0" fontId="2" fillId="2" borderId="2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wrapText="1"/>
    </xf>
    <xf numFmtId="37" fontId="49" fillId="0" borderId="0" xfId="0" applyNumberFormat="1" applyFont="1" applyAlignment="1"/>
    <xf numFmtId="0" fontId="49" fillId="0" borderId="0" xfId="0" applyFont="1" applyAlignment="1"/>
    <xf numFmtId="0" fontId="51" fillId="0" borderId="0" xfId="0" applyFont="1" applyFill="1" applyAlignment="1">
      <alignment horizontal="center" wrapText="1"/>
    </xf>
    <xf numFmtId="0" fontId="50" fillId="0" borderId="0" xfId="0" applyFont="1" applyFill="1"/>
    <xf numFmtId="10" fontId="50" fillId="0" borderId="0" xfId="0" applyNumberFormat="1" applyFont="1" applyFill="1"/>
    <xf numFmtId="165" fontId="50" fillId="0" borderId="0" xfId="2" applyNumberFormat="1" applyFont="1" applyFill="1"/>
    <xf numFmtId="166" fontId="50" fillId="0" borderId="0" xfId="1" applyNumberFormat="1" applyFont="1" applyFill="1"/>
    <xf numFmtId="0" fontId="49" fillId="0" borderId="0" xfId="0" applyFont="1" applyFill="1"/>
    <xf numFmtId="165" fontId="49" fillId="0" borderId="32" xfId="2" applyNumberFormat="1" applyFont="1" applyFill="1" applyBorder="1"/>
    <xf numFmtId="165" fontId="50" fillId="0" borderId="0" xfId="2" applyNumberFormat="1" applyFont="1" applyFill="1" applyBorder="1"/>
    <xf numFmtId="165" fontId="50" fillId="0" borderId="0" xfId="2" applyNumberFormat="1" applyFont="1" applyFill="1" applyBorder="1" applyAlignment="1">
      <alignment horizontal="right"/>
    </xf>
    <xf numFmtId="165" fontId="49" fillId="0" borderId="0" xfId="2" applyNumberFormat="1" applyFont="1" applyFill="1" applyBorder="1" applyAlignment="1">
      <alignment horizontal="right"/>
    </xf>
    <xf numFmtId="165" fontId="49" fillId="0" borderId="18" xfId="4" applyNumberFormat="1" applyFont="1" applyFill="1"/>
    <xf numFmtId="0" fontId="60" fillId="0" borderId="0" xfId="24"/>
    <xf numFmtId="166" fontId="61" fillId="0" borderId="0" xfId="26" applyNumberFormat="1"/>
    <xf numFmtId="0" fontId="61" fillId="0" borderId="56" xfId="25"/>
    <xf numFmtId="0" fontId="49" fillId="2" borderId="0" xfId="0" applyFont="1" applyFill="1" applyBorder="1" applyAlignment="1">
      <alignment horizontal="center" vertical="center"/>
    </xf>
  </cellXfs>
  <cellStyles count="27">
    <cellStyle name="Comma" xfId="1" builtinId="3"/>
    <cellStyle name="Comma 2" xfId="7" xr:uid="{00000000-0005-0000-0000-000001000000}"/>
    <cellStyle name="Comma 4" xfId="15" xr:uid="{00000000-0005-0000-0000-000002000000}"/>
    <cellStyle name="Comma 9" xfId="19" xr:uid="{00000000-0005-0000-0000-000003000000}"/>
    <cellStyle name="Currency" xfId="2" builtinId="4"/>
    <cellStyle name="Currency 10" xfId="23" xr:uid="{00000000-0005-0000-0000-000005000000}"/>
    <cellStyle name="Currency 2" xfId="16" xr:uid="{00000000-0005-0000-0000-000006000000}"/>
    <cellStyle name="Currency 8" xfId="18" xr:uid="{00000000-0005-0000-0000-000007000000}"/>
    <cellStyle name="Dash_(Brackets)" xfId="5" xr:uid="{00000000-0005-0000-0000-000008000000}"/>
    <cellStyle name="Heading 3" xfId="25" builtinId="18"/>
    <cellStyle name="Heading 4" xfId="26" builtinId="19"/>
    <cellStyle name="Hyperlink" xfId="6" builtinId="8"/>
    <cellStyle name="Input" xfId="10" builtinId="20"/>
    <cellStyle name="Normal" xfId="0" builtinId="0"/>
    <cellStyle name="Normal 148" xfId="20" xr:uid="{00000000-0005-0000-0000-00000C000000}"/>
    <cellStyle name="Normal 2" xfId="8" xr:uid="{00000000-0005-0000-0000-00000D000000}"/>
    <cellStyle name="Normal 2 3" xfId="12" xr:uid="{00000000-0005-0000-0000-00000E000000}"/>
    <cellStyle name="Normal 2_Contract Utilities" xfId="21" xr:uid="{00000000-0005-0000-0000-00000F000000}"/>
    <cellStyle name="Normal 3" xfId="11" xr:uid="{00000000-0005-0000-0000-000010000000}"/>
    <cellStyle name="Normal 31" xfId="14" xr:uid="{00000000-0005-0000-0000-000011000000}"/>
    <cellStyle name="Normal_Adaptive Summary" xfId="13" xr:uid="{00000000-0005-0000-0000-000012000000}"/>
    <cellStyle name="Normal_CII Consol" xfId="17" xr:uid="{00000000-0005-0000-0000-000013000000}"/>
    <cellStyle name="Normal_Summary" xfId="22" xr:uid="{00000000-0005-0000-0000-000014000000}"/>
    <cellStyle name="Percent" xfId="3" builtinId="5"/>
    <cellStyle name="Percent 2" xfId="9" xr:uid="{00000000-0005-0000-0000-000016000000}"/>
    <cellStyle name="Title" xfId="24" builtinId="15"/>
    <cellStyle name="Total" xfId="4" builtin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63" Type="http://schemas.openxmlformats.org/officeDocument/2006/relationships/customXml" Target="../customXml/item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microsoft.com/office/2017/10/relationships/person" Target="persons/person.xml"/><Relationship Id="rId64"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62"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3.xml"/><Relationship Id="rId65"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369093</xdr:colOff>
      <xdr:row>5</xdr:row>
      <xdr:rowOff>26474</xdr:rowOff>
    </xdr:from>
    <xdr:to>
      <xdr:col>23</xdr:col>
      <xdr:colOff>151334</xdr:colOff>
      <xdr:row>38</xdr:row>
      <xdr:rowOff>101515</xdr:rowOff>
    </xdr:to>
    <xdr:pic>
      <xdr:nvPicPr>
        <xdr:cNvPr id="2" name="Picture 1">
          <a:extLst>
            <a:ext uri="{FF2B5EF4-FFF2-40B4-BE49-F238E27FC236}">
              <a16:creationId xmlns:a16="http://schemas.microsoft.com/office/drawing/2014/main" id="{807EBBB9-0F5E-4873-93AE-586124A17770}"/>
            </a:ext>
          </a:extLst>
        </xdr:cNvPr>
        <xdr:cNvPicPr>
          <a:picLocks noChangeAspect="1"/>
        </xdr:cNvPicPr>
      </xdr:nvPicPr>
      <xdr:blipFill>
        <a:blip xmlns:r="http://schemas.openxmlformats.org/officeDocument/2006/relationships" r:embed="rId1"/>
        <a:stretch>
          <a:fillRect/>
        </a:stretch>
      </xdr:blipFill>
      <xdr:spPr>
        <a:xfrm>
          <a:off x="11644312" y="990880"/>
          <a:ext cx="7676085" cy="63615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179294</xdr:colOff>
      <xdr:row>4</xdr:row>
      <xdr:rowOff>112059</xdr:rowOff>
    </xdr:from>
    <xdr:to>
      <xdr:col>19</xdr:col>
      <xdr:colOff>593912</xdr:colOff>
      <xdr:row>16</xdr:row>
      <xdr:rowOff>100853</xdr:rowOff>
    </xdr:to>
    <xdr:sp macro="" textlink="">
      <xdr:nvSpPr>
        <xdr:cNvPr id="2" name="Right Brace 1">
          <a:extLst>
            <a:ext uri="{FF2B5EF4-FFF2-40B4-BE49-F238E27FC236}">
              <a16:creationId xmlns:a16="http://schemas.microsoft.com/office/drawing/2014/main" id="{00000000-0008-0000-0100-000002000000}"/>
            </a:ext>
          </a:extLst>
        </xdr:cNvPr>
        <xdr:cNvSpPr/>
      </xdr:nvSpPr>
      <xdr:spPr>
        <a:xfrm>
          <a:off x="19676969" y="769284"/>
          <a:ext cx="414618" cy="229384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GNOS%202007%207000%20CC_GL%20Expense%2012-3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c\Home\Mac\Documents\amwater\NY15\3-Outside%20Providers\COL\COLI2013Q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ate%20Case/Virginia/047-Massanutten/047%202019%20RC/ERC/ERC%209.3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rajendr\OneDrive%20-%20Water%20Service%20Corporation\Director%20of%20Strategy%20and%20Financial%20Planning\Regulatory%20Risk\DR%20Corix-WSC%20Evaluation%202018\9%20-%20Complete\2018%2012%20Utilities%20Inc%20Headcount%20Re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c\Home\Documents\Utilities%20Inc\UI-Corix%202018\2-Data\09%20UI%20Employee%20Count%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ate%20Case/Kentucky/2020%20WSCKY%20Rate%20Case/ERC/Final%20ERC%20TYE%202020.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heet1"/>
      <sheetName val="Table"/>
      <sheetName val="Graph"/>
    </sheetNames>
    <sheetDataSet>
      <sheetData sheetId="0" refreshError="1"/>
      <sheetData sheetId="1" refreshError="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temsWeights"/>
      <sheetName val="Calculator"/>
      <sheetName val="2013 Q3 Index"/>
      <sheetName val="2013 Q3 AveragePrice"/>
      <sheetName val="2012 Q3 - 2013 Q3 Index"/>
      <sheetName val="2012 Q2 - 2013 Q2 AveragePrice"/>
    </sheetNames>
    <sheetDataSet>
      <sheetData sheetId="0"/>
      <sheetData sheetId="1"/>
      <sheetData sheetId="2"/>
      <sheetData sheetId="3"/>
      <sheetData sheetId="4"/>
      <sheetData sheetId="5">
        <row r="5">
          <cell r="D5" t="str">
            <v>Anniston-Calhoun County AL</v>
          </cell>
        </row>
        <row r="6">
          <cell r="D6" t="str">
            <v>Auburn-Opelika AL</v>
          </cell>
        </row>
        <row r="7">
          <cell r="D7" t="str">
            <v>Birmingham AL</v>
          </cell>
        </row>
        <row r="8">
          <cell r="D8" t="str">
            <v>Decatur-Hartselle AL</v>
          </cell>
        </row>
        <row r="9">
          <cell r="D9" t="str">
            <v>Dothan AL</v>
          </cell>
        </row>
        <row r="10">
          <cell r="D10" t="str">
            <v>Florence AL</v>
          </cell>
        </row>
        <row r="11">
          <cell r="D11" t="str">
            <v>Huntsville AL</v>
          </cell>
        </row>
        <row r="12">
          <cell r="D12" t="str">
            <v>Mobile AL</v>
          </cell>
        </row>
        <row r="13">
          <cell r="D13" t="str">
            <v>Montgomery AL</v>
          </cell>
        </row>
        <row r="14">
          <cell r="D14" t="str">
            <v>Tuscaloosa AL</v>
          </cell>
        </row>
        <row r="15">
          <cell r="D15" t="str">
            <v>Anchorage AK</v>
          </cell>
        </row>
        <row r="16">
          <cell r="D16" t="str">
            <v>Fairbanks AK</v>
          </cell>
        </row>
        <row r="17">
          <cell r="D17" t="str">
            <v>Juneau AK</v>
          </cell>
        </row>
        <row r="18">
          <cell r="D18" t="str">
            <v>Kodiak AK</v>
          </cell>
        </row>
        <row r="19">
          <cell r="D19" t="str">
            <v>Flagstaff AZ</v>
          </cell>
        </row>
        <row r="20">
          <cell r="D20" t="str">
            <v>Bullhead City AZ</v>
          </cell>
        </row>
        <row r="21">
          <cell r="D21" t="str">
            <v>Lake Havasu City AZ</v>
          </cell>
        </row>
        <row r="22">
          <cell r="D22" t="str">
            <v>Phoenix AZ</v>
          </cell>
        </row>
        <row r="23">
          <cell r="D23" t="str">
            <v>Scottsdale AZ</v>
          </cell>
        </row>
        <row r="24">
          <cell r="D24" t="str">
            <v>Prescott-Prescott Valley AZ</v>
          </cell>
        </row>
        <row r="25">
          <cell r="D25" t="str">
            <v>Sierra Vista AZ</v>
          </cell>
        </row>
        <row r="26">
          <cell r="D26" t="str">
            <v>Tucson AZ</v>
          </cell>
        </row>
        <row r="27">
          <cell r="D27" t="str">
            <v>Yuma AZ</v>
          </cell>
        </row>
        <row r="28">
          <cell r="D28" t="str">
            <v>Fayetteville AR</v>
          </cell>
        </row>
        <row r="29">
          <cell r="D29" t="str">
            <v>Hot Springs AR</v>
          </cell>
        </row>
        <row r="30">
          <cell r="D30" t="str">
            <v>Jonesboro AR</v>
          </cell>
        </row>
        <row r="31">
          <cell r="D31" t="str">
            <v>Conway AR</v>
          </cell>
        </row>
        <row r="32">
          <cell r="D32" t="str">
            <v>Little Rock-North Little Rock AR</v>
          </cell>
        </row>
        <row r="33">
          <cell r="D33" t="str">
            <v>Orange County CA</v>
          </cell>
        </row>
        <row r="34">
          <cell r="D34" t="str">
            <v>Bakersfield CA</v>
          </cell>
        </row>
        <row r="35">
          <cell r="D35" t="str">
            <v>Fresno CA</v>
          </cell>
        </row>
        <row r="36">
          <cell r="D36" t="str">
            <v>Lancaster-Palmdale CA</v>
          </cell>
        </row>
        <row r="37">
          <cell r="D37" t="str">
            <v>Los Angeles-Long Beach CA</v>
          </cell>
        </row>
        <row r="38">
          <cell r="D38" t="str">
            <v>Oakland CA</v>
          </cell>
        </row>
        <row r="39">
          <cell r="D39" t="str">
            <v>Palm Springs CA</v>
          </cell>
        </row>
        <row r="40">
          <cell r="D40" t="str">
            <v>Riverside City CA</v>
          </cell>
        </row>
        <row r="41">
          <cell r="D41" t="str">
            <v>Sacramento CA</v>
          </cell>
        </row>
        <row r="42">
          <cell r="D42" t="str">
            <v>San Diego CA</v>
          </cell>
        </row>
        <row r="43">
          <cell r="D43" t="str">
            <v>San Francisco CA</v>
          </cell>
        </row>
        <row r="44">
          <cell r="D44" t="str">
            <v>San Jose CA</v>
          </cell>
        </row>
        <row r="45">
          <cell r="D45" t="str">
            <v>Stockton CA</v>
          </cell>
        </row>
        <row r="46">
          <cell r="D46" t="str">
            <v>Tracy CA</v>
          </cell>
        </row>
        <row r="47">
          <cell r="D47" t="str">
            <v>Colorado Springs CO</v>
          </cell>
        </row>
        <row r="48">
          <cell r="D48" t="str">
            <v>Denver CO</v>
          </cell>
        </row>
        <row r="49">
          <cell r="D49" t="str">
            <v>Grand Junction CO</v>
          </cell>
        </row>
        <row r="50">
          <cell r="D50" t="str">
            <v>Pueblo CO</v>
          </cell>
        </row>
        <row r="51">
          <cell r="D51" t="str">
            <v>Glenwood Springs CO</v>
          </cell>
        </row>
        <row r="52">
          <cell r="D52" t="str">
            <v>Gunnison CO</v>
          </cell>
        </row>
        <row r="53">
          <cell r="D53" t="str">
            <v>Stamford CT</v>
          </cell>
        </row>
        <row r="54">
          <cell r="D54" t="str">
            <v>Hartford CT</v>
          </cell>
        </row>
        <row r="55">
          <cell r="D55" t="str">
            <v>New Haven CT</v>
          </cell>
        </row>
        <row r="56">
          <cell r="D56" t="str">
            <v>Dover DE</v>
          </cell>
        </row>
        <row r="57">
          <cell r="D57" t="str">
            <v>Wilmington DE</v>
          </cell>
        </row>
        <row r="58">
          <cell r="D58" t="str">
            <v>Washington-Arlington-Alexandria DC-VA</v>
          </cell>
        </row>
        <row r="59">
          <cell r="D59" t="str">
            <v>Cape Coral-Fort Myers FL</v>
          </cell>
        </row>
        <row r="60">
          <cell r="D60" t="str">
            <v>Daytona Beach FL</v>
          </cell>
        </row>
        <row r="61">
          <cell r="D61" t="str">
            <v>Palm Coast-Flagler County FL</v>
          </cell>
        </row>
        <row r="62">
          <cell r="D62" t="str">
            <v>Fort Lauderdale FL</v>
          </cell>
        </row>
        <row r="63">
          <cell r="D63" t="str">
            <v>Gainesville FL</v>
          </cell>
        </row>
        <row r="64">
          <cell r="D64" t="str">
            <v>Jacksonville FL</v>
          </cell>
        </row>
        <row r="65">
          <cell r="D65" t="str">
            <v>Miami-Dade County FL</v>
          </cell>
        </row>
        <row r="66">
          <cell r="D66" t="str">
            <v>Bradenton FL</v>
          </cell>
        </row>
        <row r="67">
          <cell r="D67" t="str">
            <v>Sarasota FL</v>
          </cell>
        </row>
        <row r="68">
          <cell r="D68" t="str">
            <v>Orlando FL</v>
          </cell>
        </row>
        <row r="69">
          <cell r="D69" t="str">
            <v>Punta Gorda-Charlotte Co FL</v>
          </cell>
        </row>
        <row r="70">
          <cell r="D70" t="str">
            <v>Vero Beach-Indian River FL</v>
          </cell>
        </row>
        <row r="71">
          <cell r="D71" t="str">
            <v>Tallahassee FL</v>
          </cell>
        </row>
        <row r="72">
          <cell r="D72" t="str">
            <v>Tampa FL</v>
          </cell>
        </row>
        <row r="73">
          <cell r="D73" t="str">
            <v>Albany GA</v>
          </cell>
        </row>
        <row r="74">
          <cell r="D74" t="str">
            <v>Atlanta GA</v>
          </cell>
        </row>
        <row r="75">
          <cell r="D75" t="str">
            <v>Fayetteville-Fayette County GA</v>
          </cell>
        </row>
        <row r="76">
          <cell r="D76" t="str">
            <v>Marietta GA</v>
          </cell>
        </row>
        <row r="77">
          <cell r="D77" t="str">
            <v>Augusta-Aiken GA-SC</v>
          </cell>
        </row>
        <row r="78">
          <cell r="D78" t="str">
            <v>Dalton GA</v>
          </cell>
        </row>
        <row r="79">
          <cell r="D79" t="str">
            <v>Dublin-Laurens County GA</v>
          </cell>
        </row>
        <row r="80">
          <cell r="D80" t="str">
            <v>Savannah GA</v>
          </cell>
        </row>
        <row r="81">
          <cell r="D81" t="str">
            <v>Valdosta GA</v>
          </cell>
        </row>
        <row r="82">
          <cell r="D82" t="str">
            <v>Hilo HI</v>
          </cell>
        </row>
        <row r="83">
          <cell r="D83" t="str">
            <v>Honolulu HI</v>
          </cell>
        </row>
        <row r="84">
          <cell r="D84" t="str">
            <v>Boise ID</v>
          </cell>
        </row>
        <row r="85">
          <cell r="D85" t="str">
            <v>Idaho Falls ID</v>
          </cell>
        </row>
        <row r="86">
          <cell r="D86" t="str">
            <v>Twin Falls ID</v>
          </cell>
        </row>
        <row r="87">
          <cell r="D87" t="str">
            <v>Carbondale IL</v>
          </cell>
        </row>
        <row r="88">
          <cell r="D88" t="str">
            <v>Champaign-Urbana IL</v>
          </cell>
        </row>
        <row r="89">
          <cell r="D89" t="str">
            <v>Chicago IL</v>
          </cell>
        </row>
        <row r="90">
          <cell r="D90" t="str">
            <v>Joliet-Will County IL</v>
          </cell>
        </row>
        <row r="91">
          <cell r="D91" t="str">
            <v>Danville IL</v>
          </cell>
        </row>
        <row r="92">
          <cell r="D92" t="str">
            <v>Decatur IL</v>
          </cell>
        </row>
        <row r="93">
          <cell r="D93" t="str">
            <v>Galesburg IL</v>
          </cell>
        </row>
        <row r="94">
          <cell r="D94" t="str">
            <v>Kankakee IL</v>
          </cell>
        </row>
        <row r="95">
          <cell r="D95" t="str">
            <v>Peoria IL</v>
          </cell>
        </row>
        <row r="96">
          <cell r="D96" t="str">
            <v>Quincy IL</v>
          </cell>
        </row>
        <row r="97">
          <cell r="D97" t="str">
            <v>Rockford IL</v>
          </cell>
        </row>
        <row r="98">
          <cell r="D98" t="str">
            <v>Springfield IL</v>
          </cell>
        </row>
        <row r="99">
          <cell r="D99" t="str">
            <v>Bloomington IN</v>
          </cell>
        </row>
        <row r="100">
          <cell r="D100" t="str">
            <v>Elkhart-Goshen IN</v>
          </cell>
        </row>
        <row r="101">
          <cell r="D101" t="str">
            <v>Evansville IN</v>
          </cell>
        </row>
        <row r="102">
          <cell r="D102" t="str">
            <v>Fort Wayne-Allen County IN</v>
          </cell>
        </row>
        <row r="103">
          <cell r="D103" t="str">
            <v>Indianapolis IN</v>
          </cell>
        </row>
        <row r="104">
          <cell r="D104" t="str">
            <v>Indianapolis-Morgan County IN</v>
          </cell>
        </row>
        <row r="105">
          <cell r="D105" t="str">
            <v>Lafayette IN</v>
          </cell>
        </row>
        <row r="106">
          <cell r="D106" t="str">
            <v>Muncie IN</v>
          </cell>
        </row>
        <row r="107">
          <cell r="D107" t="str">
            <v>Richmond IN</v>
          </cell>
        </row>
        <row r="108">
          <cell r="D108" t="str">
            <v>South Bend IN</v>
          </cell>
        </row>
        <row r="109">
          <cell r="D109" t="str">
            <v>Ames IA</v>
          </cell>
        </row>
        <row r="110">
          <cell r="D110" t="str">
            <v>Burlington IA</v>
          </cell>
        </row>
        <row r="111">
          <cell r="D111" t="str">
            <v>Cedar Rapids IA</v>
          </cell>
        </row>
        <row r="112">
          <cell r="D112" t="str">
            <v>Davenport-Moline-Rock Is IA-IL</v>
          </cell>
        </row>
        <row r="113">
          <cell r="D113" t="str">
            <v>Des Moines IA</v>
          </cell>
        </row>
        <row r="114">
          <cell r="D114" t="str">
            <v>Mason City IA</v>
          </cell>
        </row>
        <row r="115">
          <cell r="D115" t="str">
            <v>Waterloo-Cedar Falls IA</v>
          </cell>
        </row>
        <row r="116">
          <cell r="D116" t="str">
            <v>Dodge City KS</v>
          </cell>
        </row>
        <row r="117">
          <cell r="D117" t="str">
            <v>Hays KS</v>
          </cell>
        </row>
        <row r="118">
          <cell r="D118" t="str">
            <v>Hutchinson KS</v>
          </cell>
        </row>
        <row r="119">
          <cell r="D119" t="str">
            <v>Manhattan KS</v>
          </cell>
        </row>
        <row r="120">
          <cell r="D120" t="str">
            <v>Salina KS</v>
          </cell>
        </row>
        <row r="121">
          <cell r="D121" t="str">
            <v>Topeka KS</v>
          </cell>
        </row>
        <row r="122">
          <cell r="D122" t="str">
            <v>Wichita KS</v>
          </cell>
        </row>
        <row r="123">
          <cell r="D123" t="str">
            <v>Bowling Green KY</v>
          </cell>
        </row>
        <row r="124">
          <cell r="D124" t="str">
            <v>Covington KY</v>
          </cell>
        </row>
        <row r="125">
          <cell r="D125" t="str">
            <v>Ashland KY</v>
          </cell>
        </row>
        <row r="126">
          <cell r="D126" t="str">
            <v>Lexington KY</v>
          </cell>
        </row>
        <row r="127">
          <cell r="D127" t="str">
            <v>Louisville KY</v>
          </cell>
        </row>
        <row r="128">
          <cell r="D128" t="str">
            <v>Paducah KY</v>
          </cell>
        </row>
        <row r="129">
          <cell r="D129" t="str">
            <v>Alexandria LA</v>
          </cell>
        </row>
        <row r="130">
          <cell r="D130" t="str">
            <v>Baton Rouge LA</v>
          </cell>
        </row>
        <row r="131">
          <cell r="D131" t="str">
            <v>Hammond LA</v>
          </cell>
        </row>
        <row r="132">
          <cell r="D132" t="str">
            <v>Lafayette LA</v>
          </cell>
        </row>
        <row r="133">
          <cell r="D133" t="str">
            <v>Lake Charles LA</v>
          </cell>
        </row>
        <row r="134">
          <cell r="D134" t="str">
            <v>Monroe LA</v>
          </cell>
        </row>
        <row r="135">
          <cell r="D135" t="str">
            <v>New Orleans LA</v>
          </cell>
        </row>
        <row r="136">
          <cell r="D136" t="str">
            <v>Slidell-St. Tammany Parish LA</v>
          </cell>
        </row>
        <row r="137">
          <cell r="D137" t="str">
            <v>Shreveport-Bossier City LA</v>
          </cell>
        </row>
        <row r="138">
          <cell r="D138" t="str">
            <v>Portland ME</v>
          </cell>
        </row>
        <row r="139">
          <cell r="D139" t="str">
            <v>Baltimore MD</v>
          </cell>
        </row>
        <row r="140">
          <cell r="D140" t="str">
            <v>Bethesda-Gaithersburg-Frederick MD</v>
          </cell>
        </row>
        <row r="141">
          <cell r="D141" t="str">
            <v>Charles County MD</v>
          </cell>
        </row>
        <row r="142">
          <cell r="D142" t="str">
            <v>Boston MA</v>
          </cell>
        </row>
        <row r="143">
          <cell r="D143" t="str">
            <v>Framingham-Natick MA</v>
          </cell>
        </row>
        <row r="144">
          <cell r="D144" t="str">
            <v>Pittsfield MA</v>
          </cell>
        </row>
        <row r="145">
          <cell r="D145" t="str">
            <v>Fitchburg-Leominster MA</v>
          </cell>
        </row>
        <row r="146">
          <cell r="D146" t="str">
            <v>Ann Arbor MI</v>
          </cell>
        </row>
        <row r="147">
          <cell r="D147" t="str">
            <v>Detroit MI</v>
          </cell>
        </row>
        <row r="148">
          <cell r="D148" t="str">
            <v>Grand Rapids MI</v>
          </cell>
        </row>
        <row r="149">
          <cell r="D149" t="str">
            <v>Kalamazoo MI</v>
          </cell>
        </row>
        <row r="150">
          <cell r="D150" t="str">
            <v>Benton Harbor MI</v>
          </cell>
        </row>
        <row r="151">
          <cell r="D151" t="str">
            <v>Mankato MN</v>
          </cell>
        </row>
        <row r="152">
          <cell r="D152" t="str">
            <v>Minneapolis MN</v>
          </cell>
        </row>
        <row r="153">
          <cell r="D153" t="str">
            <v>St. Paul MN</v>
          </cell>
        </row>
        <row r="154">
          <cell r="D154" t="str">
            <v>Rochester MN</v>
          </cell>
        </row>
        <row r="155">
          <cell r="D155" t="str">
            <v>St. Cloud MN</v>
          </cell>
        </row>
        <row r="156">
          <cell r="D156" t="str">
            <v>Hattiesburg MS</v>
          </cell>
        </row>
        <row r="157">
          <cell r="D157" t="str">
            <v>Jackson MS</v>
          </cell>
        </row>
        <row r="158">
          <cell r="D158" t="str">
            <v>Tupelo MS</v>
          </cell>
        </row>
        <row r="159">
          <cell r="D159" t="str">
            <v>Columbia MO</v>
          </cell>
        </row>
        <row r="160">
          <cell r="D160" t="str">
            <v>Jefferson City MO</v>
          </cell>
        </row>
        <row r="161">
          <cell r="D161" t="str">
            <v>Joplin MO</v>
          </cell>
        </row>
        <row r="162">
          <cell r="D162" t="str">
            <v>Kansas City MO-KS</v>
          </cell>
        </row>
        <row r="163">
          <cell r="D163" t="str">
            <v>St. Louis MO-IL</v>
          </cell>
        </row>
        <row r="164">
          <cell r="D164" t="str">
            <v>Springfield MO</v>
          </cell>
        </row>
        <row r="165">
          <cell r="D165" t="str">
            <v>Bozeman MT</v>
          </cell>
        </row>
        <row r="166">
          <cell r="D166" t="str">
            <v>Kalispell MT</v>
          </cell>
        </row>
        <row r="167">
          <cell r="D167" t="str">
            <v>Hastings NE</v>
          </cell>
        </row>
        <row r="168">
          <cell r="D168" t="str">
            <v>Lincoln NE</v>
          </cell>
        </row>
        <row r="169">
          <cell r="D169" t="str">
            <v>Omaha NE</v>
          </cell>
        </row>
        <row r="170">
          <cell r="D170" t="str">
            <v>Las Vegas NV</v>
          </cell>
        </row>
        <row r="171">
          <cell r="D171" t="str">
            <v>Reno-Sparks NV</v>
          </cell>
        </row>
        <row r="172">
          <cell r="D172" t="str">
            <v>Manchester NH</v>
          </cell>
        </row>
        <row r="173">
          <cell r="D173" t="str">
            <v>Newark-Elizabeth NJ</v>
          </cell>
        </row>
        <row r="174">
          <cell r="D174" t="str">
            <v>Bergen-Passaic NJ</v>
          </cell>
        </row>
        <row r="175">
          <cell r="D175" t="str">
            <v>Middlesex-Monmouth NJ</v>
          </cell>
        </row>
        <row r="176">
          <cell r="D176" t="str">
            <v>Rio Rancho NM</v>
          </cell>
        </row>
        <row r="177">
          <cell r="D177" t="str">
            <v>Carlsbad NM</v>
          </cell>
        </row>
        <row r="178">
          <cell r="D178" t="str">
            <v>Las Cruces NM</v>
          </cell>
        </row>
        <row r="179">
          <cell r="D179" t="str">
            <v>Los Alamos NM</v>
          </cell>
        </row>
        <row r="180">
          <cell r="D180" t="str">
            <v>Albany NY</v>
          </cell>
        </row>
        <row r="181">
          <cell r="D181" t="str">
            <v>Buffalo NY</v>
          </cell>
        </row>
        <row r="182">
          <cell r="D182" t="str">
            <v>Ithaca NY</v>
          </cell>
        </row>
        <row r="183">
          <cell r="D183" t="str">
            <v>Nassau County NY</v>
          </cell>
        </row>
        <row r="184">
          <cell r="D184" t="str">
            <v>New York (Brooklyn) NY</v>
          </cell>
        </row>
        <row r="185">
          <cell r="D185" t="str">
            <v>New York (Manhattan) NY</v>
          </cell>
        </row>
        <row r="186">
          <cell r="D186" t="str">
            <v>New York (Queens) NY</v>
          </cell>
        </row>
        <row r="187">
          <cell r="D187" t="str">
            <v>Dutchess County NY</v>
          </cell>
        </row>
        <row r="188">
          <cell r="D188" t="str">
            <v>Rochester NY</v>
          </cell>
        </row>
        <row r="189">
          <cell r="D189" t="str">
            <v>Utica-Rome NY</v>
          </cell>
        </row>
        <row r="190">
          <cell r="D190" t="str">
            <v>Asheville NC</v>
          </cell>
        </row>
        <row r="191">
          <cell r="D191" t="str">
            <v>Burlington NC</v>
          </cell>
        </row>
        <row r="192">
          <cell r="D192" t="str">
            <v>Charlotte NC</v>
          </cell>
        </row>
        <row r="193">
          <cell r="D193" t="str">
            <v>Chapel Hill NC</v>
          </cell>
        </row>
        <row r="194">
          <cell r="D194" t="str">
            <v>Durham NC</v>
          </cell>
        </row>
        <row r="195">
          <cell r="D195" t="str">
            <v>Greenville NC</v>
          </cell>
        </row>
        <row r="196">
          <cell r="D196" t="str">
            <v>Jacksonville NC</v>
          </cell>
        </row>
        <row r="197">
          <cell r="D197" t="str">
            <v>Dare County NC</v>
          </cell>
        </row>
        <row r="198">
          <cell r="D198" t="str">
            <v>Raleigh NC</v>
          </cell>
        </row>
        <row r="199">
          <cell r="D199" t="str">
            <v>Wilmington NC</v>
          </cell>
        </row>
        <row r="200">
          <cell r="D200" t="str">
            <v>Thomasville-Lexington NC</v>
          </cell>
        </row>
        <row r="201">
          <cell r="D201" t="str">
            <v>Winston-Salem NC</v>
          </cell>
        </row>
        <row r="202">
          <cell r="D202" t="str">
            <v>Marion-McDowell County NC</v>
          </cell>
        </row>
        <row r="203">
          <cell r="D203" t="str">
            <v>Bismarck-Mandan ND</v>
          </cell>
        </row>
        <row r="204">
          <cell r="D204" t="str">
            <v>Fargo-Moorhead ND-MN</v>
          </cell>
        </row>
        <row r="205">
          <cell r="D205" t="str">
            <v>Minot ND</v>
          </cell>
        </row>
        <row r="206">
          <cell r="D206" t="str">
            <v>Akron OH</v>
          </cell>
        </row>
        <row r="207">
          <cell r="D207" t="str">
            <v>Ashland OH</v>
          </cell>
        </row>
        <row r="208">
          <cell r="D208" t="str">
            <v>Cincinnati OH</v>
          </cell>
        </row>
        <row r="209">
          <cell r="D209" t="str">
            <v>Cleveland OH</v>
          </cell>
        </row>
        <row r="210">
          <cell r="D210" t="str">
            <v>Columbus OH</v>
          </cell>
        </row>
        <row r="211">
          <cell r="D211" t="str">
            <v>Dayton OH</v>
          </cell>
        </row>
        <row r="212">
          <cell r="D212" t="str">
            <v>Findlay OH</v>
          </cell>
        </row>
        <row r="213">
          <cell r="D213" t="str">
            <v>Lima OH</v>
          </cell>
        </row>
        <row r="214">
          <cell r="D214" t="str">
            <v>Wooster OH</v>
          </cell>
        </row>
        <row r="215">
          <cell r="D215" t="str">
            <v>Youngstown-Warren OH</v>
          </cell>
        </row>
        <row r="216">
          <cell r="D216" t="str">
            <v>Ardmore OK</v>
          </cell>
        </row>
        <row r="217">
          <cell r="D217" t="str">
            <v>Enid OK</v>
          </cell>
        </row>
        <row r="218">
          <cell r="D218" t="str">
            <v>Lawton OK</v>
          </cell>
        </row>
        <row r="219">
          <cell r="D219" t="str">
            <v>McAlester OK</v>
          </cell>
        </row>
        <row r="220">
          <cell r="D220" t="str">
            <v>Muskogee OK</v>
          </cell>
        </row>
        <row r="221">
          <cell r="D221" t="str">
            <v>Edmond OK</v>
          </cell>
        </row>
        <row r="222">
          <cell r="D222" t="str">
            <v>Norman OK</v>
          </cell>
        </row>
        <row r="223">
          <cell r="D223" t="str">
            <v>Oklahoma City OK</v>
          </cell>
        </row>
        <row r="224">
          <cell r="D224" t="str">
            <v>Ponca City OK</v>
          </cell>
        </row>
        <row r="225">
          <cell r="D225" t="str">
            <v>Stillwater OK</v>
          </cell>
        </row>
        <row r="226">
          <cell r="D226" t="str">
            <v>Tulsa OK</v>
          </cell>
        </row>
        <row r="227">
          <cell r="D227" t="str">
            <v>Pryor Creek OK</v>
          </cell>
        </row>
        <row r="228">
          <cell r="D228" t="str">
            <v>Klamath Falls OR</v>
          </cell>
        </row>
        <row r="229">
          <cell r="D229" t="str">
            <v>Portland OR</v>
          </cell>
        </row>
        <row r="230">
          <cell r="D230" t="str">
            <v>Allentown PA</v>
          </cell>
        </row>
        <row r="231">
          <cell r="D231" t="str">
            <v>Erie PA</v>
          </cell>
        </row>
        <row r="232">
          <cell r="D232" t="str">
            <v>Harrisburg PA</v>
          </cell>
        </row>
        <row r="233">
          <cell r="D233" t="str">
            <v>Indiana County PA</v>
          </cell>
        </row>
        <row r="234">
          <cell r="D234" t="str">
            <v>Johnstown PA</v>
          </cell>
        </row>
        <row r="235">
          <cell r="D235" t="str">
            <v>Philadelphia PA</v>
          </cell>
        </row>
        <row r="236">
          <cell r="D236" t="str">
            <v>Pittsburgh PA</v>
          </cell>
        </row>
        <row r="237">
          <cell r="D237" t="str">
            <v>Williamsport-Lycoming County PA</v>
          </cell>
        </row>
        <row r="238">
          <cell r="D238" t="str">
            <v>York County PA</v>
          </cell>
        </row>
        <row r="239">
          <cell r="D239" t="str">
            <v>Providence RI</v>
          </cell>
        </row>
        <row r="240">
          <cell r="D240" t="str">
            <v>Charleston-N Charleston SC</v>
          </cell>
        </row>
        <row r="241">
          <cell r="D241" t="str">
            <v>Camden SC</v>
          </cell>
        </row>
        <row r="242">
          <cell r="D242" t="str">
            <v>Columbia SC</v>
          </cell>
        </row>
        <row r="243">
          <cell r="D243" t="str">
            <v>Anderson SC</v>
          </cell>
        </row>
        <row r="244">
          <cell r="D244" t="str">
            <v>Greenville SC</v>
          </cell>
        </row>
        <row r="245">
          <cell r="D245" t="str">
            <v>Beaufort SC</v>
          </cell>
        </row>
        <row r="246">
          <cell r="D246" t="str">
            <v>Hilton Head Island SC</v>
          </cell>
        </row>
        <row r="247">
          <cell r="D247" t="str">
            <v>Myrtle Beach SC</v>
          </cell>
        </row>
        <row r="248">
          <cell r="D248" t="str">
            <v>Spartanburg SC</v>
          </cell>
        </row>
        <row r="249">
          <cell r="D249" t="str">
            <v>Sumter SC</v>
          </cell>
        </row>
        <row r="250">
          <cell r="D250" t="str">
            <v>Pierre SD</v>
          </cell>
        </row>
        <row r="251">
          <cell r="D251" t="str">
            <v>Rapid City SD</v>
          </cell>
        </row>
        <row r="252">
          <cell r="D252" t="str">
            <v>Sioux Falls SD</v>
          </cell>
        </row>
        <row r="253">
          <cell r="D253" t="str">
            <v>Chattanooga TN</v>
          </cell>
        </row>
        <row r="254">
          <cell r="D254" t="str">
            <v>Cleveland TN</v>
          </cell>
        </row>
        <row r="255">
          <cell r="D255" t="str">
            <v>Cookeville TN</v>
          </cell>
        </row>
        <row r="256">
          <cell r="D256" t="str">
            <v>Jackson-Madison County TN</v>
          </cell>
        </row>
        <row r="257">
          <cell r="D257" t="str">
            <v>Knoxville TN</v>
          </cell>
        </row>
        <row r="258">
          <cell r="D258" t="str">
            <v>Memphis TN</v>
          </cell>
        </row>
        <row r="259">
          <cell r="D259" t="str">
            <v>Morristown TN</v>
          </cell>
        </row>
        <row r="260">
          <cell r="D260" t="str">
            <v>Murfreesboro-Smyrna TN</v>
          </cell>
        </row>
        <row r="261">
          <cell r="D261" t="str">
            <v>Nashville-Franklin TN</v>
          </cell>
        </row>
        <row r="262">
          <cell r="D262" t="str">
            <v>Amarillo TX</v>
          </cell>
        </row>
        <row r="263">
          <cell r="D263" t="str">
            <v>Athens-Henderson County TX</v>
          </cell>
        </row>
        <row r="264">
          <cell r="D264" t="str">
            <v>Austin TX</v>
          </cell>
        </row>
        <row r="265">
          <cell r="D265" t="str">
            <v>Round Rock TX</v>
          </cell>
        </row>
        <row r="266">
          <cell r="D266" t="str">
            <v>San Marcos TX</v>
          </cell>
        </row>
        <row r="267">
          <cell r="D267" t="str">
            <v>Beaumont TX</v>
          </cell>
        </row>
        <row r="268">
          <cell r="D268" t="str">
            <v>Brownsville TX</v>
          </cell>
        </row>
        <row r="269">
          <cell r="D269" t="str">
            <v>Harlingen TX</v>
          </cell>
        </row>
        <row r="270">
          <cell r="D270" t="str">
            <v>Bryan-College Station TX</v>
          </cell>
        </row>
        <row r="271">
          <cell r="D271" t="str">
            <v>Corpus Christi TX</v>
          </cell>
        </row>
        <row r="272">
          <cell r="D272" t="str">
            <v>Coppell TX</v>
          </cell>
        </row>
        <row r="273">
          <cell r="D273" t="str">
            <v>Dallas TX</v>
          </cell>
        </row>
        <row r="274">
          <cell r="D274" t="str">
            <v>Denton TX</v>
          </cell>
        </row>
        <row r="275">
          <cell r="D275" t="str">
            <v>Plano TX</v>
          </cell>
        </row>
        <row r="276">
          <cell r="D276" t="str">
            <v>El Paso TX</v>
          </cell>
        </row>
        <row r="277">
          <cell r="D277" t="str">
            <v>Fort Worth TX</v>
          </cell>
        </row>
        <row r="278">
          <cell r="D278" t="str">
            <v>Weatherford TX</v>
          </cell>
        </row>
        <row r="279">
          <cell r="D279" t="str">
            <v>Brazoria County TX</v>
          </cell>
        </row>
        <row r="280">
          <cell r="D280" t="str">
            <v>Conroe TX</v>
          </cell>
        </row>
        <row r="281">
          <cell r="D281" t="str">
            <v>Houston TX</v>
          </cell>
        </row>
        <row r="282">
          <cell r="D282" t="str">
            <v>Temple TX</v>
          </cell>
        </row>
        <row r="283">
          <cell r="D283" t="str">
            <v>Longview TX</v>
          </cell>
        </row>
        <row r="284">
          <cell r="D284" t="str">
            <v>Lubbock TX</v>
          </cell>
        </row>
        <row r="285">
          <cell r="D285" t="str">
            <v>Lufkin TX</v>
          </cell>
        </row>
        <row r="286">
          <cell r="D286" t="str">
            <v>McAllen TX</v>
          </cell>
        </row>
        <row r="287">
          <cell r="D287" t="str">
            <v>Midland TX</v>
          </cell>
        </row>
        <row r="288">
          <cell r="D288" t="str">
            <v>Nacogdoches TX</v>
          </cell>
        </row>
        <row r="289">
          <cell r="D289" t="str">
            <v>Odessa TX</v>
          </cell>
        </row>
        <row r="290">
          <cell r="D290" t="str">
            <v>Paris TX</v>
          </cell>
        </row>
        <row r="291">
          <cell r="D291" t="str">
            <v>San Angelo TX</v>
          </cell>
        </row>
        <row r="292">
          <cell r="D292" t="str">
            <v>San Antonio TX</v>
          </cell>
        </row>
        <row r="293">
          <cell r="D293" t="str">
            <v>Seguin TX</v>
          </cell>
        </row>
        <row r="294">
          <cell r="D294" t="str">
            <v>Sherman-Denison TX</v>
          </cell>
        </row>
        <row r="295">
          <cell r="D295" t="str">
            <v>Texarkana TX-AR</v>
          </cell>
        </row>
        <row r="296">
          <cell r="D296" t="str">
            <v>Tyler TX</v>
          </cell>
        </row>
        <row r="297">
          <cell r="D297" t="str">
            <v>Waco TX</v>
          </cell>
        </row>
        <row r="298">
          <cell r="D298" t="str">
            <v>Wichita Falls TX</v>
          </cell>
        </row>
        <row r="299">
          <cell r="D299" t="str">
            <v>Cedar City UT</v>
          </cell>
        </row>
        <row r="300">
          <cell r="D300" t="str">
            <v>Ogden UT</v>
          </cell>
        </row>
        <row r="301">
          <cell r="D301" t="str">
            <v>Provo-Orem UT</v>
          </cell>
        </row>
        <row r="302">
          <cell r="D302" t="str">
            <v>St. George UT</v>
          </cell>
        </row>
        <row r="303">
          <cell r="D303" t="str">
            <v>Salt Lake City UT</v>
          </cell>
        </row>
        <row r="304">
          <cell r="D304" t="str">
            <v>Burlington-Chittenden County VT</v>
          </cell>
        </row>
        <row r="305">
          <cell r="D305" t="str">
            <v>Blacksburg VA</v>
          </cell>
        </row>
        <row r="306">
          <cell r="D306" t="str">
            <v>Charlottesville VA</v>
          </cell>
        </row>
        <row r="307">
          <cell r="D307" t="str">
            <v>Danville City VA</v>
          </cell>
        </row>
        <row r="308">
          <cell r="D308" t="str">
            <v>Harrisonburg VA</v>
          </cell>
        </row>
        <row r="309">
          <cell r="D309" t="str">
            <v>Lynchburg VA</v>
          </cell>
        </row>
        <row r="310">
          <cell r="D310" t="str">
            <v>Martinsville-Henry County VA</v>
          </cell>
        </row>
        <row r="311">
          <cell r="D311" t="str">
            <v>Richmond VA</v>
          </cell>
        </row>
        <row r="312">
          <cell r="D312" t="str">
            <v>Roanoke VA</v>
          </cell>
        </row>
        <row r="313">
          <cell r="D313" t="str">
            <v>Staunton-Augusta County VA</v>
          </cell>
        </row>
        <row r="314">
          <cell r="D314" t="str">
            <v>Hampton Roads-SE Virginia VA</v>
          </cell>
        </row>
        <row r="315">
          <cell r="D315" t="str">
            <v>Winchester VA-WV</v>
          </cell>
        </row>
        <row r="316">
          <cell r="D316" t="str">
            <v>Lexington-Buena Vista-Rockbridge VA</v>
          </cell>
        </row>
        <row r="317">
          <cell r="D317" t="str">
            <v>Bellingham WA</v>
          </cell>
        </row>
        <row r="318">
          <cell r="D318" t="str">
            <v>Kennewick-Richland-Pasco WA</v>
          </cell>
        </row>
        <row r="319">
          <cell r="D319" t="str">
            <v>Moses Lake WA</v>
          </cell>
        </row>
        <row r="320">
          <cell r="D320" t="str">
            <v>Olympia WA</v>
          </cell>
        </row>
        <row r="321">
          <cell r="D321" t="str">
            <v>Vancouver WA</v>
          </cell>
        </row>
        <row r="322">
          <cell r="D322" t="str">
            <v>Everett WA</v>
          </cell>
        </row>
        <row r="323">
          <cell r="D323" t="str">
            <v>Seattle WA</v>
          </cell>
        </row>
        <row r="324">
          <cell r="D324" t="str">
            <v>Spokane WA</v>
          </cell>
        </row>
        <row r="325">
          <cell r="D325" t="str">
            <v>Tacoma WA</v>
          </cell>
        </row>
        <row r="326">
          <cell r="D326" t="str">
            <v>Yakima WA</v>
          </cell>
        </row>
        <row r="327">
          <cell r="D327" t="str">
            <v>Charleston WV</v>
          </cell>
        </row>
        <row r="328">
          <cell r="D328" t="str">
            <v>Martinsburg-Berkeley County WV</v>
          </cell>
        </row>
        <row r="329">
          <cell r="D329" t="str">
            <v>Morgantown WV</v>
          </cell>
        </row>
        <row r="330">
          <cell r="D330" t="str">
            <v>Eau Claire WI</v>
          </cell>
        </row>
        <row r="331">
          <cell r="D331" t="str">
            <v>Green Bay WI</v>
          </cell>
        </row>
        <row r="332">
          <cell r="D332" t="str">
            <v>Janesville WI</v>
          </cell>
        </row>
        <row r="333">
          <cell r="D333" t="str">
            <v>Madison WI</v>
          </cell>
        </row>
        <row r="334">
          <cell r="D334" t="str">
            <v>Milwaukee-Waukesha WI</v>
          </cell>
        </row>
        <row r="335">
          <cell r="D335" t="str">
            <v>Wausau WI</v>
          </cell>
        </row>
        <row r="336">
          <cell r="D336" t="str">
            <v>Marshfield WI</v>
          </cell>
        </row>
        <row r="337">
          <cell r="D337" t="str">
            <v>Cheyenne WY</v>
          </cell>
        </row>
        <row r="338">
          <cell r="D338" t="str">
            <v>Laramie WY</v>
          </cell>
        </row>
      </sheetData>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C Summary"/>
      <sheetName val="Massanutten Class Type"/>
      <sheetName val="ERC"/>
      <sheetName val="Other &gt;&gt;"/>
      <sheetName val="9570"/>
      <sheetName val="Co. 333 Report 30 "/>
      <sheetName val="Customer Class Lookup"/>
      <sheetName val="BU"/>
      <sheetName val="Summary by Customer Class"/>
    </sheetNames>
    <sheetDataSet>
      <sheetData sheetId="0">
        <row r="6">
          <cell r="E6">
            <v>51271.199999999997</v>
          </cell>
        </row>
      </sheetData>
      <sheetData sheetId="1" refreshError="1"/>
      <sheetData sheetId="2" refreshError="1"/>
      <sheetData sheetId="3" refreshError="1"/>
      <sheetData sheetId="4">
        <row r="1">
          <cell r="L1" t="str">
            <v>Net Posting 09</v>
          </cell>
        </row>
      </sheetData>
      <sheetData sheetId="5" refreshError="1"/>
      <sheetData sheetId="6" refreshError="1"/>
      <sheetData sheetId="7">
        <row r="4">
          <cell r="A4">
            <v>101</v>
          </cell>
        </row>
        <row r="5">
          <cell r="A5">
            <v>102</v>
          </cell>
        </row>
        <row r="6">
          <cell r="A6">
            <v>103</v>
          </cell>
        </row>
        <row r="7">
          <cell r="A7">
            <v>104</v>
          </cell>
        </row>
        <row r="8">
          <cell r="A8">
            <v>105</v>
          </cell>
        </row>
        <row r="9">
          <cell r="A9">
            <v>110</v>
          </cell>
        </row>
        <row r="10">
          <cell r="A10">
            <v>111</v>
          </cell>
        </row>
        <row r="11">
          <cell r="A11">
            <v>112</v>
          </cell>
        </row>
        <row r="12">
          <cell r="A12">
            <v>113</v>
          </cell>
        </row>
        <row r="13">
          <cell r="A13">
            <v>114</v>
          </cell>
        </row>
        <row r="14">
          <cell r="A14">
            <v>117</v>
          </cell>
        </row>
        <row r="15">
          <cell r="A15">
            <v>118</v>
          </cell>
        </row>
        <row r="16">
          <cell r="A16">
            <v>119</v>
          </cell>
        </row>
        <row r="17">
          <cell r="A17">
            <v>120</v>
          </cell>
        </row>
        <row r="18">
          <cell r="A18">
            <v>121</v>
          </cell>
        </row>
        <row r="19">
          <cell r="A19">
            <v>122</v>
          </cell>
        </row>
        <row r="20">
          <cell r="A20">
            <v>123</v>
          </cell>
        </row>
        <row r="21">
          <cell r="A21">
            <v>124</v>
          </cell>
        </row>
        <row r="22">
          <cell r="A22">
            <v>125</v>
          </cell>
        </row>
        <row r="23">
          <cell r="A23">
            <v>126</v>
          </cell>
        </row>
        <row r="24">
          <cell r="A24">
            <v>127</v>
          </cell>
        </row>
        <row r="25">
          <cell r="A25">
            <v>128</v>
          </cell>
        </row>
        <row r="26">
          <cell r="A26">
            <v>129</v>
          </cell>
        </row>
        <row r="27">
          <cell r="A27">
            <v>130</v>
          </cell>
        </row>
        <row r="28">
          <cell r="A28">
            <v>131</v>
          </cell>
        </row>
        <row r="29">
          <cell r="A29">
            <v>132</v>
          </cell>
        </row>
        <row r="30">
          <cell r="A30">
            <v>133</v>
          </cell>
        </row>
        <row r="31">
          <cell r="A31">
            <v>134</v>
          </cell>
        </row>
        <row r="32">
          <cell r="A32">
            <v>136</v>
          </cell>
        </row>
        <row r="33">
          <cell r="A33">
            <v>150</v>
          </cell>
        </row>
        <row r="34">
          <cell r="A34">
            <v>151</v>
          </cell>
        </row>
        <row r="35">
          <cell r="A35">
            <v>152</v>
          </cell>
        </row>
        <row r="36">
          <cell r="A36">
            <v>180</v>
          </cell>
        </row>
        <row r="37">
          <cell r="A37">
            <v>181</v>
          </cell>
        </row>
        <row r="38">
          <cell r="A38">
            <v>182</v>
          </cell>
        </row>
        <row r="39">
          <cell r="A39">
            <v>183</v>
          </cell>
        </row>
        <row r="40">
          <cell r="A40">
            <v>187</v>
          </cell>
        </row>
        <row r="41">
          <cell r="A41">
            <v>188</v>
          </cell>
        </row>
        <row r="42">
          <cell r="A42">
            <v>191</v>
          </cell>
        </row>
        <row r="43">
          <cell r="A43">
            <v>195</v>
          </cell>
        </row>
        <row r="44">
          <cell r="A44">
            <v>196</v>
          </cell>
        </row>
        <row r="45">
          <cell r="A45">
            <v>220</v>
          </cell>
        </row>
        <row r="46">
          <cell r="A46">
            <v>241</v>
          </cell>
        </row>
        <row r="47">
          <cell r="A47">
            <v>242</v>
          </cell>
        </row>
        <row r="48">
          <cell r="A48">
            <v>246</v>
          </cell>
        </row>
        <row r="49">
          <cell r="A49">
            <v>248</v>
          </cell>
        </row>
        <row r="50">
          <cell r="A50">
            <v>249</v>
          </cell>
        </row>
        <row r="51">
          <cell r="A51">
            <v>250</v>
          </cell>
        </row>
        <row r="52">
          <cell r="A52">
            <v>251</v>
          </cell>
        </row>
        <row r="53">
          <cell r="A53">
            <v>252</v>
          </cell>
        </row>
        <row r="54">
          <cell r="A54">
            <v>255</v>
          </cell>
        </row>
        <row r="55">
          <cell r="A55">
            <v>256</v>
          </cell>
        </row>
        <row r="56">
          <cell r="A56">
            <v>259</v>
          </cell>
        </row>
        <row r="57">
          <cell r="A57">
            <v>260</v>
          </cell>
        </row>
        <row r="58">
          <cell r="A58">
            <v>286</v>
          </cell>
        </row>
        <row r="59">
          <cell r="A59">
            <v>287</v>
          </cell>
        </row>
        <row r="60">
          <cell r="A60">
            <v>288</v>
          </cell>
        </row>
        <row r="61">
          <cell r="A61">
            <v>300</v>
          </cell>
        </row>
        <row r="62">
          <cell r="A62">
            <v>315</v>
          </cell>
        </row>
        <row r="63">
          <cell r="A63">
            <v>316</v>
          </cell>
        </row>
        <row r="64">
          <cell r="A64">
            <v>317</v>
          </cell>
        </row>
        <row r="65">
          <cell r="A65">
            <v>319</v>
          </cell>
        </row>
        <row r="66">
          <cell r="A66">
            <v>332</v>
          </cell>
        </row>
        <row r="67">
          <cell r="A67">
            <v>333</v>
          </cell>
        </row>
        <row r="68">
          <cell r="A68">
            <v>345</v>
          </cell>
        </row>
        <row r="69">
          <cell r="A69">
            <v>356</v>
          </cell>
        </row>
        <row r="70">
          <cell r="A70">
            <v>357</v>
          </cell>
        </row>
        <row r="71">
          <cell r="A71">
            <v>358</v>
          </cell>
        </row>
        <row r="72">
          <cell r="A72">
            <v>359</v>
          </cell>
        </row>
        <row r="73">
          <cell r="A73">
            <v>385</v>
          </cell>
        </row>
        <row r="74">
          <cell r="A74">
            <v>386</v>
          </cell>
        </row>
        <row r="75">
          <cell r="A75">
            <v>390</v>
          </cell>
        </row>
        <row r="76">
          <cell r="A76">
            <v>391</v>
          </cell>
        </row>
        <row r="77">
          <cell r="A77">
            <v>400</v>
          </cell>
        </row>
        <row r="78">
          <cell r="A78">
            <v>401</v>
          </cell>
        </row>
        <row r="79">
          <cell r="A79">
            <v>402</v>
          </cell>
        </row>
        <row r="80">
          <cell r="A80">
            <v>403</v>
          </cell>
        </row>
        <row r="81">
          <cell r="A81">
            <v>425</v>
          </cell>
        </row>
        <row r="82">
          <cell r="A82">
            <v>426</v>
          </cell>
        </row>
        <row r="83">
          <cell r="A83">
            <v>427</v>
          </cell>
        </row>
        <row r="84">
          <cell r="A84">
            <v>450</v>
          </cell>
        </row>
        <row r="85">
          <cell r="A85">
            <v>451</v>
          </cell>
        </row>
        <row r="86">
          <cell r="A86">
            <v>452</v>
          </cell>
        </row>
        <row r="87">
          <cell r="A87">
            <v>453</v>
          </cell>
        </row>
        <row r="88">
          <cell r="A88">
            <v>454</v>
          </cell>
        </row>
        <row r="89">
          <cell r="A89">
            <v>254</v>
          </cell>
        </row>
        <row r="90">
          <cell r="A90">
            <v>500</v>
          </cell>
        </row>
        <row r="91">
          <cell r="A91">
            <v>501</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Trend"/>
      <sheetName val="Summary"/>
      <sheetName val="Previous Month Summary"/>
      <sheetName val="New Hires"/>
      <sheetName val="Terminations"/>
      <sheetName val="Turnover"/>
      <sheetName val="Detail"/>
      <sheetName val="SOP"/>
      <sheetName val="Prev.Detail"/>
      <sheetName val="Paychex"/>
      <sheetName val="Budget Load"/>
      <sheetName val="Tables"/>
      <sheetName val="JDE SE50"/>
    </sheetNames>
    <sheetDataSet>
      <sheetData sheetId="0" refreshError="1"/>
      <sheetData sheetId="1"/>
      <sheetData sheetId="2" refreshError="1"/>
      <sheetData sheetId="3" refreshError="1"/>
      <sheetData sheetId="4" refreshError="1"/>
      <sheetData sheetId="5" refreshError="1"/>
      <sheetData sheetId="6">
        <row r="2">
          <cell r="C2">
            <v>102101</v>
          </cell>
        </row>
      </sheetData>
      <sheetData sheetId="7" refreshError="1"/>
      <sheetData sheetId="8" refreshError="1"/>
      <sheetData sheetId="9" refreshError="1"/>
      <sheetData sheetId="10" refreshError="1"/>
      <sheetData sheetId="11">
        <row r="3">
          <cell r="P3">
            <v>42400</v>
          </cell>
          <cell r="Q3">
            <v>42429</v>
          </cell>
          <cell r="R3">
            <v>42460</v>
          </cell>
          <cell r="S3">
            <v>42490</v>
          </cell>
          <cell r="T3">
            <v>42521</v>
          </cell>
          <cell r="U3">
            <v>42551</v>
          </cell>
          <cell r="V3">
            <v>42582</v>
          </cell>
          <cell r="W3">
            <v>42613</v>
          </cell>
          <cell r="X3">
            <v>42643</v>
          </cell>
          <cell r="Y3">
            <v>42674</v>
          </cell>
          <cell r="Z3">
            <v>42704</v>
          </cell>
          <cell r="AA3">
            <v>42735</v>
          </cell>
          <cell r="AB3">
            <v>42766</v>
          </cell>
          <cell r="AC3">
            <v>42794</v>
          </cell>
          <cell r="AD3">
            <v>42825</v>
          </cell>
          <cell r="AE3">
            <v>42855</v>
          </cell>
          <cell r="AF3">
            <v>42886</v>
          </cell>
          <cell r="AG3">
            <v>42916</v>
          </cell>
          <cell r="AH3">
            <v>42947</v>
          </cell>
          <cell r="AI3">
            <v>42978</v>
          </cell>
          <cell r="AJ3">
            <v>43008</v>
          </cell>
          <cell r="AK3">
            <v>43039</v>
          </cell>
          <cell r="AL3">
            <v>43069</v>
          </cell>
          <cell r="AM3">
            <v>43100</v>
          </cell>
          <cell r="AN3">
            <v>43131</v>
          </cell>
          <cell r="AO3">
            <v>43159</v>
          </cell>
          <cell r="AP3">
            <v>43190</v>
          </cell>
          <cell r="AQ3">
            <v>43220</v>
          </cell>
          <cell r="AR3">
            <v>43251</v>
          </cell>
          <cell r="AS3">
            <v>43281</v>
          </cell>
          <cell r="AT3">
            <v>43312</v>
          </cell>
          <cell r="AU3">
            <v>43343</v>
          </cell>
          <cell r="AV3">
            <v>43373</v>
          </cell>
          <cell r="AW3">
            <v>43404</v>
          </cell>
          <cell r="AX3">
            <v>43434</v>
          </cell>
          <cell r="AY3">
            <v>43465</v>
          </cell>
        </row>
        <row r="7">
          <cell r="P7">
            <v>14</v>
          </cell>
          <cell r="Q7">
            <v>14</v>
          </cell>
          <cell r="R7">
            <v>14</v>
          </cell>
          <cell r="S7">
            <v>14</v>
          </cell>
          <cell r="T7">
            <v>14</v>
          </cell>
          <cell r="U7">
            <v>14</v>
          </cell>
          <cell r="V7">
            <v>14</v>
          </cell>
          <cell r="W7">
            <v>14</v>
          </cell>
          <cell r="X7">
            <v>14</v>
          </cell>
          <cell r="Y7">
            <v>14</v>
          </cell>
          <cell r="Z7">
            <v>14</v>
          </cell>
          <cell r="AA7">
            <v>14</v>
          </cell>
          <cell r="AB7">
            <v>15</v>
          </cell>
          <cell r="AC7">
            <v>15</v>
          </cell>
          <cell r="AD7">
            <v>15</v>
          </cell>
          <cell r="AE7">
            <v>15</v>
          </cell>
          <cell r="AF7">
            <v>15</v>
          </cell>
          <cell r="AG7">
            <v>15</v>
          </cell>
          <cell r="AH7">
            <v>15</v>
          </cell>
          <cell r="AI7">
            <v>15</v>
          </cell>
          <cell r="AJ7">
            <v>15</v>
          </cell>
          <cell r="AK7">
            <v>15</v>
          </cell>
          <cell r="AL7">
            <v>15</v>
          </cell>
          <cell r="AM7">
            <v>15</v>
          </cell>
          <cell r="AN7">
            <v>15</v>
          </cell>
          <cell r="AO7">
            <v>15</v>
          </cell>
          <cell r="AP7">
            <v>15</v>
          </cell>
          <cell r="AQ7">
            <v>15</v>
          </cell>
          <cell r="AR7">
            <v>15</v>
          </cell>
          <cell r="AS7">
            <v>15</v>
          </cell>
          <cell r="AT7">
            <v>15</v>
          </cell>
          <cell r="AU7">
            <v>15</v>
          </cell>
          <cell r="AV7">
            <v>15</v>
          </cell>
          <cell r="AW7">
            <v>15</v>
          </cell>
          <cell r="AX7">
            <v>15</v>
          </cell>
          <cell r="AY7">
            <v>15</v>
          </cell>
        </row>
        <row r="8">
          <cell r="AN8">
            <v>3</v>
          </cell>
          <cell r="AO8">
            <v>3</v>
          </cell>
          <cell r="AP8">
            <v>3</v>
          </cell>
          <cell r="AQ8">
            <v>3</v>
          </cell>
          <cell r="AR8">
            <v>3</v>
          </cell>
          <cell r="AS8">
            <v>3</v>
          </cell>
          <cell r="AT8">
            <v>3</v>
          </cell>
          <cell r="AU8">
            <v>3</v>
          </cell>
          <cell r="AV8">
            <v>3</v>
          </cell>
          <cell r="AW8">
            <v>3</v>
          </cell>
          <cell r="AX8">
            <v>3</v>
          </cell>
          <cell r="AY8">
            <v>3</v>
          </cell>
        </row>
        <row r="9">
          <cell r="P9">
            <v>3</v>
          </cell>
          <cell r="Q9">
            <v>3</v>
          </cell>
          <cell r="R9">
            <v>3</v>
          </cell>
          <cell r="S9">
            <v>3</v>
          </cell>
          <cell r="T9">
            <v>3</v>
          </cell>
          <cell r="U9">
            <v>3</v>
          </cell>
          <cell r="V9">
            <v>3</v>
          </cell>
          <cell r="W9">
            <v>3</v>
          </cell>
          <cell r="X9">
            <v>3</v>
          </cell>
          <cell r="Y9">
            <v>3</v>
          </cell>
          <cell r="Z9">
            <v>3</v>
          </cell>
          <cell r="AA9">
            <v>3</v>
          </cell>
          <cell r="AB9">
            <v>4</v>
          </cell>
          <cell r="AC9">
            <v>4</v>
          </cell>
          <cell r="AD9">
            <v>4</v>
          </cell>
          <cell r="AE9">
            <v>4</v>
          </cell>
          <cell r="AF9">
            <v>4</v>
          </cell>
          <cell r="AG9">
            <v>4</v>
          </cell>
          <cell r="AH9">
            <v>4</v>
          </cell>
          <cell r="AI9">
            <v>4</v>
          </cell>
          <cell r="AJ9">
            <v>4</v>
          </cell>
          <cell r="AK9">
            <v>4</v>
          </cell>
          <cell r="AL9">
            <v>4</v>
          </cell>
          <cell r="AM9">
            <v>4</v>
          </cell>
          <cell r="AN9">
            <v>5</v>
          </cell>
          <cell r="AO9">
            <v>5</v>
          </cell>
          <cell r="AP9">
            <v>5</v>
          </cell>
          <cell r="AQ9">
            <v>5</v>
          </cell>
          <cell r="AR9">
            <v>5</v>
          </cell>
          <cell r="AS9">
            <v>5</v>
          </cell>
          <cell r="AT9">
            <v>5</v>
          </cell>
          <cell r="AU9">
            <v>5</v>
          </cell>
          <cell r="AV9">
            <v>5</v>
          </cell>
          <cell r="AW9">
            <v>5</v>
          </cell>
          <cell r="AX9">
            <v>5</v>
          </cell>
          <cell r="AY9">
            <v>5</v>
          </cell>
        </row>
        <row r="10">
          <cell r="P10">
            <v>6</v>
          </cell>
          <cell r="Q10">
            <v>6</v>
          </cell>
          <cell r="R10">
            <v>6</v>
          </cell>
          <cell r="S10">
            <v>6</v>
          </cell>
          <cell r="T10">
            <v>6</v>
          </cell>
          <cell r="U10">
            <v>6</v>
          </cell>
          <cell r="V10">
            <v>6</v>
          </cell>
          <cell r="W10">
            <v>6</v>
          </cell>
          <cell r="X10">
            <v>6</v>
          </cell>
          <cell r="Y10">
            <v>6</v>
          </cell>
          <cell r="Z10">
            <v>6</v>
          </cell>
          <cell r="AA10">
            <v>6</v>
          </cell>
          <cell r="AB10">
            <v>8</v>
          </cell>
          <cell r="AC10">
            <v>8</v>
          </cell>
          <cell r="AD10">
            <v>8</v>
          </cell>
          <cell r="AE10">
            <v>8</v>
          </cell>
          <cell r="AF10">
            <v>8</v>
          </cell>
          <cell r="AG10">
            <v>8</v>
          </cell>
          <cell r="AH10">
            <v>8</v>
          </cell>
          <cell r="AI10">
            <v>8</v>
          </cell>
          <cell r="AJ10">
            <v>8</v>
          </cell>
          <cell r="AK10">
            <v>8</v>
          </cell>
          <cell r="AL10">
            <v>8</v>
          </cell>
          <cell r="AM10">
            <v>8</v>
          </cell>
          <cell r="AN10">
            <v>8</v>
          </cell>
          <cell r="AO10">
            <v>8</v>
          </cell>
          <cell r="AP10">
            <v>8</v>
          </cell>
          <cell r="AQ10">
            <v>8</v>
          </cell>
          <cell r="AR10">
            <v>8</v>
          </cell>
          <cell r="AS10">
            <v>8</v>
          </cell>
          <cell r="AT10">
            <v>8</v>
          </cell>
          <cell r="AU10">
            <v>8</v>
          </cell>
          <cell r="AV10">
            <v>8</v>
          </cell>
          <cell r="AW10">
            <v>8</v>
          </cell>
          <cell r="AX10">
            <v>8</v>
          </cell>
          <cell r="AY10">
            <v>8</v>
          </cell>
        </row>
        <row r="11">
          <cell r="P11">
            <v>10</v>
          </cell>
          <cell r="Q11">
            <v>10</v>
          </cell>
          <cell r="R11">
            <v>10</v>
          </cell>
          <cell r="S11">
            <v>10</v>
          </cell>
          <cell r="T11">
            <v>10</v>
          </cell>
          <cell r="U11">
            <v>10</v>
          </cell>
          <cell r="V11">
            <v>10</v>
          </cell>
          <cell r="W11">
            <v>10</v>
          </cell>
          <cell r="X11">
            <v>10</v>
          </cell>
          <cell r="Y11">
            <v>10</v>
          </cell>
          <cell r="Z11">
            <v>10</v>
          </cell>
          <cell r="AA11">
            <v>10</v>
          </cell>
          <cell r="AB11">
            <v>10</v>
          </cell>
          <cell r="AC11">
            <v>10</v>
          </cell>
          <cell r="AD11">
            <v>10</v>
          </cell>
          <cell r="AE11">
            <v>10</v>
          </cell>
          <cell r="AF11">
            <v>10</v>
          </cell>
          <cell r="AG11">
            <v>10</v>
          </cell>
          <cell r="AH11">
            <v>10</v>
          </cell>
          <cell r="AI11">
            <v>10</v>
          </cell>
          <cell r="AJ11">
            <v>10</v>
          </cell>
          <cell r="AK11">
            <v>10</v>
          </cell>
          <cell r="AL11">
            <v>10</v>
          </cell>
          <cell r="AM11">
            <v>10</v>
          </cell>
          <cell r="AN11">
            <v>11</v>
          </cell>
          <cell r="AO11">
            <v>11</v>
          </cell>
          <cell r="AP11">
            <v>11</v>
          </cell>
          <cell r="AQ11">
            <v>11</v>
          </cell>
          <cell r="AR11">
            <v>11</v>
          </cell>
          <cell r="AS11">
            <v>11</v>
          </cell>
          <cell r="AT11">
            <v>11</v>
          </cell>
          <cell r="AU11">
            <v>11</v>
          </cell>
          <cell r="AV11">
            <v>11</v>
          </cell>
          <cell r="AW11">
            <v>11</v>
          </cell>
          <cell r="AX11">
            <v>11</v>
          </cell>
          <cell r="AY11">
            <v>11</v>
          </cell>
        </row>
        <row r="12">
          <cell r="P12">
            <v>35</v>
          </cell>
          <cell r="Q12">
            <v>35</v>
          </cell>
          <cell r="R12">
            <v>35</v>
          </cell>
          <cell r="S12">
            <v>35</v>
          </cell>
          <cell r="T12">
            <v>35</v>
          </cell>
          <cell r="U12">
            <v>35</v>
          </cell>
          <cell r="V12">
            <v>35</v>
          </cell>
          <cell r="W12">
            <v>35</v>
          </cell>
          <cell r="X12">
            <v>35</v>
          </cell>
          <cell r="Y12">
            <v>35</v>
          </cell>
          <cell r="Z12">
            <v>35</v>
          </cell>
          <cell r="AA12">
            <v>35</v>
          </cell>
          <cell r="AB12">
            <v>37</v>
          </cell>
          <cell r="AC12">
            <v>37</v>
          </cell>
          <cell r="AD12">
            <v>37</v>
          </cell>
          <cell r="AE12">
            <v>37</v>
          </cell>
          <cell r="AF12">
            <v>37</v>
          </cell>
          <cell r="AG12">
            <v>37</v>
          </cell>
          <cell r="AH12">
            <v>37</v>
          </cell>
          <cell r="AI12">
            <v>37</v>
          </cell>
          <cell r="AJ12">
            <v>37</v>
          </cell>
          <cell r="AK12">
            <v>37</v>
          </cell>
          <cell r="AL12">
            <v>37</v>
          </cell>
          <cell r="AM12">
            <v>37</v>
          </cell>
          <cell r="AN12">
            <v>37</v>
          </cell>
          <cell r="AO12">
            <v>37</v>
          </cell>
          <cell r="AP12">
            <v>37</v>
          </cell>
          <cell r="AQ12">
            <v>37</v>
          </cell>
          <cell r="AR12">
            <v>37</v>
          </cell>
          <cell r="AS12">
            <v>37</v>
          </cell>
          <cell r="AT12">
            <v>37</v>
          </cell>
          <cell r="AU12">
            <v>37</v>
          </cell>
          <cell r="AV12">
            <v>37</v>
          </cell>
          <cell r="AW12">
            <v>37</v>
          </cell>
          <cell r="AX12">
            <v>37</v>
          </cell>
          <cell r="AY12">
            <v>37</v>
          </cell>
        </row>
        <row r="13">
          <cell r="P13">
            <v>3</v>
          </cell>
          <cell r="Q13">
            <v>3</v>
          </cell>
          <cell r="R13">
            <v>3</v>
          </cell>
          <cell r="S13">
            <v>3</v>
          </cell>
          <cell r="T13">
            <v>3</v>
          </cell>
          <cell r="U13">
            <v>3</v>
          </cell>
          <cell r="V13">
            <v>3</v>
          </cell>
          <cell r="W13">
            <v>3</v>
          </cell>
          <cell r="X13">
            <v>3</v>
          </cell>
          <cell r="Y13">
            <v>3</v>
          </cell>
          <cell r="Z13">
            <v>3</v>
          </cell>
          <cell r="AA13">
            <v>3</v>
          </cell>
          <cell r="AB13">
            <v>4</v>
          </cell>
          <cell r="AC13">
            <v>4</v>
          </cell>
          <cell r="AD13">
            <v>4</v>
          </cell>
          <cell r="AE13">
            <v>4</v>
          </cell>
          <cell r="AF13">
            <v>4</v>
          </cell>
          <cell r="AG13">
            <v>4</v>
          </cell>
          <cell r="AH13">
            <v>4</v>
          </cell>
          <cell r="AI13">
            <v>4</v>
          </cell>
          <cell r="AJ13">
            <v>4</v>
          </cell>
          <cell r="AK13">
            <v>4</v>
          </cell>
          <cell r="AL13">
            <v>4</v>
          </cell>
          <cell r="AM13">
            <v>4</v>
          </cell>
          <cell r="AN13">
            <v>6</v>
          </cell>
          <cell r="AO13">
            <v>6</v>
          </cell>
          <cell r="AP13">
            <v>6</v>
          </cell>
          <cell r="AQ13">
            <v>6</v>
          </cell>
          <cell r="AR13">
            <v>6</v>
          </cell>
          <cell r="AS13">
            <v>6</v>
          </cell>
          <cell r="AT13">
            <v>6</v>
          </cell>
          <cell r="AU13">
            <v>6</v>
          </cell>
          <cell r="AV13">
            <v>6</v>
          </cell>
          <cell r="AW13">
            <v>6</v>
          </cell>
          <cell r="AX13">
            <v>6</v>
          </cell>
          <cell r="AY13">
            <v>6</v>
          </cell>
        </row>
        <row r="14">
          <cell r="P14">
            <v>4</v>
          </cell>
          <cell r="Q14">
            <v>4</v>
          </cell>
          <cell r="R14">
            <v>4</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row>
        <row r="15">
          <cell r="P15">
            <v>5</v>
          </cell>
          <cell r="Q15">
            <v>5</v>
          </cell>
          <cell r="R15">
            <v>5</v>
          </cell>
          <cell r="S15">
            <v>5</v>
          </cell>
          <cell r="T15">
            <v>5</v>
          </cell>
          <cell r="U15">
            <v>5</v>
          </cell>
          <cell r="V15">
            <v>5</v>
          </cell>
          <cell r="W15">
            <v>5</v>
          </cell>
          <cell r="X15">
            <v>5</v>
          </cell>
          <cell r="Y15">
            <v>5</v>
          </cell>
          <cell r="Z15">
            <v>5</v>
          </cell>
          <cell r="AA15">
            <v>5</v>
          </cell>
          <cell r="AB15">
            <v>6</v>
          </cell>
          <cell r="AC15">
            <v>6</v>
          </cell>
          <cell r="AD15">
            <v>6</v>
          </cell>
          <cell r="AE15">
            <v>6</v>
          </cell>
          <cell r="AF15">
            <v>6</v>
          </cell>
          <cell r="AG15">
            <v>6</v>
          </cell>
          <cell r="AH15">
            <v>6</v>
          </cell>
          <cell r="AI15">
            <v>6</v>
          </cell>
          <cell r="AJ15">
            <v>6</v>
          </cell>
          <cell r="AK15">
            <v>6</v>
          </cell>
          <cell r="AL15">
            <v>6</v>
          </cell>
          <cell r="AM15">
            <v>6</v>
          </cell>
          <cell r="AN15">
            <v>4</v>
          </cell>
          <cell r="AO15">
            <v>4</v>
          </cell>
          <cell r="AP15">
            <v>4</v>
          </cell>
          <cell r="AQ15">
            <v>4</v>
          </cell>
          <cell r="AR15">
            <v>4</v>
          </cell>
          <cell r="AS15">
            <v>4</v>
          </cell>
          <cell r="AT15">
            <v>4</v>
          </cell>
          <cell r="AU15">
            <v>4</v>
          </cell>
          <cell r="AV15">
            <v>4</v>
          </cell>
          <cell r="AW15">
            <v>4</v>
          </cell>
          <cell r="AX15">
            <v>4</v>
          </cell>
          <cell r="AY15">
            <v>4</v>
          </cell>
        </row>
        <row r="16">
          <cell r="P16">
            <v>80</v>
          </cell>
          <cell r="Q16">
            <v>80</v>
          </cell>
          <cell r="R16">
            <v>80</v>
          </cell>
          <cell r="S16">
            <v>80</v>
          </cell>
          <cell r="T16">
            <v>80</v>
          </cell>
          <cell r="U16">
            <v>80</v>
          </cell>
          <cell r="V16">
            <v>80</v>
          </cell>
          <cell r="W16">
            <v>80</v>
          </cell>
          <cell r="X16">
            <v>80</v>
          </cell>
          <cell r="Y16">
            <v>80</v>
          </cell>
          <cell r="Z16">
            <v>80</v>
          </cell>
          <cell r="AA16">
            <v>80</v>
          </cell>
          <cell r="AB16">
            <v>88</v>
          </cell>
          <cell r="AC16">
            <v>88</v>
          </cell>
          <cell r="AD16">
            <v>88</v>
          </cell>
          <cell r="AE16">
            <v>88</v>
          </cell>
          <cell r="AF16">
            <v>88</v>
          </cell>
          <cell r="AG16">
            <v>88</v>
          </cell>
          <cell r="AH16">
            <v>88</v>
          </cell>
          <cell r="AI16">
            <v>88</v>
          </cell>
          <cell r="AJ16">
            <v>88</v>
          </cell>
          <cell r="AK16">
            <v>88</v>
          </cell>
          <cell r="AL16">
            <v>88</v>
          </cell>
          <cell r="AM16">
            <v>88</v>
          </cell>
          <cell r="AN16">
            <v>93</v>
          </cell>
          <cell r="AO16">
            <v>93</v>
          </cell>
          <cell r="AP16">
            <v>93</v>
          </cell>
          <cell r="AQ16">
            <v>93</v>
          </cell>
          <cell r="AR16">
            <v>93</v>
          </cell>
          <cell r="AS16">
            <v>93</v>
          </cell>
          <cell r="AT16">
            <v>93</v>
          </cell>
          <cell r="AU16">
            <v>93</v>
          </cell>
          <cell r="AV16">
            <v>93</v>
          </cell>
          <cell r="AW16">
            <v>93</v>
          </cell>
          <cell r="AX16">
            <v>93</v>
          </cell>
          <cell r="AY16">
            <v>93</v>
          </cell>
        </row>
        <row r="19">
          <cell r="P19">
            <v>8</v>
          </cell>
          <cell r="Q19">
            <v>8</v>
          </cell>
          <cell r="R19">
            <v>8</v>
          </cell>
          <cell r="S19">
            <v>8</v>
          </cell>
          <cell r="T19">
            <v>8</v>
          </cell>
          <cell r="U19">
            <v>8</v>
          </cell>
          <cell r="V19">
            <v>8</v>
          </cell>
          <cell r="W19">
            <v>8</v>
          </cell>
          <cell r="X19">
            <v>8</v>
          </cell>
          <cell r="Y19">
            <v>8</v>
          </cell>
          <cell r="Z19">
            <v>8</v>
          </cell>
          <cell r="AA19">
            <v>8</v>
          </cell>
          <cell r="AB19">
            <v>8</v>
          </cell>
          <cell r="AC19">
            <v>8</v>
          </cell>
          <cell r="AD19">
            <v>8</v>
          </cell>
          <cell r="AE19">
            <v>9</v>
          </cell>
          <cell r="AF19">
            <v>9</v>
          </cell>
          <cell r="AG19">
            <v>9</v>
          </cell>
          <cell r="AH19">
            <v>9</v>
          </cell>
          <cell r="AI19">
            <v>9</v>
          </cell>
          <cell r="AJ19">
            <v>9</v>
          </cell>
          <cell r="AK19">
            <v>9</v>
          </cell>
          <cell r="AL19">
            <v>9</v>
          </cell>
          <cell r="AM19">
            <v>9</v>
          </cell>
          <cell r="AN19">
            <v>10</v>
          </cell>
          <cell r="AO19">
            <v>10</v>
          </cell>
          <cell r="AP19">
            <v>10</v>
          </cell>
          <cell r="AQ19">
            <v>10</v>
          </cell>
          <cell r="AR19">
            <v>10</v>
          </cell>
          <cell r="AS19">
            <v>10</v>
          </cell>
          <cell r="AT19">
            <v>10</v>
          </cell>
          <cell r="AU19">
            <v>10</v>
          </cell>
          <cell r="AV19">
            <v>10</v>
          </cell>
          <cell r="AW19">
            <v>10</v>
          </cell>
          <cell r="AX19">
            <v>10</v>
          </cell>
          <cell r="AY19">
            <v>10</v>
          </cell>
        </row>
        <row r="20">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1</v>
          </cell>
          <cell r="AP20">
            <v>1</v>
          </cell>
          <cell r="AQ20">
            <v>1</v>
          </cell>
          <cell r="AR20">
            <v>1</v>
          </cell>
          <cell r="AS20">
            <v>1</v>
          </cell>
          <cell r="AT20">
            <v>1</v>
          </cell>
          <cell r="AU20">
            <v>1</v>
          </cell>
          <cell r="AV20">
            <v>1</v>
          </cell>
          <cell r="AW20">
            <v>1</v>
          </cell>
          <cell r="AX20">
            <v>1</v>
          </cell>
          <cell r="AY20">
            <v>1</v>
          </cell>
        </row>
        <row r="21">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row>
        <row r="22">
          <cell r="P22">
            <v>22</v>
          </cell>
          <cell r="Q22">
            <v>22</v>
          </cell>
          <cell r="R22">
            <v>22</v>
          </cell>
          <cell r="S22">
            <v>22</v>
          </cell>
          <cell r="T22">
            <v>22</v>
          </cell>
          <cell r="U22">
            <v>22</v>
          </cell>
          <cell r="V22">
            <v>22</v>
          </cell>
          <cell r="W22">
            <v>22</v>
          </cell>
          <cell r="X22">
            <v>22</v>
          </cell>
          <cell r="Y22">
            <v>22</v>
          </cell>
          <cell r="Z22">
            <v>22</v>
          </cell>
          <cell r="AA22">
            <v>22</v>
          </cell>
          <cell r="AB22">
            <v>22</v>
          </cell>
          <cell r="AC22">
            <v>22</v>
          </cell>
          <cell r="AD22">
            <v>22</v>
          </cell>
          <cell r="AE22">
            <v>22</v>
          </cell>
          <cell r="AF22">
            <v>22</v>
          </cell>
          <cell r="AG22">
            <v>22</v>
          </cell>
          <cell r="AH22">
            <v>22</v>
          </cell>
          <cell r="AI22">
            <v>22</v>
          </cell>
          <cell r="AJ22">
            <v>22</v>
          </cell>
          <cell r="AK22">
            <v>22</v>
          </cell>
          <cell r="AL22">
            <v>22</v>
          </cell>
          <cell r="AM22">
            <v>22</v>
          </cell>
          <cell r="AN22">
            <v>27</v>
          </cell>
          <cell r="AO22">
            <v>27</v>
          </cell>
          <cell r="AP22">
            <v>27</v>
          </cell>
          <cell r="AQ22">
            <v>27</v>
          </cell>
          <cell r="AR22">
            <v>27</v>
          </cell>
          <cell r="AS22">
            <v>27</v>
          </cell>
          <cell r="AT22">
            <v>27</v>
          </cell>
          <cell r="AU22">
            <v>27</v>
          </cell>
          <cell r="AV22">
            <v>27</v>
          </cell>
          <cell r="AW22">
            <v>27</v>
          </cell>
          <cell r="AX22">
            <v>27</v>
          </cell>
          <cell r="AY22">
            <v>27</v>
          </cell>
        </row>
        <row r="23">
          <cell r="P23">
            <v>10</v>
          </cell>
          <cell r="Q23">
            <v>10</v>
          </cell>
          <cell r="R23">
            <v>10</v>
          </cell>
          <cell r="S23">
            <v>10</v>
          </cell>
          <cell r="T23">
            <v>10</v>
          </cell>
          <cell r="U23">
            <v>10</v>
          </cell>
          <cell r="V23">
            <v>10</v>
          </cell>
          <cell r="W23">
            <v>10</v>
          </cell>
          <cell r="X23">
            <v>10</v>
          </cell>
          <cell r="Y23">
            <v>10</v>
          </cell>
          <cell r="Z23">
            <v>10</v>
          </cell>
          <cell r="AA23">
            <v>10</v>
          </cell>
          <cell r="AB23">
            <v>10</v>
          </cell>
          <cell r="AC23">
            <v>10</v>
          </cell>
          <cell r="AD23">
            <v>10</v>
          </cell>
          <cell r="AE23">
            <v>10</v>
          </cell>
          <cell r="AF23">
            <v>10</v>
          </cell>
          <cell r="AG23">
            <v>10</v>
          </cell>
          <cell r="AH23">
            <v>10</v>
          </cell>
          <cell r="AI23">
            <v>10</v>
          </cell>
          <cell r="AJ23">
            <v>10</v>
          </cell>
          <cell r="AK23">
            <v>10</v>
          </cell>
          <cell r="AL23">
            <v>10</v>
          </cell>
          <cell r="AM23">
            <v>10</v>
          </cell>
          <cell r="AN23">
            <v>8</v>
          </cell>
          <cell r="AO23">
            <v>8</v>
          </cell>
          <cell r="AP23">
            <v>8</v>
          </cell>
          <cell r="AQ23">
            <v>8</v>
          </cell>
          <cell r="AR23">
            <v>8</v>
          </cell>
          <cell r="AS23">
            <v>8</v>
          </cell>
          <cell r="AT23">
            <v>8</v>
          </cell>
          <cell r="AU23">
            <v>8</v>
          </cell>
          <cell r="AV23">
            <v>8</v>
          </cell>
          <cell r="AW23">
            <v>8</v>
          </cell>
          <cell r="AX23">
            <v>8</v>
          </cell>
          <cell r="AY23">
            <v>8</v>
          </cell>
        </row>
        <row r="24">
          <cell r="P24">
            <v>6</v>
          </cell>
          <cell r="Q24">
            <v>6</v>
          </cell>
          <cell r="R24">
            <v>6</v>
          </cell>
          <cell r="S24">
            <v>6</v>
          </cell>
          <cell r="T24">
            <v>6</v>
          </cell>
          <cell r="U24">
            <v>6</v>
          </cell>
          <cell r="V24">
            <v>6</v>
          </cell>
          <cell r="W24">
            <v>6</v>
          </cell>
          <cell r="X24">
            <v>6</v>
          </cell>
          <cell r="Y24">
            <v>6</v>
          </cell>
          <cell r="Z24">
            <v>6</v>
          </cell>
          <cell r="AA24">
            <v>6</v>
          </cell>
          <cell r="AB24">
            <v>6</v>
          </cell>
          <cell r="AC24">
            <v>6</v>
          </cell>
          <cell r="AD24">
            <v>6</v>
          </cell>
          <cell r="AE24">
            <v>6</v>
          </cell>
          <cell r="AF24">
            <v>6</v>
          </cell>
          <cell r="AG24">
            <v>6</v>
          </cell>
          <cell r="AH24">
            <v>6</v>
          </cell>
          <cell r="AI24">
            <v>6</v>
          </cell>
          <cell r="AJ24">
            <v>6</v>
          </cell>
          <cell r="AK24">
            <v>6</v>
          </cell>
          <cell r="AL24">
            <v>6</v>
          </cell>
          <cell r="AM24">
            <v>6</v>
          </cell>
          <cell r="AN24">
            <v>7</v>
          </cell>
          <cell r="AO24">
            <v>7</v>
          </cell>
          <cell r="AP24">
            <v>7</v>
          </cell>
          <cell r="AQ24">
            <v>7</v>
          </cell>
          <cell r="AR24">
            <v>7</v>
          </cell>
          <cell r="AS24">
            <v>7</v>
          </cell>
          <cell r="AT24">
            <v>7</v>
          </cell>
          <cell r="AU24">
            <v>7</v>
          </cell>
          <cell r="AV24">
            <v>7</v>
          </cell>
          <cell r="AW24">
            <v>7</v>
          </cell>
          <cell r="AX24">
            <v>7</v>
          </cell>
          <cell r="AY24">
            <v>7</v>
          </cell>
        </row>
        <row r="25">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row>
        <row r="26">
          <cell r="P26">
            <v>8</v>
          </cell>
          <cell r="Q26">
            <v>8</v>
          </cell>
          <cell r="R26">
            <v>8</v>
          </cell>
          <cell r="S26">
            <v>8</v>
          </cell>
          <cell r="T26">
            <v>8</v>
          </cell>
          <cell r="U26">
            <v>8</v>
          </cell>
          <cell r="V26">
            <v>8</v>
          </cell>
          <cell r="W26">
            <v>8</v>
          </cell>
          <cell r="X26">
            <v>8</v>
          </cell>
          <cell r="Y26">
            <v>8</v>
          </cell>
          <cell r="Z26">
            <v>8</v>
          </cell>
          <cell r="AA26">
            <v>8</v>
          </cell>
          <cell r="AB26">
            <v>8</v>
          </cell>
          <cell r="AC26">
            <v>8</v>
          </cell>
          <cell r="AD26">
            <v>8</v>
          </cell>
          <cell r="AE26">
            <v>8</v>
          </cell>
          <cell r="AF26">
            <v>8</v>
          </cell>
          <cell r="AG26">
            <v>8</v>
          </cell>
          <cell r="AH26">
            <v>8</v>
          </cell>
          <cell r="AI26">
            <v>8</v>
          </cell>
          <cell r="AJ26">
            <v>8</v>
          </cell>
          <cell r="AK26">
            <v>8</v>
          </cell>
          <cell r="AL26">
            <v>8</v>
          </cell>
          <cell r="AM26">
            <v>8</v>
          </cell>
          <cell r="AN26">
            <v>8</v>
          </cell>
          <cell r="AO26">
            <v>8</v>
          </cell>
          <cell r="AP26">
            <v>8</v>
          </cell>
          <cell r="AQ26">
            <v>8</v>
          </cell>
          <cell r="AR26">
            <v>8</v>
          </cell>
          <cell r="AS26">
            <v>8</v>
          </cell>
          <cell r="AT26">
            <v>8</v>
          </cell>
          <cell r="AU26">
            <v>8</v>
          </cell>
          <cell r="AV26">
            <v>8</v>
          </cell>
          <cell r="AW26">
            <v>8</v>
          </cell>
          <cell r="AX26">
            <v>8</v>
          </cell>
          <cell r="AY26">
            <v>8</v>
          </cell>
        </row>
        <row r="27">
          <cell r="P27">
            <v>9</v>
          </cell>
          <cell r="Q27">
            <v>9</v>
          </cell>
          <cell r="R27">
            <v>9</v>
          </cell>
          <cell r="S27">
            <v>9</v>
          </cell>
          <cell r="T27">
            <v>9</v>
          </cell>
          <cell r="U27">
            <v>9</v>
          </cell>
          <cell r="V27">
            <v>9</v>
          </cell>
          <cell r="W27">
            <v>9</v>
          </cell>
          <cell r="X27">
            <v>9</v>
          </cell>
          <cell r="Y27">
            <v>9</v>
          </cell>
          <cell r="Z27">
            <v>9</v>
          </cell>
          <cell r="AA27">
            <v>9</v>
          </cell>
          <cell r="AB27">
            <v>9</v>
          </cell>
          <cell r="AC27">
            <v>9</v>
          </cell>
          <cell r="AD27">
            <v>9</v>
          </cell>
          <cell r="AE27">
            <v>9</v>
          </cell>
          <cell r="AF27">
            <v>9</v>
          </cell>
          <cell r="AG27">
            <v>9</v>
          </cell>
          <cell r="AH27">
            <v>9</v>
          </cell>
          <cell r="AI27">
            <v>9</v>
          </cell>
          <cell r="AJ27">
            <v>9</v>
          </cell>
          <cell r="AK27">
            <v>9</v>
          </cell>
          <cell r="AL27">
            <v>9</v>
          </cell>
          <cell r="AM27">
            <v>9</v>
          </cell>
          <cell r="AN27">
            <v>9</v>
          </cell>
          <cell r="AO27">
            <v>9</v>
          </cell>
          <cell r="AP27">
            <v>9</v>
          </cell>
          <cell r="AQ27">
            <v>9</v>
          </cell>
          <cell r="AR27">
            <v>9</v>
          </cell>
          <cell r="AS27">
            <v>9</v>
          </cell>
          <cell r="AT27">
            <v>9</v>
          </cell>
          <cell r="AU27">
            <v>9</v>
          </cell>
          <cell r="AV27">
            <v>9</v>
          </cell>
          <cell r="AW27">
            <v>9</v>
          </cell>
          <cell r="AX27">
            <v>9</v>
          </cell>
          <cell r="AY27">
            <v>9</v>
          </cell>
        </row>
        <row r="28">
          <cell r="P28">
            <v>11</v>
          </cell>
          <cell r="Q28">
            <v>11</v>
          </cell>
          <cell r="R28">
            <v>11</v>
          </cell>
          <cell r="S28">
            <v>11</v>
          </cell>
          <cell r="T28">
            <v>11</v>
          </cell>
          <cell r="U28">
            <v>11</v>
          </cell>
          <cell r="V28">
            <v>11</v>
          </cell>
          <cell r="W28">
            <v>11</v>
          </cell>
          <cell r="X28">
            <v>11</v>
          </cell>
          <cell r="Y28">
            <v>11</v>
          </cell>
          <cell r="Z28">
            <v>11</v>
          </cell>
          <cell r="AA28">
            <v>11</v>
          </cell>
          <cell r="AB28">
            <v>11</v>
          </cell>
          <cell r="AC28">
            <v>11</v>
          </cell>
          <cell r="AD28">
            <v>11</v>
          </cell>
          <cell r="AE28">
            <v>11</v>
          </cell>
          <cell r="AF28">
            <v>11</v>
          </cell>
          <cell r="AG28">
            <v>11</v>
          </cell>
          <cell r="AH28">
            <v>11</v>
          </cell>
          <cell r="AI28">
            <v>11</v>
          </cell>
          <cell r="AJ28">
            <v>11</v>
          </cell>
          <cell r="AK28">
            <v>11</v>
          </cell>
          <cell r="AL28">
            <v>11</v>
          </cell>
          <cell r="AM28">
            <v>11</v>
          </cell>
          <cell r="AN28">
            <v>11</v>
          </cell>
          <cell r="AO28">
            <v>11</v>
          </cell>
          <cell r="AP28">
            <v>11</v>
          </cell>
          <cell r="AQ28">
            <v>11</v>
          </cell>
          <cell r="AR28">
            <v>11</v>
          </cell>
          <cell r="AS28">
            <v>11</v>
          </cell>
          <cell r="AT28">
            <v>11</v>
          </cell>
          <cell r="AU28">
            <v>11</v>
          </cell>
          <cell r="AV28">
            <v>11</v>
          </cell>
          <cell r="AW28">
            <v>11</v>
          </cell>
          <cell r="AX28">
            <v>11</v>
          </cell>
          <cell r="AY28">
            <v>11</v>
          </cell>
        </row>
        <row r="29">
          <cell r="P29">
            <v>77</v>
          </cell>
          <cell r="Q29">
            <v>77</v>
          </cell>
          <cell r="R29">
            <v>77</v>
          </cell>
          <cell r="S29">
            <v>77</v>
          </cell>
          <cell r="T29">
            <v>77</v>
          </cell>
          <cell r="U29">
            <v>77</v>
          </cell>
          <cell r="V29">
            <v>77</v>
          </cell>
          <cell r="W29">
            <v>77</v>
          </cell>
          <cell r="X29">
            <v>77</v>
          </cell>
          <cell r="Y29">
            <v>77</v>
          </cell>
          <cell r="Z29">
            <v>77</v>
          </cell>
          <cell r="AA29">
            <v>77</v>
          </cell>
          <cell r="AB29">
            <v>77</v>
          </cell>
          <cell r="AC29">
            <v>77</v>
          </cell>
          <cell r="AD29">
            <v>77</v>
          </cell>
          <cell r="AE29">
            <v>78</v>
          </cell>
          <cell r="AF29">
            <v>78</v>
          </cell>
          <cell r="AG29">
            <v>78</v>
          </cell>
          <cell r="AH29">
            <v>78</v>
          </cell>
          <cell r="AI29">
            <v>78</v>
          </cell>
          <cell r="AJ29">
            <v>78</v>
          </cell>
          <cell r="AK29">
            <v>78</v>
          </cell>
          <cell r="AL29">
            <v>78</v>
          </cell>
          <cell r="AM29">
            <v>78</v>
          </cell>
          <cell r="AN29">
            <v>83</v>
          </cell>
          <cell r="AO29">
            <v>83</v>
          </cell>
          <cell r="AP29">
            <v>83</v>
          </cell>
          <cell r="AQ29">
            <v>83</v>
          </cell>
          <cell r="AR29">
            <v>83</v>
          </cell>
          <cell r="AS29">
            <v>83</v>
          </cell>
          <cell r="AT29">
            <v>83</v>
          </cell>
          <cell r="AU29">
            <v>83</v>
          </cell>
          <cell r="AV29">
            <v>83</v>
          </cell>
          <cell r="AW29">
            <v>83</v>
          </cell>
          <cell r="AX29">
            <v>83</v>
          </cell>
          <cell r="AY29">
            <v>83</v>
          </cell>
        </row>
        <row r="32">
          <cell r="AB32">
            <v>0</v>
          </cell>
          <cell r="AC32">
            <v>0</v>
          </cell>
          <cell r="AD32">
            <v>0</v>
          </cell>
          <cell r="AE32">
            <v>0</v>
          </cell>
          <cell r="AF32">
            <v>0</v>
          </cell>
          <cell r="AG32">
            <v>0</v>
          </cell>
          <cell r="AH32">
            <v>0</v>
          </cell>
          <cell r="AI32">
            <v>0</v>
          </cell>
          <cell r="AJ32">
            <v>0</v>
          </cell>
          <cell r="AK32">
            <v>0</v>
          </cell>
          <cell r="AL32">
            <v>0</v>
          </cell>
          <cell r="AM32">
            <v>0</v>
          </cell>
        </row>
        <row r="33">
          <cell r="P33">
            <v>5</v>
          </cell>
          <cell r="Q33">
            <v>5</v>
          </cell>
          <cell r="R33">
            <v>5</v>
          </cell>
          <cell r="S33">
            <v>6</v>
          </cell>
          <cell r="T33">
            <v>6</v>
          </cell>
          <cell r="U33">
            <v>6</v>
          </cell>
          <cell r="V33">
            <v>6</v>
          </cell>
          <cell r="W33">
            <v>6</v>
          </cell>
          <cell r="X33">
            <v>6</v>
          </cell>
          <cell r="Y33">
            <v>6</v>
          </cell>
          <cell r="Z33">
            <v>6</v>
          </cell>
          <cell r="AA33">
            <v>6</v>
          </cell>
          <cell r="AB33">
            <v>6</v>
          </cell>
          <cell r="AC33">
            <v>6</v>
          </cell>
          <cell r="AD33">
            <v>6</v>
          </cell>
          <cell r="AE33">
            <v>7</v>
          </cell>
          <cell r="AF33">
            <v>7</v>
          </cell>
          <cell r="AG33">
            <v>7</v>
          </cell>
          <cell r="AH33">
            <v>7</v>
          </cell>
          <cell r="AI33">
            <v>7</v>
          </cell>
          <cell r="AJ33">
            <v>7</v>
          </cell>
          <cell r="AK33">
            <v>7</v>
          </cell>
          <cell r="AL33">
            <v>7</v>
          </cell>
          <cell r="AM33">
            <v>7</v>
          </cell>
          <cell r="AN33">
            <v>8</v>
          </cell>
          <cell r="AO33">
            <v>8</v>
          </cell>
          <cell r="AP33">
            <v>8</v>
          </cell>
          <cell r="AQ33">
            <v>8</v>
          </cell>
          <cell r="AR33">
            <v>8</v>
          </cell>
          <cell r="AS33">
            <v>8</v>
          </cell>
          <cell r="AT33">
            <v>8</v>
          </cell>
          <cell r="AU33">
            <v>8</v>
          </cell>
          <cell r="AV33">
            <v>8</v>
          </cell>
          <cell r="AW33">
            <v>8</v>
          </cell>
          <cell r="AX33">
            <v>8</v>
          </cell>
          <cell r="AY33">
            <v>8</v>
          </cell>
        </row>
        <row r="34">
          <cell r="P34">
            <v>73</v>
          </cell>
          <cell r="Q34">
            <v>73</v>
          </cell>
          <cell r="R34">
            <v>73</v>
          </cell>
          <cell r="S34">
            <v>73</v>
          </cell>
          <cell r="T34">
            <v>73</v>
          </cell>
          <cell r="U34">
            <v>73</v>
          </cell>
          <cell r="V34">
            <v>73</v>
          </cell>
          <cell r="W34">
            <v>73</v>
          </cell>
          <cell r="X34">
            <v>73</v>
          </cell>
          <cell r="Y34">
            <v>73</v>
          </cell>
          <cell r="Z34">
            <v>73</v>
          </cell>
          <cell r="AA34">
            <v>73</v>
          </cell>
          <cell r="AB34">
            <v>75</v>
          </cell>
          <cell r="AC34">
            <v>75</v>
          </cell>
          <cell r="AD34">
            <v>75</v>
          </cell>
          <cell r="AE34">
            <v>75</v>
          </cell>
          <cell r="AF34">
            <v>75</v>
          </cell>
          <cell r="AG34">
            <v>75</v>
          </cell>
          <cell r="AH34">
            <v>75</v>
          </cell>
          <cell r="AI34">
            <v>75</v>
          </cell>
          <cell r="AJ34">
            <v>75</v>
          </cell>
          <cell r="AK34">
            <v>75</v>
          </cell>
          <cell r="AL34">
            <v>75</v>
          </cell>
          <cell r="AM34">
            <v>75</v>
          </cell>
          <cell r="AN34">
            <v>75</v>
          </cell>
          <cell r="AO34">
            <v>75</v>
          </cell>
          <cell r="AP34">
            <v>75</v>
          </cell>
          <cell r="AQ34">
            <v>76</v>
          </cell>
          <cell r="AR34">
            <v>77</v>
          </cell>
          <cell r="AS34">
            <v>77</v>
          </cell>
          <cell r="AT34">
            <v>77</v>
          </cell>
          <cell r="AU34">
            <v>77</v>
          </cell>
          <cell r="AV34">
            <v>77</v>
          </cell>
          <cell r="AW34">
            <v>77</v>
          </cell>
          <cell r="AX34">
            <v>77</v>
          </cell>
          <cell r="AY34">
            <v>77</v>
          </cell>
        </row>
        <row r="35">
          <cell r="P35">
            <v>78</v>
          </cell>
          <cell r="Q35">
            <v>78</v>
          </cell>
          <cell r="R35">
            <v>78</v>
          </cell>
          <cell r="S35">
            <v>79</v>
          </cell>
          <cell r="T35">
            <v>79</v>
          </cell>
          <cell r="U35">
            <v>79</v>
          </cell>
          <cell r="V35">
            <v>79</v>
          </cell>
          <cell r="W35">
            <v>79</v>
          </cell>
          <cell r="X35">
            <v>79</v>
          </cell>
          <cell r="Y35">
            <v>79</v>
          </cell>
          <cell r="Z35">
            <v>79</v>
          </cell>
          <cell r="AA35">
            <v>79</v>
          </cell>
          <cell r="AB35">
            <v>81</v>
          </cell>
          <cell r="AC35">
            <v>81</v>
          </cell>
          <cell r="AD35">
            <v>81</v>
          </cell>
          <cell r="AE35">
            <v>82</v>
          </cell>
          <cell r="AF35">
            <v>82</v>
          </cell>
          <cell r="AG35">
            <v>82</v>
          </cell>
          <cell r="AH35">
            <v>82</v>
          </cell>
          <cell r="AI35">
            <v>82</v>
          </cell>
          <cell r="AJ35">
            <v>82</v>
          </cell>
          <cell r="AK35">
            <v>82</v>
          </cell>
          <cell r="AL35">
            <v>82</v>
          </cell>
          <cell r="AM35">
            <v>82</v>
          </cell>
          <cell r="AN35">
            <v>83</v>
          </cell>
          <cell r="AO35">
            <v>83</v>
          </cell>
          <cell r="AP35">
            <v>83</v>
          </cell>
          <cell r="AQ35">
            <v>84</v>
          </cell>
          <cell r="AR35">
            <v>85</v>
          </cell>
          <cell r="AS35">
            <v>85</v>
          </cell>
          <cell r="AT35">
            <v>85</v>
          </cell>
          <cell r="AU35">
            <v>85</v>
          </cell>
          <cell r="AV35">
            <v>85</v>
          </cell>
          <cell r="AW35">
            <v>85</v>
          </cell>
          <cell r="AX35">
            <v>85</v>
          </cell>
          <cell r="AY35">
            <v>85</v>
          </cell>
        </row>
        <row r="38">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P39">
            <v>7</v>
          </cell>
          <cell r="Q39">
            <v>7</v>
          </cell>
          <cell r="R39">
            <v>7</v>
          </cell>
          <cell r="S39">
            <v>7</v>
          </cell>
          <cell r="T39">
            <v>7</v>
          </cell>
          <cell r="U39">
            <v>7</v>
          </cell>
          <cell r="V39">
            <v>7</v>
          </cell>
          <cell r="W39">
            <v>7</v>
          </cell>
          <cell r="X39">
            <v>7</v>
          </cell>
          <cell r="Y39">
            <v>7</v>
          </cell>
          <cell r="Z39">
            <v>7</v>
          </cell>
          <cell r="AA39">
            <v>7</v>
          </cell>
          <cell r="AB39">
            <v>7</v>
          </cell>
          <cell r="AC39">
            <v>7</v>
          </cell>
          <cell r="AD39">
            <v>7</v>
          </cell>
          <cell r="AE39">
            <v>7</v>
          </cell>
          <cell r="AF39">
            <v>7</v>
          </cell>
          <cell r="AG39">
            <v>7</v>
          </cell>
          <cell r="AH39">
            <v>7</v>
          </cell>
          <cell r="AI39">
            <v>7</v>
          </cell>
          <cell r="AJ39">
            <v>7</v>
          </cell>
          <cell r="AK39">
            <v>7</v>
          </cell>
          <cell r="AL39">
            <v>7</v>
          </cell>
          <cell r="AM39">
            <v>7</v>
          </cell>
          <cell r="AN39">
            <v>8</v>
          </cell>
          <cell r="AO39">
            <v>8</v>
          </cell>
          <cell r="AP39">
            <v>8</v>
          </cell>
          <cell r="AQ39">
            <v>8</v>
          </cell>
          <cell r="AR39">
            <v>8</v>
          </cell>
          <cell r="AS39">
            <v>8</v>
          </cell>
          <cell r="AT39">
            <v>8</v>
          </cell>
          <cell r="AU39">
            <v>8</v>
          </cell>
          <cell r="AV39">
            <v>8</v>
          </cell>
          <cell r="AW39">
            <v>8</v>
          </cell>
          <cell r="AX39">
            <v>8</v>
          </cell>
          <cell r="AY39">
            <v>8</v>
          </cell>
        </row>
        <row r="40">
          <cell r="P40">
            <v>66</v>
          </cell>
          <cell r="Q40">
            <v>66</v>
          </cell>
          <cell r="R40">
            <v>66</v>
          </cell>
          <cell r="S40">
            <v>66</v>
          </cell>
          <cell r="T40">
            <v>66</v>
          </cell>
          <cell r="U40">
            <v>66</v>
          </cell>
          <cell r="V40">
            <v>66</v>
          </cell>
          <cell r="W40">
            <v>66</v>
          </cell>
          <cell r="X40">
            <v>66</v>
          </cell>
          <cell r="Y40">
            <v>66</v>
          </cell>
          <cell r="Z40">
            <v>66</v>
          </cell>
          <cell r="AA40">
            <v>66</v>
          </cell>
          <cell r="AB40">
            <v>67</v>
          </cell>
          <cell r="AC40">
            <v>67</v>
          </cell>
          <cell r="AD40">
            <v>69</v>
          </cell>
          <cell r="AE40">
            <v>70</v>
          </cell>
          <cell r="AF40">
            <v>71</v>
          </cell>
          <cell r="AG40">
            <v>72</v>
          </cell>
          <cell r="AH40">
            <v>72</v>
          </cell>
          <cell r="AI40">
            <v>72</v>
          </cell>
          <cell r="AJ40">
            <v>72</v>
          </cell>
          <cell r="AK40">
            <v>72</v>
          </cell>
          <cell r="AL40">
            <v>72</v>
          </cell>
          <cell r="AM40">
            <v>72</v>
          </cell>
          <cell r="AN40">
            <v>72</v>
          </cell>
          <cell r="AO40">
            <v>72</v>
          </cell>
          <cell r="AP40">
            <v>72</v>
          </cell>
          <cell r="AQ40">
            <v>72</v>
          </cell>
          <cell r="AR40">
            <v>72</v>
          </cell>
          <cell r="AS40">
            <v>72</v>
          </cell>
          <cell r="AT40">
            <v>72</v>
          </cell>
          <cell r="AU40">
            <v>72</v>
          </cell>
          <cell r="AV40">
            <v>72</v>
          </cell>
          <cell r="AW40">
            <v>72</v>
          </cell>
          <cell r="AX40">
            <v>72</v>
          </cell>
          <cell r="AY40">
            <v>72</v>
          </cell>
        </row>
        <row r="41">
          <cell r="P41">
            <v>73</v>
          </cell>
          <cell r="Q41">
            <v>73</v>
          </cell>
          <cell r="R41">
            <v>73</v>
          </cell>
          <cell r="S41">
            <v>73</v>
          </cell>
          <cell r="T41">
            <v>73</v>
          </cell>
          <cell r="U41">
            <v>73</v>
          </cell>
          <cell r="V41">
            <v>73</v>
          </cell>
          <cell r="W41">
            <v>73</v>
          </cell>
          <cell r="X41">
            <v>73</v>
          </cell>
          <cell r="Y41">
            <v>73</v>
          </cell>
          <cell r="Z41">
            <v>73</v>
          </cell>
          <cell r="AA41">
            <v>73</v>
          </cell>
          <cell r="AB41">
            <v>74</v>
          </cell>
          <cell r="AC41">
            <v>74</v>
          </cell>
          <cell r="AD41">
            <v>76</v>
          </cell>
          <cell r="AE41">
            <v>77</v>
          </cell>
          <cell r="AF41">
            <v>78</v>
          </cell>
          <cell r="AG41">
            <v>79</v>
          </cell>
          <cell r="AH41">
            <v>79</v>
          </cell>
          <cell r="AI41">
            <v>79</v>
          </cell>
          <cell r="AJ41">
            <v>79</v>
          </cell>
          <cell r="AK41">
            <v>79</v>
          </cell>
          <cell r="AL41">
            <v>79</v>
          </cell>
          <cell r="AM41">
            <v>79</v>
          </cell>
          <cell r="AN41">
            <v>80</v>
          </cell>
          <cell r="AO41">
            <v>80</v>
          </cell>
          <cell r="AP41">
            <v>80</v>
          </cell>
          <cell r="AQ41">
            <v>80</v>
          </cell>
          <cell r="AR41">
            <v>80</v>
          </cell>
          <cell r="AS41">
            <v>80</v>
          </cell>
          <cell r="AT41">
            <v>80</v>
          </cell>
          <cell r="AU41">
            <v>80</v>
          </cell>
          <cell r="AV41">
            <v>80</v>
          </cell>
          <cell r="AW41">
            <v>80</v>
          </cell>
          <cell r="AX41">
            <v>80</v>
          </cell>
          <cell r="AY41">
            <v>80</v>
          </cell>
        </row>
        <row r="44">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row>
        <row r="45">
          <cell r="P45">
            <v>12</v>
          </cell>
          <cell r="Q45">
            <v>12</v>
          </cell>
          <cell r="R45">
            <v>12</v>
          </cell>
          <cell r="S45">
            <v>12</v>
          </cell>
          <cell r="T45">
            <v>12</v>
          </cell>
          <cell r="U45">
            <v>12</v>
          </cell>
          <cell r="V45">
            <v>12</v>
          </cell>
          <cell r="W45">
            <v>12</v>
          </cell>
          <cell r="X45">
            <v>12</v>
          </cell>
          <cell r="Y45">
            <v>12</v>
          </cell>
          <cell r="Z45">
            <v>12</v>
          </cell>
          <cell r="AA45">
            <v>12</v>
          </cell>
          <cell r="AB45">
            <v>12</v>
          </cell>
          <cell r="AC45">
            <v>12</v>
          </cell>
          <cell r="AD45">
            <v>12</v>
          </cell>
          <cell r="AE45">
            <v>12</v>
          </cell>
          <cell r="AF45">
            <v>12</v>
          </cell>
          <cell r="AG45">
            <v>12</v>
          </cell>
          <cell r="AH45">
            <v>12</v>
          </cell>
          <cell r="AI45">
            <v>12</v>
          </cell>
          <cell r="AJ45">
            <v>12</v>
          </cell>
          <cell r="AK45">
            <v>12</v>
          </cell>
          <cell r="AL45">
            <v>12</v>
          </cell>
          <cell r="AM45">
            <v>12</v>
          </cell>
          <cell r="AN45">
            <v>10</v>
          </cell>
          <cell r="AO45">
            <v>10</v>
          </cell>
          <cell r="AP45">
            <v>10</v>
          </cell>
          <cell r="AQ45">
            <v>10</v>
          </cell>
          <cell r="AR45">
            <v>11</v>
          </cell>
          <cell r="AS45">
            <v>11</v>
          </cell>
          <cell r="AT45">
            <v>12</v>
          </cell>
          <cell r="AU45">
            <v>12</v>
          </cell>
          <cell r="AV45">
            <v>12</v>
          </cell>
          <cell r="AW45">
            <v>12</v>
          </cell>
          <cell r="AX45">
            <v>12</v>
          </cell>
          <cell r="AY45">
            <v>12</v>
          </cell>
        </row>
        <row r="46">
          <cell r="AN46">
            <v>5</v>
          </cell>
          <cell r="AO46">
            <v>5</v>
          </cell>
          <cell r="AP46">
            <v>5</v>
          </cell>
          <cell r="AQ46">
            <v>5</v>
          </cell>
          <cell r="AR46">
            <v>5</v>
          </cell>
          <cell r="AS46">
            <v>5</v>
          </cell>
          <cell r="AT46">
            <v>5</v>
          </cell>
          <cell r="AU46">
            <v>5</v>
          </cell>
          <cell r="AV46">
            <v>5</v>
          </cell>
          <cell r="AW46">
            <v>5</v>
          </cell>
          <cell r="AX46">
            <v>5</v>
          </cell>
          <cell r="AY46">
            <v>5</v>
          </cell>
        </row>
        <row r="47">
          <cell r="P47">
            <v>41</v>
          </cell>
          <cell r="Q47">
            <v>41</v>
          </cell>
          <cell r="R47">
            <v>41</v>
          </cell>
          <cell r="S47">
            <v>41</v>
          </cell>
          <cell r="T47">
            <v>41</v>
          </cell>
          <cell r="U47">
            <v>41</v>
          </cell>
          <cell r="V47">
            <v>41</v>
          </cell>
          <cell r="W47">
            <v>41</v>
          </cell>
          <cell r="X47">
            <v>41</v>
          </cell>
          <cell r="Y47">
            <v>41</v>
          </cell>
          <cell r="Z47">
            <v>41</v>
          </cell>
          <cell r="AA47">
            <v>41</v>
          </cell>
          <cell r="AB47">
            <v>41</v>
          </cell>
          <cell r="AC47">
            <v>41</v>
          </cell>
          <cell r="AD47">
            <v>41</v>
          </cell>
          <cell r="AE47">
            <v>41</v>
          </cell>
          <cell r="AF47">
            <v>41</v>
          </cell>
          <cell r="AG47">
            <v>41</v>
          </cell>
          <cell r="AH47">
            <v>41</v>
          </cell>
          <cell r="AI47">
            <v>41</v>
          </cell>
          <cell r="AJ47">
            <v>41</v>
          </cell>
          <cell r="AK47">
            <v>41</v>
          </cell>
          <cell r="AL47">
            <v>41</v>
          </cell>
          <cell r="AM47">
            <v>41</v>
          </cell>
          <cell r="AN47">
            <v>41</v>
          </cell>
          <cell r="AO47">
            <v>41</v>
          </cell>
          <cell r="AP47">
            <v>41</v>
          </cell>
          <cell r="AQ47">
            <v>44</v>
          </cell>
          <cell r="AR47">
            <v>44</v>
          </cell>
          <cell r="AS47">
            <v>44</v>
          </cell>
          <cell r="AT47">
            <v>46</v>
          </cell>
          <cell r="AU47">
            <v>46</v>
          </cell>
          <cell r="AV47">
            <v>46</v>
          </cell>
          <cell r="AW47">
            <v>46</v>
          </cell>
          <cell r="AX47">
            <v>46</v>
          </cell>
          <cell r="AY47">
            <v>46</v>
          </cell>
        </row>
        <row r="48">
          <cell r="P48">
            <v>11</v>
          </cell>
          <cell r="Q48">
            <v>11</v>
          </cell>
          <cell r="R48">
            <v>11</v>
          </cell>
          <cell r="S48">
            <v>11</v>
          </cell>
          <cell r="T48">
            <v>11</v>
          </cell>
          <cell r="U48">
            <v>11</v>
          </cell>
          <cell r="V48">
            <v>11</v>
          </cell>
          <cell r="W48">
            <v>11</v>
          </cell>
          <cell r="X48">
            <v>11</v>
          </cell>
          <cell r="Y48">
            <v>11</v>
          </cell>
          <cell r="Z48">
            <v>11</v>
          </cell>
          <cell r="AA48">
            <v>11</v>
          </cell>
          <cell r="AB48">
            <v>12</v>
          </cell>
          <cell r="AC48">
            <v>12</v>
          </cell>
          <cell r="AD48">
            <v>12</v>
          </cell>
          <cell r="AE48">
            <v>12</v>
          </cell>
          <cell r="AF48">
            <v>12</v>
          </cell>
          <cell r="AG48">
            <v>12</v>
          </cell>
          <cell r="AH48">
            <v>12</v>
          </cell>
          <cell r="AI48">
            <v>12</v>
          </cell>
          <cell r="AJ48">
            <v>12</v>
          </cell>
          <cell r="AK48">
            <v>12</v>
          </cell>
          <cell r="AL48">
            <v>12</v>
          </cell>
          <cell r="AM48">
            <v>12</v>
          </cell>
          <cell r="AN48">
            <v>12</v>
          </cell>
          <cell r="AO48">
            <v>12</v>
          </cell>
          <cell r="AP48">
            <v>13</v>
          </cell>
          <cell r="AQ48">
            <v>14</v>
          </cell>
          <cell r="AR48">
            <v>14</v>
          </cell>
          <cell r="AS48">
            <v>14</v>
          </cell>
          <cell r="AT48">
            <v>14</v>
          </cell>
          <cell r="AU48">
            <v>14</v>
          </cell>
          <cell r="AV48">
            <v>14</v>
          </cell>
          <cell r="AW48">
            <v>14</v>
          </cell>
          <cell r="AX48">
            <v>14</v>
          </cell>
          <cell r="AY48">
            <v>14</v>
          </cell>
        </row>
        <row r="49">
          <cell r="P49">
            <v>64</v>
          </cell>
          <cell r="Q49">
            <v>64</v>
          </cell>
          <cell r="R49">
            <v>64</v>
          </cell>
          <cell r="S49">
            <v>64</v>
          </cell>
          <cell r="T49">
            <v>64</v>
          </cell>
          <cell r="U49">
            <v>64</v>
          </cell>
          <cell r="V49">
            <v>64</v>
          </cell>
          <cell r="W49">
            <v>64</v>
          </cell>
          <cell r="X49">
            <v>64</v>
          </cell>
          <cell r="Y49">
            <v>64</v>
          </cell>
          <cell r="Z49">
            <v>64</v>
          </cell>
          <cell r="AA49">
            <v>64</v>
          </cell>
          <cell r="AB49">
            <v>65</v>
          </cell>
          <cell r="AC49">
            <v>65</v>
          </cell>
          <cell r="AD49">
            <v>65</v>
          </cell>
          <cell r="AE49">
            <v>65</v>
          </cell>
          <cell r="AF49">
            <v>65</v>
          </cell>
          <cell r="AG49">
            <v>65</v>
          </cell>
          <cell r="AH49">
            <v>65</v>
          </cell>
          <cell r="AI49">
            <v>65</v>
          </cell>
          <cell r="AJ49">
            <v>65</v>
          </cell>
          <cell r="AK49">
            <v>65</v>
          </cell>
          <cell r="AL49">
            <v>65</v>
          </cell>
          <cell r="AM49">
            <v>65</v>
          </cell>
          <cell r="AN49">
            <v>68</v>
          </cell>
          <cell r="AO49">
            <v>68</v>
          </cell>
          <cell r="AP49">
            <v>69</v>
          </cell>
          <cell r="AQ49">
            <v>73</v>
          </cell>
          <cell r="AR49">
            <v>74</v>
          </cell>
          <cell r="AS49">
            <v>74</v>
          </cell>
          <cell r="AT49">
            <v>77</v>
          </cell>
          <cell r="AU49">
            <v>77</v>
          </cell>
          <cell r="AV49">
            <v>77</v>
          </cell>
          <cell r="AW49">
            <v>77</v>
          </cell>
          <cell r="AX49">
            <v>77</v>
          </cell>
          <cell r="AY49">
            <v>77</v>
          </cell>
        </row>
        <row r="52">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row>
        <row r="53">
          <cell r="P53">
            <v>6</v>
          </cell>
          <cell r="Q53">
            <v>6</v>
          </cell>
          <cell r="R53">
            <v>6</v>
          </cell>
          <cell r="S53">
            <v>6</v>
          </cell>
          <cell r="T53">
            <v>6</v>
          </cell>
          <cell r="U53">
            <v>6</v>
          </cell>
          <cell r="V53">
            <v>6</v>
          </cell>
          <cell r="W53">
            <v>6</v>
          </cell>
          <cell r="X53">
            <v>6</v>
          </cell>
          <cell r="Y53">
            <v>6</v>
          </cell>
          <cell r="Z53">
            <v>6</v>
          </cell>
          <cell r="AA53">
            <v>6</v>
          </cell>
          <cell r="AB53">
            <v>6</v>
          </cell>
          <cell r="AC53">
            <v>6</v>
          </cell>
          <cell r="AD53">
            <v>6</v>
          </cell>
          <cell r="AE53">
            <v>6</v>
          </cell>
          <cell r="AF53">
            <v>6</v>
          </cell>
          <cell r="AG53">
            <v>6</v>
          </cell>
          <cell r="AH53">
            <v>6</v>
          </cell>
          <cell r="AI53">
            <v>6</v>
          </cell>
          <cell r="AJ53">
            <v>6</v>
          </cell>
          <cell r="AK53">
            <v>6</v>
          </cell>
          <cell r="AL53">
            <v>6</v>
          </cell>
          <cell r="AM53">
            <v>6</v>
          </cell>
          <cell r="AN53">
            <v>6</v>
          </cell>
          <cell r="AO53">
            <v>6</v>
          </cell>
          <cell r="AP53">
            <v>6</v>
          </cell>
          <cell r="AQ53">
            <v>6</v>
          </cell>
          <cell r="AR53">
            <v>6</v>
          </cell>
          <cell r="AS53">
            <v>6</v>
          </cell>
          <cell r="AT53">
            <v>6</v>
          </cell>
          <cell r="AU53">
            <v>6</v>
          </cell>
          <cell r="AV53">
            <v>6</v>
          </cell>
          <cell r="AW53">
            <v>6</v>
          </cell>
          <cell r="AX53">
            <v>6</v>
          </cell>
          <cell r="AY53">
            <v>6</v>
          </cell>
        </row>
        <row r="54">
          <cell r="P54">
            <v>36</v>
          </cell>
          <cell r="Q54">
            <v>36</v>
          </cell>
          <cell r="R54">
            <v>36</v>
          </cell>
          <cell r="S54">
            <v>36</v>
          </cell>
          <cell r="T54">
            <v>36</v>
          </cell>
          <cell r="U54">
            <v>36</v>
          </cell>
          <cell r="V54">
            <v>36</v>
          </cell>
          <cell r="W54">
            <v>36</v>
          </cell>
          <cell r="X54">
            <v>36</v>
          </cell>
          <cell r="Y54">
            <v>36</v>
          </cell>
          <cell r="Z54">
            <v>36</v>
          </cell>
          <cell r="AA54">
            <v>36</v>
          </cell>
          <cell r="AB54">
            <v>38</v>
          </cell>
          <cell r="AC54">
            <v>38</v>
          </cell>
          <cell r="AD54">
            <v>38</v>
          </cell>
          <cell r="AE54">
            <v>38</v>
          </cell>
          <cell r="AF54">
            <v>38</v>
          </cell>
          <cell r="AG54">
            <v>38</v>
          </cell>
          <cell r="AH54">
            <v>40</v>
          </cell>
          <cell r="AI54">
            <v>40</v>
          </cell>
          <cell r="AJ54">
            <v>40</v>
          </cell>
          <cell r="AK54">
            <v>40</v>
          </cell>
          <cell r="AL54">
            <v>40</v>
          </cell>
          <cell r="AM54">
            <v>40</v>
          </cell>
          <cell r="AN54">
            <v>40</v>
          </cell>
          <cell r="AO54">
            <v>40</v>
          </cell>
          <cell r="AP54">
            <v>40</v>
          </cell>
          <cell r="AQ54">
            <v>42</v>
          </cell>
          <cell r="AR54">
            <v>42</v>
          </cell>
          <cell r="AS54">
            <v>42</v>
          </cell>
          <cell r="AT54">
            <v>42</v>
          </cell>
          <cell r="AU54">
            <v>42</v>
          </cell>
          <cell r="AV54">
            <v>42</v>
          </cell>
          <cell r="AW54">
            <v>42</v>
          </cell>
          <cell r="AX54">
            <v>42</v>
          </cell>
          <cell r="AY54">
            <v>42</v>
          </cell>
        </row>
        <row r="55">
          <cell r="P55">
            <v>42</v>
          </cell>
          <cell r="Q55">
            <v>42</v>
          </cell>
          <cell r="R55">
            <v>42</v>
          </cell>
          <cell r="S55">
            <v>42</v>
          </cell>
          <cell r="T55">
            <v>42</v>
          </cell>
          <cell r="U55">
            <v>42</v>
          </cell>
          <cell r="V55">
            <v>42</v>
          </cell>
          <cell r="W55">
            <v>42</v>
          </cell>
          <cell r="X55">
            <v>42</v>
          </cell>
          <cell r="Y55">
            <v>42</v>
          </cell>
          <cell r="Z55">
            <v>42</v>
          </cell>
          <cell r="AA55">
            <v>42</v>
          </cell>
          <cell r="AB55">
            <v>44</v>
          </cell>
          <cell r="AC55">
            <v>44</v>
          </cell>
          <cell r="AD55">
            <v>44</v>
          </cell>
          <cell r="AE55">
            <v>44</v>
          </cell>
          <cell r="AF55">
            <v>44</v>
          </cell>
          <cell r="AG55">
            <v>44</v>
          </cell>
          <cell r="AH55">
            <v>46</v>
          </cell>
          <cell r="AI55">
            <v>46</v>
          </cell>
          <cell r="AJ55">
            <v>46</v>
          </cell>
          <cell r="AK55">
            <v>46</v>
          </cell>
          <cell r="AL55">
            <v>46</v>
          </cell>
          <cell r="AM55">
            <v>46</v>
          </cell>
          <cell r="AN55">
            <v>46</v>
          </cell>
          <cell r="AO55">
            <v>46</v>
          </cell>
          <cell r="AP55">
            <v>46</v>
          </cell>
          <cell r="AQ55">
            <v>48</v>
          </cell>
          <cell r="AR55">
            <v>48</v>
          </cell>
          <cell r="AS55">
            <v>48</v>
          </cell>
          <cell r="AT55">
            <v>48</v>
          </cell>
          <cell r="AU55">
            <v>48</v>
          </cell>
          <cell r="AV55">
            <v>48</v>
          </cell>
          <cell r="AW55">
            <v>48</v>
          </cell>
          <cell r="AX55">
            <v>48</v>
          </cell>
          <cell r="AY55">
            <v>48</v>
          </cell>
        </row>
        <row r="59">
          <cell r="P59">
            <v>7</v>
          </cell>
          <cell r="Q59">
            <v>7</v>
          </cell>
          <cell r="R59">
            <v>7</v>
          </cell>
          <cell r="S59">
            <v>7</v>
          </cell>
          <cell r="T59">
            <v>7</v>
          </cell>
          <cell r="U59">
            <v>7</v>
          </cell>
          <cell r="V59">
            <v>7</v>
          </cell>
          <cell r="W59">
            <v>7</v>
          </cell>
          <cell r="X59">
            <v>7</v>
          </cell>
          <cell r="Y59">
            <v>7</v>
          </cell>
          <cell r="Z59">
            <v>7</v>
          </cell>
          <cell r="AA59">
            <v>7</v>
          </cell>
          <cell r="AB59">
            <v>7</v>
          </cell>
          <cell r="AC59">
            <v>7</v>
          </cell>
          <cell r="AD59">
            <v>7</v>
          </cell>
          <cell r="AE59">
            <v>7</v>
          </cell>
          <cell r="AF59">
            <v>7</v>
          </cell>
          <cell r="AG59">
            <v>7</v>
          </cell>
          <cell r="AH59">
            <v>7</v>
          </cell>
          <cell r="AI59">
            <v>7</v>
          </cell>
          <cell r="AJ59">
            <v>7</v>
          </cell>
          <cell r="AK59">
            <v>7</v>
          </cell>
          <cell r="AL59">
            <v>7</v>
          </cell>
          <cell r="AM59">
            <v>7</v>
          </cell>
          <cell r="AN59">
            <v>7</v>
          </cell>
          <cell r="AO59">
            <v>7</v>
          </cell>
          <cell r="AP59">
            <v>7</v>
          </cell>
          <cell r="AQ59">
            <v>9</v>
          </cell>
          <cell r="AR59">
            <v>9</v>
          </cell>
          <cell r="AS59">
            <v>10</v>
          </cell>
          <cell r="AT59">
            <v>10</v>
          </cell>
          <cell r="AU59">
            <v>10</v>
          </cell>
          <cell r="AV59">
            <v>10</v>
          </cell>
          <cell r="AW59">
            <v>10</v>
          </cell>
          <cell r="AX59">
            <v>10</v>
          </cell>
          <cell r="AY59">
            <v>10</v>
          </cell>
        </row>
        <row r="60">
          <cell r="P60">
            <v>8</v>
          </cell>
          <cell r="Q60">
            <v>8</v>
          </cell>
          <cell r="R60">
            <v>8</v>
          </cell>
          <cell r="S60">
            <v>8</v>
          </cell>
          <cell r="T60">
            <v>8</v>
          </cell>
          <cell r="U60">
            <v>8</v>
          </cell>
          <cell r="V60">
            <v>8</v>
          </cell>
          <cell r="W60">
            <v>8</v>
          </cell>
          <cell r="X60">
            <v>8</v>
          </cell>
          <cell r="Y60">
            <v>8</v>
          </cell>
          <cell r="Z60">
            <v>8</v>
          </cell>
          <cell r="AA60">
            <v>8</v>
          </cell>
          <cell r="AB60">
            <v>8</v>
          </cell>
          <cell r="AC60">
            <v>8</v>
          </cell>
          <cell r="AD60">
            <v>8</v>
          </cell>
          <cell r="AE60">
            <v>8</v>
          </cell>
          <cell r="AF60">
            <v>8</v>
          </cell>
          <cell r="AG60">
            <v>8</v>
          </cell>
          <cell r="AH60">
            <v>8</v>
          </cell>
          <cell r="AI60">
            <v>8</v>
          </cell>
          <cell r="AJ60">
            <v>8</v>
          </cell>
          <cell r="AK60">
            <v>8</v>
          </cell>
          <cell r="AL60">
            <v>8</v>
          </cell>
          <cell r="AM60">
            <v>8</v>
          </cell>
          <cell r="AN60">
            <v>8</v>
          </cell>
          <cell r="AO60">
            <v>8</v>
          </cell>
          <cell r="AP60">
            <v>8</v>
          </cell>
          <cell r="AQ60">
            <v>8</v>
          </cell>
          <cell r="AR60">
            <v>8</v>
          </cell>
          <cell r="AS60">
            <v>8</v>
          </cell>
          <cell r="AT60">
            <v>8</v>
          </cell>
          <cell r="AU60">
            <v>8</v>
          </cell>
          <cell r="AV60">
            <v>8</v>
          </cell>
          <cell r="AW60">
            <v>8</v>
          </cell>
          <cell r="AX60">
            <v>8</v>
          </cell>
          <cell r="AY60">
            <v>8</v>
          </cell>
        </row>
        <row r="61">
          <cell r="P61">
            <v>25</v>
          </cell>
          <cell r="Q61">
            <v>25</v>
          </cell>
          <cell r="R61">
            <v>25</v>
          </cell>
          <cell r="S61">
            <v>25</v>
          </cell>
          <cell r="T61">
            <v>25</v>
          </cell>
          <cell r="U61">
            <v>25</v>
          </cell>
          <cell r="V61">
            <v>25</v>
          </cell>
          <cell r="W61">
            <v>25</v>
          </cell>
          <cell r="X61">
            <v>25</v>
          </cell>
          <cell r="Y61">
            <v>25</v>
          </cell>
          <cell r="Z61">
            <v>25</v>
          </cell>
          <cell r="AA61">
            <v>25</v>
          </cell>
          <cell r="AB61">
            <v>26</v>
          </cell>
          <cell r="AC61">
            <v>26</v>
          </cell>
          <cell r="AD61">
            <v>26</v>
          </cell>
          <cell r="AE61">
            <v>26</v>
          </cell>
          <cell r="AF61">
            <v>26</v>
          </cell>
          <cell r="AG61">
            <v>26</v>
          </cell>
          <cell r="AH61">
            <v>26</v>
          </cell>
          <cell r="AI61">
            <v>26</v>
          </cell>
          <cell r="AJ61">
            <v>26</v>
          </cell>
          <cell r="AK61">
            <v>26</v>
          </cell>
          <cell r="AL61">
            <v>26</v>
          </cell>
          <cell r="AM61">
            <v>26</v>
          </cell>
          <cell r="AN61">
            <v>27</v>
          </cell>
          <cell r="AO61">
            <v>27</v>
          </cell>
          <cell r="AP61">
            <v>28</v>
          </cell>
          <cell r="AQ61">
            <v>28</v>
          </cell>
          <cell r="AR61">
            <v>28</v>
          </cell>
          <cell r="AS61">
            <v>27</v>
          </cell>
          <cell r="AT61">
            <v>27</v>
          </cell>
          <cell r="AU61">
            <v>27</v>
          </cell>
          <cell r="AV61">
            <v>27</v>
          </cell>
          <cell r="AW61">
            <v>27</v>
          </cell>
          <cell r="AX61">
            <v>27</v>
          </cell>
          <cell r="AY61">
            <v>27</v>
          </cell>
        </row>
        <row r="62">
          <cell r="P62">
            <v>40</v>
          </cell>
          <cell r="Q62">
            <v>40</v>
          </cell>
          <cell r="R62">
            <v>40</v>
          </cell>
          <cell r="S62">
            <v>40</v>
          </cell>
          <cell r="T62">
            <v>40</v>
          </cell>
          <cell r="U62">
            <v>40</v>
          </cell>
          <cell r="V62">
            <v>40</v>
          </cell>
          <cell r="W62">
            <v>40</v>
          </cell>
          <cell r="X62">
            <v>40</v>
          </cell>
          <cell r="Y62">
            <v>40</v>
          </cell>
          <cell r="Z62">
            <v>40</v>
          </cell>
          <cell r="AA62">
            <v>40</v>
          </cell>
          <cell r="AB62">
            <v>41</v>
          </cell>
          <cell r="AC62">
            <v>41</v>
          </cell>
          <cell r="AD62">
            <v>41</v>
          </cell>
          <cell r="AE62">
            <v>41</v>
          </cell>
          <cell r="AF62">
            <v>41</v>
          </cell>
          <cell r="AG62">
            <v>41</v>
          </cell>
          <cell r="AH62">
            <v>41</v>
          </cell>
          <cell r="AI62">
            <v>41</v>
          </cell>
          <cell r="AJ62">
            <v>41</v>
          </cell>
          <cell r="AK62">
            <v>41</v>
          </cell>
          <cell r="AL62">
            <v>41</v>
          </cell>
          <cell r="AM62">
            <v>41</v>
          </cell>
          <cell r="AN62">
            <v>42</v>
          </cell>
          <cell r="AO62">
            <v>42</v>
          </cell>
          <cell r="AP62">
            <v>43</v>
          </cell>
          <cell r="AQ62">
            <v>45</v>
          </cell>
          <cell r="AR62">
            <v>45</v>
          </cell>
          <cell r="AS62">
            <v>45</v>
          </cell>
          <cell r="AT62">
            <v>45</v>
          </cell>
          <cell r="AU62">
            <v>45</v>
          </cell>
          <cell r="AV62">
            <v>45</v>
          </cell>
          <cell r="AW62">
            <v>45</v>
          </cell>
          <cell r="AX62">
            <v>45</v>
          </cell>
          <cell r="AY62">
            <v>45</v>
          </cell>
        </row>
        <row r="65">
          <cell r="AB65">
            <v>4</v>
          </cell>
          <cell r="AC65">
            <v>4</v>
          </cell>
          <cell r="AD65">
            <v>4</v>
          </cell>
          <cell r="AE65">
            <v>4</v>
          </cell>
          <cell r="AF65">
            <v>4</v>
          </cell>
          <cell r="AG65">
            <v>4</v>
          </cell>
          <cell r="AH65">
            <v>4</v>
          </cell>
          <cell r="AI65">
            <v>4</v>
          </cell>
          <cell r="AJ65">
            <v>4</v>
          </cell>
          <cell r="AK65">
            <v>4</v>
          </cell>
          <cell r="AL65">
            <v>4</v>
          </cell>
          <cell r="AM65">
            <v>4</v>
          </cell>
          <cell r="AN65">
            <v>4</v>
          </cell>
          <cell r="AO65">
            <v>4</v>
          </cell>
          <cell r="AP65">
            <v>4</v>
          </cell>
          <cell r="AQ65">
            <v>4</v>
          </cell>
          <cell r="AR65">
            <v>4</v>
          </cell>
          <cell r="AS65">
            <v>4</v>
          </cell>
          <cell r="AT65">
            <v>4</v>
          </cell>
          <cell r="AU65">
            <v>4</v>
          </cell>
          <cell r="AV65">
            <v>4</v>
          </cell>
          <cell r="AW65">
            <v>4</v>
          </cell>
          <cell r="AX65">
            <v>4</v>
          </cell>
          <cell r="AY65">
            <v>4</v>
          </cell>
        </row>
        <row r="66">
          <cell r="AB66">
            <v>30</v>
          </cell>
          <cell r="AC66">
            <v>30</v>
          </cell>
          <cell r="AD66">
            <v>30</v>
          </cell>
          <cell r="AE66">
            <v>30</v>
          </cell>
          <cell r="AF66">
            <v>30</v>
          </cell>
          <cell r="AG66">
            <v>30</v>
          </cell>
          <cell r="AH66">
            <v>30</v>
          </cell>
          <cell r="AI66">
            <v>30</v>
          </cell>
          <cell r="AJ66">
            <v>30</v>
          </cell>
          <cell r="AK66">
            <v>30</v>
          </cell>
          <cell r="AL66">
            <v>30</v>
          </cell>
          <cell r="AM66">
            <v>30</v>
          </cell>
          <cell r="AN66">
            <v>32</v>
          </cell>
          <cell r="AO66">
            <v>32</v>
          </cell>
          <cell r="AP66">
            <v>32</v>
          </cell>
          <cell r="AQ66">
            <v>32</v>
          </cell>
          <cell r="AR66">
            <v>32</v>
          </cell>
          <cell r="AS66">
            <v>32</v>
          </cell>
          <cell r="AT66">
            <v>33</v>
          </cell>
          <cell r="AU66">
            <v>33</v>
          </cell>
          <cell r="AV66">
            <v>33</v>
          </cell>
          <cell r="AW66">
            <v>33</v>
          </cell>
          <cell r="AX66">
            <v>33</v>
          </cell>
          <cell r="AY66">
            <v>33</v>
          </cell>
        </row>
        <row r="75">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v>1</v>
          </cell>
          <cell r="AU75">
            <v>1</v>
          </cell>
          <cell r="AV75">
            <v>1</v>
          </cell>
          <cell r="AW75">
            <v>1</v>
          </cell>
          <cell r="AX75">
            <v>1</v>
          </cell>
          <cell r="AY75">
            <v>1</v>
          </cell>
        </row>
        <row r="76">
          <cell r="AN76">
            <v>0</v>
          </cell>
          <cell r="AO76">
            <v>0</v>
          </cell>
          <cell r="AP76">
            <v>0</v>
          </cell>
          <cell r="AQ76">
            <v>0</v>
          </cell>
          <cell r="AR76">
            <v>0</v>
          </cell>
          <cell r="AS76">
            <v>0</v>
          </cell>
          <cell r="AT76">
            <v>0</v>
          </cell>
          <cell r="AU76">
            <v>0</v>
          </cell>
          <cell r="AV76">
            <v>0</v>
          </cell>
          <cell r="AW76">
            <v>0</v>
          </cell>
          <cell r="AX76">
            <v>0</v>
          </cell>
          <cell r="AY76">
            <v>0</v>
          </cell>
        </row>
        <row r="77">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row>
        <row r="78">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row>
        <row r="79">
          <cell r="P79">
            <v>1</v>
          </cell>
          <cell r="Q79">
            <v>1</v>
          </cell>
          <cell r="R79">
            <v>1</v>
          </cell>
          <cell r="S79">
            <v>1</v>
          </cell>
          <cell r="T79">
            <v>1</v>
          </cell>
          <cell r="U79">
            <v>1</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v>1</v>
          </cell>
          <cell r="AU79">
            <v>1</v>
          </cell>
          <cell r="AV79">
            <v>1</v>
          </cell>
          <cell r="AW79">
            <v>1</v>
          </cell>
          <cell r="AX79">
            <v>1</v>
          </cell>
          <cell r="AY79">
            <v>1</v>
          </cell>
        </row>
        <row r="80">
          <cell r="P80">
            <v>1</v>
          </cell>
          <cell r="Q80">
            <v>1</v>
          </cell>
          <cell r="R80">
            <v>1</v>
          </cell>
          <cell r="S80">
            <v>1</v>
          </cell>
          <cell r="T80">
            <v>1</v>
          </cell>
          <cell r="U80">
            <v>1</v>
          </cell>
          <cell r="V80">
            <v>1</v>
          </cell>
          <cell r="W80">
            <v>1</v>
          </cell>
          <cell r="X80">
            <v>1</v>
          </cell>
          <cell r="Y80">
            <v>1</v>
          </cell>
          <cell r="Z80">
            <v>1</v>
          </cell>
          <cell r="AA80">
            <v>1</v>
          </cell>
          <cell r="AB80">
            <v>3</v>
          </cell>
          <cell r="AC80">
            <v>3</v>
          </cell>
          <cell r="AD80">
            <v>3</v>
          </cell>
          <cell r="AE80">
            <v>3</v>
          </cell>
          <cell r="AF80">
            <v>3</v>
          </cell>
          <cell r="AG80">
            <v>3</v>
          </cell>
          <cell r="AH80">
            <v>3</v>
          </cell>
          <cell r="AI80">
            <v>3</v>
          </cell>
          <cell r="AJ80">
            <v>3</v>
          </cell>
          <cell r="AK80">
            <v>3</v>
          </cell>
          <cell r="AL80">
            <v>3</v>
          </cell>
          <cell r="AM80">
            <v>3</v>
          </cell>
          <cell r="AN80">
            <v>3</v>
          </cell>
          <cell r="AO80">
            <v>3</v>
          </cell>
          <cell r="AP80">
            <v>3</v>
          </cell>
          <cell r="AQ80">
            <v>3</v>
          </cell>
          <cell r="AR80">
            <v>3</v>
          </cell>
          <cell r="AS80">
            <v>3</v>
          </cell>
          <cell r="AT80">
            <v>3</v>
          </cell>
          <cell r="AU80">
            <v>3</v>
          </cell>
          <cell r="AV80">
            <v>3</v>
          </cell>
          <cell r="AW80">
            <v>3</v>
          </cell>
          <cell r="AX80">
            <v>3</v>
          </cell>
          <cell r="AY80">
            <v>3</v>
          </cell>
        </row>
        <row r="81">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row>
        <row r="82">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row>
        <row r="83">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P84">
            <v>3</v>
          </cell>
          <cell r="Q84">
            <v>3</v>
          </cell>
          <cell r="R84">
            <v>3</v>
          </cell>
          <cell r="S84">
            <v>3</v>
          </cell>
          <cell r="T84">
            <v>3</v>
          </cell>
          <cell r="U84">
            <v>3</v>
          </cell>
          <cell r="V84">
            <v>3</v>
          </cell>
          <cell r="W84">
            <v>3</v>
          </cell>
          <cell r="X84">
            <v>3</v>
          </cell>
          <cell r="Y84">
            <v>3</v>
          </cell>
          <cell r="Z84">
            <v>3</v>
          </cell>
          <cell r="AA84">
            <v>3</v>
          </cell>
          <cell r="AB84">
            <v>5</v>
          </cell>
          <cell r="AC84">
            <v>5</v>
          </cell>
          <cell r="AD84">
            <v>5</v>
          </cell>
          <cell r="AE84">
            <v>5</v>
          </cell>
          <cell r="AF84">
            <v>5</v>
          </cell>
          <cell r="AG84">
            <v>5</v>
          </cell>
          <cell r="AH84">
            <v>5</v>
          </cell>
          <cell r="AI84">
            <v>5</v>
          </cell>
          <cell r="AJ84">
            <v>5</v>
          </cell>
          <cell r="AK84">
            <v>5</v>
          </cell>
          <cell r="AL84">
            <v>5</v>
          </cell>
          <cell r="AM84">
            <v>5</v>
          </cell>
          <cell r="AN84">
            <v>5</v>
          </cell>
          <cell r="AO84">
            <v>5</v>
          </cell>
          <cell r="AP84">
            <v>5</v>
          </cell>
          <cell r="AQ84">
            <v>5</v>
          </cell>
          <cell r="AR84">
            <v>5</v>
          </cell>
          <cell r="AS84">
            <v>5</v>
          </cell>
          <cell r="AT84">
            <v>5</v>
          </cell>
          <cell r="AU84">
            <v>5</v>
          </cell>
          <cell r="AV84">
            <v>5</v>
          </cell>
          <cell r="AW84">
            <v>5</v>
          </cell>
          <cell r="AX84">
            <v>5</v>
          </cell>
          <cell r="AY84">
            <v>5</v>
          </cell>
        </row>
        <row r="87">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row>
        <row r="88">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row>
        <row r="89">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row>
        <row r="90">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row>
        <row r="91">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row>
        <row r="92">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row>
        <row r="93">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row>
        <row r="94">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row>
        <row r="95">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row>
        <row r="96">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row>
        <row r="97">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row>
        <row r="100">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row>
        <row r="101">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row>
        <row r="102">
          <cell r="P102">
            <v>4</v>
          </cell>
          <cell r="Q102">
            <v>4</v>
          </cell>
          <cell r="R102">
            <v>4</v>
          </cell>
          <cell r="S102">
            <v>4</v>
          </cell>
          <cell r="T102">
            <v>4</v>
          </cell>
          <cell r="U102">
            <v>4</v>
          </cell>
          <cell r="V102">
            <v>4</v>
          </cell>
          <cell r="W102">
            <v>4</v>
          </cell>
          <cell r="X102">
            <v>4</v>
          </cell>
          <cell r="Y102">
            <v>4</v>
          </cell>
          <cell r="Z102">
            <v>4</v>
          </cell>
          <cell r="AA102">
            <v>4</v>
          </cell>
          <cell r="AB102">
            <v>2</v>
          </cell>
          <cell r="AC102">
            <v>2</v>
          </cell>
          <cell r="AD102">
            <v>2</v>
          </cell>
          <cell r="AE102">
            <v>2</v>
          </cell>
          <cell r="AF102">
            <v>2</v>
          </cell>
          <cell r="AG102">
            <v>2</v>
          </cell>
          <cell r="AH102">
            <v>2</v>
          </cell>
          <cell r="AI102">
            <v>2</v>
          </cell>
          <cell r="AJ102">
            <v>2</v>
          </cell>
          <cell r="AK102">
            <v>2</v>
          </cell>
          <cell r="AL102">
            <v>2</v>
          </cell>
          <cell r="AM102">
            <v>2</v>
          </cell>
          <cell r="AN102">
            <v>4</v>
          </cell>
          <cell r="AO102">
            <v>4</v>
          </cell>
          <cell r="AP102">
            <v>4</v>
          </cell>
          <cell r="AQ102">
            <v>4</v>
          </cell>
          <cell r="AR102">
            <v>4</v>
          </cell>
          <cell r="AS102">
            <v>4</v>
          </cell>
          <cell r="AT102">
            <v>4</v>
          </cell>
          <cell r="AU102">
            <v>4</v>
          </cell>
          <cell r="AV102">
            <v>4</v>
          </cell>
          <cell r="AW102">
            <v>4</v>
          </cell>
          <cell r="AX102">
            <v>4</v>
          </cell>
          <cell r="AY102">
            <v>4</v>
          </cell>
        </row>
        <row r="103">
          <cell r="P103">
            <v>4</v>
          </cell>
          <cell r="Q103">
            <v>4</v>
          </cell>
          <cell r="R103">
            <v>4</v>
          </cell>
          <cell r="S103">
            <v>4</v>
          </cell>
          <cell r="T103">
            <v>4</v>
          </cell>
          <cell r="U103">
            <v>4</v>
          </cell>
          <cell r="V103">
            <v>4</v>
          </cell>
          <cell r="W103">
            <v>4</v>
          </cell>
          <cell r="X103">
            <v>4</v>
          </cell>
          <cell r="Y103">
            <v>4</v>
          </cell>
          <cell r="Z103">
            <v>4</v>
          </cell>
          <cell r="AA103">
            <v>4</v>
          </cell>
          <cell r="AB103">
            <v>2</v>
          </cell>
          <cell r="AC103">
            <v>2</v>
          </cell>
          <cell r="AD103">
            <v>2</v>
          </cell>
          <cell r="AE103">
            <v>2</v>
          </cell>
          <cell r="AF103">
            <v>2</v>
          </cell>
          <cell r="AG103">
            <v>2</v>
          </cell>
          <cell r="AH103">
            <v>2</v>
          </cell>
          <cell r="AI103">
            <v>2</v>
          </cell>
          <cell r="AJ103">
            <v>2</v>
          </cell>
          <cell r="AK103">
            <v>2</v>
          </cell>
          <cell r="AL103">
            <v>2</v>
          </cell>
          <cell r="AM103">
            <v>2</v>
          </cell>
          <cell r="AN103">
            <v>4</v>
          </cell>
          <cell r="AO103">
            <v>4</v>
          </cell>
          <cell r="AP103">
            <v>4</v>
          </cell>
          <cell r="AQ103">
            <v>4</v>
          </cell>
          <cell r="AR103">
            <v>4</v>
          </cell>
          <cell r="AS103">
            <v>4</v>
          </cell>
          <cell r="AT103">
            <v>4</v>
          </cell>
          <cell r="AU103">
            <v>4</v>
          </cell>
          <cell r="AV103">
            <v>4</v>
          </cell>
          <cell r="AW103">
            <v>4</v>
          </cell>
          <cell r="AX103">
            <v>4</v>
          </cell>
          <cell r="AY103">
            <v>4</v>
          </cell>
        </row>
        <row r="106">
          <cell r="P106">
            <v>0</v>
          </cell>
          <cell r="Q106">
            <v>0</v>
          </cell>
          <cell r="R106">
            <v>0</v>
          </cell>
          <cell r="S106">
            <v>0</v>
          </cell>
          <cell r="T106">
            <v>0</v>
          </cell>
          <cell r="U106">
            <v>0</v>
          </cell>
          <cell r="V106">
            <v>0</v>
          </cell>
          <cell r="W106">
            <v>0</v>
          </cell>
          <cell r="X106">
            <v>0</v>
          </cell>
          <cell r="Y106">
            <v>0</v>
          </cell>
          <cell r="Z106">
            <v>0</v>
          </cell>
          <cell r="AA106">
            <v>0</v>
          </cell>
        </row>
        <row r="107">
          <cell r="P107">
            <v>1</v>
          </cell>
          <cell r="Q107">
            <v>1</v>
          </cell>
          <cell r="R107">
            <v>1</v>
          </cell>
          <cell r="S107">
            <v>1</v>
          </cell>
          <cell r="T107">
            <v>1</v>
          </cell>
          <cell r="U107">
            <v>1</v>
          </cell>
          <cell r="V107">
            <v>1</v>
          </cell>
          <cell r="W107">
            <v>1</v>
          </cell>
          <cell r="X107">
            <v>1</v>
          </cell>
          <cell r="Y107">
            <v>1</v>
          </cell>
          <cell r="Z107">
            <v>1</v>
          </cell>
          <cell r="AA107">
            <v>1</v>
          </cell>
        </row>
        <row r="108">
          <cell r="P108">
            <v>2</v>
          </cell>
          <cell r="Q108">
            <v>2</v>
          </cell>
          <cell r="R108">
            <v>2</v>
          </cell>
          <cell r="S108">
            <v>2</v>
          </cell>
          <cell r="T108">
            <v>2</v>
          </cell>
          <cell r="U108">
            <v>2</v>
          </cell>
          <cell r="V108">
            <v>2</v>
          </cell>
          <cell r="W108">
            <v>2</v>
          </cell>
          <cell r="X108">
            <v>2</v>
          </cell>
          <cell r="Y108">
            <v>2</v>
          </cell>
          <cell r="Z108">
            <v>2</v>
          </cell>
          <cell r="AA108">
            <v>2</v>
          </cell>
          <cell r="AN108">
            <v>2</v>
          </cell>
          <cell r="AO108">
            <v>2</v>
          </cell>
          <cell r="AP108">
            <v>2</v>
          </cell>
          <cell r="AQ108">
            <v>2</v>
          </cell>
          <cell r="AR108">
            <v>2</v>
          </cell>
          <cell r="AS108">
            <v>2</v>
          </cell>
          <cell r="AT108">
            <v>2</v>
          </cell>
          <cell r="AU108">
            <v>2</v>
          </cell>
          <cell r="AV108">
            <v>2</v>
          </cell>
          <cell r="AW108">
            <v>2</v>
          </cell>
          <cell r="AX108">
            <v>2</v>
          </cell>
          <cell r="AY108">
            <v>2</v>
          </cell>
        </row>
        <row r="109">
          <cell r="P109">
            <v>3</v>
          </cell>
          <cell r="Q109">
            <v>3</v>
          </cell>
          <cell r="R109">
            <v>3</v>
          </cell>
          <cell r="S109">
            <v>3</v>
          </cell>
          <cell r="T109">
            <v>3</v>
          </cell>
          <cell r="U109">
            <v>3</v>
          </cell>
          <cell r="V109">
            <v>3</v>
          </cell>
          <cell r="W109">
            <v>3</v>
          </cell>
          <cell r="X109">
            <v>3</v>
          </cell>
          <cell r="Y109">
            <v>3</v>
          </cell>
          <cell r="Z109">
            <v>3</v>
          </cell>
          <cell r="AA109">
            <v>3</v>
          </cell>
          <cell r="AB109">
            <v>0</v>
          </cell>
          <cell r="AC109">
            <v>0</v>
          </cell>
          <cell r="AD109">
            <v>0</v>
          </cell>
          <cell r="AE109">
            <v>0</v>
          </cell>
          <cell r="AF109">
            <v>0</v>
          </cell>
          <cell r="AG109">
            <v>0</v>
          </cell>
          <cell r="AH109">
            <v>0</v>
          </cell>
          <cell r="AI109">
            <v>0</v>
          </cell>
          <cell r="AJ109">
            <v>0</v>
          </cell>
          <cell r="AK109">
            <v>0</v>
          </cell>
          <cell r="AL109">
            <v>0</v>
          </cell>
          <cell r="AM109">
            <v>0</v>
          </cell>
          <cell r="AN109">
            <v>2</v>
          </cell>
          <cell r="AO109">
            <v>2</v>
          </cell>
          <cell r="AP109">
            <v>2</v>
          </cell>
          <cell r="AQ109">
            <v>2</v>
          </cell>
          <cell r="AR109">
            <v>2</v>
          </cell>
          <cell r="AS109">
            <v>2</v>
          </cell>
          <cell r="AT109">
            <v>2</v>
          </cell>
          <cell r="AU109">
            <v>2</v>
          </cell>
          <cell r="AV109">
            <v>2</v>
          </cell>
          <cell r="AW109">
            <v>2</v>
          </cell>
          <cell r="AX109">
            <v>2</v>
          </cell>
          <cell r="AY109">
            <v>2</v>
          </cell>
        </row>
        <row r="112">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row>
        <row r="113">
          <cell r="P113">
            <v>0</v>
          </cell>
          <cell r="Q113">
            <v>0</v>
          </cell>
          <cell r="R113">
            <v>0</v>
          </cell>
          <cell r="S113">
            <v>0</v>
          </cell>
          <cell r="T113">
            <v>0</v>
          </cell>
          <cell r="U113">
            <v>0</v>
          </cell>
          <cell r="V113">
            <v>0</v>
          </cell>
          <cell r="W113">
            <v>0</v>
          </cell>
          <cell r="X113">
            <v>0</v>
          </cell>
          <cell r="Y113">
            <v>0</v>
          </cell>
          <cell r="Z113">
            <v>0</v>
          </cell>
          <cell r="AA113">
            <v>0</v>
          </cell>
          <cell r="AB113">
            <v>1</v>
          </cell>
          <cell r="AC113">
            <v>1</v>
          </cell>
          <cell r="AD113">
            <v>1</v>
          </cell>
          <cell r="AE113">
            <v>1</v>
          </cell>
          <cell r="AF113">
            <v>1</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row>
        <row r="114">
          <cell r="AN114">
            <v>0</v>
          </cell>
          <cell r="AO114">
            <v>0</v>
          </cell>
          <cell r="AP114">
            <v>0</v>
          </cell>
          <cell r="AQ114">
            <v>0</v>
          </cell>
          <cell r="AR114">
            <v>0</v>
          </cell>
          <cell r="AS114">
            <v>0</v>
          </cell>
          <cell r="AT114">
            <v>0</v>
          </cell>
          <cell r="AU114">
            <v>0</v>
          </cell>
          <cell r="AV114">
            <v>0</v>
          </cell>
          <cell r="AW114">
            <v>0</v>
          </cell>
          <cell r="AX114">
            <v>0</v>
          </cell>
          <cell r="AY114">
            <v>0</v>
          </cell>
        </row>
        <row r="115">
          <cell r="P115">
            <v>2</v>
          </cell>
          <cell r="Q115">
            <v>2</v>
          </cell>
          <cell r="R115">
            <v>2</v>
          </cell>
          <cell r="S115">
            <v>2</v>
          </cell>
          <cell r="T115">
            <v>2</v>
          </cell>
          <cell r="U115">
            <v>2</v>
          </cell>
          <cell r="V115">
            <v>2</v>
          </cell>
          <cell r="W115">
            <v>2</v>
          </cell>
          <cell r="X115">
            <v>2</v>
          </cell>
          <cell r="Y115">
            <v>2</v>
          </cell>
          <cell r="Z115">
            <v>2</v>
          </cell>
          <cell r="AA115">
            <v>2</v>
          </cell>
          <cell r="AB115">
            <v>2</v>
          </cell>
          <cell r="AC115">
            <v>2</v>
          </cell>
          <cell r="AD115">
            <v>2</v>
          </cell>
          <cell r="AE115">
            <v>2</v>
          </cell>
          <cell r="AF115">
            <v>2</v>
          </cell>
          <cell r="AG115">
            <v>2</v>
          </cell>
          <cell r="AH115">
            <v>2</v>
          </cell>
          <cell r="AI115">
            <v>2</v>
          </cell>
          <cell r="AJ115">
            <v>2</v>
          </cell>
          <cell r="AK115">
            <v>2</v>
          </cell>
          <cell r="AL115">
            <v>2</v>
          </cell>
          <cell r="AM115">
            <v>2</v>
          </cell>
          <cell r="AN115">
            <v>3</v>
          </cell>
          <cell r="AO115">
            <v>3</v>
          </cell>
          <cell r="AP115">
            <v>3</v>
          </cell>
          <cell r="AQ115">
            <v>3</v>
          </cell>
          <cell r="AR115">
            <v>3</v>
          </cell>
          <cell r="AS115">
            <v>4</v>
          </cell>
          <cell r="AT115">
            <v>4</v>
          </cell>
          <cell r="AU115">
            <v>4</v>
          </cell>
          <cell r="AV115">
            <v>4</v>
          </cell>
          <cell r="AW115">
            <v>4</v>
          </cell>
          <cell r="AX115">
            <v>4</v>
          </cell>
          <cell r="AY115">
            <v>4</v>
          </cell>
        </row>
        <row r="116">
          <cell r="P116">
            <v>3</v>
          </cell>
          <cell r="Q116">
            <v>3</v>
          </cell>
          <cell r="R116">
            <v>3</v>
          </cell>
          <cell r="S116">
            <v>3</v>
          </cell>
          <cell r="T116">
            <v>3</v>
          </cell>
          <cell r="U116">
            <v>3</v>
          </cell>
          <cell r="V116">
            <v>3</v>
          </cell>
          <cell r="W116">
            <v>3</v>
          </cell>
          <cell r="X116">
            <v>3</v>
          </cell>
          <cell r="Y116">
            <v>3</v>
          </cell>
          <cell r="Z116">
            <v>3</v>
          </cell>
          <cell r="AA116">
            <v>3</v>
          </cell>
          <cell r="AB116">
            <v>2</v>
          </cell>
          <cell r="AC116">
            <v>2</v>
          </cell>
          <cell r="AD116">
            <v>2</v>
          </cell>
          <cell r="AE116">
            <v>2</v>
          </cell>
          <cell r="AF116">
            <v>2</v>
          </cell>
          <cell r="AG116">
            <v>2</v>
          </cell>
          <cell r="AH116">
            <v>2</v>
          </cell>
          <cell r="AI116">
            <v>2</v>
          </cell>
          <cell r="AJ116">
            <v>2</v>
          </cell>
          <cell r="AK116">
            <v>2</v>
          </cell>
          <cell r="AL116">
            <v>2</v>
          </cell>
          <cell r="AM116">
            <v>2</v>
          </cell>
          <cell r="AN116">
            <v>1</v>
          </cell>
          <cell r="AO116">
            <v>1</v>
          </cell>
          <cell r="AP116">
            <v>1</v>
          </cell>
          <cell r="AQ116">
            <v>1</v>
          </cell>
          <cell r="AR116">
            <v>1</v>
          </cell>
          <cell r="AS116">
            <v>1</v>
          </cell>
          <cell r="AT116">
            <v>1</v>
          </cell>
          <cell r="AU116">
            <v>1</v>
          </cell>
          <cell r="AV116">
            <v>1</v>
          </cell>
          <cell r="AW116">
            <v>1</v>
          </cell>
          <cell r="AX116">
            <v>1</v>
          </cell>
          <cell r="AY116">
            <v>1</v>
          </cell>
        </row>
        <row r="117">
          <cell r="P117">
            <v>5</v>
          </cell>
          <cell r="Q117">
            <v>5</v>
          </cell>
          <cell r="R117">
            <v>5</v>
          </cell>
          <cell r="S117">
            <v>5</v>
          </cell>
          <cell r="T117">
            <v>5</v>
          </cell>
          <cell r="U117">
            <v>5</v>
          </cell>
          <cell r="V117">
            <v>5</v>
          </cell>
          <cell r="W117">
            <v>5</v>
          </cell>
          <cell r="X117">
            <v>5</v>
          </cell>
          <cell r="Y117">
            <v>5</v>
          </cell>
          <cell r="Z117">
            <v>5</v>
          </cell>
          <cell r="AA117">
            <v>5</v>
          </cell>
          <cell r="AB117">
            <v>5</v>
          </cell>
          <cell r="AC117">
            <v>5</v>
          </cell>
          <cell r="AD117">
            <v>5</v>
          </cell>
          <cell r="AE117">
            <v>5</v>
          </cell>
          <cell r="AF117">
            <v>5</v>
          </cell>
          <cell r="AG117">
            <v>5</v>
          </cell>
          <cell r="AH117">
            <v>5</v>
          </cell>
          <cell r="AI117">
            <v>5</v>
          </cell>
          <cell r="AJ117">
            <v>5</v>
          </cell>
          <cell r="AK117">
            <v>5</v>
          </cell>
          <cell r="AL117">
            <v>5</v>
          </cell>
          <cell r="AM117">
            <v>5</v>
          </cell>
          <cell r="AN117">
            <v>5</v>
          </cell>
          <cell r="AO117">
            <v>5</v>
          </cell>
          <cell r="AP117">
            <v>5</v>
          </cell>
          <cell r="AQ117">
            <v>5</v>
          </cell>
          <cell r="AR117">
            <v>5</v>
          </cell>
          <cell r="AS117">
            <v>6</v>
          </cell>
          <cell r="AT117">
            <v>6</v>
          </cell>
          <cell r="AU117">
            <v>6</v>
          </cell>
          <cell r="AV117">
            <v>6</v>
          </cell>
          <cell r="AW117">
            <v>6</v>
          </cell>
          <cell r="AX117">
            <v>6</v>
          </cell>
          <cell r="AY117">
            <v>6</v>
          </cell>
        </row>
        <row r="120">
          <cell r="P120">
            <v>0</v>
          </cell>
          <cell r="Q120">
            <v>0</v>
          </cell>
          <cell r="R120">
            <v>0</v>
          </cell>
          <cell r="S120">
            <v>0</v>
          </cell>
          <cell r="T120">
            <v>0</v>
          </cell>
          <cell r="U120">
            <v>0</v>
          </cell>
          <cell r="V120">
            <v>0</v>
          </cell>
          <cell r="W120">
            <v>0</v>
          </cell>
          <cell r="X120">
            <v>0</v>
          </cell>
          <cell r="Y120">
            <v>0</v>
          </cell>
          <cell r="Z120">
            <v>0</v>
          </cell>
          <cell r="AA120">
            <v>0</v>
          </cell>
          <cell r="AN120">
            <v>0</v>
          </cell>
          <cell r="AO120">
            <v>0</v>
          </cell>
          <cell r="AP120">
            <v>0</v>
          </cell>
          <cell r="AQ120">
            <v>0</v>
          </cell>
          <cell r="AR120">
            <v>0</v>
          </cell>
          <cell r="AS120">
            <v>0</v>
          </cell>
          <cell r="AT120">
            <v>0</v>
          </cell>
          <cell r="AU120">
            <v>0</v>
          </cell>
          <cell r="AV120">
            <v>0</v>
          </cell>
          <cell r="AW120">
            <v>0</v>
          </cell>
          <cell r="AX120">
            <v>0</v>
          </cell>
          <cell r="AY120">
            <v>0</v>
          </cell>
        </row>
        <row r="121">
          <cell r="P121">
            <v>1</v>
          </cell>
          <cell r="Q121">
            <v>1</v>
          </cell>
          <cell r="R121">
            <v>1</v>
          </cell>
          <cell r="S121">
            <v>1</v>
          </cell>
          <cell r="T121">
            <v>1</v>
          </cell>
          <cell r="U121">
            <v>1</v>
          </cell>
          <cell r="V121">
            <v>1</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cell r="AU121">
            <v>1</v>
          </cell>
          <cell r="AV121">
            <v>1</v>
          </cell>
          <cell r="AW121">
            <v>1</v>
          </cell>
          <cell r="AX121">
            <v>1</v>
          </cell>
          <cell r="AY121">
            <v>1</v>
          </cell>
        </row>
        <row r="122">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2</v>
          </cell>
          <cell r="AV122">
            <v>2</v>
          </cell>
          <cell r="AW122">
            <v>2</v>
          </cell>
          <cell r="AX122">
            <v>2</v>
          </cell>
          <cell r="AY122">
            <v>2</v>
          </cell>
        </row>
        <row r="123">
          <cell r="P123">
            <v>3</v>
          </cell>
          <cell r="Q123">
            <v>3</v>
          </cell>
          <cell r="R123">
            <v>3</v>
          </cell>
          <cell r="S123">
            <v>3</v>
          </cell>
          <cell r="T123">
            <v>3</v>
          </cell>
          <cell r="U123">
            <v>3</v>
          </cell>
          <cell r="V123">
            <v>3</v>
          </cell>
          <cell r="W123">
            <v>3</v>
          </cell>
          <cell r="X123">
            <v>3</v>
          </cell>
          <cell r="Y123">
            <v>3</v>
          </cell>
          <cell r="Z123">
            <v>3</v>
          </cell>
          <cell r="AA123">
            <v>3</v>
          </cell>
          <cell r="AB123">
            <v>3</v>
          </cell>
          <cell r="AC123">
            <v>3</v>
          </cell>
          <cell r="AD123">
            <v>3</v>
          </cell>
          <cell r="AE123">
            <v>3</v>
          </cell>
          <cell r="AF123">
            <v>3</v>
          </cell>
          <cell r="AG123">
            <v>3</v>
          </cell>
          <cell r="AH123">
            <v>3</v>
          </cell>
          <cell r="AI123">
            <v>3</v>
          </cell>
          <cell r="AJ123">
            <v>3</v>
          </cell>
          <cell r="AK123">
            <v>3</v>
          </cell>
          <cell r="AL123">
            <v>3</v>
          </cell>
          <cell r="AM123">
            <v>3</v>
          </cell>
          <cell r="AN123">
            <v>3</v>
          </cell>
          <cell r="AO123">
            <v>3</v>
          </cell>
          <cell r="AP123">
            <v>3</v>
          </cell>
          <cell r="AQ123">
            <v>3</v>
          </cell>
          <cell r="AR123">
            <v>3</v>
          </cell>
          <cell r="AS123">
            <v>3</v>
          </cell>
          <cell r="AT123">
            <v>3</v>
          </cell>
          <cell r="AU123">
            <v>3</v>
          </cell>
          <cell r="AV123">
            <v>3</v>
          </cell>
          <cell r="AW123">
            <v>3</v>
          </cell>
          <cell r="AX123">
            <v>3</v>
          </cell>
          <cell r="AY123">
            <v>3</v>
          </cell>
        </row>
        <row r="126">
          <cell r="P126">
            <v>0</v>
          </cell>
          <cell r="Q126">
            <v>0</v>
          </cell>
          <cell r="R126">
            <v>0</v>
          </cell>
          <cell r="S126">
            <v>0</v>
          </cell>
          <cell r="T126">
            <v>0</v>
          </cell>
          <cell r="U126">
            <v>0</v>
          </cell>
          <cell r="V126">
            <v>0</v>
          </cell>
          <cell r="W126">
            <v>0</v>
          </cell>
          <cell r="X126">
            <v>0</v>
          </cell>
          <cell r="Y126">
            <v>0</v>
          </cell>
          <cell r="Z126">
            <v>0</v>
          </cell>
          <cell r="AA126">
            <v>0</v>
          </cell>
        </row>
        <row r="127">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row>
        <row r="129">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row>
        <row r="130">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row>
        <row r="133">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cell r="AU133">
            <v>1</v>
          </cell>
          <cell r="AV133">
            <v>1</v>
          </cell>
          <cell r="AW133">
            <v>1</v>
          </cell>
          <cell r="AX133">
            <v>1</v>
          </cell>
          <cell r="AY133">
            <v>1</v>
          </cell>
        </row>
        <row r="134">
          <cell r="AB134">
            <v>0</v>
          </cell>
          <cell r="AC134">
            <v>0</v>
          </cell>
          <cell r="AD134">
            <v>0</v>
          </cell>
          <cell r="AE134">
            <v>0</v>
          </cell>
          <cell r="AF134">
            <v>0</v>
          </cell>
          <cell r="AG134">
            <v>0</v>
          </cell>
          <cell r="AH134">
            <v>0</v>
          </cell>
          <cell r="AI134">
            <v>0</v>
          </cell>
          <cell r="AJ134">
            <v>0</v>
          </cell>
          <cell r="AK134">
            <v>0</v>
          </cell>
          <cell r="AL134">
            <v>0</v>
          </cell>
          <cell r="AM134">
            <v>0</v>
          </cell>
          <cell r="AN134">
            <v>1</v>
          </cell>
          <cell r="AO134">
            <v>1</v>
          </cell>
          <cell r="AP134">
            <v>1</v>
          </cell>
          <cell r="AQ134">
            <v>1</v>
          </cell>
          <cell r="AR134">
            <v>1</v>
          </cell>
          <cell r="AS134">
            <v>1</v>
          </cell>
          <cell r="AT134">
            <v>1</v>
          </cell>
          <cell r="AU134">
            <v>1</v>
          </cell>
          <cell r="AV134">
            <v>1</v>
          </cell>
          <cell r="AW134">
            <v>1</v>
          </cell>
          <cell r="AX134">
            <v>1</v>
          </cell>
          <cell r="AY134">
            <v>1</v>
          </cell>
        </row>
      </sheetData>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count Pivot"/>
      <sheetName val="Lead"/>
      <sheetName val="Trend"/>
      <sheetName val="Summary"/>
      <sheetName val="Previous Month Summary"/>
      <sheetName val="New Hires"/>
      <sheetName val="Terminations"/>
      <sheetName val="Turnover"/>
      <sheetName val="Detail"/>
      <sheetName val="SOP"/>
      <sheetName val="Prev.Detail"/>
      <sheetName val="Paychex"/>
      <sheetName val="Budget Load"/>
      <sheetName val="Tables"/>
      <sheetName val="JDE SE5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P3">
            <v>42400</v>
          </cell>
          <cell r="Q3">
            <v>42429</v>
          </cell>
          <cell r="R3">
            <v>42460</v>
          </cell>
          <cell r="S3">
            <v>42490</v>
          </cell>
          <cell r="T3">
            <v>42521</v>
          </cell>
          <cell r="U3">
            <v>42551</v>
          </cell>
          <cell r="V3">
            <v>42582</v>
          </cell>
          <cell r="W3">
            <v>42613</v>
          </cell>
          <cell r="X3">
            <v>42643</v>
          </cell>
          <cell r="Y3">
            <v>42674</v>
          </cell>
          <cell r="Z3">
            <v>42704</v>
          </cell>
          <cell r="AA3">
            <v>42735</v>
          </cell>
          <cell r="AB3">
            <v>42766</v>
          </cell>
          <cell r="AC3">
            <v>42794</v>
          </cell>
          <cell r="AD3">
            <v>42825</v>
          </cell>
          <cell r="AE3">
            <v>42855</v>
          </cell>
          <cell r="AF3">
            <v>42886</v>
          </cell>
          <cell r="AG3">
            <v>42916</v>
          </cell>
          <cell r="AH3">
            <v>42947</v>
          </cell>
          <cell r="AI3">
            <v>42978</v>
          </cell>
          <cell r="AJ3">
            <v>43008</v>
          </cell>
          <cell r="AK3">
            <v>43039</v>
          </cell>
          <cell r="AL3">
            <v>43069</v>
          </cell>
          <cell r="AM3">
            <v>43100</v>
          </cell>
          <cell r="AN3">
            <v>43131</v>
          </cell>
          <cell r="AO3">
            <v>43159</v>
          </cell>
          <cell r="AP3">
            <v>43190</v>
          </cell>
          <cell r="AQ3">
            <v>43220</v>
          </cell>
          <cell r="AR3">
            <v>43251</v>
          </cell>
          <cell r="AS3">
            <v>43281</v>
          </cell>
          <cell r="AT3">
            <v>43312</v>
          </cell>
          <cell r="AU3">
            <v>43343</v>
          </cell>
          <cell r="AV3">
            <v>43373</v>
          </cell>
          <cell r="AW3">
            <v>43404</v>
          </cell>
          <cell r="AX3">
            <v>43434</v>
          </cell>
          <cell r="AY3">
            <v>43465</v>
          </cell>
        </row>
        <row r="7">
          <cell r="P7">
            <v>14</v>
          </cell>
          <cell r="Q7">
            <v>14</v>
          </cell>
          <cell r="R7">
            <v>14</v>
          </cell>
          <cell r="S7">
            <v>14</v>
          </cell>
          <cell r="T7">
            <v>14</v>
          </cell>
          <cell r="U7">
            <v>14</v>
          </cell>
          <cell r="V7">
            <v>14</v>
          </cell>
          <cell r="W7">
            <v>14</v>
          </cell>
          <cell r="X7">
            <v>14</v>
          </cell>
          <cell r="Y7">
            <v>14</v>
          </cell>
          <cell r="Z7">
            <v>14</v>
          </cell>
          <cell r="AA7">
            <v>14</v>
          </cell>
          <cell r="AB7">
            <v>15</v>
          </cell>
          <cell r="AC7">
            <v>15</v>
          </cell>
          <cell r="AD7">
            <v>15</v>
          </cell>
          <cell r="AE7">
            <v>15</v>
          </cell>
          <cell r="AF7">
            <v>15</v>
          </cell>
          <cell r="AG7">
            <v>15</v>
          </cell>
          <cell r="AH7">
            <v>15</v>
          </cell>
          <cell r="AI7">
            <v>15</v>
          </cell>
          <cell r="AJ7">
            <v>15</v>
          </cell>
          <cell r="AK7">
            <v>15</v>
          </cell>
          <cell r="AL7">
            <v>15</v>
          </cell>
          <cell r="AM7">
            <v>15</v>
          </cell>
          <cell r="AN7">
            <v>15</v>
          </cell>
          <cell r="AO7">
            <v>15</v>
          </cell>
          <cell r="AP7">
            <v>15</v>
          </cell>
          <cell r="AQ7">
            <v>15</v>
          </cell>
          <cell r="AR7">
            <v>15</v>
          </cell>
          <cell r="AS7">
            <v>15</v>
          </cell>
          <cell r="AT7">
            <v>15</v>
          </cell>
          <cell r="AU7">
            <v>15</v>
          </cell>
          <cell r="AV7">
            <v>15</v>
          </cell>
          <cell r="AW7">
            <v>15</v>
          </cell>
          <cell r="AX7">
            <v>15</v>
          </cell>
          <cell r="AY7">
            <v>15</v>
          </cell>
        </row>
        <row r="8">
          <cell r="AN8">
            <v>3</v>
          </cell>
          <cell r="AO8">
            <v>3</v>
          </cell>
          <cell r="AP8">
            <v>3</v>
          </cell>
          <cell r="AQ8">
            <v>3</v>
          </cell>
          <cell r="AR8">
            <v>3</v>
          </cell>
          <cell r="AS8">
            <v>3</v>
          </cell>
          <cell r="AT8">
            <v>3</v>
          </cell>
          <cell r="AU8">
            <v>3</v>
          </cell>
          <cell r="AV8">
            <v>3</v>
          </cell>
          <cell r="AW8">
            <v>3</v>
          </cell>
          <cell r="AX8">
            <v>3</v>
          </cell>
          <cell r="AY8">
            <v>3</v>
          </cell>
        </row>
        <row r="9">
          <cell r="P9">
            <v>3</v>
          </cell>
          <cell r="Q9">
            <v>3</v>
          </cell>
          <cell r="R9">
            <v>3</v>
          </cell>
          <cell r="S9">
            <v>3</v>
          </cell>
          <cell r="T9">
            <v>3</v>
          </cell>
          <cell r="U9">
            <v>3</v>
          </cell>
          <cell r="V9">
            <v>3</v>
          </cell>
          <cell r="W9">
            <v>3</v>
          </cell>
          <cell r="X9">
            <v>3</v>
          </cell>
          <cell r="Y9">
            <v>3</v>
          </cell>
          <cell r="Z9">
            <v>3</v>
          </cell>
          <cell r="AA9">
            <v>3</v>
          </cell>
          <cell r="AB9">
            <v>4</v>
          </cell>
          <cell r="AC9">
            <v>4</v>
          </cell>
          <cell r="AD9">
            <v>4</v>
          </cell>
          <cell r="AE9">
            <v>4</v>
          </cell>
          <cell r="AF9">
            <v>4</v>
          </cell>
          <cell r="AG9">
            <v>4</v>
          </cell>
          <cell r="AH9">
            <v>4</v>
          </cell>
          <cell r="AI9">
            <v>4</v>
          </cell>
          <cell r="AJ9">
            <v>4</v>
          </cell>
          <cell r="AK9">
            <v>4</v>
          </cell>
          <cell r="AL9">
            <v>4</v>
          </cell>
          <cell r="AM9">
            <v>4</v>
          </cell>
          <cell r="AN9">
            <v>5</v>
          </cell>
          <cell r="AO9">
            <v>5</v>
          </cell>
          <cell r="AP9">
            <v>5</v>
          </cell>
          <cell r="AQ9">
            <v>5</v>
          </cell>
          <cell r="AR9">
            <v>5</v>
          </cell>
          <cell r="AS9">
            <v>5</v>
          </cell>
          <cell r="AT9">
            <v>5</v>
          </cell>
          <cell r="AU9">
            <v>5</v>
          </cell>
          <cell r="AV9">
            <v>5</v>
          </cell>
          <cell r="AW9">
            <v>5</v>
          </cell>
          <cell r="AX9">
            <v>5</v>
          </cell>
          <cell r="AY9">
            <v>5</v>
          </cell>
        </row>
        <row r="10">
          <cell r="P10">
            <v>6</v>
          </cell>
          <cell r="Q10">
            <v>6</v>
          </cell>
          <cell r="R10">
            <v>6</v>
          </cell>
          <cell r="S10">
            <v>6</v>
          </cell>
          <cell r="T10">
            <v>6</v>
          </cell>
          <cell r="U10">
            <v>6</v>
          </cell>
          <cell r="V10">
            <v>6</v>
          </cell>
          <cell r="W10">
            <v>6</v>
          </cell>
          <cell r="X10">
            <v>6</v>
          </cell>
          <cell r="Y10">
            <v>6</v>
          </cell>
          <cell r="Z10">
            <v>6</v>
          </cell>
          <cell r="AA10">
            <v>6</v>
          </cell>
          <cell r="AB10">
            <v>8</v>
          </cell>
          <cell r="AC10">
            <v>8</v>
          </cell>
          <cell r="AD10">
            <v>8</v>
          </cell>
          <cell r="AE10">
            <v>8</v>
          </cell>
          <cell r="AF10">
            <v>8</v>
          </cell>
          <cell r="AG10">
            <v>8</v>
          </cell>
          <cell r="AH10">
            <v>8</v>
          </cell>
          <cell r="AI10">
            <v>8</v>
          </cell>
          <cell r="AJ10">
            <v>8</v>
          </cell>
          <cell r="AK10">
            <v>8</v>
          </cell>
          <cell r="AL10">
            <v>8</v>
          </cell>
          <cell r="AM10">
            <v>8</v>
          </cell>
          <cell r="AN10">
            <v>8</v>
          </cell>
          <cell r="AO10">
            <v>8</v>
          </cell>
          <cell r="AP10">
            <v>8</v>
          </cell>
          <cell r="AQ10">
            <v>8</v>
          </cell>
          <cell r="AR10">
            <v>8</v>
          </cell>
          <cell r="AS10">
            <v>8</v>
          </cell>
          <cell r="AT10">
            <v>8</v>
          </cell>
          <cell r="AU10">
            <v>8</v>
          </cell>
          <cell r="AV10">
            <v>8</v>
          </cell>
          <cell r="AW10">
            <v>8</v>
          </cell>
          <cell r="AX10">
            <v>8</v>
          </cell>
          <cell r="AY10">
            <v>8</v>
          </cell>
        </row>
        <row r="11">
          <cell r="P11">
            <v>10</v>
          </cell>
          <cell r="Q11">
            <v>10</v>
          </cell>
          <cell r="R11">
            <v>10</v>
          </cell>
          <cell r="S11">
            <v>10</v>
          </cell>
          <cell r="T11">
            <v>10</v>
          </cell>
          <cell r="U11">
            <v>10</v>
          </cell>
          <cell r="V11">
            <v>10</v>
          </cell>
          <cell r="W11">
            <v>10</v>
          </cell>
          <cell r="X11">
            <v>10</v>
          </cell>
          <cell r="Y11">
            <v>10</v>
          </cell>
          <cell r="Z11">
            <v>10</v>
          </cell>
          <cell r="AA11">
            <v>10</v>
          </cell>
          <cell r="AB11">
            <v>10</v>
          </cell>
          <cell r="AC11">
            <v>10</v>
          </cell>
          <cell r="AD11">
            <v>10</v>
          </cell>
          <cell r="AE11">
            <v>10</v>
          </cell>
          <cell r="AF11">
            <v>10</v>
          </cell>
          <cell r="AG11">
            <v>10</v>
          </cell>
          <cell r="AH11">
            <v>10</v>
          </cell>
          <cell r="AI11">
            <v>10</v>
          </cell>
          <cell r="AJ11">
            <v>10</v>
          </cell>
          <cell r="AK11">
            <v>10</v>
          </cell>
          <cell r="AL11">
            <v>10</v>
          </cell>
          <cell r="AM11">
            <v>10</v>
          </cell>
          <cell r="AN11">
            <v>11</v>
          </cell>
          <cell r="AO11">
            <v>11</v>
          </cell>
          <cell r="AP11">
            <v>11</v>
          </cell>
          <cell r="AQ11">
            <v>11</v>
          </cell>
          <cell r="AR11">
            <v>11</v>
          </cell>
          <cell r="AS11">
            <v>11</v>
          </cell>
          <cell r="AT11">
            <v>11</v>
          </cell>
          <cell r="AU11">
            <v>11</v>
          </cell>
          <cell r="AV11">
            <v>11</v>
          </cell>
          <cell r="AW11">
            <v>11</v>
          </cell>
          <cell r="AX11">
            <v>11</v>
          </cell>
          <cell r="AY11">
            <v>11</v>
          </cell>
        </row>
        <row r="12">
          <cell r="P12">
            <v>35</v>
          </cell>
          <cell r="Q12">
            <v>35</v>
          </cell>
          <cell r="R12">
            <v>35</v>
          </cell>
          <cell r="S12">
            <v>35</v>
          </cell>
          <cell r="T12">
            <v>35</v>
          </cell>
          <cell r="U12">
            <v>35</v>
          </cell>
          <cell r="V12">
            <v>35</v>
          </cell>
          <cell r="W12">
            <v>35</v>
          </cell>
          <cell r="X12">
            <v>35</v>
          </cell>
          <cell r="Y12">
            <v>35</v>
          </cell>
          <cell r="Z12">
            <v>35</v>
          </cell>
          <cell r="AA12">
            <v>35</v>
          </cell>
          <cell r="AB12">
            <v>37</v>
          </cell>
          <cell r="AC12">
            <v>37</v>
          </cell>
          <cell r="AD12">
            <v>37</v>
          </cell>
          <cell r="AE12">
            <v>37</v>
          </cell>
          <cell r="AF12">
            <v>37</v>
          </cell>
          <cell r="AG12">
            <v>37</v>
          </cell>
          <cell r="AH12">
            <v>37</v>
          </cell>
          <cell r="AI12">
            <v>37</v>
          </cell>
          <cell r="AJ12">
            <v>37</v>
          </cell>
          <cell r="AK12">
            <v>37</v>
          </cell>
          <cell r="AL12">
            <v>37</v>
          </cell>
          <cell r="AM12">
            <v>37</v>
          </cell>
          <cell r="AN12">
            <v>37</v>
          </cell>
          <cell r="AO12">
            <v>37</v>
          </cell>
          <cell r="AP12">
            <v>37</v>
          </cell>
          <cell r="AQ12">
            <v>37</v>
          </cell>
          <cell r="AR12">
            <v>37</v>
          </cell>
          <cell r="AS12">
            <v>37</v>
          </cell>
          <cell r="AT12">
            <v>37</v>
          </cell>
          <cell r="AU12">
            <v>37</v>
          </cell>
          <cell r="AV12">
            <v>37</v>
          </cell>
          <cell r="AW12">
            <v>37</v>
          </cell>
          <cell r="AX12">
            <v>37</v>
          </cell>
          <cell r="AY12">
            <v>37</v>
          </cell>
        </row>
        <row r="13">
          <cell r="P13">
            <v>3</v>
          </cell>
          <cell r="Q13">
            <v>3</v>
          </cell>
          <cell r="R13">
            <v>3</v>
          </cell>
          <cell r="S13">
            <v>3</v>
          </cell>
          <cell r="T13">
            <v>3</v>
          </cell>
          <cell r="U13">
            <v>3</v>
          </cell>
          <cell r="V13">
            <v>3</v>
          </cell>
          <cell r="W13">
            <v>3</v>
          </cell>
          <cell r="X13">
            <v>3</v>
          </cell>
          <cell r="Y13">
            <v>3</v>
          </cell>
          <cell r="Z13">
            <v>3</v>
          </cell>
          <cell r="AA13">
            <v>3</v>
          </cell>
          <cell r="AB13">
            <v>4</v>
          </cell>
          <cell r="AC13">
            <v>4</v>
          </cell>
          <cell r="AD13">
            <v>4</v>
          </cell>
          <cell r="AE13">
            <v>4</v>
          </cell>
          <cell r="AF13">
            <v>4</v>
          </cell>
          <cell r="AG13">
            <v>4</v>
          </cell>
          <cell r="AH13">
            <v>4</v>
          </cell>
          <cell r="AI13">
            <v>4</v>
          </cell>
          <cell r="AJ13">
            <v>4</v>
          </cell>
          <cell r="AK13">
            <v>4</v>
          </cell>
          <cell r="AL13">
            <v>4</v>
          </cell>
          <cell r="AM13">
            <v>4</v>
          </cell>
          <cell r="AN13">
            <v>6</v>
          </cell>
          <cell r="AO13">
            <v>6</v>
          </cell>
          <cell r="AP13">
            <v>6</v>
          </cell>
          <cell r="AQ13">
            <v>6</v>
          </cell>
          <cell r="AR13">
            <v>6</v>
          </cell>
          <cell r="AS13">
            <v>6</v>
          </cell>
          <cell r="AT13">
            <v>6</v>
          </cell>
          <cell r="AU13">
            <v>6</v>
          </cell>
          <cell r="AV13">
            <v>6</v>
          </cell>
          <cell r="AW13">
            <v>6</v>
          </cell>
          <cell r="AX13">
            <v>6</v>
          </cell>
          <cell r="AY13">
            <v>6</v>
          </cell>
        </row>
        <row r="14">
          <cell r="P14">
            <v>4</v>
          </cell>
          <cell r="Q14">
            <v>4</v>
          </cell>
          <cell r="R14">
            <v>4</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row>
        <row r="15">
          <cell r="P15">
            <v>5</v>
          </cell>
          <cell r="Q15">
            <v>5</v>
          </cell>
          <cell r="R15">
            <v>5</v>
          </cell>
          <cell r="S15">
            <v>5</v>
          </cell>
          <cell r="T15">
            <v>5</v>
          </cell>
          <cell r="U15">
            <v>5</v>
          </cell>
          <cell r="V15">
            <v>5</v>
          </cell>
          <cell r="W15">
            <v>5</v>
          </cell>
          <cell r="X15">
            <v>5</v>
          </cell>
          <cell r="Y15">
            <v>5</v>
          </cell>
          <cell r="Z15">
            <v>5</v>
          </cell>
          <cell r="AA15">
            <v>5</v>
          </cell>
          <cell r="AB15">
            <v>6</v>
          </cell>
          <cell r="AC15">
            <v>6</v>
          </cell>
          <cell r="AD15">
            <v>6</v>
          </cell>
          <cell r="AE15">
            <v>6</v>
          </cell>
          <cell r="AF15">
            <v>6</v>
          </cell>
          <cell r="AG15">
            <v>6</v>
          </cell>
          <cell r="AH15">
            <v>6</v>
          </cell>
          <cell r="AI15">
            <v>6</v>
          </cell>
          <cell r="AJ15">
            <v>6</v>
          </cell>
          <cell r="AK15">
            <v>6</v>
          </cell>
          <cell r="AL15">
            <v>6</v>
          </cell>
          <cell r="AM15">
            <v>6</v>
          </cell>
          <cell r="AN15">
            <v>4</v>
          </cell>
          <cell r="AO15">
            <v>4</v>
          </cell>
          <cell r="AP15">
            <v>4</v>
          </cell>
          <cell r="AQ15">
            <v>4</v>
          </cell>
          <cell r="AR15">
            <v>4</v>
          </cell>
          <cell r="AS15">
            <v>4</v>
          </cell>
          <cell r="AT15">
            <v>4</v>
          </cell>
          <cell r="AU15">
            <v>4</v>
          </cell>
          <cell r="AV15">
            <v>4</v>
          </cell>
          <cell r="AW15">
            <v>4</v>
          </cell>
          <cell r="AX15">
            <v>4</v>
          </cell>
          <cell r="AY15">
            <v>4</v>
          </cell>
        </row>
        <row r="16">
          <cell r="P16">
            <v>80</v>
          </cell>
          <cell r="Q16">
            <v>80</v>
          </cell>
          <cell r="R16">
            <v>80</v>
          </cell>
          <cell r="S16">
            <v>80</v>
          </cell>
          <cell r="T16">
            <v>80</v>
          </cell>
          <cell r="U16">
            <v>80</v>
          </cell>
          <cell r="V16">
            <v>80</v>
          </cell>
          <cell r="W16">
            <v>80</v>
          </cell>
          <cell r="X16">
            <v>80</v>
          </cell>
          <cell r="Y16">
            <v>80</v>
          </cell>
          <cell r="Z16">
            <v>80</v>
          </cell>
          <cell r="AA16">
            <v>80</v>
          </cell>
          <cell r="AB16">
            <v>88</v>
          </cell>
          <cell r="AC16">
            <v>88</v>
          </cell>
          <cell r="AD16">
            <v>88</v>
          </cell>
          <cell r="AE16">
            <v>88</v>
          </cell>
          <cell r="AF16">
            <v>88</v>
          </cell>
          <cell r="AG16">
            <v>88</v>
          </cell>
          <cell r="AH16">
            <v>88</v>
          </cell>
          <cell r="AI16">
            <v>88</v>
          </cell>
          <cell r="AJ16">
            <v>88</v>
          </cell>
          <cell r="AK16">
            <v>88</v>
          </cell>
          <cell r="AL16">
            <v>88</v>
          </cell>
          <cell r="AM16">
            <v>88</v>
          </cell>
          <cell r="AN16">
            <v>93</v>
          </cell>
          <cell r="AO16">
            <v>93</v>
          </cell>
          <cell r="AP16">
            <v>93</v>
          </cell>
          <cell r="AQ16">
            <v>93</v>
          </cell>
          <cell r="AR16">
            <v>93</v>
          </cell>
          <cell r="AS16">
            <v>93</v>
          </cell>
          <cell r="AT16">
            <v>93</v>
          </cell>
          <cell r="AU16">
            <v>93</v>
          </cell>
          <cell r="AV16">
            <v>93</v>
          </cell>
          <cell r="AW16">
            <v>93</v>
          </cell>
          <cell r="AX16">
            <v>93</v>
          </cell>
          <cell r="AY16">
            <v>93</v>
          </cell>
        </row>
        <row r="19">
          <cell r="P19">
            <v>8</v>
          </cell>
          <cell r="Q19">
            <v>8</v>
          </cell>
          <cell r="R19">
            <v>8</v>
          </cell>
          <cell r="S19">
            <v>8</v>
          </cell>
          <cell r="T19">
            <v>8</v>
          </cell>
          <cell r="U19">
            <v>8</v>
          </cell>
          <cell r="V19">
            <v>8</v>
          </cell>
          <cell r="W19">
            <v>8</v>
          </cell>
          <cell r="X19">
            <v>8</v>
          </cell>
          <cell r="Y19">
            <v>8</v>
          </cell>
          <cell r="Z19">
            <v>8</v>
          </cell>
          <cell r="AA19">
            <v>8</v>
          </cell>
          <cell r="AB19">
            <v>8</v>
          </cell>
          <cell r="AC19">
            <v>8</v>
          </cell>
          <cell r="AD19">
            <v>8</v>
          </cell>
          <cell r="AE19">
            <v>9</v>
          </cell>
          <cell r="AF19">
            <v>9</v>
          </cell>
          <cell r="AG19">
            <v>9</v>
          </cell>
          <cell r="AH19">
            <v>9</v>
          </cell>
          <cell r="AI19">
            <v>9</v>
          </cell>
          <cell r="AJ19">
            <v>9</v>
          </cell>
          <cell r="AK19">
            <v>9</v>
          </cell>
          <cell r="AL19">
            <v>9</v>
          </cell>
          <cell r="AM19">
            <v>9</v>
          </cell>
          <cell r="AN19">
            <v>10</v>
          </cell>
          <cell r="AO19">
            <v>10</v>
          </cell>
          <cell r="AP19">
            <v>10</v>
          </cell>
          <cell r="AQ19">
            <v>10</v>
          </cell>
          <cell r="AR19">
            <v>10</v>
          </cell>
          <cell r="AS19">
            <v>10</v>
          </cell>
          <cell r="AT19">
            <v>10</v>
          </cell>
          <cell r="AU19">
            <v>10</v>
          </cell>
          <cell r="AV19">
            <v>10</v>
          </cell>
          <cell r="AW19">
            <v>10</v>
          </cell>
          <cell r="AX19">
            <v>10</v>
          </cell>
          <cell r="AY19">
            <v>10</v>
          </cell>
        </row>
        <row r="20">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1</v>
          </cell>
          <cell r="AP20">
            <v>1</v>
          </cell>
          <cell r="AQ20">
            <v>1</v>
          </cell>
          <cell r="AR20">
            <v>1</v>
          </cell>
          <cell r="AS20">
            <v>1</v>
          </cell>
          <cell r="AT20">
            <v>1</v>
          </cell>
          <cell r="AU20">
            <v>1</v>
          </cell>
          <cell r="AV20">
            <v>1</v>
          </cell>
          <cell r="AW20">
            <v>1</v>
          </cell>
          <cell r="AX20">
            <v>1</v>
          </cell>
          <cell r="AY20">
            <v>1</v>
          </cell>
        </row>
        <row r="21">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row>
        <row r="22">
          <cell r="P22">
            <v>22</v>
          </cell>
          <cell r="Q22">
            <v>22</v>
          </cell>
          <cell r="R22">
            <v>22</v>
          </cell>
          <cell r="S22">
            <v>22</v>
          </cell>
          <cell r="T22">
            <v>22</v>
          </cell>
          <cell r="U22">
            <v>22</v>
          </cell>
          <cell r="V22">
            <v>22</v>
          </cell>
          <cell r="W22">
            <v>22</v>
          </cell>
          <cell r="X22">
            <v>22</v>
          </cell>
          <cell r="Y22">
            <v>22</v>
          </cell>
          <cell r="Z22">
            <v>22</v>
          </cell>
          <cell r="AA22">
            <v>22</v>
          </cell>
          <cell r="AB22">
            <v>22</v>
          </cell>
          <cell r="AC22">
            <v>22</v>
          </cell>
          <cell r="AD22">
            <v>22</v>
          </cell>
          <cell r="AE22">
            <v>22</v>
          </cell>
          <cell r="AF22">
            <v>22</v>
          </cell>
          <cell r="AG22">
            <v>22</v>
          </cell>
          <cell r="AH22">
            <v>22</v>
          </cell>
          <cell r="AI22">
            <v>22</v>
          </cell>
          <cell r="AJ22">
            <v>22</v>
          </cell>
          <cell r="AK22">
            <v>22</v>
          </cell>
          <cell r="AL22">
            <v>22</v>
          </cell>
          <cell r="AM22">
            <v>22</v>
          </cell>
          <cell r="AN22">
            <v>27</v>
          </cell>
          <cell r="AO22">
            <v>27</v>
          </cell>
          <cell r="AP22">
            <v>27</v>
          </cell>
          <cell r="AQ22">
            <v>27</v>
          </cell>
          <cell r="AR22">
            <v>27</v>
          </cell>
          <cell r="AS22">
            <v>27</v>
          </cell>
          <cell r="AT22">
            <v>27</v>
          </cell>
          <cell r="AU22">
            <v>27</v>
          </cell>
          <cell r="AV22">
            <v>27</v>
          </cell>
          <cell r="AW22">
            <v>27</v>
          </cell>
          <cell r="AX22">
            <v>27</v>
          </cell>
          <cell r="AY22">
            <v>27</v>
          </cell>
        </row>
        <row r="23">
          <cell r="P23">
            <v>10</v>
          </cell>
          <cell r="Q23">
            <v>10</v>
          </cell>
          <cell r="R23">
            <v>10</v>
          </cell>
          <cell r="S23">
            <v>10</v>
          </cell>
          <cell r="T23">
            <v>10</v>
          </cell>
          <cell r="U23">
            <v>10</v>
          </cell>
          <cell r="V23">
            <v>10</v>
          </cell>
          <cell r="W23">
            <v>10</v>
          </cell>
          <cell r="X23">
            <v>10</v>
          </cell>
          <cell r="Y23">
            <v>10</v>
          </cell>
          <cell r="Z23">
            <v>10</v>
          </cell>
          <cell r="AA23">
            <v>10</v>
          </cell>
          <cell r="AB23">
            <v>10</v>
          </cell>
          <cell r="AC23">
            <v>10</v>
          </cell>
          <cell r="AD23">
            <v>10</v>
          </cell>
          <cell r="AE23">
            <v>10</v>
          </cell>
          <cell r="AF23">
            <v>10</v>
          </cell>
          <cell r="AG23">
            <v>10</v>
          </cell>
          <cell r="AH23">
            <v>10</v>
          </cell>
          <cell r="AI23">
            <v>10</v>
          </cell>
          <cell r="AJ23">
            <v>10</v>
          </cell>
          <cell r="AK23">
            <v>10</v>
          </cell>
          <cell r="AL23">
            <v>10</v>
          </cell>
          <cell r="AM23">
            <v>10</v>
          </cell>
          <cell r="AN23">
            <v>8</v>
          </cell>
          <cell r="AO23">
            <v>8</v>
          </cell>
          <cell r="AP23">
            <v>8</v>
          </cell>
          <cell r="AQ23">
            <v>8</v>
          </cell>
          <cell r="AR23">
            <v>8</v>
          </cell>
          <cell r="AS23">
            <v>8</v>
          </cell>
          <cell r="AT23">
            <v>8</v>
          </cell>
          <cell r="AU23">
            <v>8</v>
          </cell>
          <cell r="AV23">
            <v>8</v>
          </cell>
          <cell r="AW23">
            <v>8</v>
          </cell>
          <cell r="AX23">
            <v>8</v>
          </cell>
          <cell r="AY23">
            <v>8</v>
          </cell>
        </row>
        <row r="24">
          <cell r="P24">
            <v>6</v>
          </cell>
          <cell r="Q24">
            <v>6</v>
          </cell>
          <cell r="R24">
            <v>6</v>
          </cell>
          <cell r="S24">
            <v>6</v>
          </cell>
          <cell r="T24">
            <v>6</v>
          </cell>
          <cell r="U24">
            <v>6</v>
          </cell>
          <cell r="V24">
            <v>6</v>
          </cell>
          <cell r="W24">
            <v>6</v>
          </cell>
          <cell r="X24">
            <v>6</v>
          </cell>
          <cell r="Y24">
            <v>6</v>
          </cell>
          <cell r="Z24">
            <v>6</v>
          </cell>
          <cell r="AA24">
            <v>6</v>
          </cell>
          <cell r="AB24">
            <v>6</v>
          </cell>
          <cell r="AC24">
            <v>6</v>
          </cell>
          <cell r="AD24">
            <v>6</v>
          </cell>
          <cell r="AE24">
            <v>6</v>
          </cell>
          <cell r="AF24">
            <v>6</v>
          </cell>
          <cell r="AG24">
            <v>6</v>
          </cell>
          <cell r="AH24">
            <v>6</v>
          </cell>
          <cell r="AI24">
            <v>6</v>
          </cell>
          <cell r="AJ24">
            <v>6</v>
          </cell>
          <cell r="AK24">
            <v>6</v>
          </cell>
          <cell r="AL24">
            <v>6</v>
          </cell>
          <cell r="AM24">
            <v>6</v>
          </cell>
          <cell r="AN24">
            <v>7</v>
          </cell>
          <cell r="AO24">
            <v>7</v>
          </cell>
          <cell r="AP24">
            <v>7</v>
          </cell>
          <cell r="AQ24">
            <v>7</v>
          </cell>
          <cell r="AR24">
            <v>7</v>
          </cell>
          <cell r="AS24">
            <v>7</v>
          </cell>
          <cell r="AT24">
            <v>7</v>
          </cell>
          <cell r="AU24">
            <v>7</v>
          </cell>
          <cell r="AV24">
            <v>7</v>
          </cell>
          <cell r="AW24">
            <v>7</v>
          </cell>
          <cell r="AX24">
            <v>7</v>
          </cell>
          <cell r="AY24">
            <v>7</v>
          </cell>
        </row>
        <row r="25">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row>
        <row r="26">
          <cell r="P26">
            <v>8</v>
          </cell>
          <cell r="Q26">
            <v>8</v>
          </cell>
          <cell r="R26">
            <v>8</v>
          </cell>
          <cell r="S26">
            <v>8</v>
          </cell>
          <cell r="T26">
            <v>8</v>
          </cell>
          <cell r="U26">
            <v>8</v>
          </cell>
          <cell r="V26">
            <v>8</v>
          </cell>
          <cell r="W26">
            <v>8</v>
          </cell>
          <cell r="X26">
            <v>8</v>
          </cell>
          <cell r="Y26">
            <v>8</v>
          </cell>
          <cell r="Z26">
            <v>8</v>
          </cell>
          <cell r="AA26">
            <v>8</v>
          </cell>
          <cell r="AB26">
            <v>8</v>
          </cell>
          <cell r="AC26">
            <v>8</v>
          </cell>
          <cell r="AD26">
            <v>8</v>
          </cell>
          <cell r="AE26">
            <v>8</v>
          </cell>
          <cell r="AF26">
            <v>8</v>
          </cell>
          <cell r="AG26">
            <v>8</v>
          </cell>
          <cell r="AH26">
            <v>8</v>
          </cell>
          <cell r="AI26">
            <v>8</v>
          </cell>
          <cell r="AJ26">
            <v>8</v>
          </cell>
          <cell r="AK26">
            <v>8</v>
          </cell>
          <cell r="AL26">
            <v>8</v>
          </cell>
          <cell r="AM26">
            <v>8</v>
          </cell>
          <cell r="AN26">
            <v>8</v>
          </cell>
          <cell r="AO26">
            <v>8</v>
          </cell>
          <cell r="AP26">
            <v>8</v>
          </cell>
          <cell r="AQ26">
            <v>8</v>
          </cell>
          <cell r="AR26">
            <v>8</v>
          </cell>
          <cell r="AS26">
            <v>8</v>
          </cell>
          <cell r="AT26">
            <v>8</v>
          </cell>
          <cell r="AU26">
            <v>8</v>
          </cell>
          <cell r="AV26">
            <v>8</v>
          </cell>
          <cell r="AW26">
            <v>8</v>
          </cell>
          <cell r="AX26">
            <v>8</v>
          </cell>
          <cell r="AY26">
            <v>8</v>
          </cell>
        </row>
        <row r="27">
          <cell r="P27">
            <v>9</v>
          </cell>
          <cell r="Q27">
            <v>9</v>
          </cell>
          <cell r="R27">
            <v>9</v>
          </cell>
          <cell r="S27">
            <v>9</v>
          </cell>
          <cell r="T27">
            <v>9</v>
          </cell>
          <cell r="U27">
            <v>9</v>
          </cell>
          <cell r="V27">
            <v>9</v>
          </cell>
          <cell r="W27">
            <v>9</v>
          </cell>
          <cell r="X27">
            <v>9</v>
          </cell>
          <cell r="Y27">
            <v>9</v>
          </cell>
          <cell r="Z27">
            <v>9</v>
          </cell>
          <cell r="AA27">
            <v>9</v>
          </cell>
          <cell r="AB27">
            <v>9</v>
          </cell>
          <cell r="AC27">
            <v>9</v>
          </cell>
          <cell r="AD27">
            <v>9</v>
          </cell>
          <cell r="AE27">
            <v>9</v>
          </cell>
          <cell r="AF27">
            <v>9</v>
          </cell>
          <cell r="AG27">
            <v>9</v>
          </cell>
          <cell r="AH27">
            <v>9</v>
          </cell>
          <cell r="AI27">
            <v>9</v>
          </cell>
          <cell r="AJ27">
            <v>9</v>
          </cell>
          <cell r="AK27">
            <v>9</v>
          </cell>
          <cell r="AL27">
            <v>9</v>
          </cell>
          <cell r="AM27">
            <v>9</v>
          </cell>
          <cell r="AN27">
            <v>9</v>
          </cell>
          <cell r="AO27">
            <v>9</v>
          </cell>
          <cell r="AP27">
            <v>9</v>
          </cell>
          <cell r="AQ27">
            <v>9</v>
          </cell>
          <cell r="AR27">
            <v>9</v>
          </cell>
          <cell r="AS27">
            <v>9</v>
          </cell>
          <cell r="AT27">
            <v>9</v>
          </cell>
          <cell r="AU27">
            <v>9</v>
          </cell>
          <cell r="AV27">
            <v>9</v>
          </cell>
          <cell r="AW27">
            <v>9</v>
          </cell>
          <cell r="AX27">
            <v>9</v>
          </cell>
          <cell r="AY27">
            <v>9</v>
          </cell>
        </row>
        <row r="28">
          <cell r="P28">
            <v>11</v>
          </cell>
          <cell r="Q28">
            <v>11</v>
          </cell>
          <cell r="R28">
            <v>11</v>
          </cell>
          <cell r="S28">
            <v>11</v>
          </cell>
          <cell r="T28">
            <v>11</v>
          </cell>
          <cell r="U28">
            <v>11</v>
          </cell>
          <cell r="V28">
            <v>11</v>
          </cell>
          <cell r="W28">
            <v>11</v>
          </cell>
          <cell r="X28">
            <v>11</v>
          </cell>
          <cell r="Y28">
            <v>11</v>
          </cell>
          <cell r="Z28">
            <v>11</v>
          </cell>
          <cell r="AA28">
            <v>11</v>
          </cell>
          <cell r="AB28">
            <v>11</v>
          </cell>
          <cell r="AC28">
            <v>11</v>
          </cell>
          <cell r="AD28">
            <v>11</v>
          </cell>
          <cell r="AE28">
            <v>11</v>
          </cell>
          <cell r="AF28">
            <v>11</v>
          </cell>
          <cell r="AG28">
            <v>11</v>
          </cell>
          <cell r="AH28">
            <v>11</v>
          </cell>
          <cell r="AI28">
            <v>11</v>
          </cell>
          <cell r="AJ28">
            <v>11</v>
          </cell>
          <cell r="AK28">
            <v>11</v>
          </cell>
          <cell r="AL28">
            <v>11</v>
          </cell>
          <cell r="AM28">
            <v>11</v>
          </cell>
          <cell r="AN28">
            <v>11</v>
          </cell>
          <cell r="AO28">
            <v>11</v>
          </cell>
          <cell r="AP28">
            <v>11</v>
          </cell>
          <cell r="AQ28">
            <v>11</v>
          </cell>
          <cell r="AR28">
            <v>11</v>
          </cell>
          <cell r="AS28">
            <v>11</v>
          </cell>
          <cell r="AT28">
            <v>11</v>
          </cell>
          <cell r="AU28">
            <v>11</v>
          </cell>
          <cell r="AV28">
            <v>11</v>
          </cell>
          <cell r="AW28">
            <v>11</v>
          </cell>
          <cell r="AX28">
            <v>11</v>
          </cell>
          <cell r="AY28">
            <v>11</v>
          </cell>
        </row>
        <row r="29">
          <cell r="P29">
            <v>77</v>
          </cell>
          <cell r="Q29">
            <v>77</v>
          </cell>
          <cell r="R29">
            <v>77</v>
          </cell>
          <cell r="S29">
            <v>77</v>
          </cell>
          <cell r="T29">
            <v>77</v>
          </cell>
          <cell r="U29">
            <v>77</v>
          </cell>
          <cell r="V29">
            <v>77</v>
          </cell>
          <cell r="W29">
            <v>77</v>
          </cell>
          <cell r="X29">
            <v>77</v>
          </cell>
          <cell r="Y29">
            <v>77</v>
          </cell>
          <cell r="Z29">
            <v>77</v>
          </cell>
          <cell r="AA29">
            <v>77</v>
          </cell>
          <cell r="AB29">
            <v>77</v>
          </cell>
          <cell r="AC29">
            <v>77</v>
          </cell>
          <cell r="AD29">
            <v>77</v>
          </cell>
          <cell r="AE29">
            <v>78</v>
          </cell>
          <cell r="AF29">
            <v>78</v>
          </cell>
          <cell r="AG29">
            <v>78</v>
          </cell>
          <cell r="AH29">
            <v>78</v>
          </cell>
          <cell r="AI29">
            <v>78</v>
          </cell>
          <cell r="AJ29">
            <v>78</v>
          </cell>
          <cell r="AK29">
            <v>78</v>
          </cell>
          <cell r="AL29">
            <v>78</v>
          </cell>
          <cell r="AM29">
            <v>78</v>
          </cell>
          <cell r="AN29">
            <v>83</v>
          </cell>
          <cell r="AO29">
            <v>83</v>
          </cell>
          <cell r="AP29">
            <v>83</v>
          </cell>
          <cell r="AQ29">
            <v>83</v>
          </cell>
          <cell r="AR29">
            <v>83</v>
          </cell>
          <cell r="AS29">
            <v>83</v>
          </cell>
          <cell r="AT29">
            <v>83</v>
          </cell>
          <cell r="AU29">
            <v>83</v>
          </cell>
          <cell r="AV29">
            <v>83</v>
          </cell>
          <cell r="AW29">
            <v>83</v>
          </cell>
          <cell r="AX29">
            <v>83</v>
          </cell>
          <cell r="AY29">
            <v>83</v>
          </cell>
        </row>
        <row r="32">
          <cell r="AB32">
            <v>0</v>
          </cell>
          <cell r="AC32">
            <v>0</v>
          </cell>
          <cell r="AD32">
            <v>0</v>
          </cell>
          <cell r="AE32">
            <v>0</v>
          </cell>
          <cell r="AF32">
            <v>0</v>
          </cell>
          <cell r="AG32">
            <v>0</v>
          </cell>
          <cell r="AH32">
            <v>0</v>
          </cell>
          <cell r="AI32">
            <v>0</v>
          </cell>
          <cell r="AJ32">
            <v>0</v>
          </cell>
          <cell r="AK32">
            <v>0</v>
          </cell>
          <cell r="AL32">
            <v>0</v>
          </cell>
          <cell r="AM32">
            <v>0</v>
          </cell>
        </row>
        <row r="33">
          <cell r="P33">
            <v>5</v>
          </cell>
          <cell r="Q33">
            <v>5</v>
          </cell>
          <cell r="R33">
            <v>5</v>
          </cell>
          <cell r="S33">
            <v>6</v>
          </cell>
          <cell r="T33">
            <v>6</v>
          </cell>
          <cell r="U33">
            <v>6</v>
          </cell>
          <cell r="V33">
            <v>6</v>
          </cell>
          <cell r="W33">
            <v>6</v>
          </cell>
          <cell r="X33">
            <v>6</v>
          </cell>
          <cell r="Y33">
            <v>6</v>
          </cell>
          <cell r="Z33">
            <v>6</v>
          </cell>
          <cell r="AA33">
            <v>6</v>
          </cell>
          <cell r="AB33">
            <v>6</v>
          </cell>
          <cell r="AC33">
            <v>6</v>
          </cell>
          <cell r="AD33">
            <v>6</v>
          </cell>
          <cell r="AE33">
            <v>7</v>
          </cell>
          <cell r="AF33">
            <v>7</v>
          </cell>
          <cell r="AG33">
            <v>7</v>
          </cell>
          <cell r="AH33">
            <v>7</v>
          </cell>
          <cell r="AI33">
            <v>7</v>
          </cell>
          <cell r="AJ33">
            <v>7</v>
          </cell>
          <cell r="AK33">
            <v>7</v>
          </cell>
          <cell r="AL33">
            <v>7</v>
          </cell>
          <cell r="AM33">
            <v>7</v>
          </cell>
          <cell r="AN33">
            <v>8</v>
          </cell>
          <cell r="AO33">
            <v>8</v>
          </cell>
          <cell r="AP33">
            <v>8</v>
          </cell>
          <cell r="AQ33">
            <v>8</v>
          </cell>
          <cell r="AR33">
            <v>8</v>
          </cell>
          <cell r="AS33">
            <v>8</v>
          </cell>
          <cell r="AT33">
            <v>8</v>
          </cell>
          <cell r="AU33">
            <v>8</v>
          </cell>
          <cell r="AV33">
            <v>8</v>
          </cell>
          <cell r="AW33">
            <v>8</v>
          </cell>
          <cell r="AX33">
            <v>8</v>
          </cell>
          <cell r="AY33">
            <v>8</v>
          </cell>
        </row>
        <row r="34">
          <cell r="P34">
            <v>73</v>
          </cell>
          <cell r="Q34">
            <v>73</v>
          </cell>
          <cell r="R34">
            <v>73</v>
          </cell>
          <cell r="S34">
            <v>73</v>
          </cell>
          <cell r="T34">
            <v>73</v>
          </cell>
          <cell r="U34">
            <v>73</v>
          </cell>
          <cell r="V34">
            <v>73</v>
          </cell>
          <cell r="W34">
            <v>73</v>
          </cell>
          <cell r="X34">
            <v>73</v>
          </cell>
          <cell r="Y34">
            <v>73</v>
          </cell>
          <cell r="Z34">
            <v>73</v>
          </cell>
          <cell r="AA34">
            <v>73</v>
          </cell>
          <cell r="AB34">
            <v>75</v>
          </cell>
          <cell r="AC34">
            <v>75</v>
          </cell>
          <cell r="AD34">
            <v>75</v>
          </cell>
          <cell r="AE34">
            <v>75</v>
          </cell>
          <cell r="AF34">
            <v>75</v>
          </cell>
          <cell r="AG34">
            <v>75</v>
          </cell>
          <cell r="AH34">
            <v>75</v>
          </cell>
          <cell r="AI34">
            <v>75</v>
          </cell>
          <cell r="AJ34">
            <v>75</v>
          </cell>
          <cell r="AK34">
            <v>75</v>
          </cell>
          <cell r="AL34">
            <v>75</v>
          </cell>
          <cell r="AM34">
            <v>75</v>
          </cell>
          <cell r="AN34">
            <v>75</v>
          </cell>
          <cell r="AO34">
            <v>75</v>
          </cell>
          <cell r="AP34">
            <v>75</v>
          </cell>
          <cell r="AQ34">
            <v>76</v>
          </cell>
          <cell r="AR34">
            <v>77</v>
          </cell>
          <cell r="AS34">
            <v>77</v>
          </cell>
          <cell r="AT34">
            <v>77</v>
          </cell>
          <cell r="AU34">
            <v>77</v>
          </cell>
          <cell r="AV34">
            <v>77</v>
          </cell>
          <cell r="AW34">
            <v>77</v>
          </cell>
          <cell r="AX34">
            <v>77</v>
          </cell>
          <cell r="AY34">
            <v>77</v>
          </cell>
        </row>
        <row r="35">
          <cell r="P35">
            <v>78</v>
          </cell>
          <cell r="Q35">
            <v>78</v>
          </cell>
          <cell r="R35">
            <v>78</v>
          </cell>
          <cell r="S35">
            <v>79</v>
          </cell>
          <cell r="T35">
            <v>79</v>
          </cell>
          <cell r="U35">
            <v>79</v>
          </cell>
          <cell r="V35">
            <v>79</v>
          </cell>
          <cell r="W35">
            <v>79</v>
          </cell>
          <cell r="X35">
            <v>79</v>
          </cell>
          <cell r="Y35">
            <v>79</v>
          </cell>
          <cell r="Z35">
            <v>79</v>
          </cell>
          <cell r="AA35">
            <v>79</v>
          </cell>
          <cell r="AB35">
            <v>81</v>
          </cell>
          <cell r="AC35">
            <v>81</v>
          </cell>
          <cell r="AD35">
            <v>81</v>
          </cell>
          <cell r="AE35">
            <v>82</v>
          </cell>
          <cell r="AF35">
            <v>82</v>
          </cell>
          <cell r="AG35">
            <v>82</v>
          </cell>
          <cell r="AH35">
            <v>82</v>
          </cell>
          <cell r="AI35">
            <v>82</v>
          </cell>
          <cell r="AJ35">
            <v>82</v>
          </cell>
          <cell r="AK35">
            <v>82</v>
          </cell>
          <cell r="AL35">
            <v>82</v>
          </cell>
          <cell r="AM35">
            <v>82</v>
          </cell>
          <cell r="AN35">
            <v>83</v>
          </cell>
          <cell r="AO35">
            <v>83</v>
          </cell>
          <cell r="AP35">
            <v>83</v>
          </cell>
          <cell r="AQ35">
            <v>84</v>
          </cell>
          <cell r="AR35">
            <v>85</v>
          </cell>
          <cell r="AS35">
            <v>85</v>
          </cell>
          <cell r="AT35">
            <v>85</v>
          </cell>
          <cell r="AU35">
            <v>85</v>
          </cell>
          <cell r="AV35">
            <v>85</v>
          </cell>
          <cell r="AW35">
            <v>85</v>
          </cell>
          <cell r="AX35">
            <v>85</v>
          </cell>
          <cell r="AY35">
            <v>85</v>
          </cell>
        </row>
        <row r="38">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P39">
            <v>7</v>
          </cell>
          <cell r="Q39">
            <v>7</v>
          </cell>
          <cell r="R39">
            <v>7</v>
          </cell>
          <cell r="S39">
            <v>7</v>
          </cell>
          <cell r="T39">
            <v>7</v>
          </cell>
          <cell r="U39">
            <v>7</v>
          </cell>
          <cell r="V39">
            <v>7</v>
          </cell>
          <cell r="W39">
            <v>7</v>
          </cell>
          <cell r="X39">
            <v>7</v>
          </cell>
          <cell r="Y39">
            <v>7</v>
          </cell>
          <cell r="Z39">
            <v>7</v>
          </cell>
          <cell r="AA39">
            <v>7</v>
          </cell>
          <cell r="AB39">
            <v>7</v>
          </cell>
          <cell r="AC39">
            <v>7</v>
          </cell>
          <cell r="AD39">
            <v>7</v>
          </cell>
          <cell r="AE39">
            <v>7</v>
          </cell>
          <cell r="AF39">
            <v>7</v>
          </cell>
          <cell r="AG39">
            <v>7</v>
          </cell>
          <cell r="AH39">
            <v>7</v>
          </cell>
          <cell r="AI39">
            <v>7</v>
          </cell>
          <cell r="AJ39">
            <v>7</v>
          </cell>
          <cell r="AK39">
            <v>7</v>
          </cell>
          <cell r="AL39">
            <v>7</v>
          </cell>
          <cell r="AM39">
            <v>7</v>
          </cell>
          <cell r="AN39">
            <v>8</v>
          </cell>
          <cell r="AO39">
            <v>8</v>
          </cell>
          <cell r="AP39">
            <v>8</v>
          </cell>
          <cell r="AQ39">
            <v>8</v>
          </cell>
          <cell r="AR39">
            <v>8</v>
          </cell>
          <cell r="AS39">
            <v>8</v>
          </cell>
          <cell r="AT39">
            <v>8</v>
          </cell>
          <cell r="AU39">
            <v>8</v>
          </cell>
          <cell r="AV39">
            <v>8</v>
          </cell>
          <cell r="AW39">
            <v>8</v>
          </cell>
          <cell r="AX39">
            <v>8</v>
          </cell>
          <cell r="AY39">
            <v>8</v>
          </cell>
        </row>
        <row r="40">
          <cell r="P40">
            <v>66</v>
          </cell>
          <cell r="Q40">
            <v>66</v>
          </cell>
          <cell r="R40">
            <v>66</v>
          </cell>
          <cell r="S40">
            <v>66</v>
          </cell>
          <cell r="T40">
            <v>66</v>
          </cell>
          <cell r="U40">
            <v>66</v>
          </cell>
          <cell r="V40">
            <v>66</v>
          </cell>
          <cell r="W40">
            <v>66</v>
          </cell>
          <cell r="X40">
            <v>66</v>
          </cell>
          <cell r="Y40">
            <v>66</v>
          </cell>
          <cell r="Z40">
            <v>66</v>
          </cell>
          <cell r="AA40">
            <v>66</v>
          </cell>
          <cell r="AB40">
            <v>67</v>
          </cell>
          <cell r="AC40">
            <v>67</v>
          </cell>
          <cell r="AD40">
            <v>69</v>
          </cell>
          <cell r="AE40">
            <v>70</v>
          </cell>
          <cell r="AF40">
            <v>71</v>
          </cell>
          <cell r="AG40">
            <v>72</v>
          </cell>
          <cell r="AH40">
            <v>72</v>
          </cell>
          <cell r="AI40">
            <v>72</v>
          </cell>
          <cell r="AJ40">
            <v>72</v>
          </cell>
          <cell r="AK40">
            <v>72</v>
          </cell>
          <cell r="AL40">
            <v>72</v>
          </cell>
          <cell r="AM40">
            <v>72</v>
          </cell>
          <cell r="AN40">
            <v>72</v>
          </cell>
          <cell r="AO40">
            <v>72</v>
          </cell>
          <cell r="AP40">
            <v>72</v>
          </cell>
          <cell r="AQ40">
            <v>72</v>
          </cell>
          <cell r="AR40">
            <v>72</v>
          </cell>
          <cell r="AS40">
            <v>72</v>
          </cell>
          <cell r="AT40">
            <v>72</v>
          </cell>
          <cell r="AU40">
            <v>72</v>
          </cell>
          <cell r="AV40">
            <v>72</v>
          </cell>
          <cell r="AW40">
            <v>72</v>
          </cell>
          <cell r="AX40">
            <v>72</v>
          </cell>
          <cell r="AY40">
            <v>72</v>
          </cell>
        </row>
        <row r="41">
          <cell r="P41">
            <v>73</v>
          </cell>
          <cell r="Q41">
            <v>73</v>
          </cell>
          <cell r="R41">
            <v>73</v>
          </cell>
          <cell r="S41">
            <v>73</v>
          </cell>
          <cell r="T41">
            <v>73</v>
          </cell>
          <cell r="U41">
            <v>73</v>
          </cell>
          <cell r="V41">
            <v>73</v>
          </cell>
          <cell r="W41">
            <v>73</v>
          </cell>
          <cell r="X41">
            <v>73</v>
          </cell>
          <cell r="Y41">
            <v>73</v>
          </cell>
          <cell r="Z41">
            <v>73</v>
          </cell>
          <cell r="AA41">
            <v>73</v>
          </cell>
          <cell r="AB41">
            <v>74</v>
          </cell>
          <cell r="AC41">
            <v>74</v>
          </cell>
          <cell r="AD41">
            <v>76</v>
          </cell>
          <cell r="AE41">
            <v>77</v>
          </cell>
          <cell r="AF41">
            <v>78</v>
          </cell>
          <cell r="AG41">
            <v>79</v>
          </cell>
          <cell r="AH41">
            <v>79</v>
          </cell>
          <cell r="AI41">
            <v>79</v>
          </cell>
          <cell r="AJ41">
            <v>79</v>
          </cell>
          <cell r="AK41">
            <v>79</v>
          </cell>
          <cell r="AL41">
            <v>79</v>
          </cell>
          <cell r="AM41">
            <v>79</v>
          </cell>
          <cell r="AN41">
            <v>80</v>
          </cell>
          <cell r="AO41">
            <v>80</v>
          </cell>
          <cell r="AP41">
            <v>80</v>
          </cell>
          <cell r="AQ41">
            <v>80</v>
          </cell>
          <cell r="AR41">
            <v>80</v>
          </cell>
          <cell r="AS41">
            <v>80</v>
          </cell>
          <cell r="AT41">
            <v>80</v>
          </cell>
          <cell r="AU41">
            <v>80</v>
          </cell>
          <cell r="AV41">
            <v>80</v>
          </cell>
          <cell r="AW41">
            <v>80</v>
          </cell>
          <cell r="AX41">
            <v>80</v>
          </cell>
          <cell r="AY41">
            <v>80</v>
          </cell>
        </row>
        <row r="44">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row>
        <row r="45">
          <cell r="P45">
            <v>12</v>
          </cell>
          <cell r="Q45">
            <v>12</v>
          </cell>
          <cell r="R45">
            <v>12</v>
          </cell>
          <cell r="S45">
            <v>12</v>
          </cell>
          <cell r="T45">
            <v>12</v>
          </cell>
          <cell r="U45">
            <v>12</v>
          </cell>
          <cell r="V45">
            <v>12</v>
          </cell>
          <cell r="W45">
            <v>12</v>
          </cell>
          <cell r="X45">
            <v>12</v>
          </cell>
          <cell r="Y45">
            <v>12</v>
          </cell>
          <cell r="Z45">
            <v>12</v>
          </cell>
          <cell r="AA45">
            <v>12</v>
          </cell>
          <cell r="AB45">
            <v>12</v>
          </cell>
          <cell r="AC45">
            <v>12</v>
          </cell>
          <cell r="AD45">
            <v>12</v>
          </cell>
          <cell r="AE45">
            <v>12</v>
          </cell>
          <cell r="AF45">
            <v>12</v>
          </cell>
          <cell r="AG45">
            <v>12</v>
          </cell>
          <cell r="AH45">
            <v>12</v>
          </cell>
          <cell r="AI45">
            <v>12</v>
          </cell>
          <cell r="AJ45">
            <v>12</v>
          </cell>
          <cell r="AK45">
            <v>12</v>
          </cell>
          <cell r="AL45">
            <v>12</v>
          </cell>
          <cell r="AM45">
            <v>12</v>
          </cell>
          <cell r="AN45">
            <v>10</v>
          </cell>
          <cell r="AO45">
            <v>10</v>
          </cell>
          <cell r="AP45">
            <v>10</v>
          </cell>
          <cell r="AQ45">
            <v>10</v>
          </cell>
          <cell r="AR45">
            <v>11</v>
          </cell>
          <cell r="AS45">
            <v>11</v>
          </cell>
          <cell r="AT45">
            <v>12</v>
          </cell>
          <cell r="AU45">
            <v>12</v>
          </cell>
          <cell r="AV45">
            <v>12</v>
          </cell>
          <cell r="AW45">
            <v>12</v>
          </cell>
          <cell r="AX45">
            <v>12</v>
          </cell>
          <cell r="AY45">
            <v>12</v>
          </cell>
        </row>
        <row r="46">
          <cell r="AN46">
            <v>5</v>
          </cell>
          <cell r="AO46">
            <v>5</v>
          </cell>
          <cell r="AP46">
            <v>5</v>
          </cell>
          <cell r="AQ46">
            <v>5</v>
          </cell>
          <cell r="AR46">
            <v>5</v>
          </cell>
          <cell r="AS46">
            <v>5</v>
          </cell>
          <cell r="AT46">
            <v>5</v>
          </cell>
          <cell r="AU46">
            <v>5</v>
          </cell>
          <cell r="AV46">
            <v>5</v>
          </cell>
          <cell r="AW46">
            <v>5</v>
          </cell>
          <cell r="AX46">
            <v>5</v>
          </cell>
          <cell r="AY46">
            <v>5</v>
          </cell>
        </row>
        <row r="47">
          <cell r="P47">
            <v>41</v>
          </cell>
          <cell r="Q47">
            <v>41</v>
          </cell>
          <cell r="R47">
            <v>41</v>
          </cell>
          <cell r="S47">
            <v>41</v>
          </cell>
          <cell r="T47">
            <v>41</v>
          </cell>
          <cell r="U47">
            <v>41</v>
          </cell>
          <cell r="V47">
            <v>41</v>
          </cell>
          <cell r="W47">
            <v>41</v>
          </cell>
          <cell r="X47">
            <v>41</v>
          </cell>
          <cell r="Y47">
            <v>41</v>
          </cell>
          <cell r="Z47">
            <v>41</v>
          </cell>
          <cell r="AA47">
            <v>41</v>
          </cell>
          <cell r="AB47">
            <v>41</v>
          </cell>
          <cell r="AC47">
            <v>41</v>
          </cell>
          <cell r="AD47">
            <v>41</v>
          </cell>
          <cell r="AE47">
            <v>41</v>
          </cell>
          <cell r="AF47">
            <v>41</v>
          </cell>
          <cell r="AG47">
            <v>41</v>
          </cell>
          <cell r="AH47">
            <v>41</v>
          </cell>
          <cell r="AI47">
            <v>41</v>
          </cell>
          <cell r="AJ47">
            <v>41</v>
          </cell>
          <cell r="AK47">
            <v>41</v>
          </cell>
          <cell r="AL47">
            <v>41</v>
          </cell>
          <cell r="AM47">
            <v>41</v>
          </cell>
          <cell r="AN47">
            <v>41</v>
          </cell>
          <cell r="AO47">
            <v>41</v>
          </cell>
          <cell r="AP47">
            <v>41</v>
          </cell>
          <cell r="AQ47">
            <v>44</v>
          </cell>
          <cell r="AR47">
            <v>44</v>
          </cell>
          <cell r="AS47">
            <v>44</v>
          </cell>
          <cell r="AT47">
            <v>46</v>
          </cell>
          <cell r="AU47">
            <v>46</v>
          </cell>
          <cell r="AV47">
            <v>46</v>
          </cell>
          <cell r="AW47">
            <v>46</v>
          </cell>
          <cell r="AX47">
            <v>46</v>
          </cell>
          <cell r="AY47">
            <v>46</v>
          </cell>
        </row>
        <row r="48">
          <cell r="P48">
            <v>11</v>
          </cell>
          <cell r="Q48">
            <v>11</v>
          </cell>
          <cell r="R48">
            <v>11</v>
          </cell>
          <cell r="S48">
            <v>11</v>
          </cell>
          <cell r="T48">
            <v>11</v>
          </cell>
          <cell r="U48">
            <v>11</v>
          </cell>
          <cell r="V48">
            <v>11</v>
          </cell>
          <cell r="W48">
            <v>11</v>
          </cell>
          <cell r="X48">
            <v>11</v>
          </cell>
          <cell r="Y48">
            <v>11</v>
          </cell>
          <cell r="Z48">
            <v>11</v>
          </cell>
          <cell r="AA48">
            <v>11</v>
          </cell>
          <cell r="AB48">
            <v>12</v>
          </cell>
          <cell r="AC48">
            <v>12</v>
          </cell>
          <cell r="AD48">
            <v>12</v>
          </cell>
          <cell r="AE48">
            <v>12</v>
          </cell>
          <cell r="AF48">
            <v>12</v>
          </cell>
          <cell r="AG48">
            <v>12</v>
          </cell>
          <cell r="AH48">
            <v>12</v>
          </cell>
          <cell r="AI48">
            <v>12</v>
          </cell>
          <cell r="AJ48">
            <v>12</v>
          </cell>
          <cell r="AK48">
            <v>12</v>
          </cell>
          <cell r="AL48">
            <v>12</v>
          </cell>
          <cell r="AM48">
            <v>12</v>
          </cell>
          <cell r="AN48">
            <v>12</v>
          </cell>
          <cell r="AO48">
            <v>12</v>
          </cell>
          <cell r="AP48">
            <v>13</v>
          </cell>
          <cell r="AQ48">
            <v>14</v>
          </cell>
          <cell r="AR48">
            <v>14</v>
          </cell>
          <cell r="AS48">
            <v>14</v>
          </cell>
          <cell r="AT48">
            <v>14</v>
          </cell>
          <cell r="AU48">
            <v>14</v>
          </cell>
          <cell r="AV48">
            <v>14</v>
          </cell>
          <cell r="AW48">
            <v>14</v>
          </cell>
          <cell r="AX48">
            <v>14</v>
          </cell>
          <cell r="AY48">
            <v>14</v>
          </cell>
        </row>
        <row r="49">
          <cell r="P49">
            <v>64</v>
          </cell>
          <cell r="Q49">
            <v>64</v>
          </cell>
          <cell r="R49">
            <v>64</v>
          </cell>
          <cell r="S49">
            <v>64</v>
          </cell>
          <cell r="T49">
            <v>64</v>
          </cell>
          <cell r="U49">
            <v>64</v>
          </cell>
          <cell r="V49">
            <v>64</v>
          </cell>
          <cell r="W49">
            <v>64</v>
          </cell>
          <cell r="X49">
            <v>64</v>
          </cell>
          <cell r="Y49">
            <v>64</v>
          </cell>
          <cell r="Z49">
            <v>64</v>
          </cell>
          <cell r="AA49">
            <v>64</v>
          </cell>
          <cell r="AB49">
            <v>65</v>
          </cell>
          <cell r="AC49">
            <v>65</v>
          </cell>
          <cell r="AD49">
            <v>65</v>
          </cell>
          <cell r="AE49">
            <v>65</v>
          </cell>
          <cell r="AF49">
            <v>65</v>
          </cell>
          <cell r="AG49">
            <v>65</v>
          </cell>
          <cell r="AH49">
            <v>65</v>
          </cell>
          <cell r="AI49">
            <v>65</v>
          </cell>
          <cell r="AJ49">
            <v>65</v>
          </cell>
          <cell r="AK49">
            <v>65</v>
          </cell>
          <cell r="AL49">
            <v>65</v>
          </cell>
          <cell r="AM49">
            <v>65</v>
          </cell>
          <cell r="AN49">
            <v>68</v>
          </cell>
          <cell r="AO49">
            <v>68</v>
          </cell>
          <cell r="AP49">
            <v>69</v>
          </cell>
          <cell r="AQ49">
            <v>73</v>
          </cell>
          <cell r="AR49">
            <v>74</v>
          </cell>
          <cell r="AS49">
            <v>74</v>
          </cell>
          <cell r="AT49">
            <v>77</v>
          </cell>
          <cell r="AU49">
            <v>77</v>
          </cell>
          <cell r="AV49">
            <v>77</v>
          </cell>
          <cell r="AW49">
            <v>77</v>
          </cell>
          <cell r="AX49">
            <v>77</v>
          </cell>
          <cell r="AY49">
            <v>77</v>
          </cell>
        </row>
        <row r="52">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row>
        <row r="53">
          <cell r="P53">
            <v>6</v>
          </cell>
          <cell r="Q53">
            <v>6</v>
          </cell>
          <cell r="R53">
            <v>6</v>
          </cell>
          <cell r="S53">
            <v>6</v>
          </cell>
          <cell r="T53">
            <v>6</v>
          </cell>
          <cell r="U53">
            <v>6</v>
          </cell>
          <cell r="V53">
            <v>6</v>
          </cell>
          <cell r="W53">
            <v>6</v>
          </cell>
          <cell r="X53">
            <v>6</v>
          </cell>
          <cell r="Y53">
            <v>6</v>
          </cell>
          <cell r="Z53">
            <v>6</v>
          </cell>
          <cell r="AA53">
            <v>6</v>
          </cell>
          <cell r="AB53">
            <v>6</v>
          </cell>
          <cell r="AC53">
            <v>6</v>
          </cell>
          <cell r="AD53">
            <v>6</v>
          </cell>
          <cell r="AE53">
            <v>6</v>
          </cell>
          <cell r="AF53">
            <v>6</v>
          </cell>
          <cell r="AG53">
            <v>6</v>
          </cell>
          <cell r="AH53">
            <v>6</v>
          </cell>
          <cell r="AI53">
            <v>6</v>
          </cell>
          <cell r="AJ53">
            <v>6</v>
          </cell>
          <cell r="AK53">
            <v>6</v>
          </cell>
          <cell r="AL53">
            <v>6</v>
          </cell>
          <cell r="AM53">
            <v>6</v>
          </cell>
          <cell r="AN53">
            <v>6</v>
          </cell>
          <cell r="AO53">
            <v>6</v>
          </cell>
          <cell r="AP53">
            <v>6</v>
          </cell>
          <cell r="AQ53">
            <v>6</v>
          </cell>
          <cell r="AR53">
            <v>6</v>
          </cell>
          <cell r="AS53">
            <v>6</v>
          </cell>
          <cell r="AT53">
            <v>6</v>
          </cell>
          <cell r="AU53">
            <v>6</v>
          </cell>
          <cell r="AV53">
            <v>6</v>
          </cell>
          <cell r="AW53">
            <v>6</v>
          </cell>
          <cell r="AX53">
            <v>6</v>
          </cell>
          <cell r="AY53">
            <v>6</v>
          </cell>
        </row>
        <row r="54">
          <cell r="P54">
            <v>36</v>
          </cell>
          <cell r="Q54">
            <v>36</v>
          </cell>
          <cell r="R54">
            <v>36</v>
          </cell>
          <cell r="S54">
            <v>36</v>
          </cell>
          <cell r="T54">
            <v>36</v>
          </cell>
          <cell r="U54">
            <v>36</v>
          </cell>
          <cell r="V54">
            <v>36</v>
          </cell>
          <cell r="W54">
            <v>36</v>
          </cell>
          <cell r="X54">
            <v>36</v>
          </cell>
          <cell r="Y54">
            <v>36</v>
          </cell>
          <cell r="Z54">
            <v>36</v>
          </cell>
          <cell r="AA54">
            <v>36</v>
          </cell>
          <cell r="AB54">
            <v>38</v>
          </cell>
          <cell r="AC54">
            <v>38</v>
          </cell>
          <cell r="AD54">
            <v>38</v>
          </cell>
          <cell r="AE54">
            <v>38</v>
          </cell>
          <cell r="AF54">
            <v>38</v>
          </cell>
          <cell r="AG54">
            <v>38</v>
          </cell>
          <cell r="AH54">
            <v>40</v>
          </cell>
          <cell r="AI54">
            <v>40</v>
          </cell>
          <cell r="AJ54">
            <v>40</v>
          </cell>
          <cell r="AK54">
            <v>40</v>
          </cell>
          <cell r="AL54">
            <v>40</v>
          </cell>
          <cell r="AM54">
            <v>40</v>
          </cell>
          <cell r="AN54">
            <v>40</v>
          </cell>
          <cell r="AO54">
            <v>40</v>
          </cell>
          <cell r="AP54">
            <v>40</v>
          </cell>
          <cell r="AQ54">
            <v>42</v>
          </cell>
          <cell r="AR54">
            <v>42</v>
          </cell>
          <cell r="AS54">
            <v>42</v>
          </cell>
          <cell r="AT54">
            <v>42</v>
          </cell>
          <cell r="AU54">
            <v>42</v>
          </cell>
          <cell r="AV54">
            <v>42</v>
          </cell>
          <cell r="AW54">
            <v>42</v>
          </cell>
          <cell r="AX54">
            <v>42</v>
          </cell>
          <cell r="AY54">
            <v>42</v>
          </cell>
        </row>
        <row r="55">
          <cell r="P55">
            <v>42</v>
          </cell>
          <cell r="Q55">
            <v>42</v>
          </cell>
          <cell r="R55">
            <v>42</v>
          </cell>
          <cell r="S55">
            <v>42</v>
          </cell>
          <cell r="T55">
            <v>42</v>
          </cell>
          <cell r="U55">
            <v>42</v>
          </cell>
          <cell r="V55">
            <v>42</v>
          </cell>
          <cell r="W55">
            <v>42</v>
          </cell>
          <cell r="X55">
            <v>42</v>
          </cell>
          <cell r="Y55">
            <v>42</v>
          </cell>
          <cell r="Z55">
            <v>42</v>
          </cell>
          <cell r="AA55">
            <v>42</v>
          </cell>
          <cell r="AB55">
            <v>44</v>
          </cell>
          <cell r="AC55">
            <v>44</v>
          </cell>
          <cell r="AD55">
            <v>44</v>
          </cell>
          <cell r="AE55">
            <v>44</v>
          </cell>
          <cell r="AF55">
            <v>44</v>
          </cell>
          <cell r="AG55">
            <v>44</v>
          </cell>
          <cell r="AH55">
            <v>46</v>
          </cell>
          <cell r="AI55">
            <v>46</v>
          </cell>
          <cell r="AJ55">
            <v>46</v>
          </cell>
          <cell r="AK55">
            <v>46</v>
          </cell>
          <cell r="AL55">
            <v>46</v>
          </cell>
          <cell r="AM55">
            <v>46</v>
          </cell>
          <cell r="AN55">
            <v>46</v>
          </cell>
          <cell r="AO55">
            <v>46</v>
          </cell>
          <cell r="AP55">
            <v>46</v>
          </cell>
          <cell r="AQ55">
            <v>48</v>
          </cell>
          <cell r="AR55">
            <v>48</v>
          </cell>
          <cell r="AS55">
            <v>48</v>
          </cell>
          <cell r="AT55">
            <v>48</v>
          </cell>
          <cell r="AU55">
            <v>48</v>
          </cell>
          <cell r="AV55">
            <v>48</v>
          </cell>
          <cell r="AW55">
            <v>48</v>
          </cell>
          <cell r="AX55">
            <v>48</v>
          </cell>
          <cell r="AY55">
            <v>48</v>
          </cell>
        </row>
        <row r="59">
          <cell r="P59">
            <v>7</v>
          </cell>
          <cell r="Q59">
            <v>7</v>
          </cell>
          <cell r="R59">
            <v>7</v>
          </cell>
          <cell r="S59">
            <v>7</v>
          </cell>
          <cell r="T59">
            <v>7</v>
          </cell>
          <cell r="U59">
            <v>7</v>
          </cell>
          <cell r="V59">
            <v>7</v>
          </cell>
          <cell r="W59">
            <v>7</v>
          </cell>
          <cell r="X59">
            <v>7</v>
          </cell>
          <cell r="Y59">
            <v>7</v>
          </cell>
          <cell r="Z59">
            <v>7</v>
          </cell>
          <cell r="AA59">
            <v>7</v>
          </cell>
          <cell r="AB59">
            <v>7</v>
          </cell>
          <cell r="AC59">
            <v>7</v>
          </cell>
          <cell r="AD59">
            <v>7</v>
          </cell>
          <cell r="AE59">
            <v>7</v>
          </cell>
          <cell r="AF59">
            <v>7</v>
          </cell>
          <cell r="AG59">
            <v>7</v>
          </cell>
          <cell r="AH59">
            <v>7</v>
          </cell>
          <cell r="AI59">
            <v>7</v>
          </cell>
          <cell r="AJ59">
            <v>7</v>
          </cell>
          <cell r="AK59">
            <v>7</v>
          </cell>
          <cell r="AL59">
            <v>7</v>
          </cell>
          <cell r="AM59">
            <v>7</v>
          </cell>
          <cell r="AN59">
            <v>7</v>
          </cell>
          <cell r="AO59">
            <v>7</v>
          </cell>
          <cell r="AP59">
            <v>7</v>
          </cell>
          <cell r="AQ59">
            <v>9</v>
          </cell>
          <cell r="AR59">
            <v>9</v>
          </cell>
          <cell r="AS59">
            <v>10</v>
          </cell>
          <cell r="AT59">
            <v>10</v>
          </cell>
          <cell r="AU59">
            <v>10</v>
          </cell>
          <cell r="AV59">
            <v>10</v>
          </cell>
          <cell r="AW59">
            <v>10</v>
          </cell>
          <cell r="AX59">
            <v>10</v>
          </cell>
          <cell r="AY59">
            <v>10</v>
          </cell>
        </row>
        <row r="60">
          <cell r="P60">
            <v>8</v>
          </cell>
          <cell r="Q60">
            <v>8</v>
          </cell>
          <cell r="R60">
            <v>8</v>
          </cell>
          <cell r="S60">
            <v>8</v>
          </cell>
          <cell r="T60">
            <v>8</v>
          </cell>
          <cell r="U60">
            <v>8</v>
          </cell>
          <cell r="V60">
            <v>8</v>
          </cell>
          <cell r="W60">
            <v>8</v>
          </cell>
          <cell r="X60">
            <v>8</v>
          </cell>
          <cell r="Y60">
            <v>8</v>
          </cell>
          <cell r="Z60">
            <v>8</v>
          </cell>
          <cell r="AA60">
            <v>8</v>
          </cell>
          <cell r="AB60">
            <v>8</v>
          </cell>
          <cell r="AC60">
            <v>8</v>
          </cell>
          <cell r="AD60">
            <v>8</v>
          </cell>
          <cell r="AE60">
            <v>8</v>
          </cell>
          <cell r="AF60">
            <v>8</v>
          </cell>
          <cell r="AG60">
            <v>8</v>
          </cell>
          <cell r="AH60">
            <v>8</v>
          </cell>
          <cell r="AI60">
            <v>8</v>
          </cell>
          <cell r="AJ60">
            <v>8</v>
          </cell>
          <cell r="AK60">
            <v>8</v>
          </cell>
          <cell r="AL60">
            <v>8</v>
          </cell>
          <cell r="AM60">
            <v>8</v>
          </cell>
          <cell r="AN60">
            <v>8</v>
          </cell>
          <cell r="AO60">
            <v>8</v>
          </cell>
          <cell r="AP60">
            <v>8</v>
          </cell>
          <cell r="AQ60">
            <v>8</v>
          </cell>
          <cell r="AR60">
            <v>8</v>
          </cell>
          <cell r="AS60">
            <v>8</v>
          </cell>
          <cell r="AT60">
            <v>8</v>
          </cell>
          <cell r="AU60">
            <v>8</v>
          </cell>
          <cell r="AV60">
            <v>8</v>
          </cell>
          <cell r="AW60">
            <v>8</v>
          </cell>
          <cell r="AX60">
            <v>8</v>
          </cell>
          <cell r="AY60">
            <v>8</v>
          </cell>
        </row>
        <row r="61">
          <cell r="P61">
            <v>25</v>
          </cell>
          <cell r="Q61">
            <v>25</v>
          </cell>
          <cell r="R61">
            <v>25</v>
          </cell>
          <cell r="S61">
            <v>25</v>
          </cell>
          <cell r="T61">
            <v>25</v>
          </cell>
          <cell r="U61">
            <v>25</v>
          </cell>
          <cell r="V61">
            <v>25</v>
          </cell>
          <cell r="W61">
            <v>25</v>
          </cell>
          <cell r="X61">
            <v>25</v>
          </cell>
          <cell r="Y61">
            <v>25</v>
          </cell>
          <cell r="Z61">
            <v>25</v>
          </cell>
          <cell r="AA61">
            <v>25</v>
          </cell>
          <cell r="AB61">
            <v>26</v>
          </cell>
          <cell r="AC61">
            <v>26</v>
          </cell>
          <cell r="AD61">
            <v>26</v>
          </cell>
          <cell r="AE61">
            <v>26</v>
          </cell>
          <cell r="AF61">
            <v>26</v>
          </cell>
          <cell r="AG61">
            <v>26</v>
          </cell>
          <cell r="AH61">
            <v>26</v>
          </cell>
          <cell r="AI61">
            <v>26</v>
          </cell>
          <cell r="AJ61">
            <v>26</v>
          </cell>
          <cell r="AK61">
            <v>26</v>
          </cell>
          <cell r="AL61">
            <v>26</v>
          </cell>
          <cell r="AM61">
            <v>26</v>
          </cell>
          <cell r="AN61">
            <v>27</v>
          </cell>
          <cell r="AO61">
            <v>27</v>
          </cell>
          <cell r="AP61">
            <v>28</v>
          </cell>
          <cell r="AQ61">
            <v>28</v>
          </cell>
          <cell r="AR61">
            <v>28</v>
          </cell>
          <cell r="AS61">
            <v>27</v>
          </cell>
          <cell r="AT61">
            <v>27</v>
          </cell>
          <cell r="AU61">
            <v>27</v>
          </cell>
          <cell r="AV61">
            <v>27</v>
          </cell>
          <cell r="AW61">
            <v>27</v>
          </cell>
          <cell r="AX61">
            <v>27</v>
          </cell>
          <cell r="AY61">
            <v>27</v>
          </cell>
        </row>
        <row r="62">
          <cell r="P62">
            <v>40</v>
          </cell>
          <cell r="Q62">
            <v>40</v>
          </cell>
          <cell r="R62">
            <v>40</v>
          </cell>
          <cell r="S62">
            <v>40</v>
          </cell>
          <cell r="T62">
            <v>40</v>
          </cell>
          <cell r="U62">
            <v>40</v>
          </cell>
          <cell r="V62">
            <v>40</v>
          </cell>
          <cell r="W62">
            <v>40</v>
          </cell>
          <cell r="X62">
            <v>40</v>
          </cell>
          <cell r="Y62">
            <v>40</v>
          </cell>
          <cell r="Z62">
            <v>40</v>
          </cell>
          <cell r="AA62">
            <v>40</v>
          </cell>
          <cell r="AB62">
            <v>41</v>
          </cell>
          <cell r="AC62">
            <v>41</v>
          </cell>
          <cell r="AD62">
            <v>41</v>
          </cell>
          <cell r="AE62">
            <v>41</v>
          </cell>
          <cell r="AF62">
            <v>41</v>
          </cell>
          <cell r="AG62">
            <v>41</v>
          </cell>
          <cell r="AH62">
            <v>41</v>
          </cell>
          <cell r="AI62">
            <v>41</v>
          </cell>
          <cell r="AJ62">
            <v>41</v>
          </cell>
          <cell r="AK62">
            <v>41</v>
          </cell>
          <cell r="AL62">
            <v>41</v>
          </cell>
          <cell r="AM62">
            <v>41</v>
          </cell>
          <cell r="AN62">
            <v>42</v>
          </cell>
          <cell r="AO62">
            <v>42</v>
          </cell>
          <cell r="AP62">
            <v>43</v>
          </cell>
          <cell r="AQ62">
            <v>45</v>
          </cell>
          <cell r="AR62">
            <v>45</v>
          </cell>
          <cell r="AS62">
            <v>45</v>
          </cell>
          <cell r="AT62">
            <v>45</v>
          </cell>
          <cell r="AU62">
            <v>45</v>
          </cell>
          <cell r="AV62">
            <v>45</v>
          </cell>
          <cell r="AW62">
            <v>45</v>
          </cell>
          <cell r="AX62">
            <v>45</v>
          </cell>
          <cell r="AY62">
            <v>45</v>
          </cell>
        </row>
        <row r="65">
          <cell r="AB65">
            <v>4</v>
          </cell>
          <cell r="AC65">
            <v>4</v>
          </cell>
          <cell r="AD65">
            <v>4</v>
          </cell>
          <cell r="AE65">
            <v>4</v>
          </cell>
          <cell r="AF65">
            <v>4</v>
          </cell>
          <cell r="AG65">
            <v>4</v>
          </cell>
          <cell r="AH65">
            <v>4</v>
          </cell>
          <cell r="AI65">
            <v>4</v>
          </cell>
          <cell r="AJ65">
            <v>4</v>
          </cell>
          <cell r="AK65">
            <v>4</v>
          </cell>
          <cell r="AL65">
            <v>4</v>
          </cell>
          <cell r="AM65">
            <v>4</v>
          </cell>
          <cell r="AN65">
            <v>4</v>
          </cell>
          <cell r="AO65">
            <v>4</v>
          </cell>
          <cell r="AP65">
            <v>4</v>
          </cell>
          <cell r="AQ65">
            <v>4</v>
          </cell>
          <cell r="AR65">
            <v>4</v>
          </cell>
          <cell r="AS65">
            <v>4</v>
          </cell>
          <cell r="AT65">
            <v>4</v>
          </cell>
          <cell r="AU65">
            <v>4</v>
          </cell>
          <cell r="AV65">
            <v>4</v>
          </cell>
          <cell r="AW65">
            <v>4</v>
          </cell>
          <cell r="AX65">
            <v>4</v>
          </cell>
          <cell r="AY65">
            <v>4</v>
          </cell>
        </row>
        <row r="66">
          <cell r="AB66">
            <v>30</v>
          </cell>
          <cell r="AC66">
            <v>30</v>
          </cell>
          <cell r="AD66">
            <v>30</v>
          </cell>
          <cell r="AE66">
            <v>30</v>
          </cell>
          <cell r="AF66">
            <v>30</v>
          </cell>
          <cell r="AG66">
            <v>30</v>
          </cell>
          <cell r="AH66">
            <v>30</v>
          </cell>
          <cell r="AI66">
            <v>30</v>
          </cell>
          <cell r="AJ66">
            <v>30</v>
          </cell>
          <cell r="AK66">
            <v>30</v>
          </cell>
          <cell r="AL66">
            <v>30</v>
          </cell>
          <cell r="AM66">
            <v>30</v>
          </cell>
          <cell r="AN66">
            <v>32</v>
          </cell>
          <cell r="AO66">
            <v>32</v>
          </cell>
          <cell r="AP66">
            <v>32</v>
          </cell>
          <cell r="AQ66">
            <v>32</v>
          </cell>
          <cell r="AR66">
            <v>32</v>
          </cell>
          <cell r="AS66">
            <v>32</v>
          </cell>
          <cell r="AT66">
            <v>33</v>
          </cell>
          <cell r="AU66">
            <v>33</v>
          </cell>
          <cell r="AV66">
            <v>33</v>
          </cell>
          <cell r="AW66">
            <v>33</v>
          </cell>
          <cell r="AX66">
            <v>33</v>
          </cell>
          <cell r="AY66">
            <v>33</v>
          </cell>
        </row>
        <row r="75">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v>1</v>
          </cell>
          <cell r="AU75">
            <v>1</v>
          </cell>
          <cell r="AV75">
            <v>1</v>
          </cell>
          <cell r="AW75">
            <v>1</v>
          </cell>
          <cell r="AX75">
            <v>1</v>
          </cell>
          <cell r="AY75">
            <v>1</v>
          </cell>
        </row>
        <row r="76">
          <cell r="AN76">
            <v>0</v>
          </cell>
          <cell r="AO76">
            <v>0</v>
          </cell>
          <cell r="AP76">
            <v>0</v>
          </cell>
          <cell r="AQ76">
            <v>0</v>
          </cell>
          <cell r="AR76">
            <v>0</v>
          </cell>
          <cell r="AS76">
            <v>0</v>
          </cell>
          <cell r="AT76">
            <v>0</v>
          </cell>
          <cell r="AU76">
            <v>0</v>
          </cell>
          <cell r="AV76">
            <v>0</v>
          </cell>
          <cell r="AW76">
            <v>0</v>
          </cell>
          <cell r="AX76">
            <v>0</v>
          </cell>
          <cell r="AY76">
            <v>0</v>
          </cell>
        </row>
        <row r="77">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row>
        <row r="78">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row>
        <row r="79">
          <cell r="P79">
            <v>1</v>
          </cell>
          <cell r="Q79">
            <v>1</v>
          </cell>
          <cell r="R79">
            <v>1</v>
          </cell>
          <cell r="S79">
            <v>1</v>
          </cell>
          <cell r="T79">
            <v>1</v>
          </cell>
          <cell r="U79">
            <v>1</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v>1</v>
          </cell>
          <cell r="AU79">
            <v>1</v>
          </cell>
          <cell r="AV79">
            <v>1</v>
          </cell>
          <cell r="AW79">
            <v>1</v>
          </cell>
          <cell r="AX79">
            <v>1</v>
          </cell>
          <cell r="AY79">
            <v>1</v>
          </cell>
        </row>
        <row r="80">
          <cell r="P80">
            <v>1</v>
          </cell>
          <cell r="Q80">
            <v>1</v>
          </cell>
          <cell r="R80">
            <v>1</v>
          </cell>
          <cell r="S80">
            <v>1</v>
          </cell>
          <cell r="T80">
            <v>1</v>
          </cell>
          <cell r="U80">
            <v>1</v>
          </cell>
          <cell r="V80">
            <v>1</v>
          </cell>
          <cell r="W80">
            <v>1</v>
          </cell>
          <cell r="X80">
            <v>1</v>
          </cell>
          <cell r="Y80">
            <v>1</v>
          </cell>
          <cell r="Z80">
            <v>1</v>
          </cell>
          <cell r="AA80">
            <v>1</v>
          </cell>
          <cell r="AB80">
            <v>3</v>
          </cell>
          <cell r="AC80">
            <v>3</v>
          </cell>
          <cell r="AD80">
            <v>3</v>
          </cell>
          <cell r="AE80">
            <v>3</v>
          </cell>
          <cell r="AF80">
            <v>3</v>
          </cell>
          <cell r="AG80">
            <v>3</v>
          </cell>
          <cell r="AH80">
            <v>3</v>
          </cell>
          <cell r="AI80">
            <v>3</v>
          </cell>
          <cell r="AJ80">
            <v>3</v>
          </cell>
          <cell r="AK80">
            <v>3</v>
          </cell>
          <cell r="AL80">
            <v>3</v>
          </cell>
          <cell r="AM80">
            <v>3</v>
          </cell>
          <cell r="AN80">
            <v>3</v>
          </cell>
          <cell r="AO80">
            <v>3</v>
          </cell>
          <cell r="AP80">
            <v>3</v>
          </cell>
          <cell r="AQ80">
            <v>3</v>
          </cell>
          <cell r="AR80">
            <v>3</v>
          </cell>
          <cell r="AS80">
            <v>3</v>
          </cell>
          <cell r="AT80">
            <v>3</v>
          </cell>
          <cell r="AU80">
            <v>3</v>
          </cell>
          <cell r="AV80">
            <v>3</v>
          </cell>
          <cell r="AW80">
            <v>3</v>
          </cell>
          <cell r="AX80">
            <v>3</v>
          </cell>
          <cell r="AY80">
            <v>3</v>
          </cell>
        </row>
        <row r="81">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row>
        <row r="82">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row>
        <row r="83">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P84">
            <v>3</v>
          </cell>
          <cell r="Q84">
            <v>3</v>
          </cell>
          <cell r="R84">
            <v>3</v>
          </cell>
          <cell r="S84">
            <v>3</v>
          </cell>
          <cell r="T84">
            <v>3</v>
          </cell>
          <cell r="U84">
            <v>3</v>
          </cell>
          <cell r="V84">
            <v>3</v>
          </cell>
          <cell r="W84">
            <v>3</v>
          </cell>
          <cell r="X84">
            <v>3</v>
          </cell>
          <cell r="Y84">
            <v>3</v>
          </cell>
          <cell r="Z84">
            <v>3</v>
          </cell>
          <cell r="AA84">
            <v>3</v>
          </cell>
          <cell r="AB84">
            <v>5</v>
          </cell>
          <cell r="AC84">
            <v>5</v>
          </cell>
          <cell r="AD84">
            <v>5</v>
          </cell>
          <cell r="AE84">
            <v>5</v>
          </cell>
          <cell r="AF84">
            <v>5</v>
          </cell>
          <cell r="AG84">
            <v>5</v>
          </cell>
          <cell r="AH84">
            <v>5</v>
          </cell>
          <cell r="AI84">
            <v>5</v>
          </cell>
          <cell r="AJ84">
            <v>5</v>
          </cell>
          <cell r="AK84">
            <v>5</v>
          </cell>
          <cell r="AL84">
            <v>5</v>
          </cell>
          <cell r="AM84">
            <v>5</v>
          </cell>
          <cell r="AN84">
            <v>5</v>
          </cell>
          <cell r="AO84">
            <v>5</v>
          </cell>
          <cell r="AP84">
            <v>5</v>
          </cell>
          <cell r="AQ84">
            <v>5</v>
          </cell>
          <cell r="AR84">
            <v>5</v>
          </cell>
          <cell r="AS84">
            <v>5</v>
          </cell>
          <cell r="AT84">
            <v>5</v>
          </cell>
          <cell r="AU84">
            <v>5</v>
          </cell>
          <cell r="AV84">
            <v>5</v>
          </cell>
          <cell r="AW84">
            <v>5</v>
          </cell>
          <cell r="AX84">
            <v>5</v>
          </cell>
          <cell r="AY84">
            <v>5</v>
          </cell>
        </row>
        <row r="87">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row>
        <row r="88">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row>
        <row r="89">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row>
        <row r="90">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row>
        <row r="91">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row>
        <row r="92">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row>
        <row r="93">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row>
        <row r="94">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row>
        <row r="95">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row>
        <row r="96">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row>
        <row r="97">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row>
        <row r="100">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row>
        <row r="101">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row>
        <row r="102">
          <cell r="P102">
            <v>4</v>
          </cell>
          <cell r="Q102">
            <v>4</v>
          </cell>
          <cell r="R102">
            <v>4</v>
          </cell>
          <cell r="S102">
            <v>4</v>
          </cell>
          <cell r="T102">
            <v>4</v>
          </cell>
          <cell r="U102">
            <v>4</v>
          </cell>
          <cell r="V102">
            <v>4</v>
          </cell>
          <cell r="W102">
            <v>4</v>
          </cell>
          <cell r="X102">
            <v>4</v>
          </cell>
          <cell r="Y102">
            <v>4</v>
          </cell>
          <cell r="Z102">
            <v>4</v>
          </cell>
          <cell r="AA102">
            <v>4</v>
          </cell>
          <cell r="AB102">
            <v>2</v>
          </cell>
          <cell r="AC102">
            <v>2</v>
          </cell>
          <cell r="AD102">
            <v>2</v>
          </cell>
          <cell r="AE102">
            <v>2</v>
          </cell>
          <cell r="AF102">
            <v>2</v>
          </cell>
          <cell r="AG102">
            <v>2</v>
          </cell>
          <cell r="AH102">
            <v>2</v>
          </cell>
          <cell r="AI102">
            <v>2</v>
          </cell>
          <cell r="AJ102">
            <v>2</v>
          </cell>
          <cell r="AK102">
            <v>2</v>
          </cell>
          <cell r="AL102">
            <v>2</v>
          </cell>
          <cell r="AM102">
            <v>2</v>
          </cell>
          <cell r="AN102">
            <v>4</v>
          </cell>
          <cell r="AO102">
            <v>4</v>
          </cell>
          <cell r="AP102">
            <v>4</v>
          </cell>
          <cell r="AQ102">
            <v>4</v>
          </cell>
          <cell r="AR102">
            <v>4</v>
          </cell>
          <cell r="AS102">
            <v>4</v>
          </cell>
          <cell r="AT102">
            <v>4</v>
          </cell>
          <cell r="AU102">
            <v>4</v>
          </cell>
          <cell r="AV102">
            <v>4</v>
          </cell>
          <cell r="AW102">
            <v>4</v>
          </cell>
          <cell r="AX102">
            <v>4</v>
          </cell>
          <cell r="AY102">
            <v>4</v>
          </cell>
        </row>
        <row r="103">
          <cell r="P103">
            <v>4</v>
          </cell>
          <cell r="Q103">
            <v>4</v>
          </cell>
          <cell r="R103">
            <v>4</v>
          </cell>
          <cell r="S103">
            <v>4</v>
          </cell>
          <cell r="T103">
            <v>4</v>
          </cell>
          <cell r="U103">
            <v>4</v>
          </cell>
          <cell r="V103">
            <v>4</v>
          </cell>
          <cell r="W103">
            <v>4</v>
          </cell>
          <cell r="X103">
            <v>4</v>
          </cell>
          <cell r="Y103">
            <v>4</v>
          </cell>
          <cell r="Z103">
            <v>4</v>
          </cell>
          <cell r="AA103">
            <v>4</v>
          </cell>
          <cell r="AB103">
            <v>2</v>
          </cell>
          <cell r="AC103">
            <v>2</v>
          </cell>
          <cell r="AD103">
            <v>2</v>
          </cell>
          <cell r="AE103">
            <v>2</v>
          </cell>
          <cell r="AF103">
            <v>2</v>
          </cell>
          <cell r="AG103">
            <v>2</v>
          </cell>
          <cell r="AH103">
            <v>2</v>
          </cell>
          <cell r="AI103">
            <v>2</v>
          </cell>
          <cell r="AJ103">
            <v>2</v>
          </cell>
          <cell r="AK103">
            <v>2</v>
          </cell>
          <cell r="AL103">
            <v>2</v>
          </cell>
          <cell r="AM103">
            <v>2</v>
          </cell>
          <cell r="AN103">
            <v>4</v>
          </cell>
          <cell r="AO103">
            <v>4</v>
          </cell>
          <cell r="AP103">
            <v>4</v>
          </cell>
          <cell r="AQ103">
            <v>4</v>
          </cell>
          <cell r="AR103">
            <v>4</v>
          </cell>
          <cell r="AS103">
            <v>4</v>
          </cell>
          <cell r="AT103">
            <v>4</v>
          </cell>
          <cell r="AU103">
            <v>4</v>
          </cell>
          <cell r="AV103">
            <v>4</v>
          </cell>
          <cell r="AW103">
            <v>4</v>
          </cell>
          <cell r="AX103">
            <v>4</v>
          </cell>
          <cell r="AY103">
            <v>4</v>
          </cell>
        </row>
        <row r="106">
          <cell r="P106">
            <v>0</v>
          </cell>
          <cell r="Q106">
            <v>0</v>
          </cell>
          <cell r="R106">
            <v>0</v>
          </cell>
          <cell r="S106">
            <v>0</v>
          </cell>
          <cell r="T106">
            <v>0</v>
          </cell>
          <cell r="U106">
            <v>0</v>
          </cell>
          <cell r="V106">
            <v>0</v>
          </cell>
          <cell r="W106">
            <v>0</v>
          </cell>
          <cell r="X106">
            <v>0</v>
          </cell>
          <cell r="Y106">
            <v>0</v>
          </cell>
          <cell r="Z106">
            <v>0</v>
          </cell>
          <cell r="AA106">
            <v>0</v>
          </cell>
        </row>
        <row r="107">
          <cell r="P107">
            <v>1</v>
          </cell>
          <cell r="Q107">
            <v>1</v>
          </cell>
          <cell r="R107">
            <v>1</v>
          </cell>
          <cell r="S107">
            <v>1</v>
          </cell>
          <cell r="T107">
            <v>1</v>
          </cell>
          <cell r="U107">
            <v>1</v>
          </cell>
          <cell r="V107">
            <v>1</v>
          </cell>
          <cell r="W107">
            <v>1</v>
          </cell>
          <cell r="X107">
            <v>1</v>
          </cell>
          <cell r="Y107">
            <v>1</v>
          </cell>
          <cell r="Z107">
            <v>1</v>
          </cell>
          <cell r="AA107">
            <v>1</v>
          </cell>
        </row>
        <row r="108">
          <cell r="P108">
            <v>2</v>
          </cell>
          <cell r="Q108">
            <v>2</v>
          </cell>
          <cell r="R108">
            <v>2</v>
          </cell>
          <cell r="S108">
            <v>2</v>
          </cell>
          <cell r="T108">
            <v>2</v>
          </cell>
          <cell r="U108">
            <v>2</v>
          </cell>
          <cell r="V108">
            <v>2</v>
          </cell>
          <cell r="W108">
            <v>2</v>
          </cell>
          <cell r="X108">
            <v>2</v>
          </cell>
          <cell r="Y108">
            <v>2</v>
          </cell>
          <cell r="Z108">
            <v>2</v>
          </cell>
          <cell r="AA108">
            <v>2</v>
          </cell>
          <cell r="AN108">
            <v>2</v>
          </cell>
          <cell r="AO108">
            <v>2</v>
          </cell>
          <cell r="AP108">
            <v>2</v>
          </cell>
          <cell r="AQ108">
            <v>2</v>
          </cell>
          <cell r="AR108">
            <v>2</v>
          </cell>
          <cell r="AS108">
            <v>2</v>
          </cell>
          <cell r="AT108">
            <v>2</v>
          </cell>
          <cell r="AU108">
            <v>2</v>
          </cell>
          <cell r="AV108">
            <v>2</v>
          </cell>
          <cell r="AW108">
            <v>2</v>
          </cell>
          <cell r="AX108">
            <v>2</v>
          </cell>
          <cell r="AY108">
            <v>2</v>
          </cell>
        </row>
        <row r="109">
          <cell r="P109">
            <v>3</v>
          </cell>
          <cell r="Q109">
            <v>3</v>
          </cell>
          <cell r="R109">
            <v>3</v>
          </cell>
          <cell r="S109">
            <v>3</v>
          </cell>
          <cell r="T109">
            <v>3</v>
          </cell>
          <cell r="U109">
            <v>3</v>
          </cell>
          <cell r="V109">
            <v>3</v>
          </cell>
          <cell r="W109">
            <v>3</v>
          </cell>
          <cell r="X109">
            <v>3</v>
          </cell>
          <cell r="Y109">
            <v>3</v>
          </cell>
          <cell r="Z109">
            <v>3</v>
          </cell>
          <cell r="AA109">
            <v>3</v>
          </cell>
          <cell r="AB109">
            <v>0</v>
          </cell>
          <cell r="AC109">
            <v>0</v>
          </cell>
          <cell r="AD109">
            <v>0</v>
          </cell>
          <cell r="AE109">
            <v>0</v>
          </cell>
          <cell r="AF109">
            <v>0</v>
          </cell>
          <cell r="AG109">
            <v>0</v>
          </cell>
          <cell r="AH109">
            <v>0</v>
          </cell>
          <cell r="AI109">
            <v>0</v>
          </cell>
          <cell r="AJ109">
            <v>0</v>
          </cell>
          <cell r="AK109">
            <v>0</v>
          </cell>
          <cell r="AL109">
            <v>0</v>
          </cell>
          <cell r="AM109">
            <v>0</v>
          </cell>
          <cell r="AN109">
            <v>2</v>
          </cell>
          <cell r="AO109">
            <v>2</v>
          </cell>
          <cell r="AP109">
            <v>2</v>
          </cell>
          <cell r="AQ109">
            <v>2</v>
          </cell>
          <cell r="AR109">
            <v>2</v>
          </cell>
          <cell r="AS109">
            <v>2</v>
          </cell>
          <cell r="AT109">
            <v>2</v>
          </cell>
          <cell r="AU109">
            <v>2</v>
          </cell>
          <cell r="AV109">
            <v>2</v>
          </cell>
          <cell r="AW109">
            <v>2</v>
          </cell>
          <cell r="AX109">
            <v>2</v>
          </cell>
          <cell r="AY109">
            <v>2</v>
          </cell>
        </row>
        <row r="112">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row>
        <row r="113">
          <cell r="P113">
            <v>0</v>
          </cell>
          <cell r="Q113">
            <v>0</v>
          </cell>
          <cell r="R113">
            <v>0</v>
          </cell>
          <cell r="S113">
            <v>0</v>
          </cell>
          <cell r="T113">
            <v>0</v>
          </cell>
          <cell r="U113">
            <v>0</v>
          </cell>
          <cell r="V113">
            <v>0</v>
          </cell>
          <cell r="W113">
            <v>0</v>
          </cell>
          <cell r="X113">
            <v>0</v>
          </cell>
          <cell r="Y113">
            <v>0</v>
          </cell>
          <cell r="Z113">
            <v>0</v>
          </cell>
          <cell r="AA113">
            <v>0</v>
          </cell>
          <cell r="AB113">
            <v>1</v>
          </cell>
          <cell r="AC113">
            <v>1</v>
          </cell>
          <cell r="AD113">
            <v>1</v>
          </cell>
          <cell r="AE113">
            <v>1</v>
          </cell>
          <cell r="AF113">
            <v>1</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row>
        <row r="114">
          <cell r="AN114">
            <v>0</v>
          </cell>
          <cell r="AO114">
            <v>0</v>
          </cell>
          <cell r="AP114">
            <v>0</v>
          </cell>
          <cell r="AQ114">
            <v>0</v>
          </cell>
          <cell r="AR114">
            <v>0</v>
          </cell>
          <cell r="AS114">
            <v>0</v>
          </cell>
          <cell r="AT114">
            <v>0</v>
          </cell>
          <cell r="AU114">
            <v>0</v>
          </cell>
          <cell r="AV114">
            <v>0</v>
          </cell>
          <cell r="AW114">
            <v>0</v>
          </cell>
          <cell r="AX114">
            <v>0</v>
          </cell>
          <cell r="AY114">
            <v>0</v>
          </cell>
        </row>
        <row r="115">
          <cell r="P115">
            <v>2</v>
          </cell>
          <cell r="Q115">
            <v>2</v>
          </cell>
          <cell r="R115">
            <v>2</v>
          </cell>
          <cell r="S115">
            <v>2</v>
          </cell>
          <cell r="T115">
            <v>2</v>
          </cell>
          <cell r="U115">
            <v>2</v>
          </cell>
          <cell r="V115">
            <v>2</v>
          </cell>
          <cell r="W115">
            <v>2</v>
          </cell>
          <cell r="X115">
            <v>2</v>
          </cell>
          <cell r="Y115">
            <v>2</v>
          </cell>
          <cell r="Z115">
            <v>2</v>
          </cell>
          <cell r="AA115">
            <v>2</v>
          </cell>
          <cell r="AB115">
            <v>2</v>
          </cell>
          <cell r="AC115">
            <v>2</v>
          </cell>
          <cell r="AD115">
            <v>2</v>
          </cell>
          <cell r="AE115">
            <v>2</v>
          </cell>
          <cell r="AF115">
            <v>2</v>
          </cell>
          <cell r="AG115">
            <v>2</v>
          </cell>
          <cell r="AH115">
            <v>2</v>
          </cell>
          <cell r="AI115">
            <v>2</v>
          </cell>
          <cell r="AJ115">
            <v>2</v>
          </cell>
          <cell r="AK115">
            <v>2</v>
          </cell>
          <cell r="AL115">
            <v>2</v>
          </cell>
          <cell r="AM115">
            <v>2</v>
          </cell>
          <cell r="AN115">
            <v>3</v>
          </cell>
          <cell r="AO115">
            <v>3</v>
          </cell>
          <cell r="AP115">
            <v>3</v>
          </cell>
          <cell r="AQ115">
            <v>3</v>
          </cell>
          <cell r="AR115">
            <v>3</v>
          </cell>
          <cell r="AS115">
            <v>4</v>
          </cell>
          <cell r="AT115">
            <v>4</v>
          </cell>
          <cell r="AU115">
            <v>4</v>
          </cell>
          <cell r="AV115">
            <v>4</v>
          </cell>
          <cell r="AW115">
            <v>4</v>
          </cell>
          <cell r="AX115">
            <v>4</v>
          </cell>
          <cell r="AY115">
            <v>4</v>
          </cell>
        </row>
        <row r="116">
          <cell r="P116">
            <v>3</v>
          </cell>
          <cell r="Q116">
            <v>3</v>
          </cell>
          <cell r="R116">
            <v>3</v>
          </cell>
          <cell r="S116">
            <v>3</v>
          </cell>
          <cell r="T116">
            <v>3</v>
          </cell>
          <cell r="U116">
            <v>3</v>
          </cell>
          <cell r="V116">
            <v>3</v>
          </cell>
          <cell r="W116">
            <v>3</v>
          </cell>
          <cell r="X116">
            <v>3</v>
          </cell>
          <cell r="Y116">
            <v>3</v>
          </cell>
          <cell r="Z116">
            <v>3</v>
          </cell>
          <cell r="AA116">
            <v>3</v>
          </cell>
          <cell r="AB116">
            <v>2</v>
          </cell>
          <cell r="AC116">
            <v>2</v>
          </cell>
          <cell r="AD116">
            <v>2</v>
          </cell>
          <cell r="AE116">
            <v>2</v>
          </cell>
          <cell r="AF116">
            <v>2</v>
          </cell>
          <cell r="AG116">
            <v>2</v>
          </cell>
          <cell r="AH116">
            <v>2</v>
          </cell>
          <cell r="AI116">
            <v>2</v>
          </cell>
          <cell r="AJ116">
            <v>2</v>
          </cell>
          <cell r="AK116">
            <v>2</v>
          </cell>
          <cell r="AL116">
            <v>2</v>
          </cell>
          <cell r="AM116">
            <v>2</v>
          </cell>
          <cell r="AN116">
            <v>1</v>
          </cell>
          <cell r="AO116">
            <v>1</v>
          </cell>
          <cell r="AP116">
            <v>1</v>
          </cell>
          <cell r="AQ116">
            <v>1</v>
          </cell>
          <cell r="AR116">
            <v>1</v>
          </cell>
          <cell r="AS116">
            <v>1</v>
          </cell>
          <cell r="AT116">
            <v>1</v>
          </cell>
          <cell r="AU116">
            <v>1</v>
          </cell>
          <cell r="AV116">
            <v>1</v>
          </cell>
          <cell r="AW116">
            <v>1</v>
          </cell>
          <cell r="AX116">
            <v>1</v>
          </cell>
          <cell r="AY116">
            <v>1</v>
          </cell>
        </row>
        <row r="117">
          <cell r="P117">
            <v>5</v>
          </cell>
          <cell r="Q117">
            <v>5</v>
          </cell>
          <cell r="R117">
            <v>5</v>
          </cell>
          <cell r="S117">
            <v>5</v>
          </cell>
          <cell r="T117">
            <v>5</v>
          </cell>
          <cell r="U117">
            <v>5</v>
          </cell>
          <cell r="V117">
            <v>5</v>
          </cell>
          <cell r="W117">
            <v>5</v>
          </cell>
          <cell r="X117">
            <v>5</v>
          </cell>
          <cell r="Y117">
            <v>5</v>
          </cell>
          <cell r="Z117">
            <v>5</v>
          </cell>
          <cell r="AA117">
            <v>5</v>
          </cell>
          <cell r="AB117">
            <v>5</v>
          </cell>
          <cell r="AC117">
            <v>5</v>
          </cell>
          <cell r="AD117">
            <v>5</v>
          </cell>
          <cell r="AE117">
            <v>5</v>
          </cell>
          <cell r="AF117">
            <v>5</v>
          </cell>
          <cell r="AG117">
            <v>5</v>
          </cell>
          <cell r="AH117">
            <v>5</v>
          </cell>
          <cell r="AI117">
            <v>5</v>
          </cell>
          <cell r="AJ117">
            <v>5</v>
          </cell>
          <cell r="AK117">
            <v>5</v>
          </cell>
          <cell r="AL117">
            <v>5</v>
          </cell>
          <cell r="AM117">
            <v>5</v>
          </cell>
          <cell r="AN117">
            <v>5</v>
          </cell>
          <cell r="AO117">
            <v>5</v>
          </cell>
          <cell r="AP117">
            <v>5</v>
          </cell>
          <cell r="AQ117">
            <v>5</v>
          </cell>
          <cell r="AR117">
            <v>5</v>
          </cell>
          <cell r="AS117">
            <v>6</v>
          </cell>
          <cell r="AT117">
            <v>6</v>
          </cell>
          <cell r="AU117">
            <v>6</v>
          </cell>
          <cell r="AV117">
            <v>6</v>
          </cell>
          <cell r="AW117">
            <v>6</v>
          </cell>
          <cell r="AX117">
            <v>6</v>
          </cell>
          <cell r="AY117">
            <v>6</v>
          </cell>
        </row>
        <row r="120">
          <cell r="P120">
            <v>0</v>
          </cell>
          <cell r="Q120">
            <v>0</v>
          </cell>
          <cell r="R120">
            <v>0</v>
          </cell>
          <cell r="S120">
            <v>0</v>
          </cell>
          <cell r="T120">
            <v>0</v>
          </cell>
          <cell r="U120">
            <v>0</v>
          </cell>
          <cell r="V120">
            <v>0</v>
          </cell>
          <cell r="W120">
            <v>0</v>
          </cell>
          <cell r="X120">
            <v>0</v>
          </cell>
          <cell r="Y120">
            <v>0</v>
          </cell>
          <cell r="Z120">
            <v>0</v>
          </cell>
          <cell r="AA120">
            <v>0</v>
          </cell>
          <cell r="AN120">
            <v>0</v>
          </cell>
          <cell r="AO120">
            <v>0</v>
          </cell>
          <cell r="AP120">
            <v>0</v>
          </cell>
          <cell r="AQ120">
            <v>0</v>
          </cell>
          <cell r="AR120">
            <v>0</v>
          </cell>
          <cell r="AS120">
            <v>0</v>
          </cell>
          <cell r="AT120">
            <v>0</v>
          </cell>
          <cell r="AU120">
            <v>0</v>
          </cell>
          <cell r="AV120">
            <v>0</v>
          </cell>
          <cell r="AW120">
            <v>0</v>
          </cell>
          <cell r="AX120">
            <v>0</v>
          </cell>
          <cell r="AY120">
            <v>0</v>
          </cell>
        </row>
        <row r="121">
          <cell r="P121">
            <v>1</v>
          </cell>
          <cell r="Q121">
            <v>1</v>
          </cell>
          <cell r="R121">
            <v>1</v>
          </cell>
          <cell r="S121">
            <v>1</v>
          </cell>
          <cell r="T121">
            <v>1</v>
          </cell>
          <cell r="U121">
            <v>1</v>
          </cell>
          <cell r="V121">
            <v>1</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cell r="AU121">
            <v>1</v>
          </cell>
          <cell r="AV121">
            <v>1</v>
          </cell>
          <cell r="AW121">
            <v>1</v>
          </cell>
          <cell r="AX121">
            <v>1</v>
          </cell>
          <cell r="AY121">
            <v>1</v>
          </cell>
        </row>
        <row r="122">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2</v>
          </cell>
          <cell r="AV122">
            <v>2</v>
          </cell>
          <cell r="AW122">
            <v>2</v>
          </cell>
          <cell r="AX122">
            <v>2</v>
          </cell>
          <cell r="AY122">
            <v>2</v>
          </cell>
        </row>
        <row r="123">
          <cell r="P123">
            <v>3</v>
          </cell>
          <cell r="Q123">
            <v>3</v>
          </cell>
          <cell r="R123">
            <v>3</v>
          </cell>
          <cell r="S123">
            <v>3</v>
          </cell>
          <cell r="T123">
            <v>3</v>
          </cell>
          <cell r="U123">
            <v>3</v>
          </cell>
          <cell r="V123">
            <v>3</v>
          </cell>
          <cell r="W123">
            <v>3</v>
          </cell>
          <cell r="X123">
            <v>3</v>
          </cell>
          <cell r="Y123">
            <v>3</v>
          </cell>
          <cell r="Z123">
            <v>3</v>
          </cell>
          <cell r="AA123">
            <v>3</v>
          </cell>
          <cell r="AB123">
            <v>3</v>
          </cell>
          <cell r="AC123">
            <v>3</v>
          </cell>
          <cell r="AD123">
            <v>3</v>
          </cell>
          <cell r="AE123">
            <v>3</v>
          </cell>
          <cell r="AF123">
            <v>3</v>
          </cell>
          <cell r="AG123">
            <v>3</v>
          </cell>
          <cell r="AH123">
            <v>3</v>
          </cell>
          <cell r="AI123">
            <v>3</v>
          </cell>
          <cell r="AJ123">
            <v>3</v>
          </cell>
          <cell r="AK123">
            <v>3</v>
          </cell>
          <cell r="AL123">
            <v>3</v>
          </cell>
          <cell r="AM123">
            <v>3</v>
          </cell>
          <cell r="AN123">
            <v>3</v>
          </cell>
          <cell r="AO123">
            <v>3</v>
          </cell>
          <cell r="AP123">
            <v>3</v>
          </cell>
          <cell r="AQ123">
            <v>3</v>
          </cell>
          <cell r="AR123">
            <v>3</v>
          </cell>
          <cell r="AS123">
            <v>3</v>
          </cell>
          <cell r="AT123">
            <v>3</v>
          </cell>
          <cell r="AU123">
            <v>3</v>
          </cell>
          <cell r="AV123">
            <v>3</v>
          </cell>
          <cell r="AW123">
            <v>3</v>
          </cell>
          <cell r="AX123">
            <v>3</v>
          </cell>
          <cell r="AY123">
            <v>3</v>
          </cell>
        </row>
        <row r="126">
          <cell r="P126">
            <v>0</v>
          </cell>
          <cell r="Q126">
            <v>0</v>
          </cell>
          <cell r="R126">
            <v>0</v>
          </cell>
          <cell r="S126">
            <v>0</v>
          </cell>
          <cell r="T126">
            <v>0</v>
          </cell>
          <cell r="U126">
            <v>0</v>
          </cell>
          <cell r="V126">
            <v>0</v>
          </cell>
          <cell r="W126">
            <v>0</v>
          </cell>
          <cell r="X126">
            <v>0</v>
          </cell>
          <cell r="Y126">
            <v>0</v>
          </cell>
          <cell r="Z126">
            <v>0</v>
          </cell>
          <cell r="AA126">
            <v>0</v>
          </cell>
        </row>
        <row r="127">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row>
        <row r="129">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row>
        <row r="130">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row>
        <row r="133">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cell r="AU133">
            <v>1</v>
          </cell>
          <cell r="AV133">
            <v>1</v>
          </cell>
          <cell r="AW133">
            <v>1</v>
          </cell>
          <cell r="AX133">
            <v>1</v>
          </cell>
          <cell r="AY133">
            <v>1</v>
          </cell>
        </row>
        <row r="134">
          <cell r="AB134">
            <v>0</v>
          </cell>
          <cell r="AC134">
            <v>0</v>
          </cell>
          <cell r="AD134">
            <v>0</v>
          </cell>
          <cell r="AE134">
            <v>0</v>
          </cell>
          <cell r="AF134">
            <v>0</v>
          </cell>
          <cell r="AG134">
            <v>0</v>
          </cell>
          <cell r="AH134">
            <v>0</v>
          </cell>
          <cell r="AI134">
            <v>0</v>
          </cell>
          <cell r="AJ134">
            <v>0</v>
          </cell>
          <cell r="AK134">
            <v>0</v>
          </cell>
          <cell r="AL134">
            <v>0</v>
          </cell>
          <cell r="AM134">
            <v>0</v>
          </cell>
          <cell r="AN134">
            <v>1</v>
          </cell>
          <cell r="AO134">
            <v>1</v>
          </cell>
          <cell r="AP134">
            <v>1</v>
          </cell>
          <cell r="AQ134">
            <v>1</v>
          </cell>
          <cell r="AR134">
            <v>1</v>
          </cell>
          <cell r="AS134">
            <v>1</v>
          </cell>
          <cell r="AT134">
            <v>1</v>
          </cell>
          <cell r="AU134">
            <v>1</v>
          </cell>
          <cell r="AV134">
            <v>1</v>
          </cell>
          <cell r="AW134">
            <v>1</v>
          </cell>
          <cell r="AX134">
            <v>1</v>
          </cell>
          <cell r="AY134">
            <v>1</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C Summary"/>
      <sheetName val="ERC"/>
      <sheetName val="Other &gt;&gt;"/>
      <sheetName val="9570"/>
      <sheetName val="Co. 345 Report 30 "/>
      <sheetName val="WSCK Report 30 2020.03.31"/>
      <sheetName val="BU"/>
    </sheetNames>
    <sheetDataSet>
      <sheetData sheetId="0"/>
      <sheetData sheetId="1">
        <row r="4">
          <cell r="B4" t="str">
            <v>State</v>
          </cell>
        </row>
      </sheetData>
      <sheetData sheetId="2" refreshError="1"/>
      <sheetData sheetId="3" refreshError="1"/>
      <sheetData sheetId="4" refreshError="1"/>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Saravanan Rajendran" id="{3AD6F84A-C7D7-4B38-9C36-24FD7988AA41}" userId="S::srajendr@uiwater.com::1c62a3aa-79de-48c6-bee4-ff6ae909d5c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6" dT="2019-09-16T23:29:02.56" personId="{3AD6F84A-C7D7-4B38-9C36-24FD7988AA41}" id="{A4E6B268-F4B9-413A-B72A-28D38CDBB1DA}">
    <text>Corix owns 50% of Doyon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4.bin"/><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13.bin"/><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customProperty" Target="../customProperty7.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14.bin"/><Relationship Id="rId4" Type="http://schemas.openxmlformats.org/officeDocument/2006/relationships/customProperty" Target="../customProperty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15.bin"/><Relationship Id="rId4" Type="http://schemas.openxmlformats.org/officeDocument/2006/relationships/customProperty" Target="../customProperty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hyperlink" Target="mailto:=@sum(G6:G7)" TargetMode="External"/><Relationship Id="rId7" Type="http://schemas.openxmlformats.org/officeDocument/2006/relationships/comments" Target="../comments18.xml"/><Relationship Id="rId2" Type="http://schemas.openxmlformats.org/officeDocument/2006/relationships/hyperlink" Target="mailto:=@sum(F6:F7)" TargetMode="External"/><Relationship Id="rId1" Type="http://schemas.openxmlformats.org/officeDocument/2006/relationships/hyperlink" Target="mailto:=@sum(E6:E7)" TargetMode="External"/><Relationship Id="rId6" Type="http://schemas.openxmlformats.org/officeDocument/2006/relationships/vmlDrawing" Target="../drawings/vmlDrawing18.vml"/><Relationship Id="rId5" Type="http://schemas.openxmlformats.org/officeDocument/2006/relationships/printerSettings" Target="../printerSettings/printerSettings28.bin"/><Relationship Id="rId4" Type="http://schemas.openxmlformats.org/officeDocument/2006/relationships/hyperlink" Target="mailto:=@sum(H6:H7)" TargetMode="Externa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7.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U75"/>
  <sheetViews>
    <sheetView showGridLines="0" tabSelected="1" view="pageBreakPreview" topLeftCell="A40" zoomScaleNormal="85" zoomScaleSheetLayoutView="100" workbookViewId="0">
      <selection activeCell="N59" sqref="N59"/>
    </sheetView>
  </sheetViews>
  <sheetFormatPr defaultColWidth="9.28515625" defaultRowHeight="13.5" x14ac:dyDescent="0.25"/>
  <cols>
    <col min="1" max="1" width="38" style="1129" customWidth="1"/>
    <col min="2" max="2" width="38" style="1129" hidden="1" customWidth="1"/>
    <col min="3" max="3" width="18.42578125" style="1129" customWidth="1"/>
    <col min="4" max="4" width="1.7109375" style="1129" customWidth="1"/>
    <col min="5" max="5" width="14.28515625" style="1129" customWidth="1"/>
    <col min="6" max="6" width="1.7109375" style="1129" customWidth="1"/>
    <col min="7" max="7" width="16.28515625" style="1129" customWidth="1"/>
    <col min="8" max="8" width="1.7109375" style="1131" customWidth="1"/>
    <col min="9" max="9" width="15.140625" style="1129" customWidth="1"/>
    <col min="10" max="10" width="1.7109375" style="1129" customWidth="1"/>
    <col min="11" max="12" width="19.85546875" style="1129" customWidth="1"/>
    <col min="13" max="13" width="1.7109375" style="1129" customWidth="1"/>
    <col min="14" max="14" width="19.85546875" style="1129" customWidth="1"/>
    <col min="15" max="15" width="1.7109375" style="1129" customWidth="1"/>
    <col min="16" max="17" width="16.140625" style="1129" customWidth="1"/>
    <col min="18" max="18" width="1.7109375" style="1129" customWidth="1"/>
    <col min="19" max="19" width="13.5703125" style="1129" customWidth="1"/>
    <col min="20" max="20" width="1.7109375" style="1129" customWidth="1"/>
    <col min="21" max="21" width="17.85546875" style="1129" customWidth="1"/>
    <col min="22" max="22" width="12.7109375" style="1129" bestFit="1" customWidth="1"/>
    <col min="23" max="23" width="11.85546875" style="1129" bestFit="1" customWidth="1"/>
    <col min="24" max="16384" width="9.28515625" style="1129"/>
  </cols>
  <sheetData>
    <row r="1" spans="1:21" ht="15" x14ac:dyDescent="0.3">
      <c r="A1" s="1358" t="s">
        <v>1162</v>
      </c>
      <c r="B1" s="1359"/>
      <c r="C1" s="1359"/>
      <c r="D1" s="1359"/>
      <c r="E1" s="1359"/>
      <c r="F1" s="1359"/>
      <c r="G1" s="1359"/>
      <c r="H1" s="1359"/>
      <c r="I1" s="1359"/>
      <c r="J1" s="1359"/>
      <c r="K1" s="1359"/>
      <c r="L1" s="1359"/>
      <c r="M1" s="1359"/>
      <c r="N1" s="1359"/>
      <c r="O1" s="1359"/>
      <c r="P1" s="1359"/>
      <c r="Q1" s="1359"/>
      <c r="R1" s="1359"/>
      <c r="S1" s="1359"/>
      <c r="T1" s="1359"/>
      <c r="U1" s="1359"/>
    </row>
    <row r="2" spans="1:21" ht="15" x14ac:dyDescent="0.3">
      <c r="A2" s="1358" t="s">
        <v>1163</v>
      </c>
      <c r="B2" s="1359"/>
      <c r="C2" s="1359"/>
      <c r="D2" s="1359"/>
      <c r="E2" s="1359"/>
      <c r="F2" s="1359"/>
      <c r="G2" s="1359"/>
      <c r="H2" s="1359"/>
      <c r="I2" s="1359"/>
      <c r="J2" s="1359"/>
      <c r="K2" s="1359"/>
      <c r="L2" s="1359"/>
      <c r="M2" s="1359"/>
      <c r="N2" s="1359"/>
      <c r="O2" s="1359"/>
      <c r="P2" s="1359"/>
      <c r="Q2" s="1359"/>
      <c r="R2" s="1359"/>
      <c r="S2" s="1359"/>
      <c r="T2" s="1359"/>
      <c r="U2" s="1359"/>
    </row>
    <row r="3" spans="1:21" ht="15" x14ac:dyDescent="0.3">
      <c r="A3" s="1358" t="s">
        <v>1165</v>
      </c>
      <c r="B3" s="1359"/>
      <c r="C3" s="1359"/>
      <c r="D3" s="1359"/>
      <c r="E3" s="1359"/>
      <c r="F3" s="1359"/>
      <c r="G3" s="1359"/>
      <c r="H3" s="1359"/>
      <c r="I3" s="1359"/>
      <c r="J3" s="1359"/>
      <c r="K3" s="1359"/>
      <c r="L3" s="1359"/>
      <c r="M3" s="1359"/>
      <c r="N3" s="1359"/>
      <c r="O3" s="1359"/>
      <c r="P3" s="1359"/>
      <c r="Q3" s="1359"/>
      <c r="R3" s="1359"/>
      <c r="S3" s="1359"/>
      <c r="T3" s="1359"/>
      <c r="U3" s="1359"/>
    </row>
    <row r="4" spans="1:21" ht="15" x14ac:dyDescent="0.3">
      <c r="A4" s="1358" t="s">
        <v>1164</v>
      </c>
      <c r="B4" s="1359"/>
      <c r="C4" s="1359"/>
      <c r="D4" s="1359"/>
      <c r="E4" s="1359"/>
      <c r="F4" s="1359"/>
      <c r="G4" s="1359"/>
      <c r="H4" s="1359"/>
      <c r="I4" s="1359"/>
      <c r="J4" s="1359"/>
      <c r="K4" s="1359"/>
      <c r="L4" s="1359"/>
      <c r="M4" s="1359"/>
      <c r="N4" s="1359"/>
      <c r="O4" s="1359"/>
      <c r="P4" s="1359"/>
      <c r="Q4" s="1359"/>
      <c r="R4" s="1359"/>
      <c r="S4" s="1359"/>
      <c r="T4" s="1359"/>
      <c r="U4" s="1359"/>
    </row>
    <row r="5" spans="1:21" ht="15" x14ac:dyDescent="0.3">
      <c r="A5" s="1130"/>
      <c r="B5" s="1130"/>
      <c r="F5" s="1131"/>
      <c r="J5" s="1131"/>
    </row>
    <row r="6" spans="1:21" s="1132" customFormat="1" ht="15" x14ac:dyDescent="0.25">
      <c r="C6" s="1133" t="s">
        <v>814</v>
      </c>
      <c r="D6" s="1133"/>
      <c r="E6" s="1133"/>
      <c r="F6" s="1133"/>
      <c r="G6" s="1134"/>
      <c r="H6" s="1135"/>
      <c r="I6" s="1134"/>
      <c r="J6" s="1134"/>
      <c r="K6" s="1134"/>
      <c r="L6" s="1134"/>
      <c r="M6" s="1134"/>
      <c r="N6" s="1134"/>
      <c r="O6" s="1134"/>
      <c r="P6" s="1134"/>
      <c r="Q6" s="1134"/>
      <c r="R6" s="1134"/>
      <c r="S6" s="1134"/>
      <c r="T6" s="1134"/>
      <c r="U6" s="1134"/>
    </row>
    <row r="7" spans="1:21" s="1131" customFormat="1" ht="45" x14ac:dyDescent="0.3">
      <c r="A7" s="1136" t="s">
        <v>1042</v>
      </c>
      <c r="B7" s="1241"/>
      <c r="C7" s="1283" t="s">
        <v>1043</v>
      </c>
      <c r="D7" s="1284"/>
      <c r="E7" s="1283" t="s">
        <v>1044</v>
      </c>
      <c r="F7" s="1285"/>
      <c r="G7" s="1283" t="s">
        <v>1045</v>
      </c>
      <c r="H7" s="1285"/>
      <c r="I7" s="1283" t="s">
        <v>1046</v>
      </c>
      <c r="J7" s="1285"/>
      <c r="K7" s="1283" t="s">
        <v>1159</v>
      </c>
      <c r="L7" s="1283" t="s">
        <v>1143</v>
      </c>
      <c r="M7" s="1285"/>
      <c r="N7" s="1283" t="s">
        <v>1047</v>
      </c>
      <c r="O7" s="1285"/>
      <c r="P7" s="1283" t="s">
        <v>1160</v>
      </c>
      <c r="Q7" s="1283" t="s">
        <v>1158</v>
      </c>
      <c r="R7" s="1285"/>
      <c r="S7" s="1283" t="s">
        <v>1048</v>
      </c>
      <c r="T7" s="1285"/>
      <c r="U7" s="1283" t="s">
        <v>1141</v>
      </c>
    </row>
    <row r="8" spans="1:21" ht="15" x14ac:dyDescent="0.3">
      <c r="A8" s="1129" t="s">
        <v>470</v>
      </c>
      <c r="B8" s="1129" t="s">
        <v>222</v>
      </c>
      <c r="C8" s="1286">
        <f>'TTM Summary'!F6</f>
        <v>258387.51336532421</v>
      </c>
      <c r="D8" s="1287"/>
      <c r="E8" s="1286"/>
      <c r="F8" s="1288"/>
      <c r="G8" s="1286">
        <f>C8*E8</f>
        <v>0</v>
      </c>
      <c r="H8" s="1289"/>
      <c r="I8" s="1286">
        <f t="shared" ref="I8:I30" si="0">C8-G8</f>
        <v>258387.51336532421</v>
      </c>
      <c r="J8" s="1290"/>
      <c r="K8" s="1291">
        <f>'Allocation CU RU'!$I$69</f>
        <v>0.38084849477986854</v>
      </c>
      <c r="L8" s="1291">
        <f ca="1">IFERROR('TTM Summary'!AB6/'TTM Summary'!$C6,"")</f>
        <v>0.36593240302727587</v>
      </c>
      <c r="M8" s="1292"/>
      <c r="N8" s="1286">
        <f ca="1">'TTM Summary'!AE6</f>
        <v>97859.546463113715</v>
      </c>
      <c r="O8" s="1290"/>
      <c r="P8" s="1293">
        <f>'Allocation CU RU'!I80</f>
        <v>9.8928063790187343E-2</v>
      </c>
      <c r="Q8" s="1291">
        <f ca="1">IFERROR('TTM Summary'!AG6/'TTM Summary'!$C6,"")</f>
        <v>0.10477010485295059</v>
      </c>
      <c r="R8" s="1294"/>
      <c r="S8" s="1286">
        <f ca="1">'TTM Summary'!AJ6</f>
        <v>25776.606598516202</v>
      </c>
      <c r="T8" s="1290"/>
      <c r="U8" s="1286">
        <f ca="1">I8-N8-S8</f>
        <v>134751.36030369429</v>
      </c>
    </row>
    <row r="9" spans="1:21" x14ac:dyDescent="0.25">
      <c r="A9" s="1129" t="s">
        <v>1049</v>
      </c>
      <c r="B9" s="1129" t="s">
        <v>218</v>
      </c>
      <c r="C9" s="1295">
        <f>'TTM Summary'!F7</f>
        <v>3416943.1179052568</v>
      </c>
      <c r="D9" s="1287"/>
      <c r="E9" s="1294">
        <v>0.02</v>
      </c>
      <c r="F9" s="1294"/>
      <c r="G9" s="1295">
        <f>C9*E9</f>
        <v>68338.862358105136</v>
      </c>
      <c r="H9" s="1296"/>
      <c r="I9" s="1295">
        <f t="shared" si="0"/>
        <v>3348604.2555471519</v>
      </c>
      <c r="J9" s="1290"/>
      <c r="K9" s="1297">
        <f>$K$8</f>
        <v>0.38084849477986854</v>
      </c>
      <c r="L9" s="1291">
        <f ca="1">IFERROR('TTM Summary'!AB7/'TTM Summary'!$C7,"")</f>
        <v>0.35861375496673026</v>
      </c>
      <c r="M9" s="1298"/>
      <c r="N9" s="1295">
        <f ca="1">'TTM Summary'!AE7</f>
        <v>1265579.1786275778</v>
      </c>
      <c r="O9" s="1290"/>
      <c r="P9" s="1293">
        <f>$P$8</f>
        <v>9.8928063790187343E-2</v>
      </c>
      <c r="Q9" s="1291">
        <f ca="1">IFERROR('TTM Summary'!AG7/'TTM Summary'!$C7,"")</f>
        <v>0.10267470275589156</v>
      </c>
      <c r="R9" s="1299"/>
      <c r="S9" s="1295">
        <f ca="1">'TTM Summary'!AJ7</f>
        <v>335088.7349225884</v>
      </c>
      <c r="T9" s="1290"/>
      <c r="U9" s="1295">
        <f t="shared" ref="U9:U30" ca="1" si="1">I9-N9-S9</f>
        <v>1747936.3419969857</v>
      </c>
    </row>
    <row r="10" spans="1:21" x14ac:dyDescent="0.25">
      <c r="A10" s="1129" t="s">
        <v>472</v>
      </c>
      <c r="C10" s="1295">
        <f>'TTM Summary'!F8</f>
        <v>222778.66074795285</v>
      </c>
      <c r="D10" s="1287"/>
      <c r="E10" s="1300"/>
      <c r="F10" s="1300"/>
      <c r="G10" s="1295">
        <f>C10*E10</f>
        <v>0</v>
      </c>
      <c r="H10" s="1296"/>
      <c r="I10" s="1295">
        <f t="shared" si="0"/>
        <v>222778.66074795285</v>
      </c>
      <c r="J10" s="1290"/>
      <c r="K10" s="1297">
        <f>$K$8</f>
        <v>0.38084849477986854</v>
      </c>
      <c r="L10" s="1291"/>
      <c r="M10" s="1298"/>
      <c r="N10" s="1295">
        <f>'TTM Summary'!AE8</f>
        <v>84847.971102124226</v>
      </c>
      <c r="O10" s="1290"/>
      <c r="P10" s="1293">
        <f>$P$8</f>
        <v>9.8928063790187343E-2</v>
      </c>
      <c r="Q10" s="1291"/>
      <c r="R10" s="1299"/>
      <c r="S10" s="1295">
        <f>'TTM Summary'!AJ8</f>
        <v>22038.653974769495</v>
      </c>
      <c r="T10" s="1290"/>
      <c r="U10" s="1295">
        <f t="shared" si="1"/>
        <v>115892.03567105913</v>
      </c>
    </row>
    <row r="11" spans="1:21" x14ac:dyDescent="0.25">
      <c r="A11" s="1129" t="s">
        <v>1050</v>
      </c>
      <c r="B11" s="1129" t="s">
        <v>321</v>
      </c>
      <c r="C11" s="1295">
        <f>'TTM Summary'!F9</f>
        <v>45910.869999999937</v>
      </c>
      <c r="D11" s="1287"/>
      <c r="E11" s="1300"/>
      <c r="F11" s="1300"/>
      <c r="G11" s="1295">
        <f>C11*E11</f>
        <v>0</v>
      </c>
      <c r="H11" s="1296"/>
      <c r="I11" s="1295">
        <f t="shared" si="0"/>
        <v>45910.869999999937</v>
      </c>
      <c r="J11" s="1290"/>
      <c r="K11" s="1297"/>
      <c r="L11" s="1291"/>
      <c r="M11" s="1298"/>
      <c r="N11" s="1295">
        <f>'TTM Summary'!AE9</f>
        <v>45911.000000000015</v>
      </c>
      <c r="O11" s="1290"/>
      <c r="P11" s="1297"/>
      <c r="Q11" s="1291"/>
      <c r="R11" s="1300"/>
      <c r="S11" s="1295">
        <f>'TTM Summary'!AJ9</f>
        <v>0</v>
      </c>
      <c r="T11" s="1290"/>
      <c r="U11" s="1295">
        <f t="shared" si="1"/>
        <v>-0.13000000007741619</v>
      </c>
    </row>
    <row r="12" spans="1:21" x14ac:dyDescent="0.25">
      <c r="A12" s="1129" t="s">
        <v>1139</v>
      </c>
      <c r="B12" s="1129" t="s">
        <v>223</v>
      </c>
      <c r="C12" s="1295">
        <f>'TTM Summary'!F10</f>
        <v>2584835.1187935486</v>
      </c>
      <c r="D12" s="1287"/>
      <c r="E12" s="1294">
        <v>0.02</v>
      </c>
      <c r="F12" s="1294"/>
      <c r="G12" s="1295">
        <f>C12*E12</f>
        <v>51696.702375870969</v>
      </c>
      <c r="H12" s="1296"/>
      <c r="I12" s="1295">
        <f t="shared" si="0"/>
        <v>2533138.4164176774</v>
      </c>
      <c r="J12" s="1290"/>
      <c r="K12" s="1297">
        <f>$K$8</f>
        <v>0.38084849477986854</v>
      </c>
      <c r="L12" s="1291">
        <f ca="1">IFERROR('TTM Summary'!AB10/'TTM Summary'!$C10,"")</f>
        <v>0.35861375496673015</v>
      </c>
      <c r="M12" s="1298"/>
      <c r="N12" s="1295">
        <f ca="1">'TTM Summary'!AE10</f>
        <v>956343.46974852215</v>
      </c>
      <c r="O12" s="1290"/>
      <c r="P12" s="1293">
        <f>$P$8</f>
        <v>9.8928063790187343E-2</v>
      </c>
      <c r="Q12" s="1291">
        <f ca="1">IFERROR('TTM Summary'!AG10/'TTM Summary'!$C10,"")</f>
        <v>0.10267470275589155</v>
      </c>
      <c r="R12" s="1299"/>
      <c r="S12" s="1295">
        <f ca="1">'TTM Summary'!AJ10</f>
        <v>253894.67468147576</v>
      </c>
      <c r="T12" s="1290"/>
      <c r="U12" s="1295">
        <f t="shared" ca="1" si="1"/>
        <v>1322900.2719876794</v>
      </c>
    </row>
    <row r="13" spans="1:21" x14ac:dyDescent="0.25">
      <c r="A13" s="1129" t="s">
        <v>1138</v>
      </c>
      <c r="C13" s="1295">
        <f>'TTM Summary'!F11</f>
        <v>174113.07</v>
      </c>
      <c r="D13" s="1287"/>
      <c r="E13" s="1294"/>
      <c r="F13" s="1294"/>
      <c r="G13" s="1295"/>
      <c r="H13" s="1296"/>
      <c r="I13" s="1295">
        <f t="shared" si="0"/>
        <v>174113.07</v>
      </c>
      <c r="J13" s="1290"/>
      <c r="K13" s="1301"/>
      <c r="L13" s="1291">
        <f ca="1">IFERROR('TTM Summary'!AB11/'TTM Summary'!$C11,"")</f>
        <v>0.77685663166964025</v>
      </c>
      <c r="M13" s="1298"/>
      <c r="N13" s="1295">
        <f ca="1">'TTM Summary'!AE11</f>
        <v>159976.1403277459</v>
      </c>
      <c r="O13" s="1290"/>
      <c r="P13" s="1293"/>
      <c r="Q13" s="1291">
        <f ca="1">IFERROR('TTM Summary'!AG11/'TTM Summary'!$C11,"")</f>
        <v>0.2231433683303598</v>
      </c>
      <c r="R13" s="1299"/>
      <c r="S13" s="1295">
        <f ca="1">'TTM Summary'!AJ11</f>
        <v>14137.35967225411</v>
      </c>
      <c r="T13" s="1290"/>
      <c r="U13" s="1295">
        <f t="shared" ca="1" si="1"/>
        <v>-0.43000000000574801</v>
      </c>
    </row>
    <row r="14" spans="1:21" x14ac:dyDescent="0.25">
      <c r="A14" s="1129" t="s">
        <v>474</v>
      </c>
      <c r="B14" s="1129" t="s">
        <v>224</v>
      </c>
      <c r="C14" s="1295">
        <f>'TTM Summary'!F12</f>
        <v>1586119.3408147274</v>
      </c>
      <c r="D14" s="1287"/>
      <c r="E14" s="1300"/>
      <c r="F14" s="1300"/>
      <c r="G14" s="1295">
        <f>C14*E14</f>
        <v>0</v>
      </c>
      <c r="H14" s="1296"/>
      <c r="I14" s="1295">
        <f t="shared" si="0"/>
        <v>1586119.3408147274</v>
      </c>
      <c r="J14" s="1290"/>
      <c r="K14" s="1297">
        <f>$K$8</f>
        <v>0.38084849477986854</v>
      </c>
      <c r="L14" s="1291">
        <f ca="1">IFERROR('TTM Summary'!AB12/'TTM Summary'!$C12,"")</f>
        <v>0.36593240302727575</v>
      </c>
      <c r="M14" s="1298"/>
      <c r="N14" s="1295">
        <f ca="1">'TTM Summary'!AE12</f>
        <v>596751.05652596988</v>
      </c>
      <c r="O14" s="1290"/>
      <c r="P14" s="1293">
        <f>$P$8</f>
        <v>9.8928063790187343E-2</v>
      </c>
      <c r="Q14" s="1291">
        <f ca="1">IFERROR('TTM Summary'!AG12/'TTM Summary'!$C12,"")</f>
        <v>0.10477010485295057</v>
      </c>
      <c r="R14" s="1299"/>
      <c r="S14" s="1295">
        <f ca="1">'TTM Summary'!AJ12</f>
        <v>159779.8704018463</v>
      </c>
      <c r="T14" s="1290"/>
      <c r="U14" s="1295">
        <f t="shared" ca="1" si="1"/>
        <v>829588.41388691124</v>
      </c>
    </row>
    <row r="15" spans="1:21" x14ac:dyDescent="0.25">
      <c r="A15" s="1129" t="s">
        <v>1051</v>
      </c>
      <c r="B15" s="1129" t="s">
        <v>225</v>
      </c>
      <c r="C15" s="1295">
        <f>'TTM Summary'!F13</f>
        <v>733735.82356098434</v>
      </c>
      <c r="D15" s="1287"/>
      <c r="E15" s="1300"/>
      <c r="F15" s="1300"/>
      <c r="G15" s="1295">
        <f>C15*E15</f>
        <v>0</v>
      </c>
      <c r="H15" s="1296"/>
      <c r="I15" s="1295">
        <f t="shared" si="0"/>
        <v>733735.82356098434</v>
      </c>
      <c r="J15" s="1290"/>
      <c r="K15" s="1297">
        <f>$K$8</f>
        <v>0.38084849477986854</v>
      </c>
      <c r="L15" s="1291">
        <f ca="1">IFERROR('TTM Summary'!AB13/'TTM Summary'!$C13,"")</f>
        <v>0.3659324030272757</v>
      </c>
      <c r="M15" s="1298"/>
      <c r="N15" s="1295">
        <f ca="1">'TTM Summary'!AE13</f>
        <v>278328.05318820011</v>
      </c>
      <c r="O15" s="1290"/>
      <c r="P15" s="1293">
        <f>$P$8</f>
        <v>9.8928063790187343E-2</v>
      </c>
      <c r="Q15" s="1291">
        <f ca="1">IFERROR('TTM Summary'!AG13/'TTM Summary'!$C13,"")</f>
        <v>0.10477010485295056</v>
      </c>
      <c r="R15" s="1299"/>
      <c r="S15" s="1295">
        <f ca="1">'TTM Summary'!AJ13</f>
        <v>73025.510546524572</v>
      </c>
      <c r="T15" s="1290"/>
      <c r="U15" s="1295">
        <f t="shared" ca="1" si="1"/>
        <v>382382.25982625969</v>
      </c>
    </row>
    <row r="16" spans="1:21" x14ac:dyDescent="0.25">
      <c r="A16" s="1129" t="s">
        <v>1052</v>
      </c>
      <c r="B16" s="1129" t="s">
        <v>304</v>
      </c>
      <c r="C16" s="1295">
        <f>'TTM Summary'!F14</f>
        <v>102643.68</v>
      </c>
      <c r="D16" s="1287"/>
      <c r="E16" s="1300"/>
      <c r="F16" s="1300"/>
      <c r="G16" s="1295">
        <f>C16*E16</f>
        <v>0</v>
      </c>
      <c r="H16" s="1296"/>
      <c r="I16" s="1295">
        <f t="shared" si="0"/>
        <v>102643.68</v>
      </c>
      <c r="J16" s="1290"/>
      <c r="K16" s="1297"/>
      <c r="L16" s="1291">
        <f ca="1">IFERROR('TTM Summary'!AB14/'TTM Summary'!$C14,"")</f>
        <v>0.36593240302727575</v>
      </c>
      <c r="M16" s="1298"/>
      <c r="N16" s="1295">
        <f ca="1">'TTM Summary'!AE14</f>
        <v>102710.40145012869</v>
      </c>
      <c r="O16" s="1290"/>
      <c r="P16" s="1297"/>
      <c r="Q16" s="1291">
        <f ca="1">IFERROR('TTM Summary'!AG14/'TTM Summary'!$C14,"")</f>
        <v>0.10477010485295059</v>
      </c>
      <c r="R16" s="1300"/>
      <c r="S16" s="1295">
        <f ca="1">'TTM Summary'!AJ14</f>
        <v>-11.051150659889229</v>
      </c>
      <c r="T16" s="1290"/>
      <c r="U16" s="1295">
        <f t="shared" ca="1" si="1"/>
        <v>-55.670299468805183</v>
      </c>
    </row>
    <row r="17" spans="1:21" x14ac:dyDescent="0.25">
      <c r="A17" s="1129" t="s">
        <v>1133</v>
      </c>
      <c r="B17" s="1129" t="s">
        <v>226</v>
      </c>
      <c r="C17" s="1295">
        <f>'TTM Summary'!F15</f>
        <v>545871.18939199217</v>
      </c>
      <c r="D17" s="1287"/>
      <c r="E17" s="1300"/>
      <c r="F17" s="1300"/>
      <c r="G17" s="1295">
        <f>C17*E17</f>
        <v>0</v>
      </c>
      <c r="H17" s="1296"/>
      <c r="I17" s="1295">
        <f t="shared" si="0"/>
        <v>545871.18939199217</v>
      </c>
      <c r="J17" s="1290"/>
      <c r="K17" s="1297">
        <f>$K$8</f>
        <v>0.38084849477986854</v>
      </c>
      <c r="L17" s="1291">
        <f ca="1">IFERROR('TTM Summary'!AB15/'TTM Summary'!$C15,"")</f>
        <v>0.36593240302727564</v>
      </c>
      <c r="M17" s="1298"/>
      <c r="N17" s="1295">
        <f ca="1">'TTM Summary'!AE15</f>
        <v>207314.85381483022</v>
      </c>
      <c r="O17" s="1290"/>
      <c r="P17" s="1293">
        <f>$P$8</f>
        <v>9.8928063790187343E-2</v>
      </c>
      <c r="Q17" s="1291">
        <f ca="1">IFERROR('TTM Summary'!AG15/'TTM Summary'!$C15,"")</f>
        <v>0.10477010485295053</v>
      </c>
      <c r="R17" s="1299"/>
      <c r="S17" s="1295">
        <f ca="1">'TTM Summary'!AJ15</f>
        <v>54230.430182391981</v>
      </c>
      <c r="T17" s="1290"/>
      <c r="U17" s="1295">
        <f t="shared" ca="1" si="1"/>
        <v>284325.90539476997</v>
      </c>
    </row>
    <row r="18" spans="1:21" x14ac:dyDescent="0.25">
      <c r="A18" s="1129" t="s">
        <v>1132</v>
      </c>
      <c r="B18" s="1129" t="s">
        <v>324</v>
      </c>
      <c r="C18" s="1295">
        <f>'TTM Summary'!F16</f>
        <v>61516.29</v>
      </c>
      <c r="D18" s="1287"/>
      <c r="E18" s="1300"/>
      <c r="F18" s="1300"/>
      <c r="G18" s="1295"/>
      <c r="H18" s="1296"/>
      <c r="I18" s="1295">
        <f t="shared" si="0"/>
        <v>61516.29</v>
      </c>
      <c r="J18" s="1290"/>
      <c r="K18" s="1301"/>
      <c r="L18" s="1291">
        <f ca="1">IFERROR('TTM Summary'!AB16/'TTM Summary'!$C16,"")</f>
        <v>0.77685663166964025</v>
      </c>
      <c r="M18" s="1298"/>
      <c r="N18" s="1295">
        <f ca="1">'TTM Summary'!AE16</f>
        <v>47789.337842212772</v>
      </c>
      <c r="O18" s="1290"/>
      <c r="P18" s="1293"/>
      <c r="Q18" s="1291">
        <f ca="1">IFERROR('TTM Summary'!AG16/'TTM Summary'!$C16,"")</f>
        <v>0.22314336833035975</v>
      </c>
      <c r="R18" s="1299"/>
      <c r="S18" s="1295">
        <f ca="1">'TTM Summary'!AJ16</f>
        <v>13726.952157787226</v>
      </c>
      <c r="T18" s="1290"/>
      <c r="U18" s="1295">
        <f t="shared" ca="1" si="1"/>
        <v>0</v>
      </c>
    </row>
    <row r="19" spans="1:21" x14ac:dyDescent="0.25">
      <c r="A19" s="1129" t="s">
        <v>477</v>
      </c>
      <c r="B19" s="1129" t="s">
        <v>227</v>
      </c>
      <c r="C19" s="1295">
        <f>'TTM Summary'!F17</f>
        <v>275112.80646136613</v>
      </c>
      <c r="D19" s="1287"/>
      <c r="E19" s="1294">
        <v>0.02</v>
      </c>
      <c r="F19" s="1294"/>
      <c r="G19" s="1295">
        <f t="shared" ref="G19:G24" si="2">C19*E19</f>
        <v>5502.2561292273231</v>
      </c>
      <c r="H19" s="1296"/>
      <c r="I19" s="1295">
        <f t="shared" si="0"/>
        <v>269610.55033213878</v>
      </c>
      <c r="J19" s="1290"/>
      <c r="K19" s="1297">
        <f>$K$8</f>
        <v>0.38084849477986854</v>
      </c>
      <c r="L19" s="1291">
        <f ca="1">IFERROR('TTM Summary'!AB17/'TTM Summary'!$C17,"")</f>
        <v>0.35861375496672959</v>
      </c>
      <c r="M19" s="1298"/>
      <c r="N19" s="1295">
        <f ca="1">'TTM Summary'!AE17</f>
        <v>101695.86018988989</v>
      </c>
      <c r="O19" s="1290"/>
      <c r="P19" s="1293">
        <f t="shared" ref="P19:P22" si="3">$P$8</f>
        <v>9.8928063790187343E-2</v>
      </c>
      <c r="Q19" s="1291">
        <f ca="1">IFERROR('TTM Summary'!AG17/'TTM Summary'!$C17,"")</f>
        <v>0.10267470275589138</v>
      </c>
      <c r="R19" s="1299"/>
      <c r="S19" s="1295">
        <f ca="1">'TTM Summary'!AJ17</f>
        <v>27058.150024867802</v>
      </c>
      <c r="T19" s="1290"/>
      <c r="U19" s="1295">
        <f t="shared" ca="1" si="1"/>
        <v>140856.54011738108</v>
      </c>
    </row>
    <row r="20" spans="1:21" x14ac:dyDescent="0.25">
      <c r="A20" s="1129" t="s">
        <v>1053</v>
      </c>
      <c r="B20" s="1129" t="s">
        <v>228</v>
      </c>
      <c r="C20" s="1295">
        <f>'TTM Summary'!F18</f>
        <v>117637.18584924938</v>
      </c>
      <c r="D20" s="1287"/>
      <c r="E20" s="1300"/>
      <c r="F20" s="1300"/>
      <c r="G20" s="1295">
        <f t="shared" si="2"/>
        <v>0</v>
      </c>
      <c r="H20" s="1296"/>
      <c r="I20" s="1295">
        <f t="shared" si="0"/>
        <v>117637.18584924938</v>
      </c>
      <c r="J20" s="1290"/>
      <c r="K20" s="1297">
        <f>$K$8</f>
        <v>0.38084849477986854</v>
      </c>
      <c r="L20" s="1291">
        <f ca="1">IFERROR('TTM Summary'!AB18/'TTM Summary'!$C18,"")</f>
        <v>0.3659324030272757</v>
      </c>
      <c r="M20" s="1298"/>
      <c r="N20" s="1295">
        <f ca="1">'TTM Summary'!AE18</f>
        <v>44258.879251251492</v>
      </c>
      <c r="O20" s="1290"/>
      <c r="P20" s="1293">
        <f t="shared" si="3"/>
        <v>9.8928063790187343E-2</v>
      </c>
      <c r="Q20" s="1291">
        <f ca="1">IFERROR('TTM Summary'!AG18/'TTM Summary'!$C18,"")</f>
        <v>0.10477010485295055</v>
      </c>
      <c r="R20" s="1299"/>
      <c r="S20" s="1295">
        <f ca="1">'TTM Summary'!AJ18</f>
        <v>11850.453646212789</v>
      </c>
      <c r="T20" s="1290"/>
      <c r="U20" s="1295">
        <f t="shared" ca="1" si="1"/>
        <v>61527.852951785098</v>
      </c>
    </row>
    <row r="21" spans="1:21" x14ac:dyDescent="0.25">
      <c r="A21" s="1129" t="s">
        <v>1054</v>
      </c>
      <c r="B21" s="1129" t="s">
        <v>239</v>
      </c>
      <c r="C21" s="1295">
        <f>'TTM Summary'!F19</f>
        <v>191845.07999999996</v>
      </c>
      <c r="D21" s="1287"/>
      <c r="E21" s="1300"/>
      <c r="F21" s="1300"/>
      <c r="G21" s="1295">
        <f t="shared" si="2"/>
        <v>0</v>
      </c>
      <c r="H21" s="1296"/>
      <c r="I21" s="1295">
        <f t="shared" si="0"/>
        <v>191845.07999999996</v>
      </c>
      <c r="J21" s="1290"/>
      <c r="K21" s="1297">
        <f>$K$8</f>
        <v>0.38084849477986854</v>
      </c>
      <c r="L21" s="1291">
        <f ca="1">IFERROR('TTM Summary'!AB19/'TTM Summary'!$C19,"")</f>
        <v>0.36593240302727575</v>
      </c>
      <c r="M21" s="1298"/>
      <c r="N21" s="1295">
        <f ca="1">'TTM Summary'!AE19</f>
        <v>72176.250988775515</v>
      </c>
      <c r="O21" s="1290"/>
      <c r="P21" s="1293">
        <f t="shared" si="3"/>
        <v>9.8928063790187343E-2</v>
      </c>
      <c r="Q21" s="1291">
        <f ca="1">IFERROR('TTM Summary'!AG19/'TTM Summary'!$C19,"")</f>
        <v>0.10477010485295057</v>
      </c>
      <c r="R21" s="1299"/>
      <c r="S21" s="1295">
        <f ca="1">'TTM Summary'!AJ19</f>
        <v>19327.304264229755</v>
      </c>
      <c r="T21" s="1290"/>
      <c r="U21" s="1295">
        <f t="shared" ca="1" si="1"/>
        <v>100341.52474699469</v>
      </c>
    </row>
    <row r="22" spans="1:21" x14ac:dyDescent="0.25">
      <c r="A22" s="1129" t="s">
        <v>480</v>
      </c>
      <c r="B22" s="1129" t="s">
        <v>219</v>
      </c>
      <c r="C22" s="1295">
        <f>'TTM Summary'!F20</f>
        <v>521420.86359193863</v>
      </c>
      <c r="D22" s="1287"/>
      <c r="E22" s="1300"/>
      <c r="F22" s="1300"/>
      <c r="G22" s="1295">
        <f t="shared" si="2"/>
        <v>0</v>
      </c>
      <c r="H22" s="1296"/>
      <c r="I22" s="1295">
        <f t="shared" si="0"/>
        <v>521420.86359193863</v>
      </c>
      <c r="J22" s="1290"/>
      <c r="K22" s="1297">
        <f>$K$8</f>
        <v>0.38084849477986854</v>
      </c>
      <c r="L22" s="1291">
        <f ca="1">IFERROR('TTM Summary'!AB20/'TTM Summary'!$C20,"")</f>
        <v>0.36593240302727575</v>
      </c>
      <c r="M22" s="1298"/>
      <c r="N22" s="1295">
        <f ca="1">'TTM Summary'!AE20</f>
        <v>198583.61304610121</v>
      </c>
      <c r="O22" s="1290"/>
      <c r="P22" s="1293">
        <f t="shared" si="3"/>
        <v>9.8928063790187343E-2</v>
      </c>
      <c r="Q22" s="1291">
        <f ca="1">IFERROR('TTM Summary'!AG20/'TTM Summary'!$C20,"")</f>
        <v>0.10477010485295057</v>
      </c>
      <c r="R22" s="1299"/>
      <c r="S22" s="1295">
        <f ca="1">'TTM Summary'!AJ20</f>
        <v>51582.954569557434</v>
      </c>
      <c r="T22" s="1290"/>
      <c r="U22" s="1295">
        <f t="shared" ca="1" si="1"/>
        <v>271254.29597628</v>
      </c>
    </row>
    <row r="23" spans="1:21" x14ac:dyDescent="0.25">
      <c r="A23" s="1129" t="s">
        <v>1128</v>
      </c>
      <c r="B23" s="1129" t="s">
        <v>284</v>
      </c>
      <c r="C23" s="1295">
        <f>'TTM Summary'!F21</f>
        <v>153083.41764618357</v>
      </c>
      <c r="D23" s="1287"/>
      <c r="E23" s="1300"/>
      <c r="F23" s="1300"/>
      <c r="G23" s="1295">
        <f t="shared" si="2"/>
        <v>0</v>
      </c>
      <c r="H23" s="1296"/>
      <c r="I23" s="1295">
        <f t="shared" si="0"/>
        <v>153083.41764618357</v>
      </c>
      <c r="J23" s="1290"/>
      <c r="K23" s="1301"/>
      <c r="L23" s="1291">
        <f ca="1">IFERROR('TTM Summary'!AB21/'TTM Summary'!$C21,"")</f>
        <v>0.36593240302727575</v>
      </c>
      <c r="M23" s="1298"/>
      <c r="N23" s="1295">
        <f ca="1">'TTM Summary'!AE21</f>
        <v>56018.182882896028</v>
      </c>
      <c r="O23" s="1290"/>
      <c r="P23" s="1293"/>
      <c r="Q23" s="1291">
        <f ca="1">IFERROR('TTM Summary'!AG21/'TTM Summary'!$C21,"")</f>
        <v>0.1047701048529506</v>
      </c>
      <c r="R23" s="1299"/>
      <c r="S23" s="1295">
        <f ca="1">'TTM Summary'!AJ21</f>
        <v>16038.565718038681</v>
      </c>
      <c r="T23" s="1290"/>
      <c r="U23" s="1295">
        <f t="shared" ca="1" si="1"/>
        <v>81026.669045248869</v>
      </c>
    </row>
    <row r="24" spans="1:21" x14ac:dyDescent="0.25">
      <c r="A24" s="1129" t="s">
        <v>1127</v>
      </c>
      <c r="B24" s="1129" t="s">
        <v>229</v>
      </c>
      <c r="C24" s="1295">
        <f>'TTM Summary'!F22</f>
        <v>31168.494271685755</v>
      </c>
      <c r="D24" s="1287"/>
      <c r="E24" s="1294">
        <v>0.02</v>
      </c>
      <c r="F24" s="1300"/>
      <c r="G24" s="1295">
        <f t="shared" si="2"/>
        <v>623.36988543371513</v>
      </c>
      <c r="H24" s="1296"/>
      <c r="I24" s="1295">
        <f t="shared" si="0"/>
        <v>30545.124386252039</v>
      </c>
      <c r="J24" s="1290"/>
      <c r="K24" s="1301"/>
      <c r="L24" s="1291">
        <f ca="1">IFERROR('TTM Summary'!AB22/'TTM Summary'!$C22,"")</f>
        <v>0.35861375496673037</v>
      </c>
      <c r="M24" s="1298"/>
      <c r="N24" s="1295">
        <f ca="1">'TTM Summary'!AE22</f>
        <v>11177.450767428254</v>
      </c>
      <c r="O24" s="1290"/>
      <c r="P24" s="1293"/>
      <c r="Q24" s="1291">
        <f ca="1">IFERROR('TTM Summary'!AG22/'TTM Summary'!$C22,"")</f>
        <v>0.10267470275589159</v>
      </c>
      <c r="R24" s="1299"/>
      <c r="S24" s="1295">
        <f ca="1">'TTM Summary'!AJ22</f>
        <v>3200.2158846940447</v>
      </c>
      <c r="T24" s="1290"/>
      <c r="U24" s="1295">
        <f t="shared" ca="1" si="1"/>
        <v>16167.457734129741</v>
      </c>
    </row>
    <row r="25" spans="1:21" x14ac:dyDescent="0.25">
      <c r="A25" s="1129" t="s">
        <v>1130</v>
      </c>
      <c r="B25" s="1129" t="s">
        <v>283</v>
      </c>
      <c r="C25" s="1295">
        <f>'TTM Summary'!F23</f>
        <v>51896.116649308133</v>
      </c>
      <c r="D25" s="1287"/>
      <c r="E25" s="1300"/>
      <c r="F25" s="1300"/>
      <c r="G25" s="1295"/>
      <c r="H25" s="1296"/>
      <c r="I25" s="1295">
        <f t="shared" si="0"/>
        <v>51896.116649308133</v>
      </c>
      <c r="J25" s="1290"/>
      <c r="K25" s="1301"/>
      <c r="L25" s="1291">
        <f ca="1">IFERROR('TTM Summary'!AB23/'TTM Summary'!$C23,"")</f>
        <v>0.36593240302727575</v>
      </c>
      <c r="M25" s="1298"/>
      <c r="N25" s="1295">
        <f ca="1">'TTM Summary'!AE23</f>
        <v>18990.470673265139</v>
      </c>
      <c r="O25" s="1290"/>
      <c r="P25" s="1293"/>
      <c r="Q25" s="1291">
        <f ca="1">IFERROR('TTM Summary'!AG23/'TTM Summary'!$C23,"")</f>
        <v>0.10477010485295057</v>
      </c>
      <c r="R25" s="1299"/>
      <c r="S25" s="1295">
        <f ca="1">'TTM Summary'!AJ23</f>
        <v>5437.1615828089671</v>
      </c>
      <c r="T25" s="1290"/>
      <c r="U25" s="1295">
        <f t="shared" ca="1" si="1"/>
        <v>27468.484393234026</v>
      </c>
    </row>
    <row r="26" spans="1:21" x14ac:dyDescent="0.25">
      <c r="A26" s="1129" t="s">
        <v>1129</v>
      </c>
      <c r="B26" s="1129" t="s">
        <v>322</v>
      </c>
      <c r="C26" s="1295">
        <f>'TTM Summary'!F24</f>
        <v>14396.200000000003</v>
      </c>
      <c r="D26" s="1287"/>
      <c r="E26" s="1300"/>
      <c r="F26" s="1300"/>
      <c r="G26" s="1295"/>
      <c r="H26" s="1296"/>
      <c r="I26" s="1295">
        <f t="shared" si="0"/>
        <v>14396.200000000003</v>
      </c>
      <c r="J26" s="1290"/>
      <c r="K26" s="1301"/>
      <c r="L26" s="1291">
        <f ca="1">IFERROR('TTM Summary'!AB24/'TTM Summary'!$C24,"")</f>
        <v>0.77685663166964014</v>
      </c>
      <c r="M26" s="1298"/>
      <c r="N26" s="1295">
        <f ca="1">'TTM Summary'!AE24</f>
        <v>11183.783440842475</v>
      </c>
      <c r="O26" s="1290"/>
      <c r="P26" s="1293"/>
      <c r="Q26" s="1291">
        <f ca="1">IFERROR('TTM Summary'!AG24/'TTM Summary'!$C24,"")</f>
        <v>0.22314336833035975</v>
      </c>
      <c r="R26" s="1299"/>
      <c r="S26" s="1295">
        <f ca="1">'TTM Summary'!AJ24</f>
        <v>3212.4165591575256</v>
      </c>
      <c r="T26" s="1290"/>
      <c r="U26" s="1295">
        <f t="shared" ca="1" si="1"/>
        <v>0</v>
      </c>
    </row>
    <row r="27" spans="1:21" x14ac:dyDescent="0.25">
      <c r="A27" s="1129" t="s">
        <v>1131</v>
      </c>
      <c r="B27" s="1129" t="s">
        <v>323</v>
      </c>
      <c r="C27" s="1295">
        <f>'TTM Summary'!F25</f>
        <v>56623.86</v>
      </c>
      <c r="D27" s="1287"/>
      <c r="E27" s="1300"/>
      <c r="F27" s="1300"/>
      <c r="G27" s="1295"/>
      <c r="H27" s="1296"/>
      <c r="I27" s="1295">
        <f t="shared" si="0"/>
        <v>56623.86</v>
      </c>
      <c r="J27" s="1290"/>
      <c r="K27" s="1301"/>
      <c r="L27" s="1291">
        <f ca="1">IFERROR('TTM Summary'!AB25/'TTM Summary'!$C25,"")</f>
        <v>0.39569250617976137</v>
      </c>
      <c r="M27" s="1298"/>
      <c r="N27" s="1295">
        <f ca="1">'TTM Summary'!AE25</f>
        <v>22405.637072971942</v>
      </c>
      <c r="O27" s="1290"/>
      <c r="P27" s="1293"/>
      <c r="Q27" s="1291">
        <f ca="1">IFERROR('TTM Summary'!AG25/'TTM Summary'!$C25,"")</f>
        <v>0.60430749382023874</v>
      </c>
      <c r="R27" s="1299"/>
      <c r="S27" s="1295">
        <f ca="1">'TTM Summary'!AJ25</f>
        <v>34218.222927028066</v>
      </c>
      <c r="T27" s="1290"/>
      <c r="U27" s="1295">
        <f t="shared" ca="1" si="1"/>
        <v>0</v>
      </c>
    </row>
    <row r="28" spans="1:21" x14ac:dyDescent="0.25">
      <c r="A28" s="1129" t="s">
        <v>481</v>
      </c>
      <c r="B28" s="1129" t="s">
        <v>220</v>
      </c>
      <c r="C28" s="1295">
        <f>'TTM Summary'!F26</f>
        <v>664925.11455191276</v>
      </c>
      <c r="D28" s="1287"/>
      <c r="E28" s="1300"/>
      <c r="F28" s="1300"/>
      <c r="G28" s="1295">
        <f>C28*E28</f>
        <v>0</v>
      </c>
      <c r="H28" s="1296"/>
      <c r="I28" s="1295">
        <f t="shared" si="0"/>
        <v>664925.11455191276</v>
      </c>
      <c r="J28" s="1290"/>
      <c r="K28" s="1297">
        <f>$K$8</f>
        <v>0.38084849477986854</v>
      </c>
      <c r="L28" s="1291">
        <f ca="1">IFERROR('TTM Summary'!AB26/'TTM Summary'!$C26,"")</f>
        <v>0.3659324030272757</v>
      </c>
      <c r="M28" s="1298"/>
      <c r="N28" s="1295">
        <f ca="1">'TTM Summary'!AE26</f>
        <v>251897.13035309728</v>
      </c>
      <c r="O28" s="1290"/>
      <c r="P28" s="1293">
        <f t="shared" ref="P28" si="4">$P$8</f>
        <v>9.8928063790187343E-2</v>
      </c>
      <c r="Q28" s="1291">
        <f ca="1">IFERROR('TTM Summary'!AG26/'TTM Summary'!$C26,"")</f>
        <v>0.10477010485295059</v>
      </c>
      <c r="R28" s="1299"/>
      <c r="S28" s="1295">
        <f ca="1">'TTM Summary'!AJ26</f>
        <v>66306.610670074457</v>
      </c>
      <c r="T28" s="1290"/>
      <c r="U28" s="1295">
        <f t="shared" ca="1" si="1"/>
        <v>346721.37352874101</v>
      </c>
    </row>
    <row r="29" spans="1:21" x14ac:dyDescent="0.25">
      <c r="A29" s="1129" t="s">
        <v>315</v>
      </c>
      <c r="C29" s="1295">
        <f>'TTM Summary'!F27</f>
        <v>-146875</v>
      </c>
      <c r="D29" s="1287"/>
      <c r="E29" s="1300"/>
      <c r="F29" s="1300"/>
      <c r="G29" s="1295"/>
      <c r="H29" s="1296"/>
      <c r="I29" s="1295">
        <f t="shared" si="0"/>
        <v>-146875</v>
      </c>
      <c r="J29" s="1290"/>
      <c r="K29" s="1297"/>
      <c r="L29" s="1292"/>
      <c r="M29" s="1298"/>
      <c r="N29" s="1295">
        <f>'TTM Summary'!AE27</f>
        <v>0</v>
      </c>
      <c r="O29" s="1290"/>
      <c r="P29" s="1293"/>
      <c r="Q29" s="1291"/>
      <c r="R29" s="1299"/>
      <c r="S29" s="1295">
        <f ca="1">'TTM Summary'!AJ27</f>
        <v>-146875</v>
      </c>
      <c r="T29" s="1290"/>
      <c r="U29" s="1295">
        <f t="shared" ca="1" si="1"/>
        <v>0</v>
      </c>
    </row>
    <row r="30" spans="1:21" x14ac:dyDescent="0.25">
      <c r="A30" s="1129" t="s">
        <v>421</v>
      </c>
      <c r="C30" s="1295">
        <f ca="1">'TTM Summary'!F28</f>
        <v>-159375</v>
      </c>
      <c r="D30" s="1287"/>
      <c r="E30" s="1300"/>
      <c r="F30" s="1300"/>
      <c r="G30" s="1295">
        <f ca="1">C30*E30</f>
        <v>0</v>
      </c>
      <c r="H30" s="1296"/>
      <c r="I30" s="1295">
        <f t="shared" ca="1" si="0"/>
        <v>-159375</v>
      </c>
      <c r="J30" s="1290"/>
      <c r="K30" s="1297"/>
      <c r="L30" s="1292"/>
      <c r="M30" s="1298"/>
      <c r="N30" s="1295">
        <f ca="1">'TTM Summary'!AE28</f>
        <v>-159375</v>
      </c>
      <c r="O30" s="1290"/>
      <c r="P30" s="1300"/>
      <c r="Q30" s="1294"/>
      <c r="R30" s="1299"/>
      <c r="S30" s="1295">
        <f>'TTM Summary'!AJ28</f>
        <v>0</v>
      </c>
      <c r="T30" s="1290"/>
      <c r="U30" s="1295">
        <f t="shared" ca="1" si="1"/>
        <v>0</v>
      </c>
    </row>
    <row r="31" spans="1:21" ht="15" x14ac:dyDescent="0.3">
      <c r="A31" s="1130" t="s">
        <v>3</v>
      </c>
      <c r="B31" s="1130"/>
      <c r="C31" s="1302">
        <f ca="1">SUM(C8:C30)</f>
        <v>11504713.813601429</v>
      </c>
      <c r="D31" s="1303"/>
      <c r="E31" s="1304"/>
      <c r="F31" s="1304"/>
      <c r="G31" s="1302">
        <f ca="1">SUM(G8:G30)</f>
        <v>126161.19074863713</v>
      </c>
      <c r="H31" s="1303"/>
      <c r="I31" s="1302">
        <f ca="1">SUM(I8:I30)</f>
        <v>11378552.622852791</v>
      </c>
      <c r="J31" s="1303"/>
      <c r="K31" s="1304"/>
      <c r="L31" s="1304"/>
      <c r="M31" s="1304"/>
      <c r="N31" s="1302">
        <f ca="1">SUM(N8:N30)</f>
        <v>4472423.2677569445</v>
      </c>
      <c r="O31" s="1303"/>
      <c r="P31" s="1304"/>
      <c r="Q31" s="1304"/>
      <c r="R31" s="1304"/>
      <c r="S31" s="1302">
        <f ca="1">SUM(S8:S30)</f>
        <v>1043044.7978341635</v>
      </c>
      <c r="T31" s="1305"/>
      <c r="U31" s="1302">
        <f ca="1">SUM(U8:U30)</f>
        <v>5863084.5572616868</v>
      </c>
    </row>
    <row r="32" spans="1:21" x14ac:dyDescent="0.25">
      <c r="C32" s="1300"/>
    </row>
    <row r="33" spans="1:21" ht="15" x14ac:dyDescent="0.25">
      <c r="C33" s="1374" t="s">
        <v>1055</v>
      </c>
      <c r="D33" s="1374"/>
      <c r="E33" s="1374"/>
      <c r="F33" s="1374"/>
      <c r="G33" s="1374"/>
      <c r="H33" s="1374"/>
      <c r="I33" s="1374"/>
      <c r="J33" s="1374"/>
      <c r="K33" s="1374"/>
    </row>
    <row r="34" spans="1:21" ht="45" x14ac:dyDescent="0.3">
      <c r="A34" s="1136" t="s">
        <v>1042</v>
      </c>
      <c r="B34" s="1241"/>
      <c r="C34" s="1143" t="str">
        <f>+U7</f>
        <v>TTM Q1 2020 Net Amount Allocated to WSC</v>
      </c>
      <c r="E34" s="1306" t="s">
        <v>1056</v>
      </c>
      <c r="G34" s="1143" t="s">
        <v>1057</v>
      </c>
      <c r="I34" s="1360" t="s">
        <v>1161</v>
      </c>
      <c r="J34" s="1361"/>
      <c r="K34" s="1360" t="s">
        <v>1178</v>
      </c>
    </row>
    <row r="35" spans="1:21" x14ac:dyDescent="0.25">
      <c r="A35" s="1129" t="s">
        <v>470</v>
      </c>
      <c r="C35" s="1138">
        <f ca="1">U8</f>
        <v>134751.36030369429</v>
      </c>
      <c r="E35" s="1286">
        <f ca="1">-'TTM Summary'!P6</f>
        <v>23256.146608731233</v>
      </c>
      <c r="G35" s="1138">
        <f t="shared" ref="G35:G57" ca="1" si="5">C35-E35</f>
        <v>111495.21369496307</v>
      </c>
      <c r="I35" s="1362">
        <f>+'ERC Summary - March 31, 2020'!$H$7</f>
        <v>2.3337700581120353E-2</v>
      </c>
      <c r="J35" s="1361"/>
      <c r="K35" s="1363">
        <f ca="1">I35*G35</f>
        <v>2602.0419134410777</v>
      </c>
      <c r="O35" s="1139"/>
      <c r="P35" s="1140"/>
      <c r="Q35" s="1140"/>
      <c r="R35" s="1140"/>
      <c r="S35" s="1138"/>
      <c r="T35" s="1139"/>
      <c r="U35" s="1138"/>
    </row>
    <row r="36" spans="1:21" x14ac:dyDescent="0.25">
      <c r="A36" s="1129" t="s">
        <v>1049</v>
      </c>
      <c r="C36" s="1141">
        <f ca="1">U9</f>
        <v>1747936.3419969857</v>
      </c>
      <c r="E36" s="1295">
        <f ca="1">-'TTM Summary'!P7</f>
        <v>40296.245458096637</v>
      </c>
      <c r="G36" s="1141">
        <f t="shared" ca="1" si="5"/>
        <v>1707640.096538889</v>
      </c>
      <c r="I36" s="1362">
        <f>+'ERC Summary - March 31, 2020'!$H$7</f>
        <v>2.3337700581120353E-2</v>
      </c>
      <c r="J36" s="1361"/>
      <c r="K36" s="1364">
        <f t="shared" ref="K36:K57" ca="1" si="6">I36*G36</f>
        <v>39852.393273340043</v>
      </c>
      <c r="U36" s="1255"/>
    </row>
    <row r="37" spans="1:21" x14ac:dyDescent="0.25">
      <c r="A37" s="1129" t="s">
        <v>472</v>
      </c>
      <c r="C37" s="1141">
        <f t="shared" ref="C37:C48" si="7">U10</f>
        <v>115892.03567105913</v>
      </c>
      <c r="E37" s="1295">
        <f>-'TTM Summary'!P8</f>
        <v>6276.6153797692523</v>
      </c>
      <c r="G37" s="1141">
        <f t="shared" si="5"/>
        <v>109615.42029128988</v>
      </c>
      <c r="I37" s="1362">
        <f>+'ERC Summary - March 31, 2020'!$H$7</f>
        <v>2.3337700581120353E-2</v>
      </c>
      <c r="J37" s="1361"/>
      <c r="K37" s="1364">
        <f t="shared" si="6"/>
        <v>2558.1718578317873</v>
      </c>
    </row>
    <row r="38" spans="1:21" x14ac:dyDescent="0.25">
      <c r="A38" s="1129" t="s">
        <v>1050</v>
      </c>
      <c r="C38" s="1141">
        <f t="shared" si="7"/>
        <v>-0.13000000007741619</v>
      </c>
      <c r="E38" s="1295">
        <f>-'TTM Summary'!P9</f>
        <v>0</v>
      </c>
      <c r="G38" s="1141">
        <f t="shared" si="5"/>
        <v>-0.13000000007741619</v>
      </c>
      <c r="I38" s="1362">
        <f>+'ERC Summary - March 31, 2020'!$H$7</f>
        <v>2.3337700581120353E-2</v>
      </c>
      <c r="J38" s="1361"/>
      <c r="K38" s="1364">
        <f t="shared" si="6"/>
        <v>-3.0339010773523618E-3</v>
      </c>
    </row>
    <row r="39" spans="1:21" x14ac:dyDescent="0.25">
      <c r="A39" s="1129" t="s">
        <v>1139</v>
      </c>
      <c r="C39" s="1141">
        <f t="shared" ca="1" si="7"/>
        <v>1322900.2719876794</v>
      </c>
      <c r="E39" s="1295">
        <f ca="1">-'TTM Summary'!P10</f>
        <v>16630.328331116296</v>
      </c>
      <c r="G39" s="1141">
        <f t="shared" ca="1" si="5"/>
        <v>1306269.9436565631</v>
      </c>
      <c r="I39" s="1362">
        <f>+'ERC Summary - March 31, 2020'!$H$7</f>
        <v>2.3337700581120353E-2</v>
      </c>
      <c r="J39" s="1361"/>
      <c r="K39" s="1364">
        <f t="shared" ca="1" si="6"/>
        <v>30485.33682317382</v>
      </c>
    </row>
    <row r="40" spans="1:21" x14ac:dyDescent="0.25">
      <c r="A40" s="1129" t="s">
        <v>1138</v>
      </c>
      <c r="C40" s="1141">
        <f t="shared" ca="1" si="7"/>
        <v>-0.43000000000574801</v>
      </c>
      <c r="E40" s="1295">
        <f ca="1">-'TTM Summary'!P11</f>
        <v>0</v>
      </c>
      <c r="G40" s="1141">
        <f t="shared" ca="1" si="5"/>
        <v>-0.43000000000574801</v>
      </c>
      <c r="I40" s="1362">
        <f>+'ERC Summary - March 31, 2020'!$H$7</f>
        <v>2.3337700581120353E-2</v>
      </c>
      <c r="J40" s="1361"/>
      <c r="K40" s="1364">
        <f t="shared" ca="1" si="6"/>
        <v>-1.0035211250015897E-2</v>
      </c>
    </row>
    <row r="41" spans="1:21" x14ac:dyDescent="0.25">
      <c r="A41" s="1129" t="s">
        <v>474</v>
      </c>
      <c r="C41" s="1141">
        <f t="shared" ca="1" si="7"/>
        <v>829588.41388691124</v>
      </c>
      <c r="E41" s="1295">
        <f ca="1">-'TTM Summary'!P12</f>
        <v>0</v>
      </c>
      <c r="G41" s="1141">
        <f t="shared" ca="1" si="5"/>
        <v>829588.41388691124</v>
      </c>
      <c r="I41" s="1362">
        <f>+'ERC Summary - March 31, 2020'!$H$7</f>
        <v>2.3337700581120353E-2</v>
      </c>
      <c r="J41" s="1361"/>
      <c r="K41" s="1364">
        <f t="shared" ca="1" si="6"/>
        <v>19360.68600885928</v>
      </c>
    </row>
    <row r="42" spans="1:21" x14ac:dyDescent="0.25">
      <c r="A42" s="1129" t="s">
        <v>1051</v>
      </c>
      <c r="C42" s="1141">
        <f t="shared" ca="1" si="7"/>
        <v>382382.25982625969</v>
      </c>
      <c r="E42" s="1295">
        <f ca="1">-'TTM Summary'!P13</f>
        <v>84103.156995705955</v>
      </c>
      <c r="G42" s="1141">
        <f t="shared" ca="1" si="5"/>
        <v>298279.10283055372</v>
      </c>
      <c r="I42" s="1362">
        <f>+'ERC Summary - March 31, 2020'!$H$7</f>
        <v>2.3337700581120353E-2</v>
      </c>
      <c r="J42" s="1361"/>
      <c r="K42" s="1364">
        <f t="shared" ca="1" si="6"/>
        <v>6961.1483914646706</v>
      </c>
    </row>
    <row r="43" spans="1:21" x14ac:dyDescent="0.25">
      <c r="A43" s="1129" t="s">
        <v>1052</v>
      </c>
      <c r="C43" s="1141">
        <f t="shared" ca="1" si="7"/>
        <v>-55.670299468805183</v>
      </c>
      <c r="E43" s="1295">
        <f ca="1">-'TTM Summary'!P14</f>
        <v>0</v>
      </c>
      <c r="G43" s="1141">
        <f t="shared" ca="1" si="5"/>
        <v>-55.670299468805183</v>
      </c>
      <c r="I43" s="1362">
        <f>+'ERC Summary - March 31, 2020'!$H$7</f>
        <v>2.3337700581120353E-2</v>
      </c>
      <c r="J43" s="1361"/>
      <c r="K43" s="1364">
        <f t="shared" ca="1" si="6"/>
        <v>-1.2992167802642787</v>
      </c>
    </row>
    <row r="44" spans="1:21" x14ac:dyDescent="0.25">
      <c r="A44" s="1129" t="s">
        <v>1133</v>
      </c>
      <c r="C44" s="1141">
        <f t="shared" ca="1" si="7"/>
        <v>284325.90539476997</v>
      </c>
      <c r="E44" s="1295">
        <f ca="1">-'TTM Summary'!P15</f>
        <v>6793.8800449499358</v>
      </c>
      <c r="G44" s="1141">
        <f t="shared" ca="1" si="5"/>
        <v>277532.02534982003</v>
      </c>
      <c r="I44" s="1362">
        <f>+'ERC Summary - March 31, 2020'!$H$7</f>
        <v>2.3337700581120353E-2</v>
      </c>
      <c r="J44" s="1361"/>
      <c r="K44" s="1364">
        <f t="shared" ca="1" si="6"/>
        <v>6476.9593092860032</v>
      </c>
    </row>
    <row r="45" spans="1:21" x14ac:dyDescent="0.25">
      <c r="A45" s="1129" t="s">
        <v>1132</v>
      </c>
      <c r="C45" s="1141">
        <f t="shared" ca="1" si="7"/>
        <v>0</v>
      </c>
      <c r="E45" s="1295">
        <f ca="1">-'TTM Summary'!P16</f>
        <v>0</v>
      </c>
      <c r="G45" s="1141">
        <f t="shared" ca="1" si="5"/>
        <v>0</v>
      </c>
      <c r="I45" s="1362">
        <f>+'ERC Summary - March 31, 2020'!$H$7</f>
        <v>2.3337700581120353E-2</v>
      </c>
      <c r="J45" s="1361"/>
      <c r="K45" s="1364">
        <f t="shared" ca="1" si="6"/>
        <v>0</v>
      </c>
    </row>
    <row r="46" spans="1:21" x14ac:dyDescent="0.25">
      <c r="A46" s="1129" t="s">
        <v>477</v>
      </c>
      <c r="C46" s="1141">
        <f t="shared" ca="1" si="7"/>
        <v>140856.54011738108</v>
      </c>
      <c r="E46" s="1295">
        <f ca="1">-'TTM Summary'!P17</f>
        <v>0</v>
      </c>
      <c r="G46" s="1141">
        <f t="shared" ca="1" si="5"/>
        <v>140856.54011738108</v>
      </c>
      <c r="I46" s="1362">
        <f>+'ERC Summary - March 31, 2020'!$H$7</f>
        <v>2.3337700581120353E-2</v>
      </c>
      <c r="J46" s="1361"/>
      <c r="K46" s="1364">
        <f t="shared" ca="1" si="6"/>
        <v>3287.2677581520065</v>
      </c>
    </row>
    <row r="47" spans="1:21" x14ac:dyDescent="0.25">
      <c r="A47" s="1129" t="s">
        <v>1053</v>
      </c>
      <c r="C47" s="1141">
        <f t="shared" ca="1" si="7"/>
        <v>61527.852951785098</v>
      </c>
      <c r="E47" s="1295">
        <f ca="1">-'TTM Summary'!P18</f>
        <v>565.03817983308738</v>
      </c>
      <c r="G47" s="1141">
        <f t="shared" ca="1" si="5"/>
        <v>60962.814771952013</v>
      </c>
      <c r="I47" s="1362">
        <f>+'ERC Summary - March 31, 2020'!$H$7</f>
        <v>2.3337700581120353E-2</v>
      </c>
      <c r="J47" s="1361"/>
      <c r="K47" s="1364">
        <f t="shared" ca="1" si="6"/>
        <v>1422.7319177301169</v>
      </c>
    </row>
    <row r="48" spans="1:21" x14ac:dyDescent="0.25">
      <c r="A48" s="1129" t="s">
        <v>1054</v>
      </c>
      <c r="C48" s="1141">
        <f t="shared" ca="1" si="7"/>
        <v>100341.52474699469</v>
      </c>
      <c r="E48" s="1295">
        <f ca="1">-'TTM Summary'!P19</f>
        <v>0</v>
      </c>
      <c r="G48" s="1141">
        <f t="shared" ca="1" si="5"/>
        <v>100341.52474699469</v>
      </c>
      <c r="I48" s="1362">
        <f>+'ERC Summary - March 31, 2020'!$H$7</f>
        <v>2.3337700581120353E-2</v>
      </c>
      <c r="J48" s="1361"/>
      <c r="K48" s="1364">
        <f t="shared" ca="1" si="6"/>
        <v>2341.7404603984401</v>
      </c>
    </row>
    <row r="49" spans="1:12" x14ac:dyDescent="0.25">
      <c r="A49" s="1129" t="s">
        <v>480</v>
      </c>
      <c r="C49" s="1141">
        <f ca="1">U22</f>
        <v>271254.29597628</v>
      </c>
      <c r="E49" s="1295">
        <f ca="1">-'TTM Summary'!P20</f>
        <v>271255.35222103761</v>
      </c>
      <c r="G49" s="1141">
        <f t="shared" ca="1" si="5"/>
        <v>-1.0562447576085106</v>
      </c>
      <c r="I49" s="1362">
        <f>+'ERC Summary - March 31, 2020'!$H$7</f>
        <v>2.3337700581120353E-2</v>
      </c>
      <c r="J49" s="1361"/>
      <c r="K49" s="1364">
        <f t="shared" ca="1" si="6"/>
        <v>-2.4650323893445462E-2</v>
      </c>
    </row>
    <row r="50" spans="1:12" x14ac:dyDescent="0.25">
      <c r="A50" s="1129" t="s">
        <v>1128</v>
      </c>
      <c r="C50" s="1141">
        <f t="shared" ref="C50:C57" ca="1" si="8">U23</f>
        <v>81026.669045248869</v>
      </c>
      <c r="E50" s="1295">
        <f ca="1">-'TTM Summary'!P21</f>
        <v>0</v>
      </c>
      <c r="G50" s="1141">
        <f t="shared" ca="1" si="5"/>
        <v>81026.669045248869</v>
      </c>
      <c r="I50" s="1362">
        <f>+'ERC Summary - March 31, 2020'!$H$7</f>
        <v>2.3337700581120353E-2</v>
      </c>
      <c r="J50" s="1361"/>
      <c r="K50" s="1364">
        <f t="shared" ca="1" si="6"/>
        <v>1890.976141263551</v>
      </c>
    </row>
    <row r="51" spans="1:12" x14ac:dyDescent="0.25">
      <c r="A51" s="1129" t="s">
        <v>1127</v>
      </c>
      <c r="C51" s="1141">
        <f t="shared" ca="1" si="8"/>
        <v>16167.457734129741</v>
      </c>
      <c r="E51" s="1295">
        <f ca="1">-'TTM Summary'!P22</f>
        <v>0</v>
      </c>
      <c r="G51" s="1141">
        <f t="shared" ca="1" si="5"/>
        <v>16167.457734129741</v>
      </c>
      <c r="I51" s="1362">
        <f>+'ERC Summary - March 31, 2020'!$H$7</f>
        <v>2.3337700581120353E-2</v>
      </c>
      <c r="J51" s="1361"/>
      <c r="K51" s="1364">
        <f t="shared" ca="1" si="6"/>
        <v>377.31128775703837</v>
      </c>
    </row>
    <row r="52" spans="1:12" x14ac:dyDescent="0.25">
      <c r="A52" s="1129" t="s">
        <v>1130</v>
      </c>
      <c r="C52" s="1141">
        <f t="shared" ca="1" si="8"/>
        <v>27468.484393234026</v>
      </c>
      <c r="E52" s="1295">
        <f ca="1">-'TTM Summary'!P23</f>
        <v>0</v>
      </c>
      <c r="G52" s="1141">
        <f t="shared" ca="1" si="5"/>
        <v>27468.484393234026</v>
      </c>
      <c r="I52" s="1362">
        <f>+'ERC Summary - March 31, 2020'!$H$7</f>
        <v>2.3337700581120353E-2</v>
      </c>
      <c r="J52" s="1361"/>
      <c r="K52" s="1364">
        <f t="shared" ca="1" si="6"/>
        <v>641.05126418647308</v>
      </c>
    </row>
    <row r="53" spans="1:12" x14ac:dyDescent="0.25">
      <c r="A53" s="1129" t="s">
        <v>1129</v>
      </c>
      <c r="C53" s="1141">
        <f t="shared" ca="1" si="8"/>
        <v>0</v>
      </c>
      <c r="E53" s="1295">
        <f ca="1">-'TTM Summary'!P24</f>
        <v>0</v>
      </c>
      <c r="G53" s="1141">
        <f t="shared" ca="1" si="5"/>
        <v>0</v>
      </c>
      <c r="I53" s="1362">
        <f>+'ERC Summary - March 31, 2020'!$H$7</f>
        <v>2.3337700581120353E-2</v>
      </c>
      <c r="J53" s="1361"/>
      <c r="K53" s="1364">
        <f t="shared" ca="1" si="6"/>
        <v>0</v>
      </c>
    </row>
    <row r="54" spans="1:12" x14ac:dyDescent="0.25">
      <c r="A54" s="1129" t="s">
        <v>1131</v>
      </c>
      <c r="C54" s="1141">
        <f t="shared" ca="1" si="8"/>
        <v>0</v>
      </c>
      <c r="E54" s="1295">
        <f ca="1">-'TTM Summary'!P25</f>
        <v>0</v>
      </c>
      <c r="G54" s="1141">
        <f t="shared" ca="1" si="5"/>
        <v>0</v>
      </c>
      <c r="I54" s="1362">
        <f>+'ERC Summary - March 31, 2020'!$H$7</f>
        <v>2.3337700581120353E-2</v>
      </c>
      <c r="J54" s="1361"/>
      <c r="K54" s="1364">
        <f t="shared" ca="1" si="6"/>
        <v>0</v>
      </c>
    </row>
    <row r="55" spans="1:12" x14ac:dyDescent="0.25">
      <c r="A55" s="1129" t="s">
        <v>481</v>
      </c>
      <c r="C55" s="1141">
        <f t="shared" ca="1" si="8"/>
        <v>346721.37352874101</v>
      </c>
      <c r="E55" s="1295">
        <f ca="1">-'TTM Summary'!P26</f>
        <v>346730.22414331214</v>
      </c>
      <c r="G55" s="1141">
        <f t="shared" ca="1" si="5"/>
        <v>-8.8506145711289719</v>
      </c>
      <c r="I55" s="1362">
        <f>+'ERC Summary - March 31, 2020'!$H$7</f>
        <v>2.3337700581120353E-2</v>
      </c>
      <c r="J55" s="1361"/>
      <c r="K55" s="1364">
        <f t="shared" ca="1" si="6"/>
        <v>-0.20655299281990885</v>
      </c>
    </row>
    <row r="56" spans="1:12" x14ac:dyDescent="0.25">
      <c r="A56" s="1129" t="s">
        <v>315</v>
      </c>
      <c r="C56" s="1141">
        <f t="shared" ca="1" si="8"/>
        <v>0</v>
      </c>
      <c r="E56" s="1295">
        <f>-'TTM Summary'!P27</f>
        <v>0</v>
      </c>
      <c r="G56" s="1141">
        <f t="shared" ca="1" si="5"/>
        <v>0</v>
      </c>
      <c r="I56" s="1362">
        <f>+'ERC Summary - March 31, 2020'!$H$7</f>
        <v>2.3337700581120353E-2</v>
      </c>
      <c r="J56" s="1361"/>
      <c r="K56" s="1364">
        <f t="shared" ca="1" si="6"/>
        <v>0</v>
      </c>
    </row>
    <row r="57" spans="1:12" x14ac:dyDescent="0.25">
      <c r="A57" s="1129" t="s">
        <v>421</v>
      </c>
      <c r="C57" s="1141">
        <f t="shared" ca="1" si="8"/>
        <v>0</v>
      </c>
      <c r="E57" s="1295">
        <f>-'TTM Summary'!P28</f>
        <v>0</v>
      </c>
      <c r="G57" s="1141">
        <f t="shared" ca="1" si="5"/>
        <v>0</v>
      </c>
      <c r="I57" s="1362">
        <f>+'ERC Summary - March 31, 2020'!$H$7</f>
        <v>2.3337700581120353E-2</v>
      </c>
      <c r="J57" s="1361"/>
      <c r="K57" s="1364">
        <f t="shared" ca="1" si="6"/>
        <v>0</v>
      </c>
    </row>
    <row r="58" spans="1:12" ht="15" x14ac:dyDescent="0.3">
      <c r="A58" s="1130" t="s">
        <v>3</v>
      </c>
      <c r="B58" s="1130"/>
      <c r="C58" s="1142">
        <f ca="1">SUM(C35:C57)</f>
        <v>5863084.5572616868</v>
      </c>
      <c r="D58" s="1130"/>
      <c r="E58" s="1302">
        <f ca="1">SUM(E35:E57)</f>
        <v>795906.9873625522</v>
      </c>
      <c r="F58" s="1130"/>
      <c r="G58" s="1142">
        <f ca="1">SUM(G35:G57)</f>
        <v>5067177.5698991325</v>
      </c>
      <c r="H58" s="1137"/>
      <c r="I58" s="1365"/>
      <c r="J58" s="1365"/>
      <c r="K58" s="1366">
        <f ca="1">SUM(K35:K57)</f>
        <v>118256.27291767503</v>
      </c>
    </row>
    <row r="59" spans="1:12" ht="9.6" customHeight="1" x14ac:dyDescent="0.25">
      <c r="C59" s="1144"/>
      <c r="E59" s="1144"/>
      <c r="G59" s="1144"/>
      <c r="I59" s="1361"/>
      <c r="J59" s="1361"/>
      <c r="K59" s="1367"/>
    </row>
    <row r="60" spans="1:12" x14ac:dyDescent="0.25">
      <c r="C60" s="1144"/>
      <c r="E60" s="1144"/>
      <c r="G60" s="1144"/>
      <c r="I60" s="1361"/>
      <c r="J60" s="1368" t="s">
        <v>1179</v>
      </c>
      <c r="K60" s="1367">
        <v>142615.02999999997</v>
      </c>
    </row>
    <row r="61" spans="1:12" ht="15.75" thickBot="1" x14ac:dyDescent="0.35">
      <c r="C61" s="1144"/>
      <c r="E61" s="1144"/>
      <c r="G61" s="1144"/>
      <c r="I61" s="1361"/>
      <c r="J61" s="1369" t="s">
        <v>1180</v>
      </c>
      <c r="K61" s="1370">
        <f ca="1">+K58-K60</f>
        <v>-24358.757082324941</v>
      </c>
    </row>
    <row r="62" spans="1:12" ht="14.25" thickTop="1" x14ac:dyDescent="0.25">
      <c r="C62" s="1145"/>
      <c r="E62" s="1145"/>
      <c r="G62" s="1145"/>
      <c r="K62" s="1145"/>
      <c r="L62" s="1145"/>
    </row>
    <row r="63" spans="1:12" ht="15" x14ac:dyDescent="0.3">
      <c r="A63" s="1146" t="s">
        <v>804</v>
      </c>
      <c r="B63" s="1146"/>
      <c r="C63" s="1145"/>
      <c r="E63" s="1145"/>
      <c r="G63" s="1145"/>
    </row>
    <row r="64" spans="1:12" x14ac:dyDescent="0.25">
      <c r="A64" s="1129" t="s">
        <v>1058</v>
      </c>
      <c r="C64" s="1145"/>
      <c r="E64" s="1145"/>
      <c r="G64" s="1145"/>
    </row>
    <row r="65" spans="1:7" x14ac:dyDescent="0.25">
      <c r="C65" s="1145"/>
      <c r="E65" s="1145"/>
      <c r="G65" s="1145"/>
    </row>
    <row r="66" spans="1:7" ht="15" x14ac:dyDescent="0.3">
      <c r="A66" s="1146" t="s">
        <v>1059</v>
      </c>
      <c r="B66" s="1146"/>
    </row>
    <row r="67" spans="1:7" x14ac:dyDescent="0.25">
      <c r="A67" s="1129" t="s">
        <v>1181</v>
      </c>
    </row>
    <row r="68" spans="1:7" x14ac:dyDescent="0.25">
      <c r="A68" s="1129" t="s">
        <v>1060</v>
      </c>
    </row>
    <row r="69" spans="1:7" x14ac:dyDescent="0.25">
      <c r="A69" s="1129" t="s">
        <v>1183</v>
      </c>
    </row>
    <row r="71" spans="1:7" ht="15" x14ac:dyDescent="0.3">
      <c r="A71" s="1146" t="s">
        <v>1061</v>
      </c>
      <c r="B71" s="1146"/>
    </row>
    <row r="72" spans="1:7" x14ac:dyDescent="0.25">
      <c r="A72" s="1129" t="s">
        <v>1182</v>
      </c>
    </row>
    <row r="73" spans="1:7" x14ac:dyDescent="0.25">
      <c r="A73" s="1129" t="s">
        <v>1184</v>
      </c>
    </row>
    <row r="75" spans="1:7" ht="15" x14ac:dyDescent="0.3">
      <c r="A75" s="1146"/>
      <c r="B75" s="1146"/>
    </row>
  </sheetData>
  <mergeCells count="1">
    <mergeCell ref="C33:K33"/>
  </mergeCells>
  <pageMargins left="0.7" right="0.7" top="0.75" bottom="0.75" header="0.3" footer="0.3"/>
  <pageSetup scale="48" orientation="landscape" r:id="rId1"/>
  <headerFooter>
    <oddHeader>&amp;C&amp;"-,Bold"&amp;14&amp;KFF0000CONFIDENTIAL</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336"/>
  <sheetViews>
    <sheetView zoomScale="85" zoomScaleNormal="85" workbookViewId="0">
      <pane xSplit="2" ySplit="9" topLeftCell="C159" activePane="bottomRight" state="frozen"/>
      <selection activeCell="B2" sqref="B2"/>
      <selection pane="topRight" activeCell="B2" sqref="B2"/>
      <selection pane="bottomLeft" activeCell="B2" sqref="B2"/>
      <selection pane="bottomRight" activeCell="C3" sqref="C3"/>
    </sheetView>
  </sheetViews>
  <sheetFormatPr defaultRowHeight="15" x14ac:dyDescent="0.25"/>
  <cols>
    <col min="1" max="1" width="13" style="513" hidden="1" customWidth="1"/>
    <col min="2" max="2" width="40.5703125" style="413" customWidth="1"/>
    <col min="3" max="3" width="15.5703125" style="414" customWidth="1"/>
    <col min="4" max="4" width="13.7109375" style="414" hidden="1" customWidth="1"/>
    <col min="5" max="6" width="13.7109375" style="414" customWidth="1"/>
    <col min="7" max="7" width="16.42578125" style="414" customWidth="1"/>
    <col min="8" max="8" width="13.7109375" style="414" hidden="1" customWidth="1"/>
    <col min="9" max="13" width="13.7109375" style="414" customWidth="1"/>
    <col min="14" max="15" width="13.7109375" style="414" hidden="1" customWidth="1"/>
    <col min="16" max="16" width="13.7109375" style="414" customWidth="1"/>
    <col min="17" max="17" width="13.7109375" style="414" hidden="1" customWidth="1"/>
    <col min="18" max="26" width="13.7109375" style="414" customWidth="1"/>
    <col min="27" max="29" width="14.5703125" style="414" customWidth="1"/>
    <col min="30" max="30" width="13.7109375" style="414" hidden="1" customWidth="1"/>
    <col min="31" max="33" width="13.7109375" style="414" customWidth="1"/>
    <col min="34" max="34" width="15.85546875" style="414" customWidth="1"/>
    <col min="35" max="35" width="13.7109375" style="414" customWidth="1"/>
    <col min="36" max="36" width="13.140625" style="413" bestFit="1" customWidth="1"/>
    <col min="37" max="16384" width="9.140625" style="413"/>
  </cols>
  <sheetData>
    <row r="1" spans="1:35" s="511" customFormat="1" ht="12.75" hidden="1" x14ac:dyDescent="0.2">
      <c r="A1" s="510" t="s">
        <v>1062</v>
      </c>
      <c r="C1" s="512"/>
      <c r="D1" s="512" t="s">
        <v>512</v>
      </c>
      <c r="E1" s="512"/>
      <c r="F1" s="512"/>
      <c r="G1" s="512"/>
      <c r="H1" s="512" t="s">
        <v>512</v>
      </c>
      <c r="I1" s="512"/>
      <c r="J1" s="512"/>
      <c r="K1" s="512"/>
      <c r="L1" s="512"/>
      <c r="M1" s="512"/>
      <c r="N1" s="512" t="s">
        <v>512</v>
      </c>
      <c r="O1" s="512" t="s">
        <v>512</v>
      </c>
      <c r="P1" s="512"/>
      <c r="Q1" s="512" t="s">
        <v>512</v>
      </c>
      <c r="R1" s="512"/>
      <c r="S1" s="512"/>
      <c r="T1" s="512"/>
      <c r="U1" s="512"/>
      <c r="V1" s="512"/>
      <c r="W1" s="512"/>
      <c r="X1" s="512"/>
      <c r="Y1" s="512"/>
      <c r="Z1" s="512"/>
      <c r="AA1" s="512"/>
      <c r="AB1" s="512"/>
      <c r="AC1" s="512"/>
      <c r="AD1" s="512" t="s">
        <v>512</v>
      </c>
      <c r="AE1" s="512"/>
      <c r="AF1" s="512"/>
      <c r="AG1" s="512"/>
      <c r="AH1" s="512"/>
      <c r="AI1" s="512"/>
    </row>
    <row r="2" spans="1:35" hidden="1" x14ac:dyDescent="0.25">
      <c r="A2" s="513" t="s">
        <v>512</v>
      </c>
      <c r="B2" s="514" t="s">
        <v>513</v>
      </c>
    </row>
    <row r="3" spans="1:35" s="415" customFormat="1" ht="12.75" x14ac:dyDescent="0.2">
      <c r="A3" s="515"/>
      <c r="B3" s="516" t="s">
        <v>514</v>
      </c>
      <c r="C3" s="517" t="s">
        <v>1156</v>
      </c>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9"/>
      <c r="AE3" s="519"/>
      <c r="AF3" s="519"/>
      <c r="AG3" s="519"/>
      <c r="AH3" s="519"/>
      <c r="AI3" s="519"/>
    </row>
    <row r="4" spans="1:35" s="415" customFormat="1" ht="12.75" x14ac:dyDescent="0.2">
      <c r="A4" s="515"/>
      <c r="B4" s="516" t="s">
        <v>515</v>
      </c>
      <c r="C4" s="528" t="s">
        <v>516</v>
      </c>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row>
    <row r="5" spans="1:35" s="415" customFormat="1" ht="12.75" x14ac:dyDescent="0.2">
      <c r="A5" s="515"/>
      <c r="B5" s="521"/>
      <c r="C5" s="518"/>
      <c r="D5" s="518"/>
      <c r="E5" s="518"/>
      <c r="F5" s="518"/>
      <c r="G5" s="518"/>
      <c r="H5" s="518"/>
      <c r="I5" s="518"/>
      <c r="J5" s="518"/>
      <c r="K5" s="518"/>
      <c r="L5" s="518"/>
      <c r="M5" s="518"/>
      <c r="N5" s="518"/>
      <c r="O5" s="518"/>
      <c r="P5" s="518"/>
      <c r="Q5" s="518"/>
      <c r="R5" s="518"/>
      <c r="S5" s="518"/>
      <c r="T5" s="518"/>
      <c r="U5" s="518"/>
      <c r="V5" s="518"/>
      <c r="W5" s="518"/>
      <c r="X5" s="518"/>
      <c r="Y5" s="518"/>
      <c r="Z5" s="518"/>
      <c r="AA5" s="518"/>
      <c r="AB5" s="518"/>
      <c r="AC5" s="518"/>
      <c r="AD5" s="518"/>
      <c r="AE5" s="518"/>
      <c r="AF5" s="518"/>
      <c r="AG5" s="518"/>
      <c r="AH5" s="518"/>
      <c r="AI5" s="518"/>
    </row>
    <row r="6" spans="1:35" s="415" customFormat="1" ht="12.75" x14ac:dyDescent="0.2">
      <c r="A6" s="515"/>
      <c r="B6" s="516" t="s">
        <v>179</v>
      </c>
      <c r="C6" s="522" t="s">
        <v>517</v>
      </c>
      <c r="D6" s="518"/>
      <c r="E6" s="518"/>
      <c r="F6" s="518"/>
      <c r="G6" s="518"/>
      <c r="H6" s="518"/>
      <c r="I6" s="518"/>
      <c r="J6" s="518"/>
      <c r="K6" s="518"/>
      <c r="L6" s="518" t="s">
        <v>1063</v>
      </c>
      <c r="M6" s="518"/>
      <c r="N6" s="518"/>
      <c r="O6" s="518"/>
      <c r="P6" s="518"/>
      <c r="Q6" s="518"/>
      <c r="R6" s="518"/>
      <c r="S6" s="518"/>
      <c r="T6" s="518"/>
      <c r="U6" s="518"/>
      <c r="V6" s="518"/>
      <c r="W6" s="518" t="s">
        <v>1064</v>
      </c>
      <c r="X6" s="518"/>
      <c r="Y6" s="518"/>
      <c r="Z6" s="518"/>
      <c r="AA6" s="518"/>
      <c r="AB6" s="518"/>
      <c r="AC6" s="518"/>
      <c r="AD6" s="518"/>
      <c r="AE6" s="518"/>
      <c r="AF6" s="518"/>
      <c r="AG6" s="518"/>
      <c r="AH6" s="518"/>
      <c r="AI6" s="518"/>
    </row>
    <row r="7" spans="1:35" s="584" customFormat="1" ht="38.25" x14ac:dyDescent="0.2">
      <c r="A7" s="1147"/>
      <c r="B7" s="1148" t="s">
        <v>518</v>
      </c>
      <c r="C7" s="1149" t="s">
        <v>519</v>
      </c>
      <c r="D7" s="1149" t="s">
        <v>520</v>
      </c>
      <c r="E7" s="1149" t="s">
        <v>521</v>
      </c>
      <c r="F7" s="1149" t="s">
        <v>1065</v>
      </c>
      <c r="G7" s="1149" t="s">
        <v>522</v>
      </c>
      <c r="H7" s="1149" t="s">
        <v>523</v>
      </c>
      <c r="I7" s="1149" t="s">
        <v>524</v>
      </c>
      <c r="J7" s="1149" t="s">
        <v>1066</v>
      </c>
      <c r="K7" s="1149" t="s">
        <v>525</v>
      </c>
      <c r="L7" s="1149" t="s">
        <v>1067</v>
      </c>
      <c r="M7" s="1149" t="s">
        <v>526</v>
      </c>
      <c r="N7" s="1149" t="s">
        <v>527</v>
      </c>
      <c r="O7" s="1149" t="s">
        <v>528</v>
      </c>
      <c r="P7" s="1149" t="s">
        <v>529</v>
      </c>
      <c r="Q7" s="1149" t="s">
        <v>530</v>
      </c>
      <c r="R7" s="1149" t="s">
        <v>1068</v>
      </c>
      <c r="S7" s="1149" t="s">
        <v>1069</v>
      </c>
      <c r="T7" s="1149" t="s">
        <v>531</v>
      </c>
      <c r="U7" s="1149" t="s">
        <v>532</v>
      </c>
      <c r="V7" s="1149" t="s">
        <v>1070</v>
      </c>
      <c r="W7" s="1149" t="s">
        <v>533</v>
      </c>
      <c r="X7" s="1149" t="s">
        <v>534</v>
      </c>
      <c r="Y7" s="1149" t="s">
        <v>1071</v>
      </c>
      <c r="Z7" s="1149" t="s">
        <v>535</v>
      </c>
      <c r="AA7" s="1149" t="s">
        <v>536</v>
      </c>
      <c r="AB7" s="1149" t="s">
        <v>1072</v>
      </c>
      <c r="AC7" s="1149" t="s">
        <v>1073</v>
      </c>
      <c r="AD7" s="1149" t="s">
        <v>537</v>
      </c>
      <c r="AE7" s="1149" t="s">
        <v>538</v>
      </c>
      <c r="AF7" s="1149" t="s">
        <v>539</v>
      </c>
      <c r="AG7" s="1149" t="s">
        <v>540</v>
      </c>
      <c r="AH7" s="1150"/>
      <c r="AI7" s="1151"/>
    </row>
    <row r="8" spans="1:35" s="527" customFormat="1" ht="12.75" x14ac:dyDescent="0.2">
      <c r="A8" s="523"/>
      <c r="B8" s="516" t="s">
        <v>541</v>
      </c>
      <c r="C8" s="524"/>
      <c r="D8" s="524"/>
      <c r="E8" s="524"/>
      <c r="F8" s="524"/>
      <c r="G8" s="524"/>
      <c r="H8" s="524"/>
      <c r="I8" s="524"/>
      <c r="J8" s="524"/>
      <c r="K8" s="524"/>
      <c r="L8" s="524"/>
      <c r="M8" s="524"/>
      <c r="N8" s="524"/>
      <c r="O8" s="524"/>
      <c r="P8" s="524"/>
      <c r="Q8" s="524"/>
      <c r="R8" s="524"/>
      <c r="S8" s="524"/>
      <c r="T8" s="524"/>
      <c r="U8" s="524"/>
      <c r="V8" s="524"/>
      <c r="W8" s="524"/>
      <c r="X8" s="524"/>
      <c r="Y8" s="524"/>
      <c r="Z8" s="524"/>
      <c r="AA8" s="524"/>
      <c r="AB8" s="524"/>
      <c r="AC8" s="524"/>
      <c r="AD8" s="524"/>
      <c r="AE8" s="524"/>
      <c r="AF8" s="524"/>
      <c r="AG8" s="524" t="s">
        <v>542</v>
      </c>
      <c r="AH8" s="525"/>
    </row>
    <row r="9" spans="1:35" s="415" customFormat="1" ht="63.75" x14ac:dyDescent="0.2">
      <c r="A9" s="515"/>
      <c r="B9" s="516" t="s">
        <v>1074</v>
      </c>
      <c r="C9" s="1152" t="s">
        <v>221</v>
      </c>
      <c r="D9" s="1153"/>
      <c r="E9" s="1152" t="s">
        <v>222</v>
      </c>
      <c r="F9" s="1153" t="s">
        <v>289</v>
      </c>
      <c r="G9" s="1153" t="s">
        <v>218</v>
      </c>
      <c r="H9" s="1153"/>
      <c r="I9" s="1153" t="s">
        <v>223</v>
      </c>
      <c r="J9" s="1153" t="s">
        <v>229</v>
      </c>
      <c r="K9" s="1153" t="s">
        <v>230</v>
      </c>
      <c r="L9" s="1153" t="s">
        <v>231</v>
      </c>
      <c r="M9" s="1153" t="s">
        <v>224</v>
      </c>
      <c r="N9" s="1153"/>
      <c r="O9" s="1153"/>
      <c r="P9" s="1153" t="s">
        <v>233</v>
      </c>
      <c r="Q9" s="1153"/>
      <c r="R9" s="1153" t="s">
        <v>302</v>
      </c>
      <c r="S9" s="1153" t="s">
        <v>1075</v>
      </c>
      <c r="T9" s="1153" t="s">
        <v>225</v>
      </c>
      <c r="U9" s="1153" t="s">
        <v>236</v>
      </c>
      <c r="V9" s="1153" t="s">
        <v>235</v>
      </c>
      <c r="W9" s="1153" t="s">
        <v>283</v>
      </c>
      <c r="X9" s="1153" t="s">
        <v>226</v>
      </c>
      <c r="Y9" s="1153" t="s">
        <v>232</v>
      </c>
      <c r="Z9" s="1153" t="s">
        <v>227</v>
      </c>
      <c r="AA9" s="1153" t="s">
        <v>228</v>
      </c>
      <c r="AB9" s="1153" t="s">
        <v>234</v>
      </c>
      <c r="AC9" s="1153" t="s">
        <v>284</v>
      </c>
      <c r="AD9" s="1153"/>
      <c r="AE9" s="1153" t="s">
        <v>219</v>
      </c>
      <c r="AF9" s="1153" t="s">
        <v>220</v>
      </c>
      <c r="AG9" s="518"/>
      <c r="AH9" s="518"/>
      <c r="AI9" s="518"/>
    </row>
    <row r="10" spans="1:35" ht="12.75" x14ac:dyDescent="0.2">
      <c r="B10" s="516" t="s">
        <v>543</v>
      </c>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413"/>
    </row>
    <row r="11" spans="1:35" s="428" customFormat="1" ht="12.75" x14ac:dyDescent="0.2">
      <c r="A11" s="513"/>
      <c r="B11" s="516" t="s">
        <v>544</v>
      </c>
      <c r="C11" s="528"/>
      <c r="D11" s="528"/>
      <c r="E11" s="528"/>
      <c r="F11" s="528"/>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row>
    <row r="12" spans="1:35" s="428" customFormat="1" ht="12.75" x14ac:dyDescent="0.2">
      <c r="A12" s="513">
        <v>42000</v>
      </c>
      <c r="B12" s="529" t="s">
        <v>545</v>
      </c>
      <c r="C12" s="530">
        <v>0</v>
      </c>
      <c r="D12" s="530">
        <v>0</v>
      </c>
      <c r="E12" s="530">
        <v>0</v>
      </c>
      <c r="F12" s="530">
        <v>0</v>
      </c>
      <c r="G12" s="530">
        <v>0</v>
      </c>
      <c r="H12" s="530">
        <v>0</v>
      </c>
      <c r="I12" s="530">
        <v>0</v>
      </c>
      <c r="J12" s="530">
        <v>0</v>
      </c>
      <c r="K12" s="530">
        <v>0</v>
      </c>
      <c r="L12" s="530">
        <v>0</v>
      </c>
      <c r="M12" s="530">
        <v>0</v>
      </c>
      <c r="N12" s="530">
        <v>0</v>
      </c>
      <c r="O12" s="530">
        <v>0</v>
      </c>
      <c r="P12" s="530">
        <v>0</v>
      </c>
      <c r="Q12" s="530">
        <v>0</v>
      </c>
      <c r="R12" s="530">
        <v>0</v>
      </c>
      <c r="S12" s="530">
        <v>0</v>
      </c>
      <c r="T12" s="530">
        <v>0</v>
      </c>
      <c r="U12" s="530">
        <v>0</v>
      </c>
      <c r="V12" s="530">
        <v>0</v>
      </c>
      <c r="W12" s="530">
        <v>0</v>
      </c>
      <c r="X12" s="530">
        <v>0</v>
      </c>
      <c r="Y12" s="530">
        <v>0</v>
      </c>
      <c r="Z12" s="530">
        <v>0</v>
      </c>
      <c r="AA12" s="530">
        <v>0</v>
      </c>
      <c r="AB12" s="530">
        <v>0</v>
      </c>
      <c r="AC12" s="530">
        <v>0</v>
      </c>
      <c r="AD12" s="530">
        <v>0</v>
      </c>
      <c r="AE12" s="530">
        <v>0</v>
      </c>
      <c r="AF12" s="530">
        <v>0</v>
      </c>
      <c r="AG12" s="530">
        <v>0</v>
      </c>
      <c r="AH12" s="530">
        <f>SUM(C12:AG12)</f>
        <v>0</v>
      </c>
    </row>
    <row r="13" spans="1:35" s="428" customFormat="1" ht="12.75" x14ac:dyDescent="0.2">
      <c r="A13" s="513">
        <v>42099</v>
      </c>
      <c r="B13" s="514" t="s">
        <v>546</v>
      </c>
      <c r="C13" s="531">
        <v>0</v>
      </c>
      <c r="D13" s="531">
        <v>0</v>
      </c>
      <c r="E13" s="531">
        <v>0</v>
      </c>
      <c r="F13" s="531">
        <v>0</v>
      </c>
      <c r="G13" s="531">
        <v>0</v>
      </c>
      <c r="H13" s="531">
        <v>0</v>
      </c>
      <c r="I13" s="531">
        <v>0</v>
      </c>
      <c r="J13" s="531">
        <v>0</v>
      </c>
      <c r="K13" s="531">
        <v>0</v>
      </c>
      <c r="L13" s="531">
        <v>0</v>
      </c>
      <c r="M13" s="531">
        <v>0</v>
      </c>
      <c r="N13" s="531">
        <v>0</v>
      </c>
      <c r="O13" s="531">
        <v>0</v>
      </c>
      <c r="P13" s="531">
        <v>0</v>
      </c>
      <c r="Q13" s="531">
        <v>0</v>
      </c>
      <c r="R13" s="531">
        <v>0</v>
      </c>
      <c r="S13" s="531">
        <v>0</v>
      </c>
      <c r="T13" s="531">
        <v>0</v>
      </c>
      <c r="U13" s="531">
        <v>0</v>
      </c>
      <c r="V13" s="531">
        <v>0</v>
      </c>
      <c r="W13" s="531">
        <v>0</v>
      </c>
      <c r="X13" s="531">
        <v>0</v>
      </c>
      <c r="Y13" s="531">
        <v>0</v>
      </c>
      <c r="Z13" s="531">
        <v>0</v>
      </c>
      <c r="AA13" s="531">
        <v>0</v>
      </c>
      <c r="AB13" s="531">
        <v>0</v>
      </c>
      <c r="AC13" s="531">
        <v>0</v>
      </c>
      <c r="AD13" s="531">
        <v>0</v>
      </c>
      <c r="AE13" s="531">
        <v>0</v>
      </c>
      <c r="AF13" s="531">
        <v>0</v>
      </c>
      <c r="AG13" s="531">
        <v>0</v>
      </c>
      <c r="AH13" s="531">
        <f>SUM(C13:AG13)</f>
        <v>0</v>
      </c>
    </row>
    <row r="14" spans="1:35" s="521" customFormat="1" ht="12.75" x14ac:dyDescent="0.2">
      <c r="A14" s="513">
        <v>42999</v>
      </c>
      <c r="B14" s="532" t="s">
        <v>547</v>
      </c>
      <c r="C14" s="533">
        <f t="shared" ref="C14:AH14" si="0">SUM(C12:C13)</f>
        <v>0</v>
      </c>
      <c r="D14" s="533">
        <f t="shared" si="0"/>
        <v>0</v>
      </c>
      <c r="E14" s="533">
        <f t="shared" si="0"/>
        <v>0</v>
      </c>
      <c r="F14" s="533">
        <f t="shared" si="0"/>
        <v>0</v>
      </c>
      <c r="G14" s="533">
        <f t="shared" si="0"/>
        <v>0</v>
      </c>
      <c r="H14" s="533">
        <f t="shared" si="0"/>
        <v>0</v>
      </c>
      <c r="I14" s="533">
        <f t="shared" si="0"/>
        <v>0</v>
      </c>
      <c r="J14" s="533">
        <f t="shared" si="0"/>
        <v>0</v>
      </c>
      <c r="K14" s="533">
        <f t="shared" si="0"/>
        <v>0</v>
      </c>
      <c r="L14" s="533">
        <f t="shared" si="0"/>
        <v>0</v>
      </c>
      <c r="M14" s="533">
        <f t="shared" si="0"/>
        <v>0</v>
      </c>
      <c r="N14" s="533">
        <f t="shared" si="0"/>
        <v>0</v>
      </c>
      <c r="O14" s="533">
        <f t="shared" si="0"/>
        <v>0</v>
      </c>
      <c r="P14" s="533">
        <f t="shared" si="0"/>
        <v>0</v>
      </c>
      <c r="Q14" s="533">
        <f t="shared" si="0"/>
        <v>0</v>
      </c>
      <c r="R14" s="533">
        <f t="shared" si="0"/>
        <v>0</v>
      </c>
      <c r="S14" s="533">
        <f t="shared" si="0"/>
        <v>0</v>
      </c>
      <c r="T14" s="533">
        <f t="shared" si="0"/>
        <v>0</v>
      </c>
      <c r="U14" s="533">
        <f t="shared" si="0"/>
        <v>0</v>
      </c>
      <c r="V14" s="533">
        <f t="shared" si="0"/>
        <v>0</v>
      </c>
      <c r="W14" s="533">
        <f t="shared" si="0"/>
        <v>0</v>
      </c>
      <c r="X14" s="533">
        <f t="shared" si="0"/>
        <v>0</v>
      </c>
      <c r="Y14" s="533">
        <f t="shared" si="0"/>
        <v>0</v>
      </c>
      <c r="Z14" s="533">
        <f t="shared" si="0"/>
        <v>0</v>
      </c>
      <c r="AA14" s="533">
        <f t="shared" si="0"/>
        <v>0</v>
      </c>
      <c r="AB14" s="533">
        <f t="shared" si="0"/>
        <v>0</v>
      </c>
      <c r="AC14" s="533">
        <f t="shared" si="0"/>
        <v>0</v>
      </c>
      <c r="AD14" s="533">
        <f t="shared" si="0"/>
        <v>0</v>
      </c>
      <c r="AE14" s="533">
        <f t="shared" si="0"/>
        <v>0</v>
      </c>
      <c r="AF14" s="533">
        <f t="shared" si="0"/>
        <v>0</v>
      </c>
      <c r="AG14" s="533">
        <f t="shared" si="0"/>
        <v>0</v>
      </c>
      <c r="AH14" s="533">
        <f t="shared" si="0"/>
        <v>0</v>
      </c>
    </row>
    <row r="15" spans="1:35" s="428" customFormat="1" ht="12.75" x14ac:dyDescent="0.2">
      <c r="A15" s="513"/>
      <c r="B15" s="516"/>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row>
    <row r="16" spans="1:35" s="428" customFormat="1" ht="12.75" x14ac:dyDescent="0.2">
      <c r="A16" s="513"/>
      <c r="B16" s="516" t="s">
        <v>548</v>
      </c>
      <c r="C16" s="528"/>
      <c r="D16" s="528"/>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row>
    <row r="17" spans="1:34" s="428" customFormat="1" ht="12.75" x14ac:dyDescent="0.2">
      <c r="A17" s="513">
        <v>48100</v>
      </c>
      <c r="B17" s="529" t="s">
        <v>549</v>
      </c>
      <c r="C17" s="530">
        <v>0</v>
      </c>
      <c r="D17" s="530">
        <v>0</v>
      </c>
      <c r="E17" s="530">
        <v>0</v>
      </c>
      <c r="F17" s="530">
        <v>0</v>
      </c>
      <c r="G17" s="530">
        <v>0</v>
      </c>
      <c r="H17" s="530">
        <v>0</v>
      </c>
      <c r="I17" s="530">
        <v>3896.6600000000003</v>
      </c>
      <c r="J17" s="530">
        <v>0</v>
      </c>
      <c r="K17" s="530">
        <v>0</v>
      </c>
      <c r="L17" s="530">
        <v>0</v>
      </c>
      <c r="M17" s="530">
        <v>0</v>
      </c>
      <c r="N17" s="530">
        <v>0</v>
      </c>
      <c r="O17" s="530">
        <v>0</v>
      </c>
      <c r="P17" s="530">
        <v>0</v>
      </c>
      <c r="Q17" s="530">
        <v>0</v>
      </c>
      <c r="R17" s="530">
        <v>0</v>
      </c>
      <c r="S17" s="530">
        <v>0</v>
      </c>
      <c r="T17" s="530">
        <v>0</v>
      </c>
      <c r="U17" s="530">
        <v>0</v>
      </c>
      <c r="V17" s="530">
        <v>0</v>
      </c>
      <c r="W17" s="530">
        <v>0</v>
      </c>
      <c r="X17" s="530">
        <v>0</v>
      </c>
      <c r="Y17" s="530">
        <v>0</v>
      </c>
      <c r="Z17" s="530">
        <v>0</v>
      </c>
      <c r="AA17" s="530">
        <v>0</v>
      </c>
      <c r="AB17" s="530">
        <v>0</v>
      </c>
      <c r="AC17" s="530">
        <v>0</v>
      </c>
      <c r="AD17" s="530">
        <v>0</v>
      </c>
      <c r="AE17" s="530">
        <v>0</v>
      </c>
      <c r="AF17" s="530">
        <v>0</v>
      </c>
      <c r="AG17" s="530">
        <v>0</v>
      </c>
      <c r="AH17" s="530">
        <f>SUM(C17:AG17)</f>
        <v>3896.6600000000003</v>
      </c>
    </row>
    <row r="18" spans="1:34" s="428" customFormat="1" ht="12.75" x14ac:dyDescent="0.2">
      <c r="A18" s="513">
        <v>48095</v>
      </c>
      <c r="B18" s="534" t="s">
        <v>550</v>
      </c>
      <c r="C18" s="530">
        <v>0</v>
      </c>
      <c r="D18" s="530">
        <v>0</v>
      </c>
      <c r="E18" s="530">
        <v>0</v>
      </c>
      <c r="F18" s="530">
        <v>0</v>
      </c>
      <c r="G18" s="530">
        <v>0</v>
      </c>
      <c r="H18" s="530">
        <v>0</v>
      </c>
      <c r="I18" s="530">
        <v>0</v>
      </c>
      <c r="J18" s="530">
        <v>0</v>
      </c>
      <c r="K18" s="530">
        <v>0</v>
      </c>
      <c r="L18" s="530">
        <v>0</v>
      </c>
      <c r="M18" s="530">
        <v>0</v>
      </c>
      <c r="N18" s="530">
        <v>0</v>
      </c>
      <c r="O18" s="530">
        <v>0</v>
      </c>
      <c r="P18" s="530">
        <v>0</v>
      </c>
      <c r="Q18" s="530">
        <v>0</v>
      </c>
      <c r="R18" s="530">
        <v>0</v>
      </c>
      <c r="S18" s="530">
        <v>0</v>
      </c>
      <c r="T18" s="530">
        <v>0</v>
      </c>
      <c r="U18" s="530">
        <v>0</v>
      </c>
      <c r="V18" s="530">
        <v>0</v>
      </c>
      <c r="W18" s="530">
        <v>0</v>
      </c>
      <c r="X18" s="530">
        <v>0</v>
      </c>
      <c r="Y18" s="530">
        <v>0</v>
      </c>
      <c r="Z18" s="530">
        <v>3516.7400000000002</v>
      </c>
      <c r="AA18" s="530">
        <v>0</v>
      </c>
      <c r="AB18" s="530">
        <v>0</v>
      </c>
      <c r="AC18" s="530">
        <v>0</v>
      </c>
      <c r="AD18" s="530">
        <v>0</v>
      </c>
      <c r="AE18" s="530">
        <v>0</v>
      </c>
      <c r="AF18" s="530">
        <v>0</v>
      </c>
      <c r="AG18" s="530">
        <v>0</v>
      </c>
      <c r="AH18" s="530">
        <f>SUM(C18:AG18)</f>
        <v>3516.7400000000002</v>
      </c>
    </row>
    <row r="19" spans="1:34" s="428" customFormat="1" ht="12.75" x14ac:dyDescent="0.2">
      <c r="A19" s="513" t="s">
        <v>551</v>
      </c>
      <c r="B19" s="534" t="s">
        <v>552</v>
      </c>
      <c r="C19" s="530">
        <v>0</v>
      </c>
      <c r="D19" s="530">
        <v>0</v>
      </c>
      <c r="E19" s="530">
        <v>0</v>
      </c>
      <c r="F19" s="530">
        <v>0</v>
      </c>
      <c r="G19" s="530">
        <v>0</v>
      </c>
      <c r="H19" s="530">
        <v>0</v>
      </c>
      <c r="I19" s="530">
        <v>0</v>
      </c>
      <c r="J19" s="530">
        <v>0</v>
      </c>
      <c r="K19" s="530">
        <v>0</v>
      </c>
      <c r="L19" s="530">
        <v>0</v>
      </c>
      <c r="M19" s="530">
        <v>0</v>
      </c>
      <c r="N19" s="530">
        <v>0</v>
      </c>
      <c r="O19" s="530">
        <v>0</v>
      </c>
      <c r="P19" s="530">
        <v>0</v>
      </c>
      <c r="Q19" s="530">
        <v>0</v>
      </c>
      <c r="R19" s="530">
        <v>0</v>
      </c>
      <c r="S19" s="530">
        <v>0</v>
      </c>
      <c r="T19" s="530">
        <v>0</v>
      </c>
      <c r="U19" s="530">
        <v>0</v>
      </c>
      <c r="V19" s="530">
        <v>0</v>
      </c>
      <c r="W19" s="530">
        <v>0</v>
      </c>
      <c r="X19" s="530">
        <v>0</v>
      </c>
      <c r="Y19" s="530">
        <v>0</v>
      </c>
      <c r="Z19" s="530">
        <v>0</v>
      </c>
      <c r="AA19" s="530">
        <v>0</v>
      </c>
      <c r="AB19" s="530">
        <v>0</v>
      </c>
      <c r="AC19" s="530">
        <v>0</v>
      </c>
      <c r="AD19" s="530">
        <v>0</v>
      </c>
      <c r="AE19" s="530">
        <v>0</v>
      </c>
      <c r="AF19" s="530">
        <v>0</v>
      </c>
      <c r="AG19" s="530">
        <v>0</v>
      </c>
      <c r="AH19" s="530">
        <f>SUM(C19:AG19)</f>
        <v>0</v>
      </c>
    </row>
    <row r="20" spans="1:34" s="428" customFormat="1" ht="12.75" x14ac:dyDescent="0.2">
      <c r="A20" s="513">
        <v>48070</v>
      </c>
      <c r="B20" s="535" t="s">
        <v>553</v>
      </c>
      <c r="C20" s="530">
        <v>0</v>
      </c>
      <c r="D20" s="530">
        <v>0</v>
      </c>
      <c r="E20" s="530">
        <v>0</v>
      </c>
      <c r="F20" s="530">
        <v>0</v>
      </c>
      <c r="G20" s="530">
        <v>0</v>
      </c>
      <c r="H20" s="530">
        <v>0</v>
      </c>
      <c r="I20" s="530">
        <v>0</v>
      </c>
      <c r="J20" s="530">
        <v>0</v>
      </c>
      <c r="K20" s="530">
        <v>0</v>
      </c>
      <c r="L20" s="530">
        <v>0</v>
      </c>
      <c r="M20" s="530">
        <v>0</v>
      </c>
      <c r="N20" s="530">
        <v>0</v>
      </c>
      <c r="O20" s="530">
        <v>0</v>
      </c>
      <c r="P20" s="530">
        <v>0</v>
      </c>
      <c r="Q20" s="530">
        <v>0</v>
      </c>
      <c r="R20" s="530">
        <v>0</v>
      </c>
      <c r="S20" s="530">
        <v>0</v>
      </c>
      <c r="T20" s="530">
        <v>0</v>
      </c>
      <c r="U20" s="530">
        <v>0</v>
      </c>
      <c r="V20" s="530">
        <v>0</v>
      </c>
      <c r="W20" s="530">
        <v>0</v>
      </c>
      <c r="X20" s="530">
        <v>0</v>
      </c>
      <c r="Y20" s="530">
        <v>0</v>
      </c>
      <c r="Z20" s="530">
        <v>0</v>
      </c>
      <c r="AA20" s="530">
        <v>0</v>
      </c>
      <c r="AB20" s="530">
        <v>0</v>
      </c>
      <c r="AC20" s="530">
        <v>0</v>
      </c>
      <c r="AD20" s="530">
        <v>0</v>
      </c>
      <c r="AE20" s="530">
        <v>0</v>
      </c>
      <c r="AF20" s="530">
        <v>0</v>
      </c>
      <c r="AG20" s="530">
        <v>0</v>
      </c>
      <c r="AH20" s="530">
        <f>SUM(C20:AG20)</f>
        <v>0</v>
      </c>
    </row>
    <row r="21" spans="1:34" s="428" customFormat="1" ht="12.75" x14ac:dyDescent="0.2">
      <c r="A21" s="513">
        <v>48300</v>
      </c>
      <c r="B21" s="514" t="s">
        <v>554</v>
      </c>
      <c r="C21" s="531">
        <v>0</v>
      </c>
      <c r="D21" s="531">
        <v>0</v>
      </c>
      <c r="E21" s="531">
        <v>0</v>
      </c>
      <c r="F21" s="531">
        <v>0</v>
      </c>
      <c r="G21" s="1154">
        <v>0</v>
      </c>
      <c r="H21" s="531">
        <v>0</v>
      </c>
      <c r="I21" s="531">
        <v>0</v>
      </c>
      <c r="J21" s="531">
        <v>0</v>
      </c>
      <c r="K21" s="531">
        <v>0</v>
      </c>
      <c r="L21" s="531">
        <v>0</v>
      </c>
      <c r="M21" s="531">
        <v>0</v>
      </c>
      <c r="N21" s="531">
        <v>0</v>
      </c>
      <c r="O21" s="531">
        <v>0</v>
      </c>
      <c r="P21" s="531">
        <v>0</v>
      </c>
      <c r="Q21" s="531">
        <v>0</v>
      </c>
      <c r="R21" s="531">
        <v>0</v>
      </c>
      <c r="S21" s="531">
        <v>0</v>
      </c>
      <c r="T21" s="531">
        <v>0</v>
      </c>
      <c r="U21" s="531">
        <v>0</v>
      </c>
      <c r="V21" s="531">
        <v>0</v>
      </c>
      <c r="W21" s="531">
        <v>0</v>
      </c>
      <c r="X21" s="531">
        <v>0</v>
      </c>
      <c r="Y21" s="531">
        <v>0</v>
      </c>
      <c r="Z21" s="531">
        <v>0</v>
      </c>
      <c r="AA21" s="531">
        <v>0</v>
      </c>
      <c r="AB21" s="531">
        <v>0</v>
      </c>
      <c r="AC21" s="531">
        <v>0</v>
      </c>
      <c r="AD21" s="531">
        <v>0</v>
      </c>
      <c r="AE21" s="531">
        <v>0</v>
      </c>
      <c r="AF21" s="531">
        <v>0</v>
      </c>
      <c r="AG21" s="531">
        <v>0</v>
      </c>
      <c r="AH21" s="531">
        <f>SUM(C21:AG21)</f>
        <v>0</v>
      </c>
    </row>
    <row r="22" spans="1:34" s="521" customFormat="1" ht="12.75" x14ac:dyDescent="0.2">
      <c r="A22" s="513">
        <v>48500</v>
      </c>
      <c r="B22" s="532" t="s">
        <v>555</v>
      </c>
      <c r="C22" s="533">
        <f t="shared" ref="C22:AH22" si="1">SUM(C17:C21)</f>
        <v>0</v>
      </c>
      <c r="D22" s="533">
        <f t="shared" si="1"/>
        <v>0</v>
      </c>
      <c r="E22" s="533">
        <f t="shared" si="1"/>
        <v>0</v>
      </c>
      <c r="F22" s="533">
        <f t="shared" si="1"/>
        <v>0</v>
      </c>
      <c r="G22" s="533">
        <f t="shared" si="1"/>
        <v>0</v>
      </c>
      <c r="H22" s="533">
        <f t="shared" si="1"/>
        <v>0</v>
      </c>
      <c r="I22" s="533">
        <f t="shared" si="1"/>
        <v>3896.6600000000003</v>
      </c>
      <c r="J22" s="533">
        <f t="shared" si="1"/>
        <v>0</v>
      </c>
      <c r="K22" s="533">
        <f t="shared" si="1"/>
        <v>0</v>
      </c>
      <c r="L22" s="533">
        <f t="shared" si="1"/>
        <v>0</v>
      </c>
      <c r="M22" s="533">
        <f t="shared" si="1"/>
        <v>0</v>
      </c>
      <c r="N22" s="533">
        <f t="shared" si="1"/>
        <v>0</v>
      </c>
      <c r="O22" s="533">
        <f t="shared" si="1"/>
        <v>0</v>
      </c>
      <c r="P22" s="533">
        <f t="shared" si="1"/>
        <v>0</v>
      </c>
      <c r="Q22" s="533">
        <f t="shared" si="1"/>
        <v>0</v>
      </c>
      <c r="R22" s="533">
        <f t="shared" si="1"/>
        <v>0</v>
      </c>
      <c r="S22" s="533">
        <f t="shared" si="1"/>
        <v>0</v>
      </c>
      <c r="T22" s="533">
        <f t="shared" si="1"/>
        <v>0</v>
      </c>
      <c r="U22" s="533">
        <f t="shared" si="1"/>
        <v>0</v>
      </c>
      <c r="V22" s="533">
        <f t="shared" si="1"/>
        <v>0</v>
      </c>
      <c r="W22" s="533">
        <f t="shared" si="1"/>
        <v>0</v>
      </c>
      <c r="X22" s="533">
        <f t="shared" si="1"/>
        <v>0</v>
      </c>
      <c r="Y22" s="533">
        <f t="shared" si="1"/>
        <v>0</v>
      </c>
      <c r="Z22" s="533">
        <f t="shared" si="1"/>
        <v>3516.7400000000002</v>
      </c>
      <c r="AA22" s="533">
        <f t="shared" si="1"/>
        <v>0</v>
      </c>
      <c r="AB22" s="533">
        <f t="shared" si="1"/>
        <v>0</v>
      </c>
      <c r="AC22" s="533">
        <f t="shared" si="1"/>
        <v>0</v>
      </c>
      <c r="AD22" s="533">
        <f t="shared" si="1"/>
        <v>0</v>
      </c>
      <c r="AE22" s="533">
        <f t="shared" si="1"/>
        <v>0</v>
      </c>
      <c r="AF22" s="533">
        <f t="shared" si="1"/>
        <v>0</v>
      </c>
      <c r="AG22" s="533">
        <f t="shared" si="1"/>
        <v>0</v>
      </c>
      <c r="AH22" s="533">
        <f t="shared" si="1"/>
        <v>7413.4000000000005</v>
      </c>
    </row>
    <row r="23" spans="1:34" s="428" customFormat="1" ht="12.75" x14ac:dyDescent="0.2">
      <c r="A23" s="513"/>
      <c r="B23" s="536"/>
      <c r="C23" s="537"/>
      <c r="D23" s="537"/>
      <c r="E23" s="537"/>
      <c r="F23" s="537"/>
      <c r="G23" s="537"/>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row>
    <row r="24" spans="1:34" s="521" customFormat="1" ht="12.75" x14ac:dyDescent="0.2">
      <c r="A24" s="513">
        <v>49900</v>
      </c>
      <c r="B24" s="536" t="s">
        <v>556</v>
      </c>
      <c r="C24" s="537">
        <f t="shared" ref="C24:AH24" si="2">C14+C22</f>
        <v>0</v>
      </c>
      <c r="D24" s="537">
        <f t="shared" si="2"/>
        <v>0</v>
      </c>
      <c r="E24" s="537">
        <f t="shared" si="2"/>
        <v>0</v>
      </c>
      <c r="F24" s="537">
        <f t="shared" si="2"/>
        <v>0</v>
      </c>
      <c r="G24" s="537">
        <f t="shared" si="2"/>
        <v>0</v>
      </c>
      <c r="H24" s="537">
        <f t="shared" si="2"/>
        <v>0</v>
      </c>
      <c r="I24" s="537">
        <f t="shared" si="2"/>
        <v>3896.6600000000003</v>
      </c>
      <c r="J24" s="537">
        <f t="shared" si="2"/>
        <v>0</v>
      </c>
      <c r="K24" s="537">
        <f t="shared" si="2"/>
        <v>0</v>
      </c>
      <c r="L24" s="537">
        <f t="shared" si="2"/>
        <v>0</v>
      </c>
      <c r="M24" s="537">
        <f t="shared" si="2"/>
        <v>0</v>
      </c>
      <c r="N24" s="537">
        <f t="shared" si="2"/>
        <v>0</v>
      </c>
      <c r="O24" s="537">
        <f t="shared" si="2"/>
        <v>0</v>
      </c>
      <c r="P24" s="537">
        <f t="shared" si="2"/>
        <v>0</v>
      </c>
      <c r="Q24" s="537">
        <f t="shared" si="2"/>
        <v>0</v>
      </c>
      <c r="R24" s="537">
        <f t="shared" si="2"/>
        <v>0</v>
      </c>
      <c r="S24" s="537">
        <f t="shared" si="2"/>
        <v>0</v>
      </c>
      <c r="T24" s="537">
        <f t="shared" si="2"/>
        <v>0</v>
      </c>
      <c r="U24" s="537">
        <f t="shared" si="2"/>
        <v>0</v>
      </c>
      <c r="V24" s="537">
        <f t="shared" si="2"/>
        <v>0</v>
      </c>
      <c r="W24" s="537">
        <f t="shared" si="2"/>
        <v>0</v>
      </c>
      <c r="X24" s="537">
        <f t="shared" si="2"/>
        <v>0</v>
      </c>
      <c r="Y24" s="537">
        <f t="shared" si="2"/>
        <v>0</v>
      </c>
      <c r="Z24" s="537">
        <f t="shared" si="2"/>
        <v>3516.7400000000002</v>
      </c>
      <c r="AA24" s="537">
        <f t="shared" si="2"/>
        <v>0</v>
      </c>
      <c r="AB24" s="537">
        <f t="shared" si="2"/>
        <v>0</v>
      </c>
      <c r="AC24" s="537">
        <f t="shared" si="2"/>
        <v>0</v>
      </c>
      <c r="AD24" s="537">
        <f t="shared" si="2"/>
        <v>0</v>
      </c>
      <c r="AE24" s="537">
        <f t="shared" si="2"/>
        <v>0</v>
      </c>
      <c r="AF24" s="537">
        <f t="shared" si="2"/>
        <v>0</v>
      </c>
      <c r="AG24" s="537">
        <f t="shared" si="2"/>
        <v>0</v>
      </c>
      <c r="AH24" s="537">
        <f t="shared" si="2"/>
        <v>7413.4000000000005</v>
      </c>
    </row>
    <row r="25" spans="1:34" s="428" customFormat="1" ht="12.75" x14ac:dyDescent="0.2">
      <c r="A25" s="513"/>
      <c r="B25" s="516"/>
      <c r="C25" s="528"/>
      <c r="D25" s="528"/>
      <c r="E25" s="528"/>
      <c r="F25" s="528"/>
      <c r="G25" s="528"/>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28"/>
      <c r="AG25" s="528"/>
      <c r="AH25" s="528"/>
    </row>
    <row r="26" spans="1:34" s="428" customFormat="1" ht="12.75" x14ac:dyDescent="0.2">
      <c r="A26" s="513"/>
      <c r="B26" s="516" t="s">
        <v>557</v>
      </c>
      <c r="C26" s="528"/>
      <c r="D26" s="528"/>
      <c r="E26" s="528"/>
      <c r="F26" s="528"/>
      <c r="G26" s="528"/>
      <c r="H26" s="528"/>
      <c r="I26" s="528"/>
      <c r="J26" s="528"/>
      <c r="K26" s="528"/>
      <c r="L26" s="528"/>
      <c r="M26" s="528"/>
      <c r="N26" s="528"/>
      <c r="O26" s="528"/>
      <c r="P26" s="528"/>
      <c r="Q26" s="528"/>
      <c r="R26" s="528"/>
      <c r="S26" s="528"/>
      <c r="T26" s="528"/>
      <c r="U26" s="528"/>
      <c r="V26" s="528"/>
      <c r="W26" s="528"/>
      <c r="X26" s="528"/>
      <c r="Y26" s="528"/>
      <c r="Z26" s="528"/>
      <c r="AA26" s="528"/>
      <c r="AB26" s="528"/>
      <c r="AC26" s="528"/>
      <c r="AD26" s="528"/>
      <c r="AE26" s="528"/>
      <c r="AF26" s="528"/>
      <c r="AG26" s="528"/>
      <c r="AH26" s="528"/>
    </row>
    <row r="27" spans="1:34" s="428" customFormat="1" ht="12.75" x14ac:dyDescent="0.2">
      <c r="A27" s="513">
        <v>51000</v>
      </c>
      <c r="B27" s="529" t="s">
        <v>558</v>
      </c>
      <c r="C27" s="538"/>
      <c r="D27" s="538"/>
      <c r="E27" s="538"/>
      <c r="F27" s="538"/>
      <c r="G27" s="538"/>
      <c r="H27" s="538"/>
      <c r="I27" s="538"/>
      <c r="J27" s="538"/>
      <c r="K27" s="538"/>
      <c r="L27" s="538"/>
      <c r="M27" s="538"/>
      <c r="N27" s="538"/>
      <c r="O27" s="538"/>
      <c r="P27" s="538"/>
      <c r="Q27" s="538"/>
      <c r="R27" s="538"/>
      <c r="S27" s="538"/>
      <c r="T27" s="538"/>
      <c r="U27" s="538"/>
      <c r="V27" s="538"/>
      <c r="W27" s="538"/>
      <c r="X27" s="538"/>
      <c r="Y27" s="538"/>
      <c r="Z27" s="538"/>
      <c r="AA27" s="539"/>
      <c r="AB27" s="539"/>
      <c r="AC27" s="539"/>
      <c r="AD27" s="539"/>
      <c r="AE27" s="539"/>
      <c r="AF27" s="539"/>
      <c r="AG27" s="539"/>
      <c r="AH27" s="539"/>
    </row>
    <row r="28" spans="1:34" s="428" customFormat="1" ht="12.75" x14ac:dyDescent="0.2">
      <c r="A28" s="513">
        <v>52000</v>
      </c>
      <c r="B28" s="534" t="s">
        <v>559</v>
      </c>
      <c r="C28" s="538"/>
      <c r="D28" s="538"/>
      <c r="E28" s="538"/>
      <c r="F28" s="538"/>
      <c r="G28" s="538"/>
      <c r="H28" s="538"/>
      <c r="I28" s="538"/>
      <c r="J28" s="538"/>
      <c r="K28" s="538"/>
      <c r="L28" s="538"/>
      <c r="M28" s="538"/>
      <c r="N28" s="538"/>
      <c r="O28" s="538"/>
      <c r="P28" s="538"/>
      <c r="Q28" s="538"/>
      <c r="R28" s="538"/>
      <c r="S28" s="538"/>
      <c r="T28" s="538"/>
      <c r="U28" s="538"/>
      <c r="V28" s="538"/>
      <c r="W28" s="538"/>
      <c r="X28" s="538"/>
      <c r="Y28" s="538"/>
      <c r="Z28" s="538"/>
      <c r="AA28" s="539"/>
      <c r="AB28" s="539"/>
      <c r="AC28" s="539"/>
      <c r="AD28" s="539"/>
      <c r="AE28" s="539"/>
      <c r="AF28" s="539"/>
      <c r="AG28" s="539"/>
      <c r="AH28" s="539"/>
    </row>
    <row r="29" spans="1:34" s="428" customFormat="1" ht="12.75" x14ac:dyDescent="0.2">
      <c r="A29" s="513">
        <v>52010</v>
      </c>
      <c r="B29" s="534" t="s">
        <v>560</v>
      </c>
      <c r="C29" s="538"/>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9"/>
      <c r="AB29" s="539"/>
      <c r="AC29" s="539"/>
      <c r="AD29" s="539"/>
      <c r="AE29" s="539"/>
      <c r="AF29" s="539"/>
      <c r="AG29" s="539"/>
      <c r="AH29" s="539"/>
    </row>
    <row r="30" spans="1:34" s="428" customFormat="1" ht="12.75" x14ac:dyDescent="0.2">
      <c r="A30" s="513">
        <v>52015</v>
      </c>
      <c r="B30" s="534" t="s">
        <v>561</v>
      </c>
      <c r="C30" s="538"/>
      <c r="D30" s="538"/>
      <c r="E30" s="538"/>
      <c r="F30" s="538"/>
      <c r="G30" s="538"/>
      <c r="H30" s="538"/>
      <c r="I30" s="538"/>
      <c r="J30" s="538"/>
      <c r="K30" s="538"/>
      <c r="L30" s="538"/>
      <c r="M30" s="538"/>
      <c r="N30" s="538"/>
      <c r="O30" s="538"/>
      <c r="P30" s="538"/>
      <c r="Q30" s="538"/>
      <c r="R30" s="538"/>
      <c r="S30" s="538"/>
      <c r="T30" s="538"/>
      <c r="U30" s="538"/>
      <c r="V30" s="538"/>
      <c r="W30" s="538"/>
      <c r="X30" s="538"/>
      <c r="Y30" s="538"/>
      <c r="Z30" s="538"/>
      <c r="AA30" s="539"/>
      <c r="AB30" s="539"/>
      <c r="AC30" s="539"/>
      <c r="AD30" s="539"/>
      <c r="AE30" s="539"/>
      <c r="AF30" s="539"/>
      <c r="AG30" s="539"/>
      <c r="AH30" s="539"/>
    </row>
    <row r="31" spans="1:34" s="428" customFormat="1" ht="12.75" x14ac:dyDescent="0.2">
      <c r="A31" s="513">
        <v>52020</v>
      </c>
      <c r="B31" s="534" t="s">
        <v>562</v>
      </c>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9"/>
      <c r="AB31" s="539"/>
      <c r="AC31" s="539"/>
      <c r="AD31" s="539"/>
      <c r="AE31" s="539"/>
      <c r="AF31" s="539"/>
      <c r="AG31" s="539"/>
      <c r="AH31" s="539"/>
    </row>
    <row r="32" spans="1:34" s="428" customFormat="1" ht="12.75" x14ac:dyDescent="0.2">
      <c r="A32" s="513">
        <v>52030</v>
      </c>
      <c r="B32" s="534" t="s">
        <v>563</v>
      </c>
      <c r="C32" s="538"/>
      <c r="D32" s="538"/>
      <c r="E32" s="538"/>
      <c r="F32" s="538"/>
      <c r="G32" s="538"/>
      <c r="H32" s="538"/>
      <c r="I32" s="538"/>
      <c r="J32" s="538"/>
      <c r="K32" s="538"/>
      <c r="L32" s="538"/>
      <c r="M32" s="538"/>
      <c r="N32" s="538"/>
      <c r="O32" s="538"/>
      <c r="P32" s="538"/>
      <c r="Q32" s="538"/>
      <c r="R32" s="538"/>
      <c r="S32" s="538"/>
      <c r="T32" s="538"/>
      <c r="U32" s="538"/>
      <c r="V32" s="538"/>
      <c r="W32" s="538"/>
      <c r="X32" s="538"/>
      <c r="Y32" s="538"/>
      <c r="Z32" s="538"/>
      <c r="AA32" s="539"/>
      <c r="AB32" s="539"/>
      <c r="AC32" s="539"/>
      <c r="AD32" s="539"/>
      <c r="AE32" s="539"/>
      <c r="AF32" s="539"/>
      <c r="AG32" s="539"/>
      <c r="AH32" s="539"/>
    </row>
    <row r="33" spans="1:34" s="428" customFormat="1" ht="12.75" x14ac:dyDescent="0.2">
      <c r="A33" s="513">
        <v>52031</v>
      </c>
      <c r="B33" s="534" t="s">
        <v>564</v>
      </c>
      <c r="C33" s="538"/>
      <c r="D33" s="538"/>
      <c r="E33" s="538"/>
      <c r="F33" s="538"/>
      <c r="G33" s="538"/>
      <c r="H33" s="538"/>
      <c r="I33" s="538"/>
      <c r="J33" s="538"/>
      <c r="K33" s="538"/>
      <c r="L33" s="538"/>
      <c r="M33" s="538"/>
      <c r="N33" s="538"/>
      <c r="O33" s="538"/>
      <c r="P33" s="538"/>
      <c r="Q33" s="538"/>
      <c r="R33" s="538"/>
      <c r="S33" s="538"/>
      <c r="T33" s="538"/>
      <c r="U33" s="538"/>
      <c r="V33" s="538"/>
      <c r="W33" s="538"/>
      <c r="X33" s="538"/>
      <c r="Y33" s="538"/>
      <c r="Z33" s="538"/>
      <c r="AA33" s="539"/>
      <c r="AB33" s="539"/>
      <c r="AC33" s="539"/>
      <c r="AD33" s="539"/>
      <c r="AE33" s="539"/>
      <c r="AF33" s="539"/>
      <c r="AG33" s="539"/>
      <c r="AH33" s="539"/>
    </row>
    <row r="34" spans="1:34" s="428" customFormat="1" ht="12.75" x14ac:dyDescent="0.2">
      <c r="A34" s="513">
        <v>52035</v>
      </c>
      <c r="B34" s="534" t="s">
        <v>565</v>
      </c>
      <c r="C34" s="538"/>
      <c r="D34" s="538"/>
      <c r="E34" s="538"/>
      <c r="F34" s="538"/>
      <c r="G34" s="538"/>
      <c r="H34" s="538"/>
      <c r="I34" s="538"/>
      <c r="J34" s="538"/>
      <c r="K34" s="538"/>
      <c r="L34" s="538"/>
      <c r="M34" s="538"/>
      <c r="N34" s="538"/>
      <c r="O34" s="538"/>
      <c r="P34" s="538"/>
      <c r="Q34" s="538"/>
      <c r="R34" s="538"/>
      <c r="S34" s="538"/>
      <c r="T34" s="538"/>
      <c r="U34" s="538"/>
      <c r="V34" s="538"/>
      <c r="W34" s="538"/>
      <c r="X34" s="538"/>
      <c r="Y34" s="538"/>
      <c r="Z34" s="538"/>
      <c r="AA34" s="539"/>
      <c r="AB34" s="539"/>
      <c r="AC34" s="539"/>
      <c r="AD34" s="539"/>
      <c r="AE34" s="539"/>
      <c r="AF34" s="539"/>
      <c r="AG34" s="539"/>
      <c r="AH34" s="539"/>
    </row>
    <row r="35" spans="1:34" s="428" customFormat="1" ht="12.75" x14ac:dyDescent="0.2">
      <c r="A35" s="513">
        <v>52040</v>
      </c>
      <c r="B35" s="534" t="s">
        <v>566</v>
      </c>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538"/>
      <c r="AA35" s="539"/>
      <c r="AB35" s="539"/>
      <c r="AC35" s="539"/>
      <c r="AD35" s="539"/>
      <c r="AE35" s="539"/>
      <c r="AF35" s="539"/>
      <c r="AG35" s="539"/>
      <c r="AH35" s="539"/>
    </row>
    <row r="36" spans="1:34" s="428" customFormat="1" ht="12.75" x14ac:dyDescent="0.2">
      <c r="A36" s="513">
        <v>52525</v>
      </c>
      <c r="B36" s="534" t="s">
        <v>567</v>
      </c>
      <c r="C36" s="538"/>
      <c r="D36" s="538"/>
      <c r="E36" s="538"/>
      <c r="F36" s="538"/>
      <c r="G36" s="538"/>
      <c r="H36" s="538"/>
      <c r="I36" s="538"/>
      <c r="J36" s="538"/>
      <c r="K36" s="538"/>
      <c r="L36" s="538"/>
      <c r="M36" s="538"/>
      <c r="N36" s="538"/>
      <c r="O36" s="538"/>
      <c r="P36" s="538"/>
      <c r="Q36" s="538"/>
      <c r="R36" s="538"/>
      <c r="S36" s="538"/>
      <c r="T36" s="538"/>
      <c r="U36" s="538"/>
      <c r="V36" s="538"/>
      <c r="W36" s="538"/>
      <c r="X36" s="538"/>
      <c r="Y36" s="538"/>
      <c r="Z36" s="538"/>
      <c r="AA36" s="539"/>
      <c r="AB36" s="539"/>
      <c r="AC36" s="539"/>
      <c r="AD36" s="539"/>
      <c r="AE36" s="539"/>
      <c r="AF36" s="539"/>
      <c r="AG36" s="539"/>
      <c r="AH36" s="539"/>
    </row>
    <row r="37" spans="1:34" s="428" customFormat="1" ht="12.75" x14ac:dyDescent="0.2">
      <c r="A37" s="513">
        <v>52601</v>
      </c>
      <c r="B37" s="534" t="s">
        <v>568</v>
      </c>
      <c r="C37" s="538"/>
      <c r="D37" s="538"/>
      <c r="E37" s="538"/>
      <c r="F37" s="538"/>
      <c r="G37" s="538"/>
      <c r="H37" s="538"/>
      <c r="I37" s="538"/>
      <c r="J37" s="538"/>
      <c r="K37" s="538"/>
      <c r="L37" s="538"/>
      <c r="M37" s="538"/>
      <c r="N37" s="538"/>
      <c r="O37" s="538"/>
      <c r="P37" s="538"/>
      <c r="Q37" s="538"/>
      <c r="R37" s="538"/>
      <c r="S37" s="538"/>
      <c r="T37" s="538"/>
      <c r="U37" s="538"/>
      <c r="V37" s="538"/>
      <c r="W37" s="538"/>
      <c r="X37" s="538"/>
      <c r="Y37" s="538"/>
      <c r="Z37" s="538"/>
      <c r="AA37" s="539"/>
      <c r="AB37" s="539"/>
      <c r="AC37" s="539"/>
      <c r="AD37" s="539"/>
      <c r="AE37" s="539"/>
      <c r="AF37" s="539"/>
      <c r="AG37" s="539"/>
      <c r="AH37" s="539"/>
    </row>
    <row r="38" spans="1:34" s="428" customFormat="1" ht="12.75" x14ac:dyDescent="0.2">
      <c r="A38" s="513">
        <v>52602</v>
      </c>
      <c r="B38" s="534" t="s">
        <v>569</v>
      </c>
      <c r="C38" s="538"/>
      <c r="D38" s="538"/>
      <c r="E38" s="538"/>
      <c r="F38" s="538"/>
      <c r="G38" s="538"/>
      <c r="H38" s="538"/>
      <c r="I38" s="538"/>
      <c r="J38" s="538"/>
      <c r="K38" s="538"/>
      <c r="L38" s="538"/>
      <c r="M38" s="538"/>
      <c r="N38" s="538"/>
      <c r="O38" s="538"/>
      <c r="P38" s="538"/>
      <c r="Q38" s="538"/>
      <c r="R38" s="538"/>
      <c r="S38" s="538"/>
      <c r="T38" s="538"/>
      <c r="U38" s="538"/>
      <c r="V38" s="538"/>
      <c r="W38" s="538"/>
      <c r="X38" s="538"/>
      <c r="Y38" s="538"/>
      <c r="Z38" s="538"/>
      <c r="AA38" s="539"/>
      <c r="AB38" s="539"/>
      <c r="AC38" s="539"/>
      <c r="AD38" s="539"/>
      <c r="AE38" s="539"/>
      <c r="AF38" s="539"/>
      <c r="AG38" s="539"/>
      <c r="AH38" s="539"/>
    </row>
    <row r="39" spans="1:34" s="428" customFormat="1" ht="12.75" x14ac:dyDescent="0.2">
      <c r="A39" s="513">
        <v>52613</v>
      </c>
      <c r="B39" s="534" t="s">
        <v>570</v>
      </c>
      <c r="C39" s="538"/>
      <c r="D39" s="538"/>
      <c r="E39" s="538"/>
      <c r="F39" s="538"/>
      <c r="G39" s="538"/>
      <c r="H39" s="538"/>
      <c r="I39" s="538"/>
      <c r="J39" s="538"/>
      <c r="K39" s="538"/>
      <c r="L39" s="538"/>
      <c r="M39" s="538"/>
      <c r="N39" s="538"/>
      <c r="O39" s="538"/>
      <c r="P39" s="538"/>
      <c r="Q39" s="538"/>
      <c r="R39" s="538"/>
      <c r="S39" s="538"/>
      <c r="T39" s="538"/>
      <c r="U39" s="538"/>
      <c r="V39" s="538"/>
      <c r="W39" s="538"/>
      <c r="X39" s="538"/>
      <c r="Y39" s="538"/>
      <c r="Z39" s="538"/>
      <c r="AA39" s="539"/>
      <c r="AB39" s="539"/>
      <c r="AC39" s="539"/>
      <c r="AD39" s="539"/>
      <c r="AE39" s="539"/>
      <c r="AF39" s="539"/>
      <c r="AG39" s="539"/>
      <c r="AH39" s="539"/>
    </row>
    <row r="40" spans="1:34" s="428" customFormat="1" ht="12.75" x14ac:dyDescent="0.2">
      <c r="A40" s="513">
        <v>52090</v>
      </c>
      <c r="B40" s="534" t="s">
        <v>571</v>
      </c>
      <c r="C40" s="538"/>
      <c r="D40" s="538"/>
      <c r="E40" s="538"/>
      <c r="F40" s="538"/>
      <c r="G40" s="538"/>
      <c r="H40" s="538"/>
      <c r="I40" s="538"/>
      <c r="J40" s="538"/>
      <c r="K40" s="538"/>
      <c r="L40" s="538"/>
      <c r="M40" s="538"/>
      <c r="N40" s="538"/>
      <c r="O40" s="538"/>
      <c r="P40" s="538"/>
      <c r="Q40" s="538"/>
      <c r="R40" s="538"/>
      <c r="S40" s="538"/>
      <c r="T40" s="538"/>
      <c r="U40" s="538"/>
      <c r="V40" s="538"/>
      <c r="W40" s="538"/>
      <c r="X40" s="538"/>
      <c r="Y40" s="538"/>
      <c r="Z40" s="538"/>
      <c r="AA40" s="539"/>
      <c r="AB40" s="539"/>
      <c r="AC40" s="539"/>
      <c r="AD40" s="539"/>
      <c r="AE40" s="539"/>
      <c r="AF40" s="539"/>
      <c r="AG40" s="539"/>
      <c r="AH40" s="539"/>
    </row>
    <row r="41" spans="1:34" s="428" customFormat="1" ht="12.75" x14ac:dyDescent="0.2">
      <c r="A41" s="513">
        <v>52099</v>
      </c>
      <c r="B41" s="514" t="s">
        <v>572</v>
      </c>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3"/>
      <c r="AB41" s="543"/>
      <c r="AC41" s="543"/>
      <c r="AD41" s="543"/>
      <c r="AE41" s="543"/>
      <c r="AF41" s="543"/>
      <c r="AG41" s="543"/>
      <c r="AH41" s="543"/>
    </row>
    <row r="42" spans="1:34" s="428" customFormat="1" ht="12.75" x14ac:dyDescent="0.2">
      <c r="A42" s="513">
        <v>56900</v>
      </c>
      <c r="B42" s="532" t="s">
        <v>573</v>
      </c>
      <c r="C42" s="533">
        <f t="shared" ref="C42:AH42" si="3">SUM(C27:C41)</f>
        <v>0</v>
      </c>
      <c r="D42" s="533">
        <f t="shared" si="3"/>
        <v>0</v>
      </c>
      <c r="E42" s="533">
        <f t="shared" si="3"/>
        <v>0</v>
      </c>
      <c r="F42" s="533">
        <f t="shared" si="3"/>
        <v>0</v>
      </c>
      <c r="G42" s="533">
        <f t="shared" si="3"/>
        <v>0</v>
      </c>
      <c r="H42" s="533">
        <f t="shared" si="3"/>
        <v>0</v>
      </c>
      <c r="I42" s="533">
        <f t="shared" si="3"/>
        <v>0</v>
      </c>
      <c r="J42" s="533">
        <f t="shared" si="3"/>
        <v>0</v>
      </c>
      <c r="K42" s="533">
        <f t="shared" si="3"/>
        <v>0</v>
      </c>
      <c r="L42" s="533">
        <f t="shared" si="3"/>
        <v>0</v>
      </c>
      <c r="M42" s="533">
        <f t="shared" si="3"/>
        <v>0</v>
      </c>
      <c r="N42" s="533">
        <f t="shared" si="3"/>
        <v>0</v>
      </c>
      <c r="O42" s="533">
        <f t="shared" si="3"/>
        <v>0</v>
      </c>
      <c r="P42" s="533">
        <f t="shared" si="3"/>
        <v>0</v>
      </c>
      <c r="Q42" s="533">
        <f t="shared" si="3"/>
        <v>0</v>
      </c>
      <c r="R42" s="533">
        <f t="shared" si="3"/>
        <v>0</v>
      </c>
      <c r="S42" s="533">
        <f t="shared" si="3"/>
        <v>0</v>
      </c>
      <c r="T42" s="533">
        <f t="shared" si="3"/>
        <v>0</v>
      </c>
      <c r="U42" s="533">
        <f t="shared" si="3"/>
        <v>0</v>
      </c>
      <c r="V42" s="533">
        <f t="shared" si="3"/>
        <v>0</v>
      </c>
      <c r="W42" s="533">
        <f t="shared" si="3"/>
        <v>0</v>
      </c>
      <c r="X42" s="533">
        <f t="shared" si="3"/>
        <v>0</v>
      </c>
      <c r="Y42" s="533">
        <f t="shared" si="3"/>
        <v>0</v>
      </c>
      <c r="Z42" s="533">
        <f t="shared" si="3"/>
        <v>0</v>
      </c>
      <c r="AA42" s="533">
        <f t="shared" si="3"/>
        <v>0</v>
      </c>
      <c r="AB42" s="533">
        <f t="shared" si="3"/>
        <v>0</v>
      </c>
      <c r="AC42" s="533">
        <f t="shared" si="3"/>
        <v>0</v>
      </c>
      <c r="AD42" s="533">
        <f t="shared" si="3"/>
        <v>0</v>
      </c>
      <c r="AE42" s="533">
        <f t="shared" si="3"/>
        <v>0</v>
      </c>
      <c r="AF42" s="533">
        <f t="shared" si="3"/>
        <v>0</v>
      </c>
      <c r="AG42" s="533">
        <f t="shared" si="3"/>
        <v>0</v>
      </c>
      <c r="AH42" s="533">
        <f t="shared" si="3"/>
        <v>0</v>
      </c>
    </row>
    <row r="43" spans="1:34" s="428" customFormat="1" ht="12.75" x14ac:dyDescent="0.2">
      <c r="A43" s="513"/>
      <c r="B43" s="516"/>
      <c r="C43" s="528"/>
      <c r="D43" s="528"/>
      <c r="E43" s="528"/>
      <c r="F43" s="528"/>
      <c r="G43" s="528"/>
      <c r="H43" s="528"/>
      <c r="I43" s="528"/>
      <c r="J43" s="528"/>
      <c r="K43" s="528"/>
      <c r="L43" s="528"/>
      <c r="M43" s="528"/>
      <c r="N43" s="528"/>
      <c r="O43" s="528"/>
      <c r="P43" s="528"/>
      <c r="Q43" s="528"/>
      <c r="R43" s="528"/>
      <c r="S43" s="528"/>
      <c r="T43" s="528"/>
      <c r="U43" s="528"/>
      <c r="V43" s="528"/>
      <c r="W43" s="528"/>
      <c r="X43" s="528"/>
      <c r="Y43" s="528"/>
      <c r="Z43" s="528"/>
      <c r="AA43" s="528"/>
      <c r="AB43" s="528"/>
      <c r="AC43" s="528"/>
      <c r="AD43" s="528"/>
      <c r="AE43" s="528"/>
      <c r="AF43" s="528"/>
      <c r="AG43" s="528"/>
      <c r="AH43" s="528"/>
    </row>
    <row r="44" spans="1:34" s="521" customFormat="1" ht="12.75" x14ac:dyDescent="0.2">
      <c r="A44" s="513">
        <v>57900</v>
      </c>
      <c r="B44" s="532" t="s">
        <v>574</v>
      </c>
      <c r="C44" s="533">
        <f t="shared" ref="C44:AH44" si="4">C24-C42</f>
        <v>0</v>
      </c>
      <c r="D44" s="533">
        <f t="shared" si="4"/>
        <v>0</v>
      </c>
      <c r="E44" s="533">
        <f t="shared" si="4"/>
        <v>0</v>
      </c>
      <c r="F44" s="533">
        <f t="shared" si="4"/>
        <v>0</v>
      </c>
      <c r="G44" s="533">
        <f t="shared" si="4"/>
        <v>0</v>
      </c>
      <c r="H44" s="533">
        <f t="shared" si="4"/>
        <v>0</v>
      </c>
      <c r="I44" s="533">
        <f t="shared" si="4"/>
        <v>3896.6600000000003</v>
      </c>
      <c r="J44" s="533">
        <f t="shared" si="4"/>
        <v>0</v>
      </c>
      <c r="K44" s="533">
        <f t="shared" si="4"/>
        <v>0</v>
      </c>
      <c r="L44" s="533">
        <f t="shared" si="4"/>
        <v>0</v>
      </c>
      <c r="M44" s="533">
        <f t="shared" si="4"/>
        <v>0</v>
      </c>
      <c r="N44" s="533">
        <f t="shared" si="4"/>
        <v>0</v>
      </c>
      <c r="O44" s="533">
        <f t="shared" si="4"/>
        <v>0</v>
      </c>
      <c r="P44" s="533">
        <f t="shared" si="4"/>
        <v>0</v>
      </c>
      <c r="Q44" s="533">
        <f t="shared" si="4"/>
        <v>0</v>
      </c>
      <c r="R44" s="533">
        <f t="shared" si="4"/>
        <v>0</v>
      </c>
      <c r="S44" s="533">
        <f t="shared" si="4"/>
        <v>0</v>
      </c>
      <c r="T44" s="533">
        <f t="shared" si="4"/>
        <v>0</v>
      </c>
      <c r="U44" s="533">
        <f t="shared" si="4"/>
        <v>0</v>
      </c>
      <c r="V44" s="533">
        <f t="shared" si="4"/>
        <v>0</v>
      </c>
      <c r="W44" s="533">
        <f t="shared" si="4"/>
        <v>0</v>
      </c>
      <c r="X44" s="533">
        <f t="shared" si="4"/>
        <v>0</v>
      </c>
      <c r="Y44" s="533">
        <f t="shared" si="4"/>
        <v>0</v>
      </c>
      <c r="Z44" s="533">
        <f t="shared" si="4"/>
        <v>3516.7400000000002</v>
      </c>
      <c r="AA44" s="533">
        <f t="shared" si="4"/>
        <v>0</v>
      </c>
      <c r="AB44" s="533">
        <f t="shared" si="4"/>
        <v>0</v>
      </c>
      <c r="AC44" s="533">
        <f t="shared" si="4"/>
        <v>0</v>
      </c>
      <c r="AD44" s="533">
        <f t="shared" si="4"/>
        <v>0</v>
      </c>
      <c r="AE44" s="533">
        <f t="shared" si="4"/>
        <v>0</v>
      </c>
      <c r="AF44" s="533">
        <f t="shared" si="4"/>
        <v>0</v>
      </c>
      <c r="AG44" s="533">
        <f t="shared" si="4"/>
        <v>0</v>
      </c>
      <c r="AH44" s="533">
        <f t="shared" si="4"/>
        <v>7413.4000000000005</v>
      </c>
    </row>
    <row r="45" spans="1:34" s="428" customFormat="1" ht="12.75" x14ac:dyDescent="0.2">
      <c r="A45" s="513" t="s">
        <v>575</v>
      </c>
      <c r="B45" s="516" t="s">
        <v>576</v>
      </c>
      <c r="C45" s="544" t="str">
        <f t="shared" ref="C45:AH45" si="5">IF(ISERROR(C44/C24),"",(C44/C24))</f>
        <v/>
      </c>
      <c r="D45" s="544" t="str">
        <f t="shared" si="5"/>
        <v/>
      </c>
      <c r="E45" s="544" t="str">
        <f t="shared" si="5"/>
        <v/>
      </c>
      <c r="F45" s="544" t="str">
        <f t="shared" si="5"/>
        <v/>
      </c>
      <c r="G45" s="544" t="str">
        <f t="shared" si="5"/>
        <v/>
      </c>
      <c r="H45" s="544" t="str">
        <f t="shared" si="5"/>
        <v/>
      </c>
      <c r="I45" s="544">
        <f t="shared" si="5"/>
        <v>1</v>
      </c>
      <c r="J45" s="544" t="str">
        <f t="shared" si="5"/>
        <v/>
      </c>
      <c r="K45" s="544" t="str">
        <f t="shared" si="5"/>
        <v/>
      </c>
      <c r="L45" s="544" t="str">
        <f t="shared" si="5"/>
        <v/>
      </c>
      <c r="M45" s="544" t="str">
        <f t="shared" si="5"/>
        <v/>
      </c>
      <c r="N45" s="544" t="str">
        <f t="shared" si="5"/>
        <v/>
      </c>
      <c r="O45" s="544" t="str">
        <f t="shared" si="5"/>
        <v/>
      </c>
      <c r="P45" s="544" t="str">
        <f t="shared" si="5"/>
        <v/>
      </c>
      <c r="Q45" s="544" t="str">
        <f t="shared" si="5"/>
        <v/>
      </c>
      <c r="R45" s="544" t="str">
        <f t="shared" si="5"/>
        <v/>
      </c>
      <c r="S45" s="544" t="str">
        <f t="shared" si="5"/>
        <v/>
      </c>
      <c r="T45" s="544" t="str">
        <f t="shared" si="5"/>
        <v/>
      </c>
      <c r="U45" s="544" t="str">
        <f t="shared" si="5"/>
        <v/>
      </c>
      <c r="V45" s="544" t="str">
        <f t="shared" si="5"/>
        <v/>
      </c>
      <c r="W45" s="544" t="str">
        <f t="shared" si="5"/>
        <v/>
      </c>
      <c r="X45" s="544" t="str">
        <f t="shared" si="5"/>
        <v/>
      </c>
      <c r="Y45" s="544" t="str">
        <f t="shared" si="5"/>
        <v/>
      </c>
      <c r="Z45" s="544">
        <f t="shared" si="5"/>
        <v>1</v>
      </c>
      <c r="AA45" s="544" t="str">
        <f t="shared" si="5"/>
        <v/>
      </c>
      <c r="AB45" s="544" t="str">
        <f t="shared" si="5"/>
        <v/>
      </c>
      <c r="AC45" s="544" t="str">
        <f t="shared" si="5"/>
        <v/>
      </c>
      <c r="AD45" s="544" t="str">
        <f t="shared" si="5"/>
        <v/>
      </c>
      <c r="AE45" s="544" t="str">
        <f t="shared" si="5"/>
        <v/>
      </c>
      <c r="AF45" s="544" t="str">
        <f t="shared" si="5"/>
        <v/>
      </c>
      <c r="AG45" s="544" t="str">
        <f t="shared" si="5"/>
        <v/>
      </c>
      <c r="AH45" s="544">
        <f t="shared" si="5"/>
        <v>1</v>
      </c>
    </row>
    <row r="46" spans="1:34" s="428" customFormat="1" ht="12.75" x14ac:dyDescent="0.2">
      <c r="A46" s="513"/>
      <c r="B46" s="516"/>
      <c r="C46" s="528"/>
      <c r="D46" s="528"/>
      <c r="E46" s="528"/>
      <c r="F46" s="528"/>
      <c r="G46" s="528"/>
      <c r="H46" s="528"/>
      <c r="I46" s="528"/>
      <c r="J46" s="528"/>
      <c r="K46" s="528"/>
      <c r="L46" s="528"/>
      <c r="M46" s="528"/>
      <c r="N46" s="528"/>
      <c r="O46" s="528"/>
      <c r="P46" s="528"/>
      <c r="Q46" s="528"/>
      <c r="R46" s="528"/>
      <c r="S46" s="528"/>
      <c r="T46" s="528"/>
      <c r="U46" s="528"/>
      <c r="V46" s="528"/>
      <c r="W46" s="528"/>
      <c r="X46" s="528"/>
      <c r="Y46" s="528"/>
      <c r="Z46" s="528"/>
      <c r="AA46" s="528"/>
      <c r="AB46" s="528"/>
      <c r="AC46" s="528"/>
      <c r="AD46" s="528"/>
      <c r="AE46" s="528"/>
      <c r="AF46" s="528"/>
      <c r="AG46" s="528"/>
      <c r="AH46" s="528"/>
    </row>
    <row r="47" spans="1:34" s="428" customFormat="1" ht="12.75" x14ac:dyDescent="0.2">
      <c r="A47" s="513"/>
      <c r="B47" s="516" t="s">
        <v>577</v>
      </c>
      <c r="C47" s="528"/>
      <c r="D47" s="528"/>
      <c r="E47" s="528"/>
      <c r="F47" s="528"/>
      <c r="G47" s="528"/>
      <c r="H47" s="528"/>
      <c r="I47" s="528"/>
      <c r="J47" s="528"/>
      <c r="K47" s="528"/>
      <c r="L47" s="528"/>
      <c r="M47" s="528"/>
      <c r="N47" s="528"/>
      <c r="O47" s="528"/>
      <c r="P47" s="528"/>
      <c r="Q47" s="528"/>
      <c r="R47" s="528"/>
      <c r="S47" s="528"/>
      <c r="T47" s="528"/>
      <c r="U47" s="528"/>
      <c r="V47" s="528"/>
      <c r="W47" s="528"/>
      <c r="X47" s="528"/>
      <c r="Y47" s="528"/>
      <c r="Z47" s="528"/>
      <c r="AA47" s="528"/>
      <c r="AB47" s="528"/>
      <c r="AC47" s="528"/>
      <c r="AD47" s="528"/>
      <c r="AE47" s="528"/>
      <c r="AF47" s="528"/>
      <c r="AG47" s="528"/>
      <c r="AH47" s="528"/>
    </row>
    <row r="48" spans="1:34" s="428" customFormat="1" ht="12.75" x14ac:dyDescent="0.2">
      <c r="A48" s="513">
        <v>58001</v>
      </c>
      <c r="B48" s="529" t="s">
        <v>578</v>
      </c>
      <c r="C48" s="538"/>
      <c r="D48" s="538"/>
      <c r="E48" s="538"/>
      <c r="F48" s="538"/>
      <c r="G48" s="538"/>
      <c r="H48" s="538"/>
      <c r="I48" s="538"/>
      <c r="J48" s="538"/>
      <c r="K48" s="538"/>
      <c r="L48" s="538"/>
      <c r="M48" s="538"/>
      <c r="N48" s="538"/>
      <c r="O48" s="538"/>
      <c r="P48" s="538"/>
      <c r="Q48" s="538"/>
      <c r="R48" s="538"/>
      <c r="S48" s="538"/>
      <c r="T48" s="538"/>
      <c r="U48" s="538"/>
      <c r="V48" s="538"/>
      <c r="W48" s="538"/>
      <c r="X48" s="538"/>
      <c r="Y48" s="538"/>
      <c r="Z48" s="538"/>
      <c r="AA48" s="539"/>
      <c r="AB48" s="539"/>
      <c r="AC48" s="539"/>
      <c r="AD48" s="539"/>
      <c r="AE48" s="539"/>
      <c r="AF48" s="539"/>
      <c r="AG48" s="539"/>
      <c r="AH48" s="539"/>
    </row>
    <row r="49" spans="1:34" s="428" customFormat="1" ht="12.75" x14ac:dyDescent="0.2">
      <c r="A49" s="513">
        <v>58002</v>
      </c>
      <c r="B49" s="534" t="s">
        <v>579</v>
      </c>
      <c r="C49" s="538"/>
      <c r="D49" s="538"/>
      <c r="E49" s="538"/>
      <c r="F49" s="538"/>
      <c r="G49" s="538"/>
      <c r="H49" s="538"/>
      <c r="I49" s="538"/>
      <c r="J49" s="538"/>
      <c r="K49" s="538"/>
      <c r="L49" s="538"/>
      <c r="M49" s="538"/>
      <c r="N49" s="538"/>
      <c r="O49" s="538"/>
      <c r="P49" s="538"/>
      <c r="Q49" s="538"/>
      <c r="R49" s="538"/>
      <c r="S49" s="538"/>
      <c r="T49" s="538"/>
      <c r="U49" s="538"/>
      <c r="V49" s="538"/>
      <c r="W49" s="538"/>
      <c r="X49" s="538"/>
      <c r="Y49" s="538"/>
      <c r="Z49" s="538"/>
      <c r="AA49" s="539"/>
      <c r="AB49" s="539"/>
      <c r="AC49" s="539"/>
      <c r="AD49" s="539"/>
      <c r="AE49" s="539"/>
      <c r="AF49" s="539"/>
      <c r="AG49" s="539"/>
      <c r="AH49" s="539"/>
    </row>
    <row r="50" spans="1:34" s="428" customFormat="1" ht="12.75" x14ac:dyDescent="0.2">
      <c r="A50" s="513">
        <v>58003</v>
      </c>
      <c r="B50" s="534" t="s">
        <v>580</v>
      </c>
      <c r="C50" s="538"/>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9"/>
      <c r="AB50" s="539"/>
      <c r="AC50" s="539"/>
      <c r="AD50" s="539"/>
      <c r="AE50" s="539"/>
      <c r="AF50" s="539"/>
      <c r="AG50" s="539"/>
      <c r="AH50" s="539"/>
    </row>
    <row r="51" spans="1:34" s="428" customFormat="1" ht="12.75" x14ac:dyDescent="0.2">
      <c r="A51" s="513">
        <v>58004</v>
      </c>
      <c r="B51" s="534" t="s">
        <v>581</v>
      </c>
      <c r="C51" s="538"/>
      <c r="D51" s="538"/>
      <c r="E51" s="538"/>
      <c r="F51" s="538"/>
      <c r="G51" s="538"/>
      <c r="H51" s="538"/>
      <c r="I51" s="538"/>
      <c r="J51" s="538"/>
      <c r="K51" s="538"/>
      <c r="L51" s="538"/>
      <c r="M51" s="538"/>
      <c r="N51" s="538"/>
      <c r="O51" s="538"/>
      <c r="P51" s="538"/>
      <c r="Q51" s="538"/>
      <c r="R51" s="538"/>
      <c r="S51" s="538"/>
      <c r="T51" s="538"/>
      <c r="U51" s="538"/>
      <c r="V51" s="538"/>
      <c r="W51" s="538"/>
      <c r="X51" s="538"/>
      <c r="Y51" s="538"/>
      <c r="Z51" s="538"/>
      <c r="AA51" s="539"/>
      <c r="AB51" s="539"/>
      <c r="AC51" s="539"/>
      <c r="AD51" s="539"/>
      <c r="AE51" s="539"/>
      <c r="AF51" s="539"/>
      <c r="AG51" s="539"/>
      <c r="AH51" s="539"/>
    </row>
    <row r="52" spans="1:34" s="428" customFormat="1" ht="12.75" x14ac:dyDescent="0.2">
      <c r="A52" s="513">
        <v>58100</v>
      </c>
      <c r="B52" s="534" t="s">
        <v>582</v>
      </c>
      <c r="C52" s="538"/>
      <c r="D52" s="538"/>
      <c r="E52" s="538"/>
      <c r="F52" s="538"/>
      <c r="G52" s="538"/>
      <c r="H52" s="538"/>
      <c r="I52" s="538"/>
      <c r="J52" s="538"/>
      <c r="K52" s="538"/>
      <c r="L52" s="538"/>
      <c r="M52" s="538"/>
      <c r="N52" s="538"/>
      <c r="O52" s="538"/>
      <c r="P52" s="538"/>
      <c r="Q52" s="538"/>
      <c r="R52" s="538"/>
      <c r="S52" s="538"/>
      <c r="T52" s="538"/>
      <c r="U52" s="538"/>
      <c r="V52" s="538"/>
      <c r="W52" s="538"/>
      <c r="X52" s="538"/>
      <c r="Y52" s="538"/>
      <c r="Z52" s="538"/>
      <c r="AA52" s="539"/>
      <c r="AB52" s="539"/>
      <c r="AC52" s="539"/>
      <c r="AD52" s="539"/>
      <c r="AE52" s="539"/>
      <c r="AF52" s="539"/>
      <c r="AG52" s="539"/>
      <c r="AH52" s="539"/>
    </row>
    <row r="53" spans="1:34" s="428" customFormat="1" ht="12.75" x14ac:dyDescent="0.2">
      <c r="A53" s="513">
        <v>58380</v>
      </c>
      <c r="B53" s="536" t="s">
        <v>583</v>
      </c>
      <c r="C53" s="537">
        <f t="shared" ref="C53:AH53" si="6">SUM(C48:C52)</f>
        <v>0</v>
      </c>
      <c r="D53" s="537">
        <f t="shared" si="6"/>
        <v>0</v>
      </c>
      <c r="E53" s="537">
        <f t="shared" si="6"/>
        <v>0</v>
      </c>
      <c r="F53" s="537">
        <f t="shared" si="6"/>
        <v>0</v>
      </c>
      <c r="G53" s="537">
        <f t="shared" si="6"/>
        <v>0</v>
      </c>
      <c r="H53" s="537">
        <f t="shared" si="6"/>
        <v>0</v>
      </c>
      <c r="I53" s="537">
        <f t="shared" si="6"/>
        <v>0</v>
      </c>
      <c r="J53" s="537">
        <f t="shared" si="6"/>
        <v>0</v>
      </c>
      <c r="K53" s="537">
        <f t="shared" si="6"/>
        <v>0</v>
      </c>
      <c r="L53" s="537">
        <f t="shared" si="6"/>
        <v>0</v>
      </c>
      <c r="M53" s="537">
        <f t="shared" si="6"/>
        <v>0</v>
      </c>
      <c r="N53" s="537">
        <f t="shared" si="6"/>
        <v>0</v>
      </c>
      <c r="O53" s="537">
        <f t="shared" si="6"/>
        <v>0</v>
      </c>
      <c r="P53" s="537">
        <f t="shared" si="6"/>
        <v>0</v>
      </c>
      <c r="Q53" s="537">
        <f t="shared" si="6"/>
        <v>0</v>
      </c>
      <c r="R53" s="537">
        <f t="shared" si="6"/>
        <v>0</v>
      </c>
      <c r="S53" s="537">
        <f t="shared" si="6"/>
        <v>0</v>
      </c>
      <c r="T53" s="537">
        <f t="shared" si="6"/>
        <v>0</v>
      </c>
      <c r="U53" s="537">
        <f t="shared" si="6"/>
        <v>0</v>
      </c>
      <c r="V53" s="537">
        <f t="shared" si="6"/>
        <v>0</v>
      </c>
      <c r="W53" s="537">
        <f t="shared" si="6"/>
        <v>0</v>
      </c>
      <c r="X53" s="537">
        <f t="shared" si="6"/>
        <v>0</v>
      </c>
      <c r="Y53" s="537">
        <f t="shared" si="6"/>
        <v>0</v>
      </c>
      <c r="Z53" s="537">
        <f t="shared" si="6"/>
        <v>0</v>
      </c>
      <c r="AA53" s="537">
        <f t="shared" si="6"/>
        <v>0</v>
      </c>
      <c r="AB53" s="537">
        <f t="shared" si="6"/>
        <v>0</v>
      </c>
      <c r="AC53" s="537">
        <f t="shared" si="6"/>
        <v>0</v>
      </c>
      <c r="AD53" s="537">
        <f t="shared" si="6"/>
        <v>0</v>
      </c>
      <c r="AE53" s="537">
        <f t="shared" si="6"/>
        <v>0</v>
      </c>
      <c r="AF53" s="537">
        <f t="shared" si="6"/>
        <v>0</v>
      </c>
      <c r="AG53" s="537">
        <f t="shared" si="6"/>
        <v>0</v>
      </c>
      <c r="AH53" s="537">
        <f t="shared" si="6"/>
        <v>0</v>
      </c>
    </row>
    <row r="54" spans="1:34" s="428" customFormat="1" ht="12.75" x14ac:dyDescent="0.2">
      <c r="A54" s="513"/>
      <c r="B54" s="516"/>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c r="AE54" s="528"/>
      <c r="AF54" s="528"/>
      <c r="AG54" s="528"/>
      <c r="AH54" s="528"/>
    </row>
    <row r="55" spans="1:34" s="428" customFormat="1" ht="12.75" x14ac:dyDescent="0.2">
      <c r="A55" s="513"/>
      <c r="B55" s="516" t="s">
        <v>584</v>
      </c>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c r="AE55" s="528"/>
      <c r="AF55" s="528"/>
      <c r="AG55" s="528"/>
      <c r="AH55" s="528"/>
    </row>
    <row r="56" spans="1:34" s="428" customFormat="1" ht="12.75" x14ac:dyDescent="0.2">
      <c r="A56" s="513">
        <v>58403</v>
      </c>
      <c r="B56" s="529" t="s">
        <v>585</v>
      </c>
      <c r="C56" s="538"/>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row>
    <row r="57" spans="1:34" s="428" customFormat="1" ht="12.75" x14ac:dyDescent="0.2">
      <c r="A57" s="513">
        <v>58406</v>
      </c>
      <c r="B57" s="514" t="s">
        <v>586</v>
      </c>
      <c r="C57" s="538"/>
      <c r="D57" s="538"/>
      <c r="E57" s="538"/>
      <c r="F57" s="538"/>
      <c r="G57" s="538"/>
      <c r="H57" s="538"/>
      <c r="I57" s="538"/>
      <c r="J57" s="538"/>
      <c r="K57" s="538"/>
      <c r="L57" s="538"/>
      <c r="M57" s="538"/>
      <c r="N57" s="538"/>
      <c r="O57" s="538"/>
      <c r="P57" s="538"/>
      <c r="Q57" s="538"/>
      <c r="R57" s="538"/>
      <c r="S57" s="538"/>
      <c r="T57" s="538"/>
      <c r="U57" s="538"/>
      <c r="V57" s="538"/>
      <c r="W57" s="538"/>
      <c r="X57" s="538"/>
      <c r="Y57" s="538"/>
      <c r="Z57" s="538"/>
      <c r="AA57" s="538"/>
      <c r="AB57" s="538"/>
      <c r="AC57" s="538"/>
      <c r="AD57" s="538"/>
      <c r="AE57" s="538"/>
      <c r="AF57" s="538"/>
      <c r="AG57" s="538"/>
      <c r="AH57" s="538"/>
    </row>
    <row r="58" spans="1:34" s="428" customFormat="1" ht="12.75" x14ac:dyDescent="0.2">
      <c r="A58" s="513">
        <v>58450</v>
      </c>
      <c r="B58" s="536" t="s">
        <v>587</v>
      </c>
      <c r="C58" s="537">
        <f t="shared" ref="C58:AH58" si="7">SUM(C56:C57)</f>
        <v>0</v>
      </c>
      <c r="D58" s="537">
        <f t="shared" si="7"/>
        <v>0</v>
      </c>
      <c r="E58" s="537">
        <f t="shared" si="7"/>
        <v>0</v>
      </c>
      <c r="F58" s="537">
        <f t="shared" si="7"/>
        <v>0</v>
      </c>
      <c r="G58" s="537">
        <f t="shared" si="7"/>
        <v>0</v>
      </c>
      <c r="H58" s="537">
        <f t="shared" si="7"/>
        <v>0</v>
      </c>
      <c r="I58" s="537">
        <f t="shared" si="7"/>
        <v>0</v>
      </c>
      <c r="J58" s="537">
        <f t="shared" si="7"/>
        <v>0</v>
      </c>
      <c r="K58" s="537">
        <f t="shared" si="7"/>
        <v>0</v>
      </c>
      <c r="L58" s="537">
        <f t="shared" si="7"/>
        <v>0</v>
      </c>
      <c r="M58" s="537">
        <f t="shared" si="7"/>
        <v>0</v>
      </c>
      <c r="N58" s="537">
        <f t="shared" si="7"/>
        <v>0</v>
      </c>
      <c r="O58" s="537">
        <f t="shared" si="7"/>
        <v>0</v>
      </c>
      <c r="P58" s="537">
        <f t="shared" si="7"/>
        <v>0</v>
      </c>
      <c r="Q58" s="537">
        <f t="shared" si="7"/>
        <v>0</v>
      </c>
      <c r="R58" s="537">
        <f t="shared" si="7"/>
        <v>0</v>
      </c>
      <c r="S58" s="537">
        <f t="shared" si="7"/>
        <v>0</v>
      </c>
      <c r="T58" s="537">
        <f t="shared" si="7"/>
        <v>0</v>
      </c>
      <c r="U58" s="537">
        <f t="shared" si="7"/>
        <v>0</v>
      </c>
      <c r="V58" s="537">
        <f t="shared" si="7"/>
        <v>0</v>
      </c>
      <c r="W58" s="537">
        <f t="shared" si="7"/>
        <v>0</v>
      </c>
      <c r="X58" s="537">
        <f t="shared" si="7"/>
        <v>0</v>
      </c>
      <c r="Y58" s="537">
        <f t="shared" si="7"/>
        <v>0</v>
      </c>
      <c r="Z58" s="537">
        <f t="shared" si="7"/>
        <v>0</v>
      </c>
      <c r="AA58" s="537">
        <f t="shared" si="7"/>
        <v>0</v>
      </c>
      <c r="AB58" s="537">
        <f t="shared" si="7"/>
        <v>0</v>
      </c>
      <c r="AC58" s="537">
        <f t="shared" si="7"/>
        <v>0</v>
      </c>
      <c r="AD58" s="537">
        <f t="shared" si="7"/>
        <v>0</v>
      </c>
      <c r="AE58" s="537">
        <f t="shared" si="7"/>
        <v>0</v>
      </c>
      <c r="AF58" s="537">
        <f t="shared" si="7"/>
        <v>0</v>
      </c>
      <c r="AG58" s="537">
        <f t="shared" si="7"/>
        <v>0</v>
      </c>
      <c r="AH58" s="537">
        <f t="shared" si="7"/>
        <v>0</v>
      </c>
    </row>
    <row r="59" spans="1:34" s="428" customFormat="1" ht="12.75" x14ac:dyDescent="0.2">
      <c r="A59" s="513"/>
      <c r="B59" s="532"/>
      <c r="C59" s="533"/>
      <c r="D59" s="533"/>
      <c r="E59" s="533"/>
      <c r="F59" s="533"/>
      <c r="G59" s="533"/>
      <c r="H59" s="533"/>
      <c r="I59" s="533"/>
      <c r="J59" s="533"/>
      <c r="K59" s="533"/>
      <c r="L59" s="533"/>
      <c r="M59" s="533"/>
      <c r="N59" s="533"/>
      <c r="O59" s="533"/>
      <c r="P59" s="533"/>
      <c r="Q59" s="533"/>
      <c r="R59" s="533"/>
      <c r="S59" s="533"/>
      <c r="T59" s="533"/>
      <c r="U59" s="533"/>
      <c r="V59" s="533"/>
      <c r="W59" s="533"/>
      <c r="X59" s="533"/>
      <c r="Y59" s="533"/>
      <c r="Z59" s="533"/>
      <c r="AA59" s="533"/>
      <c r="AB59" s="533"/>
      <c r="AC59" s="533"/>
      <c r="AD59" s="533"/>
      <c r="AE59" s="533"/>
      <c r="AF59" s="533"/>
      <c r="AG59" s="533"/>
      <c r="AH59" s="533"/>
    </row>
    <row r="60" spans="1:34" s="428" customFormat="1" ht="12.75" x14ac:dyDescent="0.2">
      <c r="A60" s="513">
        <v>58580</v>
      </c>
      <c r="B60" s="536" t="s">
        <v>588</v>
      </c>
      <c r="C60" s="537">
        <f t="shared" ref="C60:AH60" si="8">C53+C58</f>
        <v>0</v>
      </c>
      <c r="D60" s="537">
        <f t="shared" si="8"/>
        <v>0</v>
      </c>
      <c r="E60" s="537">
        <f t="shared" si="8"/>
        <v>0</v>
      </c>
      <c r="F60" s="537">
        <f t="shared" si="8"/>
        <v>0</v>
      </c>
      <c r="G60" s="537">
        <f t="shared" si="8"/>
        <v>0</v>
      </c>
      <c r="H60" s="537">
        <f t="shared" si="8"/>
        <v>0</v>
      </c>
      <c r="I60" s="537">
        <f t="shared" si="8"/>
        <v>0</v>
      </c>
      <c r="J60" s="537">
        <f t="shared" si="8"/>
        <v>0</v>
      </c>
      <c r="K60" s="537">
        <f t="shared" si="8"/>
        <v>0</v>
      </c>
      <c r="L60" s="537">
        <f t="shared" si="8"/>
        <v>0</v>
      </c>
      <c r="M60" s="537">
        <f t="shared" si="8"/>
        <v>0</v>
      </c>
      <c r="N60" s="537">
        <f t="shared" si="8"/>
        <v>0</v>
      </c>
      <c r="O60" s="537">
        <f t="shared" si="8"/>
        <v>0</v>
      </c>
      <c r="P60" s="537">
        <f t="shared" si="8"/>
        <v>0</v>
      </c>
      <c r="Q60" s="537">
        <f t="shared" si="8"/>
        <v>0</v>
      </c>
      <c r="R60" s="537">
        <f t="shared" si="8"/>
        <v>0</v>
      </c>
      <c r="S60" s="537">
        <f t="shared" si="8"/>
        <v>0</v>
      </c>
      <c r="T60" s="537">
        <f t="shared" si="8"/>
        <v>0</v>
      </c>
      <c r="U60" s="537">
        <f t="shared" si="8"/>
        <v>0</v>
      </c>
      <c r="V60" s="537">
        <f t="shared" si="8"/>
        <v>0</v>
      </c>
      <c r="W60" s="537">
        <f t="shared" si="8"/>
        <v>0</v>
      </c>
      <c r="X60" s="537">
        <f t="shared" si="8"/>
        <v>0</v>
      </c>
      <c r="Y60" s="537">
        <f t="shared" si="8"/>
        <v>0</v>
      </c>
      <c r="Z60" s="537">
        <f t="shared" si="8"/>
        <v>0</v>
      </c>
      <c r="AA60" s="537">
        <f t="shared" si="8"/>
        <v>0</v>
      </c>
      <c r="AB60" s="537">
        <f t="shared" si="8"/>
        <v>0</v>
      </c>
      <c r="AC60" s="537">
        <f t="shared" si="8"/>
        <v>0</v>
      </c>
      <c r="AD60" s="537">
        <f t="shared" si="8"/>
        <v>0</v>
      </c>
      <c r="AE60" s="537">
        <f t="shared" si="8"/>
        <v>0</v>
      </c>
      <c r="AF60" s="537">
        <f t="shared" si="8"/>
        <v>0</v>
      </c>
      <c r="AG60" s="537">
        <f t="shared" si="8"/>
        <v>0</v>
      </c>
      <c r="AH60" s="537">
        <f t="shared" si="8"/>
        <v>0</v>
      </c>
    </row>
    <row r="61" spans="1:34" s="428" customFormat="1" ht="12.75" x14ac:dyDescent="0.2">
      <c r="A61" s="513"/>
      <c r="B61" s="536"/>
      <c r="C61" s="537"/>
      <c r="D61" s="537"/>
      <c r="E61" s="537"/>
      <c r="F61" s="537"/>
      <c r="G61" s="537"/>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row>
    <row r="62" spans="1:34" s="428" customFormat="1" ht="12.75" x14ac:dyDescent="0.2">
      <c r="A62" s="513">
        <v>58599</v>
      </c>
      <c r="B62" s="536" t="s">
        <v>589</v>
      </c>
      <c r="C62" s="537">
        <f t="shared" ref="C62:AH62" si="9">C44-C60</f>
        <v>0</v>
      </c>
      <c r="D62" s="537">
        <f t="shared" si="9"/>
        <v>0</v>
      </c>
      <c r="E62" s="537">
        <f t="shared" si="9"/>
        <v>0</v>
      </c>
      <c r="F62" s="537">
        <f t="shared" si="9"/>
        <v>0</v>
      </c>
      <c r="G62" s="537">
        <f t="shared" si="9"/>
        <v>0</v>
      </c>
      <c r="H62" s="537">
        <f t="shared" si="9"/>
        <v>0</v>
      </c>
      <c r="I62" s="537">
        <f t="shared" si="9"/>
        <v>3896.6600000000003</v>
      </c>
      <c r="J62" s="537">
        <f t="shared" si="9"/>
        <v>0</v>
      </c>
      <c r="K62" s="537">
        <f t="shared" si="9"/>
        <v>0</v>
      </c>
      <c r="L62" s="537">
        <f t="shared" si="9"/>
        <v>0</v>
      </c>
      <c r="M62" s="537">
        <f t="shared" si="9"/>
        <v>0</v>
      </c>
      <c r="N62" s="537">
        <f t="shared" si="9"/>
        <v>0</v>
      </c>
      <c r="O62" s="537">
        <f t="shared" si="9"/>
        <v>0</v>
      </c>
      <c r="P62" s="537">
        <f t="shared" si="9"/>
        <v>0</v>
      </c>
      <c r="Q62" s="537">
        <f t="shared" si="9"/>
        <v>0</v>
      </c>
      <c r="R62" s="537">
        <f t="shared" si="9"/>
        <v>0</v>
      </c>
      <c r="S62" s="537">
        <f t="shared" si="9"/>
        <v>0</v>
      </c>
      <c r="T62" s="537">
        <f t="shared" si="9"/>
        <v>0</v>
      </c>
      <c r="U62" s="537">
        <f t="shared" si="9"/>
        <v>0</v>
      </c>
      <c r="V62" s="537">
        <f t="shared" si="9"/>
        <v>0</v>
      </c>
      <c r="W62" s="537">
        <f t="shared" si="9"/>
        <v>0</v>
      </c>
      <c r="X62" s="537">
        <f t="shared" si="9"/>
        <v>0</v>
      </c>
      <c r="Y62" s="537">
        <f t="shared" si="9"/>
        <v>0</v>
      </c>
      <c r="Z62" s="537">
        <f t="shared" si="9"/>
        <v>3516.7400000000002</v>
      </c>
      <c r="AA62" s="537">
        <f t="shared" si="9"/>
        <v>0</v>
      </c>
      <c r="AB62" s="537">
        <f t="shared" si="9"/>
        <v>0</v>
      </c>
      <c r="AC62" s="537">
        <f t="shared" si="9"/>
        <v>0</v>
      </c>
      <c r="AD62" s="537">
        <f t="shared" si="9"/>
        <v>0</v>
      </c>
      <c r="AE62" s="537">
        <f t="shared" si="9"/>
        <v>0</v>
      </c>
      <c r="AF62" s="537">
        <f t="shared" si="9"/>
        <v>0</v>
      </c>
      <c r="AG62" s="537">
        <f t="shared" si="9"/>
        <v>0</v>
      </c>
      <c r="AH62" s="537">
        <f t="shared" si="9"/>
        <v>7413.4000000000005</v>
      </c>
    </row>
    <row r="63" spans="1:34" s="428" customFormat="1" ht="12.75" x14ac:dyDescent="0.2">
      <c r="A63" s="513"/>
      <c r="B63" s="516"/>
      <c r="C63" s="528"/>
      <c r="D63" s="528"/>
      <c r="E63" s="528"/>
      <c r="F63" s="528"/>
      <c r="G63" s="528"/>
      <c r="H63" s="528"/>
      <c r="I63" s="528"/>
      <c r="J63" s="528"/>
      <c r="K63" s="528"/>
      <c r="L63" s="528"/>
      <c r="M63" s="528"/>
      <c r="N63" s="528"/>
      <c r="O63" s="528"/>
      <c r="P63" s="528"/>
      <c r="Q63" s="528"/>
      <c r="R63" s="528"/>
      <c r="S63" s="528"/>
      <c r="T63" s="528"/>
      <c r="U63" s="528"/>
      <c r="V63" s="528"/>
      <c r="W63" s="528"/>
      <c r="X63" s="528"/>
      <c r="Y63" s="528"/>
      <c r="Z63" s="528"/>
      <c r="AA63" s="528"/>
      <c r="AB63" s="528"/>
      <c r="AC63" s="528"/>
      <c r="AD63" s="528"/>
      <c r="AE63" s="528"/>
      <c r="AF63" s="528"/>
      <c r="AG63" s="528"/>
      <c r="AH63" s="528"/>
    </row>
    <row r="64" spans="1:34" s="428" customFormat="1" ht="12.75" x14ac:dyDescent="0.2">
      <c r="A64" s="513"/>
      <c r="B64" s="516" t="s">
        <v>590</v>
      </c>
      <c r="C64" s="528"/>
      <c r="D64" s="52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8"/>
      <c r="AC64" s="528"/>
      <c r="AD64" s="528"/>
      <c r="AE64" s="528"/>
      <c r="AF64" s="528"/>
      <c r="AG64" s="528"/>
      <c r="AH64" s="528"/>
    </row>
    <row r="65" spans="1:34" s="428" customFormat="1" ht="12.75" x14ac:dyDescent="0.2">
      <c r="A65" s="513">
        <v>58601</v>
      </c>
      <c r="B65" s="529" t="s">
        <v>591</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row>
    <row r="66" spans="1:34" s="428" customFormat="1" ht="12.75" x14ac:dyDescent="0.2">
      <c r="A66" s="513">
        <v>58602</v>
      </c>
      <c r="B66" s="514" t="s">
        <v>592</v>
      </c>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row>
    <row r="67" spans="1:34" s="428" customFormat="1" ht="12.75" x14ac:dyDescent="0.2">
      <c r="A67" s="513">
        <v>58699</v>
      </c>
      <c r="B67" s="536" t="s">
        <v>593</v>
      </c>
      <c r="C67" s="537">
        <f t="shared" ref="C67:AH67" si="10">SUM(C65:C66)</f>
        <v>0</v>
      </c>
      <c r="D67" s="537">
        <f t="shared" si="10"/>
        <v>0</v>
      </c>
      <c r="E67" s="537">
        <f t="shared" si="10"/>
        <v>0</v>
      </c>
      <c r="F67" s="537">
        <f t="shared" si="10"/>
        <v>0</v>
      </c>
      <c r="G67" s="537">
        <f t="shared" si="10"/>
        <v>0</v>
      </c>
      <c r="H67" s="537">
        <f t="shared" si="10"/>
        <v>0</v>
      </c>
      <c r="I67" s="537">
        <f t="shared" si="10"/>
        <v>0</v>
      </c>
      <c r="J67" s="537">
        <f t="shared" si="10"/>
        <v>0</v>
      </c>
      <c r="K67" s="537">
        <f t="shared" si="10"/>
        <v>0</v>
      </c>
      <c r="L67" s="537">
        <f t="shared" si="10"/>
        <v>0</v>
      </c>
      <c r="M67" s="537">
        <f t="shared" si="10"/>
        <v>0</v>
      </c>
      <c r="N67" s="537">
        <f t="shared" si="10"/>
        <v>0</v>
      </c>
      <c r="O67" s="537">
        <f t="shared" si="10"/>
        <v>0</v>
      </c>
      <c r="P67" s="537">
        <f t="shared" si="10"/>
        <v>0</v>
      </c>
      <c r="Q67" s="537">
        <f t="shared" si="10"/>
        <v>0</v>
      </c>
      <c r="R67" s="537">
        <f t="shared" si="10"/>
        <v>0</v>
      </c>
      <c r="S67" s="537">
        <f t="shared" si="10"/>
        <v>0</v>
      </c>
      <c r="T67" s="537">
        <f t="shared" si="10"/>
        <v>0</v>
      </c>
      <c r="U67" s="537">
        <f t="shared" si="10"/>
        <v>0</v>
      </c>
      <c r="V67" s="537">
        <f t="shared" si="10"/>
        <v>0</v>
      </c>
      <c r="W67" s="537">
        <f t="shared" si="10"/>
        <v>0</v>
      </c>
      <c r="X67" s="537">
        <f t="shared" si="10"/>
        <v>0</v>
      </c>
      <c r="Y67" s="537">
        <f t="shared" si="10"/>
        <v>0</v>
      </c>
      <c r="Z67" s="537">
        <f t="shared" si="10"/>
        <v>0</v>
      </c>
      <c r="AA67" s="537">
        <f t="shared" si="10"/>
        <v>0</v>
      </c>
      <c r="AB67" s="537">
        <f t="shared" si="10"/>
        <v>0</v>
      </c>
      <c r="AC67" s="537">
        <f t="shared" si="10"/>
        <v>0</v>
      </c>
      <c r="AD67" s="537">
        <f t="shared" si="10"/>
        <v>0</v>
      </c>
      <c r="AE67" s="537">
        <f t="shared" si="10"/>
        <v>0</v>
      </c>
      <c r="AF67" s="537">
        <f t="shared" si="10"/>
        <v>0</v>
      </c>
      <c r="AG67" s="537">
        <f t="shared" si="10"/>
        <v>0</v>
      </c>
      <c r="AH67" s="537">
        <f t="shared" si="10"/>
        <v>0</v>
      </c>
    </row>
    <row r="68" spans="1:34" s="428" customFormat="1" ht="12.75" x14ac:dyDescent="0.2">
      <c r="A68" s="513"/>
      <c r="B68" s="536"/>
      <c r="C68" s="537"/>
      <c r="D68" s="537"/>
      <c r="E68" s="537"/>
      <c r="F68" s="537"/>
      <c r="G68" s="537"/>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row>
    <row r="69" spans="1:34" s="428" customFormat="1" ht="12.75" x14ac:dyDescent="0.2">
      <c r="A69" s="513">
        <v>59999</v>
      </c>
      <c r="B69" s="536" t="s">
        <v>594</v>
      </c>
      <c r="C69" s="537">
        <f t="shared" ref="C69:AH69" si="11">C62-C67</f>
        <v>0</v>
      </c>
      <c r="D69" s="537">
        <f t="shared" si="11"/>
        <v>0</v>
      </c>
      <c r="E69" s="537">
        <f t="shared" si="11"/>
        <v>0</v>
      </c>
      <c r="F69" s="537">
        <f t="shared" si="11"/>
        <v>0</v>
      </c>
      <c r="G69" s="537">
        <f t="shared" si="11"/>
        <v>0</v>
      </c>
      <c r="H69" s="537">
        <f t="shared" si="11"/>
        <v>0</v>
      </c>
      <c r="I69" s="537">
        <f t="shared" si="11"/>
        <v>3896.6600000000003</v>
      </c>
      <c r="J69" s="537">
        <f t="shared" si="11"/>
        <v>0</v>
      </c>
      <c r="K69" s="537">
        <f t="shared" si="11"/>
        <v>0</v>
      </c>
      <c r="L69" s="537">
        <f t="shared" si="11"/>
        <v>0</v>
      </c>
      <c r="M69" s="537">
        <f t="shared" si="11"/>
        <v>0</v>
      </c>
      <c r="N69" s="537">
        <f t="shared" si="11"/>
        <v>0</v>
      </c>
      <c r="O69" s="537">
        <f t="shared" si="11"/>
        <v>0</v>
      </c>
      <c r="P69" s="537">
        <f t="shared" si="11"/>
        <v>0</v>
      </c>
      <c r="Q69" s="537">
        <f t="shared" si="11"/>
        <v>0</v>
      </c>
      <c r="R69" s="537">
        <f t="shared" si="11"/>
        <v>0</v>
      </c>
      <c r="S69" s="537">
        <f t="shared" si="11"/>
        <v>0</v>
      </c>
      <c r="T69" s="537">
        <f t="shared" si="11"/>
        <v>0</v>
      </c>
      <c r="U69" s="537">
        <f t="shared" si="11"/>
        <v>0</v>
      </c>
      <c r="V69" s="537">
        <f t="shared" si="11"/>
        <v>0</v>
      </c>
      <c r="W69" s="537">
        <f t="shared" si="11"/>
        <v>0</v>
      </c>
      <c r="X69" s="537">
        <f t="shared" si="11"/>
        <v>0</v>
      </c>
      <c r="Y69" s="537">
        <f t="shared" si="11"/>
        <v>0</v>
      </c>
      <c r="Z69" s="537">
        <f t="shared" si="11"/>
        <v>3516.7400000000002</v>
      </c>
      <c r="AA69" s="537">
        <f t="shared" si="11"/>
        <v>0</v>
      </c>
      <c r="AB69" s="537">
        <f t="shared" si="11"/>
        <v>0</v>
      </c>
      <c r="AC69" s="537">
        <f t="shared" si="11"/>
        <v>0</v>
      </c>
      <c r="AD69" s="537">
        <f t="shared" si="11"/>
        <v>0</v>
      </c>
      <c r="AE69" s="537">
        <f t="shared" si="11"/>
        <v>0</v>
      </c>
      <c r="AF69" s="537">
        <f t="shared" si="11"/>
        <v>0</v>
      </c>
      <c r="AG69" s="537">
        <f t="shared" si="11"/>
        <v>0</v>
      </c>
      <c r="AH69" s="537">
        <f t="shared" si="11"/>
        <v>7413.4000000000005</v>
      </c>
    </row>
    <row r="70" spans="1:34" s="428" customFormat="1" ht="12.75" x14ac:dyDescent="0.2">
      <c r="A70" s="513" t="s">
        <v>595</v>
      </c>
      <c r="B70" s="516" t="s">
        <v>596</v>
      </c>
      <c r="C70" s="544" t="str">
        <f t="shared" ref="C70:AH70" si="12">IF(ISERROR(C69/C24),"",(C69/C24))</f>
        <v/>
      </c>
      <c r="D70" s="544" t="str">
        <f t="shared" si="12"/>
        <v/>
      </c>
      <c r="E70" s="544" t="str">
        <f t="shared" si="12"/>
        <v/>
      </c>
      <c r="F70" s="544" t="str">
        <f t="shared" si="12"/>
        <v/>
      </c>
      <c r="G70" s="544" t="str">
        <f t="shared" si="12"/>
        <v/>
      </c>
      <c r="H70" s="544" t="str">
        <f t="shared" si="12"/>
        <v/>
      </c>
      <c r="I70" s="544">
        <f t="shared" si="12"/>
        <v>1</v>
      </c>
      <c r="J70" s="544" t="str">
        <f t="shared" si="12"/>
        <v/>
      </c>
      <c r="K70" s="544" t="str">
        <f t="shared" si="12"/>
        <v/>
      </c>
      <c r="L70" s="544" t="str">
        <f t="shared" si="12"/>
        <v/>
      </c>
      <c r="M70" s="544" t="str">
        <f t="shared" si="12"/>
        <v/>
      </c>
      <c r="N70" s="544" t="str">
        <f t="shared" si="12"/>
        <v/>
      </c>
      <c r="O70" s="544" t="str">
        <f t="shared" si="12"/>
        <v/>
      </c>
      <c r="P70" s="544" t="str">
        <f t="shared" si="12"/>
        <v/>
      </c>
      <c r="Q70" s="544" t="str">
        <f t="shared" si="12"/>
        <v/>
      </c>
      <c r="R70" s="544" t="str">
        <f t="shared" si="12"/>
        <v/>
      </c>
      <c r="S70" s="544" t="str">
        <f t="shared" si="12"/>
        <v/>
      </c>
      <c r="T70" s="544" t="str">
        <f t="shared" si="12"/>
        <v/>
      </c>
      <c r="U70" s="544" t="str">
        <f t="shared" si="12"/>
        <v/>
      </c>
      <c r="V70" s="544" t="str">
        <f t="shared" si="12"/>
        <v/>
      </c>
      <c r="W70" s="544" t="str">
        <f t="shared" si="12"/>
        <v/>
      </c>
      <c r="X70" s="544" t="str">
        <f t="shared" si="12"/>
        <v/>
      </c>
      <c r="Y70" s="544" t="str">
        <f t="shared" si="12"/>
        <v/>
      </c>
      <c r="Z70" s="544">
        <f t="shared" si="12"/>
        <v>1</v>
      </c>
      <c r="AA70" s="544" t="str">
        <f t="shared" si="12"/>
        <v/>
      </c>
      <c r="AB70" s="544" t="str">
        <f t="shared" si="12"/>
        <v/>
      </c>
      <c r="AC70" s="544" t="str">
        <f t="shared" si="12"/>
        <v/>
      </c>
      <c r="AD70" s="544" t="str">
        <f t="shared" si="12"/>
        <v/>
      </c>
      <c r="AE70" s="544" t="str">
        <f t="shared" si="12"/>
        <v/>
      </c>
      <c r="AF70" s="544" t="str">
        <f t="shared" si="12"/>
        <v/>
      </c>
      <c r="AG70" s="544" t="str">
        <f t="shared" si="12"/>
        <v/>
      </c>
      <c r="AH70" s="544">
        <f t="shared" si="12"/>
        <v>1</v>
      </c>
    </row>
    <row r="71" spans="1:34" s="428" customFormat="1" ht="12.75" x14ac:dyDescent="0.2">
      <c r="A71" s="513"/>
      <c r="B71" s="516"/>
      <c r="C71" s="528"/>
      <c r="D71" s="52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8"/>
      <c r="AC71" s="528"/>
      <c r="AD71" s="528"/>
      <c r="AE71" s="528"/>
      <c r="AF71" s="528"/>
      <c r="AG71" s="528"/>
      <c r="AH71" s="528"/>
    </row>
    <row r="72" spans="1:34" s="428" customFormat="1" ht="12.75" x14ac:dyDescent="0.2">
      <c r="A72" s="513"/>
      <c r="B72" s="516" t="s">
        <v>597</v>
      </c>
      <c r="C72" s="528"/>
      <c r="D72" s="528"/>
      <c r="E72" s="528"/>
      <c r="F72" s="528"/>
      <c r="G72" s="528"/>
      <c r="H72" s="528"/>
      <c r="I72" s="528"/>
      <c r="J72" s="528"/>
      <c r="K72" s="528"/>
      <c r="L72" s="528"/>
      <c r="M72" s="528"/>
      <c r="N72" s="528"/>
      <c r="O72" s="528"/>
      <c r="P72" s="528"/>
      <c r="Q72" s="528"/>
      <c r="R72" s="528"/>
      <c r="S72" s="528"/>
      <c r="T72" s="528"/>
      <c r="U72" s="528"/>
      <c r="V72" s="528"/>
      <c r="W72" s="528"/>
      <c r="X72" s="528"/>
      <c r="Y72" s="528"/>
      <c r="Z72" s="528"/>
      <c r="AA72" s="528"/>
      <c r="AB72" s="528"/>
      <c r="AC72" s="528"/>
      <c r="AD72" s="528"/>
      <c r="AE72" s="528"/>
      <c r="AF72" s="528"/>
      <c r="AG72" s="528"/>
      <c r="AH72" s="528"/>
    </row>
    <row r="73" spans="1:34" s="428" customFormat="1" ht="12.75" x14ac:dyDescent="0.2">
      <c r="A73" s="513"/>
      <c r="B73" s="516" t="s">
        <v>1076</v>
      </c>
      <c r="C73" s="528"/>
      <c r="D73" s="52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8"/>
      <c r="AC73" s="528"/>
      <c r="AD73" s="528"/>
      <c r="AE73" s="528"/>
      <c r="AF73" s="528"/>
      <c r="AG73" s="528"/>
      <c r="AH73" s="528"/>
    </row>
    <row r="74" spans="1:34" s="545" customFormat="1" ht="12.75" x14ac:dyDescent="0.2">
      <c r="A74" s="513">
        <v>61100</v>
      </c>
      <c r="B74" s="529" t="s">
        <v>599</v>
      </c>
      <c r="C74" s="530">
        <v>0</v>
      </c>
      <c r="D74" s="530">
        <v>0</v>
      </c>
      <c r="E74" s="530">
        <v>9570.7899999999991</v>
      </c>
      <c r="F74" s="530">
        <v>0</v>
      </c>
      <c r="G74" s="530">
        <v>0</v>
      </c>
      <c r="H74" s="530">
        <v>0</v>
      </c>
      <c r="I74" s="530">
        <v>0</v>
      </c>
      <c r="J74" s="530">
        <v>0</v>
      </c>
      <c r="K74" s="530">
        <v>0</v>
      </c>
      <c r="L74" s="530">
        <v>0</v>
      </c>
      <c r="M74" s="530">
        <v>0</v>
      </c>
      <c r="N74" s="530">
        <v>0</v>
      </c>
      <c r="O74" s="530">
        <v>0</v>
      </c>
      <c r="P74" s="530">
        <v>0</v>
      </c>
      <c r="Q74" s="530">
        <v>0</v>
      </c>
      <c r="R74" s="530">
        <v>0</v>
      </c>
      <c r="S74" s="530">
        <v>0</v>
      </c>
      <c r="T74" s="530">
        <v>236</v>
      </c>
      <c r="U74" s="530">
        <v>0</v>
      </c>
      <c r="V74" s="530">
        <v>0</v>
      </c>
      <c r="W74" s="530">
        <v>0</v>
      </c>
      <c r="X74" s="530">
        <v>0</v>
      </c>
      <c r="Y74" s="530">
        <v>0</v>
      </c>
      <c r="Z74" s="530">
        <v>0</v>
      </c>
      <c r="AA74" s="530">
        <v>0</v>
      </c>
      <c r="AB74" s="530">
        <v>0</v>
      </c>
      <c r="AC74" s="530">
        <v>0</v>
      </c>
      <c r="AD74" s="530">
        <v>0</v>
      </c>
      <c r="AE74" s="530">
        <v>0</v>
      </c>
      <c r="AF74" s="530">
        <v>0</v>
      </c>
      <c r="AG74" s="530">
        <v>0</v>
      </c>
      <c r="AH74" s="530">
        <f>SUM(C74:AG74)</f>
        <v>9806.7899999999991</v>
      </c>
    </row>
    <row r="75" spans="1:34" s="545" customFormat="1" ht="12.75" x14ac:dyDescent="0.2">
      <c r="A75" s="513" t="s">
        <v>600</v>
      </c>
      <c r="B75" s="529" t="s">
        <v>1077</v>
      </c>
      <c r="C75" s="530">
        <v>0</v>
      </c>
      <c r="D75" s="530">
        <v>0</v>
      </c>
      <c r="E75" s="530">
        <v>0</v>
      </c>
      <c r="F75" s="530">
        <v>0</v>
      </c>
      <c r="G75" s="530">
        <v>305.5</v>
      </c>
      <c r="H75" s="530">
        <v>0</v>
      </c>
      <c r="I75" s="530">
        <v>236.54</v>
      </c>
      <c r="J75" s="530">
        <v>0</v>
      </c>
      <c r="K75" s="530">
        <v>0</v>
      </c>
      <c r="L75" s="530">
        <v>0</v>
      </c>
      <c r="M75" s="530">
        <v>0</v>
      </c>
      <c r="N75" s="530">
        <v>0</v>
      </c>
      <c r="O75" s="530">
        <v>0</v>
      </c>
      <c r="P75" s="530">
        <v>0</v>
      </c>
      <c r="Q75" s="530">
        <v>0</v>
      </c>
      <c r="R75" s="530">
        <v>0</v>
      </c>
      <c r="S75" s="530">
        <v>0</v>
      </c>
      <c r="T75" s="530">
        <v>0</v>
      </c>
      <c r="U75" s="530">
        <v>0</v>
      </c>
      <c r="V75" s="530">
        <v>0</v>
      </c>
      <c r="W75" s="530">
        <v>0</v>
      </c>
      <c r="X75" s="530">
        <v>0</v>
      </c>
      <c r="Y75" s="530">
        <v>0</v>
      </c>
      <c r="Z75" s="530">
        <v>0</v>
      </c>
      <c r="AA75" s="530">
        <v>0</v>
      </c>
      <c r="AB75" s="530">
        <v>0</v>
      </c>
      <c r="AC75" s="530">
        <v>0</v>
      </c>
      <c r="AD75" s="530">
        <v>0</v>
      </c>
      <c r="AE75" s="530">
        <v>0</v>
      </c>
      <c r="AF75" s="530">
        <v>0</v>
      </c>
      <c r="AG75" s="530">
        <v>0</v>
      </c>
      <c r="AH75" s="530">
        <f>SUM(C75:AG75)</f>
        <v>542.04</v>
      </c>
    </row>
    <row r="76" spans="1:34" s="545" customFormat="1" ht="12.75" x14ac:dyDescent="0.2">
      <c r="A76" s="513">
        <v>61300</v>
      </c>
      <c r="B76" s="553" t="s">
        <v>602</v>
      </c>
      <c r="C76" s="530">
        <v>0</v>
      </c>
      <c r="D76" s="530">
        <v>0</v>
      </c>
      <c r="E76" s="530">
        <v>0</v>
      </c>
      <c r="F76" s="530">
        <v>0</v>
      </c>
      <c r="G76" s="530">
        <v>0</v>
      </c>
      <c r="H76" s="530">
        <v>0</v>
      </c>
      <c r="I76" s="530">
        <v>0</v>
      </c>
      <c r="J76" s="530">
        <v>0</v>
      </c>
      <c r="K76" s="530">
        <v>0</v>
      </c>
      <c r="L76" s="530">
        <v>0</v>
      </c>
      <c r="M76" s="530">
        <v>0</v>
      </c>
      <c r="N76" s="530">
        <v>0</v>
      </c>
      <c r="O76" s="530">
        <v>0</v>
      </c>
      <c r="P76" s="530">
        <v>0</v>
      </c>
      <c r="Q76" s="530">
        <v>0</v>
      </c>
      <c r="R76" s="530">
        <v>0</v>
      </c>
      <c r="S76" s="530">
        <v>0</v>
      </c>
      <c r="T76" s="530">
        <v>0</v>
      </c>
      <c r="U76" s="530">
        <v>0</v>
      </c>
      <c r="V76" s="530">
        <v>0</v>
      </c>
      <c r="W76" s="530">
        <v>0</v>
      </c>
      <c r="X76" s="530">
        <v>0</v>
      </c>
      <c r="Y76" s="530">
        <v>0</v>
      </c>
      <c r="Z76" s="530">
        <v>0</v>
      </c>
      <c r="AA76" s="530">
        <v>0</v>
      </c>
      <c r="AB76" s="530">
        <v>0</v>
      </c>
      <c r="AC76" s="530">
        <v>0</v>
      </c>
      <c r="AD76" s="530">
        <v>0</v>
      </c>
      <c r="AE76" s="530">
        <v>0</v>
      </c>
      <c r="AF76" s="530">
        <v>0</v>
      </c>
      <c r="AG76" s="530">
        <v>0</v>
      </c>
      <c r="AH76" s="530">
        <f>SUM(C76:AG76)</f>
        <v>0</v>
      </c>
    </row>
    <row r="77" spans="1:34" s="428" customFormat="1" ht="12.75" x14ac:dyDescent="0.2">
      <c r="A77" s="513">
        <v>61400</v>
      </c>
      <c r="B77" s="536" t="s">
        <v>1078</v>
      </c>
      <c r="C77" s="537">
        <f t="shared" ref="C77:AH77" si="13">SUM(C74:C76)</f>
        <v>0</v>
      </c>
      <c r="D77" s="537">
        <f t="shared" si="13"/>
        <v>0</v>
      </c>
      <c r="E77" s="537">
        <f t="shared" si="13"/>
        <v>9570.7899999999991</v>
      </c>
      <c r="F77" s="537">
        <f t="shared" si="13"/>
        <v>0</v>
      </c>
      <c r="G77" s="537">
        <f t="shared" si="13"/>
        <v>305.5</v>
      </c>
      <c r="H77" s="537">
        <f t="shared" si="13"/>
        <v>0</v>
      </c>
      <c r="I77" s="537">
        <f t="shared" si="13"/>
        <v>236.54</v>
      </c>
      <c r="J77" s="537">
        <f t="shared" si="13"/>
        <v>0</v>
      </c>
      <c r="K77" s="537">
        <f t="shared" si="13"/>
        <v>0</v>
      </c>
      <c r="L77" s="537">
        <f t="shared" si="13"/>
        <v>0</v>
      </c>
      <c r="M77" s="537">
        <f t="shared" si="13"/>
        <v>0</v>
      </c>
      <c r="N77" s="537">
        <f t="shared" si="13"/>
        <v>0</v>
      </c>
      <c r="O77" s="537">
        <f t="shared" si="13"/>
        <v>0</v>
      </c>
      <c r="P77" s="537">
        <f t="shared" si="13"/>
        <v>0</v>
      </c>
      <c r="Q77" s="537">
        <f t="shared" si="13"/>
        <v>0</v>
      </c>
      <c r="R77" s="537">
        <f t="shared" si="13"/>
        <v>0</v>
      </c>
      <c r="S77" s="537">
        <f t="shared" si="13"/>
        <v>0</v>
      </c>
      <c r="T77" s="537">
        <f t="shared" si="13"/>
        <v>236</v>
      </c>
      <c r="U77" s="537">
        <f t="shared" si="13"/>
        <v>0</v>
      </c>
      <c r="V77" s="537">
        <f t="shared" si="13"/>
        <v>0</v>
      </c>
      <c r="W77" s="537">
        <f t="shared" si="13"/>
        <v>0</v>
      </c>
      <c r="X77" s="537">
        <f t="shared" si="13"/>
        <v>0</v>
      </c>
      <c r="Y77" s="537">
        <f t="shared" si="13"/>
        <v>0</v>
      </c>
      <c r="Z77" s="537">
        <f t="shared" si="13"/>
        <v>0</v>
      </c>
      <c r="AA77" s="537">
        <f t="shared" si="13"/>
        <v>0</v>
      </c>
      <c r="AB77" s="537">
        <f t="shared" si="13"/>
        <v>0</v>
      </c>
      <c r="AC77" s="537">
        <f t="shared" si="13"/>
        <v>0</v>
      </c>
      <c r="AD77" s="537">
        <f t="shared" si="13"/>
        <v>0</v>
      </c>
      <c r="AE77" s="537">
        <f t="shared" si="13"/>
        <v>0</v>
      </c>
      <c r="AF77" s="537">
        <f t="shared" si="13"/>
        <v>0</v>
      </c>
      <c r="AG77" s="537">
        <f t="shared" si="13"/>
        <v>0</v>
      </c>
      <c r="AH77" s="537">
        <f t="shared" si="13"/>
        <v>10348.829999999998</v>
      </c>
    </row>
    <row r="78" spans="1:34" s="428" customFormat="1" ht="12.75" x14ac:dyDescent="0.2">
      <c r="A78" s="513"/>
      <c r="B78" s="516"/>
      <c r="C78" s="528"/>
      <c r="D78" s="528"/>
      <c r="E78" s="528"/>
      <c r="F78" s="528"/>
      <c r="G78" s="528"/>
      <c r="H78" s="528"/>
      <c r="I78" s="528"/>
      <c r="J78" s="528"/>
      <c r="K78" s="528"/>
      <c r="L78" s="528"/>
      <c r="M78" s="528"/>
      <c r="N78" s="528"/>
      <c r="O78" s="528"/>
      <c r="P78" s="528"/>
      <c r="Q78" s="528"/>
      <c r="R78" s="528"/>
      <c r="S78" s="528"/>
      <c r="T78" s="528"/>
      <c r="U78" s="528"/>
      <c r="V78" s="528"/>
      <c r="W78" s="528"/>
      <c r="X78" s="528"/>
      <c r="Y78" s="528"/>
      <c r="Z78" s="528"/>
      <c r="AA78" s="528"/>
      <c r="AB78" s="528"/>
      <c r="AC78" s="528"/>
      <c r="AD78" s="528"/>
      <c r="AE78" s="528"/>
      <c r="AF78" s="528"/>
      <c r="AG78" s="528"/>
      <c r="AH78" s="528"/>
    </row>
    <row r="79" spans="1:34" s="428" customFormat="1" ht="12.75" x14ac:dyDescent="0.2">
      <c r="A79" s="513"/>
      <c r="B79" s="516" t="s">
        <v>604</v>
      </c>
      <c r="C79" s="528"/>
      <c r="D79" s="528"/>
      <c r="E79" s="528"/>
      <c r="F79" s="528"/>
      <c r="G79" s="528"/>
      <c r="H79" s="528"/>
      <c r="I79" s="528"/>
      <c r="J79" s="528"/>
      <c r="K79" s="528"/>
      <c r="L79" s="528"/>
      <c r="M79" s="528"/>
      <c r="N79" s="528"/>
      <c r="O79" s="528"/>
      <c r="P79" s="528"/>
      <c r="Q79" s="528"/>
      <c r="R79" s="528"/>
      <c r="S79" s="528"/>
      <c r="T79" s="528"/>
      <c r="U79" s="528"/>
      <c r="V79" s="528"/>
      <c r="W79" s="528"/>
      <c r="X79" s="528"/>
      <c r="Y79" s="528"/>
      <c r="Z79" s="528"/>
      <c r="AA79" s="528"/>
      <c r="AB79" s="528"/>
      <c r="AC79" s="528"/>
      <c r="AD79" s="528"/>
      <c r="AE79" s="528"/>
      <c r="AF79" s="528"/>
      <c r="AG79" s="528"/>
      <c r="AH79" s="528"/>
    </row>
    <row r="80" spans="1:34" s="545" customFormat="1" ht="12.75" x14ac:dyDescent="0.2">
      <c r="A80" s="513">
        <v>62100</v>
      </c>
      <c r="B80" s="529" t="s">
        <v>605</v>
      </c>
      <c r="C80" s="530">
        <v>127667.76999999999</v>
      </c>
      <c r="D80" s="530">
        <v>0</v>
      </c>
      <c r="E80" s="530">
        <v>21250.02</v>
      </c>
      <c r="F80" s="530">
        <v>0</v>
      </c>
      <c r="G80" s="530">
        <v>242888.2</v>
      </c>
      <c r="H80" s="530">
        <v>0</v>
      </c>
      <c r="I80" s="530">
        <v>342472.97</v>
      </c>
      <c r="J80" s="530">
        <v>35940.58</v>
      </c>
      <c r="K80" s="530">
        <v>67784.479999999996</v>
      </c>
      <c r="L80" s="530">
        <v>42108.08</v>
      </c>
      <c r="M80" s="530">
        <v>110402.18</v>
      </c>
      <c r="N80" s="530">
        <v>0</v>
      </c>
      <c r="O80" s="530">
        <v>0</v>
      </c>
      <c r="P80" s="530">
        <v>341887.82</v>
      </c>
      <c r="Q80" s="530">
        <v>0</v>
      </c>
      <c r="R80" s="530">
        <v>13593.509999999998</v>
      </c>
      <c r="S80" s="530">
        <v>29750.02</v>
      </c>
      <c r="T80" s="530">
        <v>26350.03</v>
      </c>
      <c r="U80" s="530">
        <v>46874.720000000001</v>
      </c>
      <c r="V80" s="530">
        <v>21000.1</v>
      </c>
      <c r="W80" s="530">
        <v>44449.98</v>
      </c>
      <c r="X80" s="530">
        <v>33397.11</v>
      </c>
      <c r="Y80" s="530">
        <v>91044.19</v>
      </c>
      <c r="Z80" s="530">
        <v>60596.09</v>
      </c>
      <c r="AA80" s="530">
        <v>15000</v>
      </c>
      <c r="AB80" s="530">
        <v>47988.61</v>
      </c>
      <c r="AC80" s="530">
        <v>132429.31</v>
      </c>
      <c r="AD80" s="530">
        <v>0</v>
      </c>
      <c r="AE80" s="530">
        <v>0</v>
      </c>
      <c r="AF80" s="530">
        <v>27499.98</v>
      </c>
      <c r="AG80" s="530">
        <v>0</v>
      </c>
      <c r="AH80" s="530">
        <f t="shared" ref="AH80:AH105" si="14">SUM(C80:AG80)</f>
        <v>1922375.7500000002</v>
      </c>
    </row>
    <row r="81" spans="1:34" s="545" customFormat="1" ht="12.75" x14ac:dyDescent="0.2">
      <c r="A81" s="513">
        <v>62110</v>
      </c>
      <c r="B81" s="428" t="s">
        <v>606</v>
      </c>
      <c r="C81" s="530">
        <v>0</v>
      </c>
      <c r="D81" s="530">
        <v>0</v>
      </c>
      <c r="E81" s="530">
        <v>0</v>
      </c>
      <c r="F81" s="530">
        <v>0</v>
      </c>
      <c r="G81" s="530">
        <v>0</v>
      </c>
      <c r="H81" s="530">
        <v>0</v>
      </c>
      <c r="I81" s="530">
        <v>0</v>
      </c>
      <c r="J81" s="530">
        <v>0</v>
      </c>
      <c r="K81" s="530">
        <v>0</v>
      </c>
      <c r="L81" s="530">
        <v>0</v>
      </c>
      <c r="M81" s="530">
        <v>0</v>
      </c>
      <c r="N81" s="530">
        <v>0</v>
      </c>
      <c r="O81" s="530">
        <v>0</v>
      </c>
      <c r="P81" s="530">
        <v>0</v>
      </c>
      <c r="Q81" s="530">
        <v>0</v>
      </c>
      <c r="R81" s="530">
        <v>0</v>
      </c>
      <c r="S81" s="530">
        <v>0</v>
      </c>
      <c r="T81" s="530">
        <v>0</v>
      </c>
      <c r="U81" s="530">
        <v>0</v>
      </c>
      <c r="V81" s="530">
        <v>0</v>
      </c>
      <c r="W81" s="530">
        <v>0</v>
      </c>
      <c r="X81" s="530">
        <v>0</v>
      </c>
      <c r="Y81" s="530">
        <v>0</v>
      </c>
      <c r="Z81" s="530">
        <v>0</v>
      </c>
      <c r="AA81" s="530">
        <v>0</v>
      </c>
      <c r="AB81" s="530">
        <v>0</v>
      </c>
      <c r="AC81" s="530">
        <v>0</v>
      </c>
      <c r="AD81" s="530">
        <v>0</v>
      </c>
      <c r="AE81" s="530">
        <v>0</v>
      </c>
      <c r="AF81" s="530">
        <v>0</v>
      </c>
      <c r="AG81" s="530">
        <v>0</v>
      </c>
      <c r="AH81" s="530">
        <f t="shared" si="14"/>
        <v>0</v>
      </c>
    </row>
    <row r="82" spans="1:34" s="545" customFormat="1" ht="12.75" x14ac:dyDescent="0.2">
      <c r="A82" s="513" t="s">
        <v>607</v>
      </c>
      <c r="B82" s="428" t="s">
        <v>608</v>
      </c>
      <c r="C82" s="530">
        <v>0</v>
      </c>
      <c r="D82" s="530">
        <v>0</v>
      </c>
      <c r="E82" s="530">
        <v>0</v>
      </c>
      <c r="F82" s="530">
        <v>0</v>
      </c>
      <c r="G82" s="530">
        <v>0</v>
      </c>
      <c r="H82" s="530">
        <v>0</v>
      </c>
      <c r="I82" s="530">
        <v>0</v>
      </c>
      <c r="J82" s="530">
        <v>0</v>
      </c>
      <c r="K82" s="530">
        <v>0</v>
      </c>
      <c r="L82" s="530">
        <v>0</v>
      </c>
      <c r="M82" s="530">
        <v>0</v>
      </c>
      <c r="N82" s="530">
        <v>0</v>
      </c>
      <c r="O82" s="530">
        <v>0</v>
      </c>
      <c r="P82" s="530">
        <v>0</v>
      </c>
      <c r="Q82" s="530">
        <v>0</v>
      </c>
      <c r="R82" s="530">
        <v>0</v>
      </c>
      <c r="S82" s="530">
        <v>0</v>
      </c>
      <c r="T82" s="530">
        <v>0</v>
      </c>
      <c r="U82" s="530">
        <v>0</v>
      </c>
      <c r="V82" s="530">
        <v>0</v>
      </c>
      <c r="W82" s="530">
        <v>0</v>
      </c>
      <c r="X82" s="530">
        <v>0</v>
      </c>
      <c r="Y82" s="530">
        <v>0</v>
      </c>
      <c r="Z82" s="530">
        <v>0</v>
      </c>
      <c r="AA82" s="530">
        <v>0</v>
      </c>
      <c r="AB82" s="530">
        <v>0</v>
      </c>
      <c r="AC82" s="530">
        <v>0</v>
      </c>
      <c r="AD82" s="530">
        <v>0</v>
      </c>
      <c r="AE82" s="530">
        <v>0</v>
      </c>
      <c r="AF82" s="530">
        <v>0</v>
      </c>
      <c r="AG82" s="530">
        <v>0</v>
      </c>
      <c r="AH82" s="530">
        <f t="shared" si="14"/>
        <v>0</v>
      </c>
    </row>
    <row r="83" spans="1:34" s="545" customFormat="1" ht="12.75" x14ac:dyDescent="0.2">
      <c r="A83" s="513">
        <v>62120</v>
      </c>
      <c r="B83" s="529" t="s">
        <v>609</v>
      </c>
      <c r="C83" s="530">
        <v>0</v>
      </c>
      <c r="D83" s="530">
        <v>0</v>
      </c>
      <c r="E83" s="530">
        <v>0</v>
      </c>
      <c r="F83" s="530">
        <v>0</v>
      </c>
      <c r="G83" s="530">
        <v>0</v>
      </c>
      <c r="H83" s="530">
        <v>0</v>
      </c>
      <c r="I83" s="530">
        <v>0</v>
      </c>
      <c r="J83" s="530">
        <v>0</v>
      </c>
      <c r="K83" s="530">
        <v>0</v>
      </c>
      <c r="L83" s="530">
        <v>0</v>
      </c>
      <c r="M83" s="530">
        <v>0</v>
      </c>
      <c r="N83" s="530">
        <v>0</v>
      </c>
      <c r="O83" s="530">
        <v>0</v>
      </c>
      <c r="P83" s="530">
        <v>0</v>
      </c>
      <c r="Q83" s="530">
        <v>0</v>
      </c>
      <c r="R83" s="530">
        <v>0</v>
      </c>
      <c r="S83" s="530">
        <v>0</v>
      </c>
      <c r="T83" s="530">
        <v>0</v>
      </c>
      <c r="U83" s="530">
        <v>0</v>
      </c>
      <c r="V83" s="530">
        <v>0</v>
      </c>
      <c r="W83" s="530">
        <v>0</v>
      </c>
      <c r="X83" s="530">
        <v>0</v>
      </c>
      <c r="Y83" s="530">
        <v>0</v>
      </c>
      <c r="Z83" s="530">
        <v>0</v>
      </c>
      <c r="AA83" s="530">
        <v>0</v>
      </c>
      <c r="AB83" s="530">
        <v>0</v>
      </c>
      <c r="AC83" s="530">
        <v>0</v>
      </c>
      <c r="AD83" s="530">
        <v>0</v>
      </c>
      <c r="AE83" s="530">
        <v>0</v>
      </c>
      <c r="AF83" s="530">
        <v>0</v>
      </c>
      <c r="AG83" s="530">
        <v>0</v>
      </c>
      <c r="AH83" s="530">
        <f t="shared" si="14"/>
        <v>0</v>
      </c>
    </row>
    <row r="84" spans="1:34" s="545" customFormat="1" ht="12.75" x14ac:dyDescent="0.2">
      <c r="A84" s="513">
        <v>62122</v>
      </c>
      <c r="B84" s="529" t="s">
        <v>610</v>
      </c>
      <c r="C84" s="530">
        <v>0</v>
      </c>
      <c r="D84" s="530">
        <v>0</v>
      </c>
      <c r="E84" s="530">
        <v>0</v>
      </c>
      <c r="F84" s="530">
        <v>0</v>
      </c>
      <c r="G84" s="530">
        <v>0</v>
      </c>
      <c r="H84" s="530">
        <v>0</v>
      </c>
      <c r="I84" s="530">
        <v>0</v>
      </c>
      <c r="J84" s="530">
        <v>0</v>
      </c>
      <c r="K84" s="530">
        <v>0</v>
      </c>
      <c r="L84" s="530">
        <v>0</v>
      </c>
      <c r="M84" s="530">
        <v>0</v>
      </c>
      <c r="N84" s="530">
        <v>0</v>
      </c>
      <c r="O84" s="530">
        <v>0</v>
      </c>
      <c r="P84" s="530">
        <v>0</v>
      </c>
      <c r="Q84" s="530">
        <v>0</v>
      </c>
      <c r="R84" s="530">
        <v>0</v>
      </c>
      <c r="S84" s="530">
        <v>0</v>
      </c>
      <c r="T84" s="530">
        <v>0</v>
      </c>
      <c r="U84" s="530">
        <v>0</v>
      </c>
      <c r="V84" s="530">
        <v>0</v>
      </c>
      <c r="W84" s="530">
        <v>0</v>
      </c>
      <c r="X84" s="530">
        <v>0</v>
      </c>
      <c r="Y84" s="530">
        <v>0</v>
      </c>
      <c r="Z84" s="530">
        <v>0</v>
      </c>
      <c r="AA84" s="530">
        <v>0</v>
      </c>
      <c r="AB84" s="530">
        <v>0</v>
      </c>
      <c r="AC84" s="530">
        <v>0</v>
      </c>
      <c r="AD84" s="530">
        <v>0</v>
      </c>
      <c r="AE84" s="530">
        <v>0</v>
      </c>
      <c r="AF84" s="530">
        <v>0</v>
      </c>
      <c r="AG84" s="530">
        <v>0</v>
      </c>
      <c r="AH84" s="530">
        <f t="shared" si="14"/>
        <v>0</v>
      </c>
    </row>
    <row r="85" spans="1:34" s="545" customFormat="1" ht="12.75" x14ac:dyDescent="0.2">
      <c r="A85" s="513">
        <v>62130</v>
      </c>
      <c r="B85" s="529" t="s">
        <v>611</v>
      </c>
      <c r="C85" s="530">
        <v>0</v>
      </c>
      <c r="D85" s="530">
        <v>0</v>
      </c>
      <c r="E85" s="530">
        <v>0</v>
      </c>
      <c r="F85" s="530">
        <v>0</v>
      </c>
      <c r="G85" s="530">
        <v>0</v>
      </c>
      <c r="H85" s="530">
        <v>0</v>
      </c>
      <c r="I85" s="530">
        <v>0</v>
      </c>
      <c r="J85" s="530">
        <v>0</v>
      </c>
      <c r="K85" s="530">
        <v>0</v>
      </c>
      <c r="L85" s="530">
        <v>0</v>
      </c>
      <c r="M85" s="530">
        <v>0</v>
      </c>
      <c r="N85" s="530">
        <v>0</v>
      </c>
      <c r="O85" s="530">
        <v>0</v>
      </c>
      <c r="P85" s="530">
        <v>0</v>
      </c>
      <c r="Q85" s="530">
        <v>0</v>
      </c>
      <c r="R85" s="530">
        <v>0</v>
      </c>
      <c r="S85" s="530">
        <v>0</v>
      </c>
      <c r="T85" s="530">
        <v>0</v>
      </c>
      <c r="U85" s="530">
        <v>0</v>
      </c>
      <c r="V85" s="530">
        <v>0</v>
      </c>
      <c r="W85" s="530">
        <v>0</v>
      </c>
      <c r="X85" s="530">
        <v>0</v>
      </c>
      <c r="Y85" s="530">
        <v>0</v>
      </c>
      <c r="Z85" s="530">
        <v>0</v>
      </c>
      <c r="AA85" s="530">
        <v>0</v>
      </c>
      <c r="AB85" s="530">
        <v>0</v>
      </c>
      <c r="AC85" s="530">
        <v>0</v>
      </c>
      <c r="AD85" s="530">
        <v>0</v>
      </c>
      <c r="AE85" s="530">
        <v>0</v>
      </c>
      <c r="AF85" s="530">
        <v>0</v>
      </c>
      <c r="AG85" s="530">
        <v>0</v>
      </c>
      <c r="AH85" s="530">
        <f t="shared" si="14"/>
        <v>0</v>
      </c>
    </row>
    <row r="86" spans="1:34" s="545" customFormat="1" ht="12.75" x14ac:dyDescent="0.2">
      <c r="A86" s="513">
        <v>62131</v>
      </c>
      <c r="B86" s="529" t="s">
        <v>612</v>
      </c>
      <c r="C86" s="530">
        <v>0</v>
      </c>
      <c r="D86" s="530">
        <v>0</v>
      </c>
      <c r="E86" s="530">
        <v>0</v>
      </c>
      <c r="F86" s="530">
        <v>0</v>
      </c>
      <c r="G86" s="530">
        <v>0</v>
      </c>
      <c r="H86" s="530">
        <v>0</v>
      </c>
      <c r="I86" s="530">
        <v>0</v>
      </c>
      <c r="J86" s="530">
        <v>0</v>
      </c>
      <c r="K86" s="530">
        <v>0</v>
      </c>
      <c r="L86" s="530">
        <v>0</v>
      </c>
      <c r="M86" s="530">
        <v>0</v>
      </c>
      <c r="N86" s="530">
        <v>0</v>
      </c>
      <c r="O86" s="530">
        <v>0</v>
      </c>
      <c r="P86" s="530">
        <v>0</v>
      </c>
      <c r="Q86" s="530">
        <v>0</v>
      </c>
      <c r="R86" s="530">
        <v>0</v>
      </c>
      <c r="S86" s="530">
        <v>0</v>
      </c>
      <c r="T86" s="530">
        <v>0</v>
      </c>
      <c r="U86" s="530">
        <v>0</v>
      </c>
      <c r="V86" s="530">
        <v>0</v>
      </c>
      <c r="W86" s="530">
        <v>0</v>
      </c>
      <c r="X86" s="530">
        <v>0</v>
      </c>
      <c r="Y86" s="530">
        <v>0</v>
      </c>
      <c r="Z86" s="530">
        <v>0</v>
      </c>
      <c r="AA86" s="530">
        <v>0</v>
      </c>
      <c r="AB86" s="530">
        <v>0</v>
      </c>
      <c r="AC86" s="530">
        <v>0</v>
      </c>
      <c r="AD86" s="530">
        <v>0</v>
      </c>
      <c r="AE86" s="530">
        <v>0</v>
      </c>
      <c r="AF86" s="530">
        <v>0</v>
      </c>
      <c r="AG86" s="530">
        <v>0</v>
      </c>
      <c r="AH86" s="530">
        <f t="shared" si="14"/>
        <v>0</v>
      </c>
    </row>
    <row r="87" spans="1:34" s="545" customFormat="1" ht="12.75" x14ac:dyDescent="0.2">
      <c r="A87" s="513">
        <v>62132</v>
      </c>
      <c r="B87" s="529" t="s">
        <v>613</v>
      </c>
      <c r="C87" s="530">
        <v>0</v>
      </c>
      <c r="D87" s="530">
        <v>0</v>
      </c>
      <c r="E87" s="530">
        <v>0</v>
      </c>
      <c r="F87" s="530">
        <v>0</v>
      </c>
      <c r="G87" s="530">
        <v>0</v>
      </c>
      <c r="H87" s="530">
        <v>0</v>
      </c>
      <c r="I87" s="530">
        <v>0</v>
      </c>
      <c r="J87" s="530">
        <v>0</v>
      </c>
      <c r="K87" s="530">
        <v>0</v>
      </c>
      <c r="L87" s="530">
        <v>0</v>
      </c>
      <c r="M87" s="530">
        <v>0</v>
      </c>
      <c r="N87" s="530">
        <v>0</v>
      </c>
      <c r="O87" s="530">
        <v>0</v>
      </c>
      <c r="P87" s="530">
        <v>0</v>
      </c>
      <c r="Q87" s="530">
        <v>0</v>
      </c>
      <c r="R87" s="530">
        <v>0</v>
      </c>
      <c r="S87" s="530">
        <v>0</v>
      </c>
      <c r="T87" s="530">
        <v>0</v>
      </c>
      <c r="U87" s="530">
        <v>0</v>
      </c>
      <c r="V87" s="530">
        <v>0</v>
      </c>
      <c r="W87" s="530">
        <v>0</v>
      </c>
      <c r="X87" s="530">
        <v>0</v>
      </c>
      <c r="Y87" s="530">
        <v>0</v>
      </c>
      <c r="Z87" s="530">
        <v>0</v>
      </c>
      <c r="AA87" s="530">
        <v>0</v>
      </c>
      <c r="AB87" s="530">
        <v>0</v>
      </c>
      <c r="AC87" s="530">
        <v>0</v>
      </c>
      <c r="AD87" s="530">
        <v>0</v>
      </c>
      <c r="AE87" s="530">
        <v>0</v>
      </c>
      <c r="AF87" s="530">
        <v>0</v>
      </c>
      <c r="AG87" s="530">
        <v>0</v>
      </c>
      <c r="AH87" s="530">
        <f t="shared" si="14"/>
        <v>0</v>
      </c>
    </row>
    <row r="88" spans="1:34" s="545" customFormat="1" ht="12.75" x14ac:dyDescent="0.2">
      <c r="A88" s="513">
        <v>62133</v>
      </c>
      <c r="B88" s="529" t="s">
        <v>614</v>
      </c>
      <c r="C88" s="530">
        <v>0</v>
      </c>
      <c r="D88" s="530">
        <v>0</v>
      </c>
      <c r="E88" s="530">
        <v>0</v>
      </c>
      <c r="F88" s="530">
        <v>0</v>
      </c>
      <c r="G88" s="530">
        <v>0</v>
      </c>
      <c r="H88" s="530">
        <v>0</v>
      </c>
      <c r="I88" s="530">
        <v>0</v>
      </c>
      <c r="J88" s="530">
        <v>0</v>
      </c>
      <c r="K88" s="530">
        <v>0</v>
      </c>
      <c r="L88" s="530">
        <v>0</v>
      </c>
      <c r="M88" s="530">
        <v>0</v>
      </c>
      <c r="N88" s="530">
        <v>0</v>
      </c>
      <c r="O88" s="530">
        <v>0</v>
      </c>
      <c r="P88" s="530">
        <v>0</v>
      </c>
      <c r="Q88" s="530">
        <v>0</v>
      </c>
      <c r="R88" s="530">
        <v>0</v>
      </c>
      <c r="S88" s="530">
        <v>0</v>
      </c>
      <c r="T88" s="530">
        <v>0</v>
      </c>
      <c r="U88" s="530">
        <v>0</v>
      </c>
      <c r="V88" s="530">
        <v>0</v>
      </c>
      <c r="W88" s="530">
        <v>0</v>
      </c>
      <c r="X88" s="530">
        <v>0</v>
      </c>
      <c r="Y88" s="530">
        <v>0</v>
      </c>
      <c r="Z88" s="530">
        <v>0</v>
      </c>
      <c r="AA88" s="530">
        <v>0</v>
      </c>
      <c r="AB88" s="530">
        <v>0</v>
      </c>
      <c r="AC88" s="530">
        <v>0</v>
      </c>
      <c r="AD88" s="530">
        <v>0</v>
      </c>
      <c r="AE88" s="530">
        <v>0</v>
      </c>
      <c r="AF88" s="530">
        <v>0</v>
      </c>
      <c r="AG88" s="530">
        <v>0</v>
      </c>
      <c r="AH88" s="530">
        <f t="shared" si="14"/>
        <v>0</v>
      </c>
    </row>
    <row r="89" spans="1:34" s="545" customFormat="1" ht="12.75" x14ac:dyDescent="0.2">
      <c r="A89" s="513" t="s">
        <v>615</v>
      </c>
      <c r="B89" s="529" t="s">
        <v>616</v>
      </c>
      <c r="C89" s="530">
        <v>2083.9</v>
      </c>
      <c r="D89" s="530">
        <v>0</v>
      </c>
      <c r="E89" s="530">
        <v>0</v>
      </c>
      <c r="F89" s="530">
        <v>0</v>
      </c>
      <c r="G89" s="530">
        <v>261.79000000000002</v>
      </c>
      <c r="H89" s="530">
        <v>0</v>
      </c>
      <c r="I89" s="530">
        <v>266.10000000000002</v>
      </c>
      <c r="J89" s="530">
        <v>0</v>
      </c>
      <c r="K89" s="530">
        <v>0</v>
      </c>
      <c r="L89" s="530">
        <v>0</v>
      </c>
      <c r="M89" s="530">
        <v>0</v>
      </c>
      <c r="N89" s="530">
        <v>0</v>
      </c>
      <c r="O89" s="530">
        <v>0</v>
      </c>
      <c r="P89" s="530">
        <v>1452.82</v>
      </c>
      <c r="Q89" s="530">
        <v>0</v>
      </c>
      <c r="R89" s="530">
        <v>0</v>
      </c>
      <c r="S89" s="530">
        <v>0</v>
      </c>
      <c r="T89" s="530">
        <v>0</v>
      </c>
      <c r="U89" s="530">
        <v>0</v>
      </c>
      <c r="V89" s="530">
        <v>0</v>
      </c>
      <c r="W89" s="530">
        <v>0</v>
      </c>
      <c r="X89" s="530">
        <v>0</v>
      </c>
      <c r="Y89" s="530">
        <v>0</v>
      </c>
      <c r="Z89" s="530">
        <v>0</v>
      </c>
      <c r="AA89" s="530">
        <v>0</v>
      </c>
      <c r="AB89" s="530">
        <v>0</v>
      </c>
      <c r="AC89" s="530">
        <v>0</v>
      </c>
      <c r="AD89" s="530">
        <v>0</v>
      </c>
      <c r="AE89" s="530">
        <v>0</v>
      </c>
      <c r="AF89" s="530">
        <v>0</v>
      </c>
      <c r="AG89" s="530">
        <v>0</v>
      </c>
      <c r="AH89" s="530">
        <f t="shared" si="14"/>
        <v>4064.6099999999997</v>
      </c>
    </row>
    <row r="90" spans="1:34" s="545" customFormat="1" ht="12.75" x14ac:dyDescent="0.2">
      <c r="A90" s="513">
        <v>62151</v>
      </c>
      <c r="B90" s="529" t="s">
        <v>617</v>
      </c>
      <c r="C90" s="530">
        <v>8642.9699999999993</v>
      </c>
      <c r="D90" s="530">
        <v>0</v>
      </c>
      <c r="E90" s="530">
        <v>1430.31</v>
      </c>
      <c r="F90" s="530">
        <v>0</v>
      </c>
      <c r="G90" s="530">
        <v>16657.04</v>
      </c>
      <c r="H90" s="530">
        <v>0</v>
      </c>
      <c r="I90" s="530">
        <v>20930.18</v>
      </c>
      <c r="J90" s="530">
        <v>7466.85</v>
      </c>
      <c r="K90" s="530">
        <v>3641.0600000000004</v>
      </c>
      <c r="L90" s="530">
        <v>2521.27</v>
      </c>
      <c r="M90" s="530">
        <v>7647.4800000000005</v>
      </c>
      <c r="N90" s="530">
        <v>0</v>
      </c>
      <c r="O90" s="530">
        <v>0</v>
      </c>
      <c r="P90" s="530">
        <v>22515.200000000001</v>
      </c>
      <c r="Q90" s="530">
        <v>0</v>
      </c>
      <c r="R90" s="530">
        <v>2880.9</v>
      </c>
      <c r="S90" s="530">
        <v>1566.9399999999998</v>
      </c>
      <c r="T90" s="530">
        <v>1427.88</v>
      </c>
      <c r="U90" s="530">
        <v>3626.18</v>
      </c>
      <c r="V90" s="530">
        <v>1211.52</v>
      </c>
      <c r="W90" s="530">
        <v>3776.07</v>
      </c>
      <c r="X90" s="530">
        <v>3546.46</v>
      </c>
      <c r="Y90" s="530">
        <v>5713.4</v>
      </c>
      <c r="Z90" s="530">
        <v>2875</v>
      </c>
      <c r="AA90" s="530">
        <v>865.38</v>
      </c>
      <c r="AB90" s="530">
        <v>3247.21</v>
      </c>
      <c r="AC90" s="530">
        <v>11831.63</v>
      </c>
      <c r="AD90" s="530">
        <v>0</v>
      </c>
      <c r="AE90" s="530">
        <v>0</v>
      </c>
      <c r="AF90" s="530">
        <v>1586.52</v>
      </c>
      <c r="AG90" s="530">
        <v>0</v>
      </c>
      <c r="AH90" s="530">
        <f t="shared" si="14"/>
        <v>135607.44999999998</v>
      </c>
    </row>
    <row r="91" spans="1:34" s="545" customFormat="1" ht="12.75" x14ac:dyDescent="0.2">
      <c r="A91" s="513">
        <v>62151.1</v>
      </c>
      <c r="B91" s="529" t="s">
        <v>618</v>
      </c>
      <c r="C91" s="530">
        <v>-6532.7</v>
      </c>
      <c r="D91" s="530">
        <v>0</v>
      </c>
      <c r="E91" s="530">
        <v>-1430.31</v>
      </c>
      <c r="F91" s="530">
        <v>0</v>
      </c>
      <c r="G91" s="530">
        <v>-6897.71</v>
      </c>
      <c r="H91" s="530">
        <v>0</v>
      </c>
      <c r="I91" s="530">
        <v>-17138.75</v>
      </c>
      <c r="J91" s="530">
        <v>-7466.85</v>
      </c>
      <c r="K91" s="530">
        <v>-3006.44</v>
      </c>
      <c r="L91" s="530">
        <v>-1218.01</v>
      </c>
      <c r="M91" s="530">
        <v>598.27</v>
      </c>
      <c r="N91" s="530">
        <v>0</v>
      </c>
      <c r="O91" s="530">
        <v>0</v>
      </c>
      <c r="P91" s="530">
        <v>-4516.96</v>
      </c>
      <c r="Q91" s="530">
        <v>0</v>
      </c>
      <c r="R91" s="530">
        <v>-2449.36</v>
      </c>
      <c r="S91" s="530">
        <v>-1566.9399999999998</v>
      </c>
      <c r="T91" s="530">
        <v>-1427.88</v>
      </c>
      <c r="U91" s="530">
        <v>-1920.69</v>
      </c>
      <c r="V91" s="530">
        <v>-1211.52</v>
      </c>
      <c r="W91" s="530">
        <v>-3776.07</v>
      </c>
      <c r="X91" s="530">
        <v>-2443.56</v>
      </c>
      <c r="Y91" s="530">
        <v>-3927.56</v>
      </c>
      <c r="Z91" s="530">
        <v>1163.3600000000001</v>
      </c>
      <c r="AA91" s="530">
        <v>-865.38</v>
      </c>
      <c r="AB91" s="530">
        <v>-1785.67</v>
      </c>
      <c r="AC91" s="530">
        <v>-2709.67</v>
      </c>
      <c r="AD91" s="530">
        <v>0</v>
      </c>
      <c r="AE91" s="530">
        <v>0</v>
      </c>
      <c r="AF91" s="530">
        <v>-1586.52</v>
      </c>
      <c r="AG91" s="530">
        <v>0</v>
      </c>
      <c r="AH91" s="530">
        <f t="shared" si="14"/>
        <v>-72116.920000000013</v>
      </c>
    </row>
    <row r="92" spans="1:34" s="545" customFormat="1" ht="12.75" x14ac:dyDescent="0.2">
      <c r="A92" s="513">
        <v>62200</v>
      </c>
      <c r="B92" s="529" t="s">
        <v>619</v>
      </c>
      <c r="C92" s="530">
        <v>-72311</v>
      </c>
      <c r="D92" s="530">
        <v>0</v>
      </c>
      <c r="E92" s="530">
        <v>0</v>
      </c>
      <c r="F92" s="530">
        <v>0</v>
      </c>
      <c r="G92" s="530">
        <v>-211565.25</v>
      </c>
      <c r="H92" s="530">
        <v>0</v>
      </c>
      <c r="I92" s="530">
        <v>-259433.50000000003</v>
      </c>
      <c r="J92" s="530">
        <v>-75008</v>
      </c>
      <c r="K92" s="530">
        <v>-122475.00000000001</v>
      </c>
      <c r="L92" s="530">
        <v>0</v>
      </c>
      <c r="M92" s="530">
        <v>-281584</v>
      </c>
      <c r="N92" s="530">
        <v>0</v>
      </c>
      <c r="O92" s="530">
        <v>0</v>
      </c>
      <c r="P92" s="530">
        <v>-607205</v>
      </c>
      <c r="Q92" s="530">
        <v>0</v>
      </c>
      <c r="R92" s="530">
        <v>-13080.000000000002</v>
      </c>
      <c r="S92" s="530">
        <v>0</v>
      </c>
      <c r="T92" s="530">
        <v>-54144</v>
      </c>
      <c r="U92" s="530">
        <v>-92423</v>
      </c>
      <c r="V92" s="530">
        <v>0</v>
      </c>
      <c r="W92" s="530">
        <v>-34048</v>
      </c>
      <c r="X92" s="530">
        <v>0</v>
      </c>
      <c r="Y92" s="530">
        <v>0</v>
      </c>
      <c r="Z92" s="530">
        <v>0</v>
      </c>
      <c r="AA92" s="530">
        <v>-26658.999999999996</v>
      </c>
      <c r="AB92" s="530">
        <v>0</v>
      </c>
      <c r="AC92" s="530">
        <v>-246168.21000000002</v>
      </c>
      <c r="AD92" s="530">
        <v>0</v>
      </c>
      <c r="AE92" s="530">
        <v>0</v>
      </c>
      <c r="AF92" s="530">
        <v>0</v>
      </c>
      <c r="AG92" s="530">
        <v>0</v>
      </c>
      <c r="AH92" s="530">
        <f t="shared" si="14"/>
        <v>-2096103.96</v>
      </c>
    </row>
    <row r="93" spans="1:34" s="545" customFormat="1" ht="12.75" x14ac:dyDescent="0.2">
      <c r="A93" s="513">
        <v>62201</v>
      </c>
      <c r="B93" s="529" t="s">
        <v>620</v>
      </c>
      <c r="C93" s="530">
        <v>0</v>
      </c>
      <c r="D93" s="530">
        <v>0</v>
      </c>
      <c r="E93" s="530">
        <v>0</v>
      </c>
      <c r="F93" s="530">
        <v>0</v>
      </c>
      <c r="G93" s="530">
        <v>0</v>
      </c>
      <c r="H93" s="530">
        <v>0</v>
      </c>
      <c r="I93" s="530">
        <v>0</v>
      </c>
      <c r="J93" s="530">
        <v>0</v>
      </c>
      <c r="K93" s="530">
        <v>0</v>
      </c>
      <c r="L93" s="530">
        <v>0</v>
      </c>
      <c r="M93" s="530">
        <v>0</v>
      </c>
      <c r="N93" s="530">
        <v>0</v>
      </c>
      <c r="O93" s="530">
        <v>0</v>
      </c>
      <c r="P93" s="530">
        <v>0</v>
      </c>
      <c r="Q93" s="530">
        <v>0</v>
      </c>
      <c r="R93" s="530">
        <v>0</v>
      </c>
      <c r="S93" s="530">
        <v>0</v>
      </c>
      <c r="T93" s="530">
        <v>0</v>
      </c>
      <c r="U93" s="530">
        <v>0</v>
      </c>
      <c r="V93" s="530">
        <v>0</v>
      </c>
      <c r="W93" s="530">
        <v>0</v>
      </c>
      <c r="X93" s="530">
        <v>0</v>
      </c>
      <c r="Y93" s="530">
        <v>0</v>
      </c>
      <c r="Z93" s="530">
        <v>0</v>
      </c>
      <c r="AA93" s="530">
        <v>0</v>
      </c>
      <c r="AB93" s="530">
        <v>0</v>
      </c>
      <c r="AC93" s="530">
        <v>0</v>
      </c>
      <c r="AD93" s="530">
        <v>0</v>
      </c>
      <c r="AE93" s="530">
        <v>0</v>
      </c>
      <c r="AF93" s="530">
        <v>0</v>
      </c>
      <c r="AG93" s="530">
        <v>0</v>
      </c>
      <c r="AH93" s="530">
        <f t="shared" si="14"/>
        <v>0</v>
      </c>
    </row>
    <row r="94" spans="1:34" s="545" customFormat="1" ht="12.75" x14ac:dyDescent="0.2">
      <c r="A94" s="513">
        <v>62202</v>
      </c>
      <c r="B94" s="529" t="s">
        <v>621</v>
      </c>
      <c r="C94" s="530">
        <v>72311</v>
      </c>
      <c r="D94" s="530">
        <v>0</v>
      </c>
      <c r="E94" s="530">
        <v>0</v>
      </c>
      <c r="F94" s="530">
        <v>0</v>
      </c>
      <c r="G94" s="530">
        <v>211565.25</v>
      </c>
      <c r="H94" s="530">
        <v>0</v>
      </c>
      <c r="I94" s="530">
        <v>259433.50000000003</v>
      </c>
      <c r="J94" s="530">
        <v>75008</v>
      </c>
      <c r="K94" s="530">
        <v>122475.00000000001</v>
      </c>
      <c r="L94" s="530">
        <v>0</v>
      </c>
      <c r="M94" s="530">
        <v>281584</v>
      </c>
      <c r="N94" s="530">
        <v>0</v>
      </c>
      <c r="O94" s="530">
        <v>0</v>
      </c>
      <c r="P94" s="530">
        <v>607205</v>
      </c>
      <c r="Q94" s="530">
        <v>0</v>
      </c>
      <c r="R94" s="530">
        <v>13080.000000000002</v>
      </c>
      <c r="S94" s="530">
        <v>0</v>
      </c>
      <c r="T94" s="530">
        <v>54144</v>
      </c>
      <c r="U94" s="530">
        <v>92423</v>
      </c>
      <c r="V94" s="530">
        <v>0</v>
      </c>
      <c r="W94" s="530">
        <v>34048</v>
      </c>
      <c r="X94" s="530">
        <v>0</v>
      </c>
      <c r="Y94" s="530">
        <v>0</v>
      </c>
      <c r="Z94" s="530">
        <v>0</v>
      </c>
      <c r="AA94" s="530">
        <v>26658.999999999996</v>
      </c>
      <c r="AB94" s="530">
        <v>0</v>
      </c>
      <c r="AC94" s="530">
        <v>246168.21000000002</v>
      </c>
      <c r="AD94" s="530">
        <v>0</v>
      </c>
      <c r="AE94" s="530">
        <v>0</v>
      </c>
      <c r="AF94" s="530">
        <v>0</v>
      </c>
      <c r="AG94" s="530">
        <v>0</v>
      </c>
      <c r="AH94" s="530">
        <f t="shared" si="14"/>
        <v>2096103.96</v>
      </c>
    </row>
    <row r="95" spans="1:34" s="545" customFormat="1" ht="12.75" x14ac:dyDescent="0.2">
      <c r="A95" s="513">
        <v>62205</v>
      </c>
      <c r="B95" s="529" t="s">
        <v>622</v>
      </c>
      <c r="C95" s="530">
        <v>-1950</v>
      </c>
      <c r="D95" s="530">
        <v>0</v>
      </c>
      <c r="E95" s="530">
        <v>0</v>
      </c>
      <c r="F95" s="530">
        <v>0</v>
      </c>
      <c r="G95" s="530">
        <v>0</v>
      </c>
      <c r="H95" s="530">
        <v>0</v>
      </c>
      <c r="I95" s="530">
        <v>0</v>
      </c>
      <c r="J95" s="530">
        <v>0</v>
      </c>
      <c r="K95" s="530">
        <v>0</v>
      </c>
      <c r="L95" s="530">
        <v>0</v>
      </c>
      <c r="M95" s="530">
        <v>0</v>
      </c>
      <c r="N95" s="530">
        <v>0</v>
      </c>
      <c r="O95" s="530">
        <v>0</v>
      </c>
      <c r="P95" s="530">
        <v>0</v>
      </c>
      <c r="Q95" s="530">
        <v>0</v>
      </c>
      <c r="R95" s="530">
        <v>0</v>
      </c>
      <c r="S95" s="530">
        <v>0</v>
      </c>
      <c r="T95" s="530">
        <v>0</v>
      </c>
      <c r="U95" s="530">
        <v>0</v>
      </c>
      <c r="V95" s="530">
        <v>0</v>
      </c>
      <c r="W95" s="530">
        <v>-1950</v>
      </c>
      <c r="X95" s="530">
        <v>0</v>
      </c>
      <c r="Y95" s="530">
        <v>0</v>
      </c>
      <c r="Z95" s="530">
        <v>0</v>
      </c>
      <c r="AA95" s="530">
        <v>0</v>
      </c>
      <c r="AB95" s="530">
        <v>-1950</v>
      </c>
      <c r="AC95" s="530">
        <v>0</v>
      </c>
      <c r="AD95" s="530">
        <v>0</v>
      </c>
      <c r="AE95" s="530">
        <v>0</v>
      </c>
      <c r="AF95" s="530">
        <v>0</v>
      </c>
      <c r="AG95" s="530">
        <v>0</v>
      </c>
      <c r="AH95" s="530">
        <f t="shared" si="14"/>
        <v>-5850</v>
      </c>
    </row>
    <row r="96" spans="1:34" s="545" customFormat="1" ht="12.75" x14ac:dyDescent="0.2">
      <c r="A96" s="513">
        <v>62300</v>
      </c>
      <c r="B96" s="529" t="s">
        <v>623</v>
      </c>
      <c r="C96" s="530">
        <v>6707.74</v>
      </c>
      <c r="D96" s="530">
        <v>0</v>
      </c>
      <c r="E96" s="530">
        <v>1116.83</v>
      </c>
      <c r="F96" s="530">
        <v>0</v>
      </c>
      <c r="G96" s="530">
        <v>7558.89</v>
      </c>
      <c r="H96" s="530">
        <v>0</v>
      </c>
      <c r="I96" s="530">
        <v>16126.4</v>
      </c>
      <c r="J96" s="530">
        <v>1825.6299999999999</v>
      </c>
      <c r="K96" s="530">
        <v>3488.75</v>
      </c>
      <c r="L96" s="530">
        <v>2302.4499999999998</v>
      </c>
      <c r="M96" s="530">
        <v>5289.8499999999995</v>
      </c>
      <c r="N96" s="530">
        <v>0</v>
      </c>
      <c r="O96" s="530">
        <v>0</v>
      </c>
      <c r="P96" s="530">
        <v>21977.13</v>
      </c>
      <c r="Q96" s="530">
        <v>0</v>
      </c>
      <c r="R96" s="530">
        <v>726.15</v>
      </c>
      <c r="S96" s="530">
        <v>1635.31</v>
      </c>
      <c r="T96" s="530">
        <v>1373.6100000000001</v>
      </c>
      <c r="U96" s="530">
        <v>2804.62</v>
      </c>
      <c r="V96" s="530">
        <v>1119.08</v>
      </c>
      <c r="W96" s="530">
        <v>2409.38</v>
      </c>
      <c r="X96" s="530">
        <v>1939.3700000000001</v>
      </c>
      <c r="Y96" s="530">
        <v>4994.3599999999997</v>
      </c>
      <c r="Z96" s="530">
        <v>2814.49</v>
      </c>
      <c r="AA96" s="530">
        <v>774.51</v>
      </c>
      <c r="AB96" s="530">
        <v>2643.84</v>
      </c>
      <c r="AC96" s="530">
        <v>6274.92</v>
      </c>
      <c r="AD96" s="530">
        <v>0</v>
      </c>
      <c r="AE96" s="530">
        <v>0</v>
      </c>
      <c r="AF96" s="530">
        <v>1403.03</v>
      </c>
      <c r="AG96" s="530">
        <v>0</v>
      </c>
      <c r="AH96" s="530">
        <f t="shared" si="14"/>
        <v>97306.339999999982</v>
      </c>
    </row>
    <row r="97" spans="1:34" s="545" customFormat="1" ht="12.75" x14ac:dyDescent="0.2">
      <c r="A97" s="513">
        <v>62301</v>
      </c>
      <c r="B97" s="529" t="s">
        <v>624</v>
      </c>
      <c r="C97" s="530">
        <v>2385.98</v>
      </c>
      <c r="D97" s="530">
        <v>0</v>
      </c>
      <c r="E97" s="530">
        <v>404.96000000000004</v>
      </c>
      <c r="F97" s="530">
        <v>0</v>
      </c>
      <c r="G97" s="530">
        <v>1883.5800000000002</v>
      </c>
      <c r="H97" s="530">
        <v>0</v>
      </c>
      <c r="I97" s="530">
        <v>5780.71</v>
      </c>
      <c r="J97" s="530">
        <v>795.01999999999987</v>
      </c>
      <c r="K97" s="530">
        <v>1382.67</v>
      </c>
      <c r="L97" s="530">
        <v>843.93</v>
      </c>
      <c r="M97" s="530">
        <v>1870.5500000000002</v>
      </c>
      <c r="N97" s="530">
        <v>0</v>
      </c>
      <c r="O97" s="530">
        <v>0</v>
      </c>
      <c r="P97" s="530">
        <v>8025.9900000000007</v>
      </c>
      <c r="Q97" s="530">
        <v>0</v>
      </c>
      <c r="R97" s="530">
        <v>232.37</v>
      </c>
      <c r="S97" s="530">
        <v>625.23</v>
      </c>
      <c r="T97" s="530">
        <v>548.94000000000005</v>
      </c>
      <c r="U97" s="530">
        <v>1028.28</v>
      </c>
      <c r="V97" s="530">
        <v>407.97999999999996</v>
      </c>
      <c r="W97" s="530">
        <v>862.04</v>
      </c>
      <c r="X97" s="530">
        <v>711.25</v>
      </c>
      <c r="Y97" s="530">
        <v>1801.46</v>
      </c>
      <c r="Z97" s="530">
        <v>1013.53</v>
      </c>
      <c r="AA97" s="530">
        <v>285.87</v>
      </c>
      <c r="AB97" s="530">
        <v>960.92</v>
      </c>
      <c r="AC97" s="530">
        <v>2219.6000000000004</v>
      </c>
      <c r="AD97" s="530">
        <v>0</v>
      </c>
      <c r="AE97" s="530">
        <v>0</v>
      </c>
      <c r="AF97" s="530">
        <v>508.78</v>
      </c>
      <c r="AG97" s="530">
        <v>0</v>
      </c>
      <c r="AH97" s="530">
        <f t="shared" si="14"/>
        <v>34579.639999999992</v>
      </c>
    </row>
    <row r="98" spans="1:34" s="545" customFormat="1" ht="12.75" x14ac:dyDescent="0.2">
      <c r="A98" s="513">
        <v>62302</v>
      </c>
      <c r="B98" s="529" t="s">
        <v>625</v>
      </c>
      <c r="C98" s="530">
        <v>3401.32</v>
      </c>
      <c r="D98" s="530">
        <v>0</v>
      </c>
      <c r="E98" s="530">
        <v>533.22</v>
      </c>
      <c r="F98" s="530">
        <v>0</v>
      </c>
      <c r="G98" s="530">
        <v>9100.5</v>
      </c>
      <c r="H98" s="530">
        <v>0</v>
      </c>
      <c r="I98" s="530">
        <v>10153.540000000001</v>
      </c>
      <c r="J98" s="530">
        <v>850.23</v>
      </c>
      <c r="K98" s="530">
        <v>1731.08</v>
      </c>
      <c r="L98" s="530">
        <v>1384.76</v>
      </c>
      <c r="M98" s="530">
        <v>3396.36</v>
      </c>
      <c r="N98" s="530">
        <v>0</v>
      </c>
      <c r="O98" s="530">
        <v>0</v>
      </c>
      <c r="P98" s="530">
        <v>8349.2199999999993</v>
      </c>
      <c r="Q98" s="530">
        <v>0</v>
      </c>
      <c r="R98" s="530">
        <v>343.31</v>
      </c>
      <c r="S98" s="530">
        <v>694.3</v>
      </c>
      <c r="T98" s="530">
        <v>663.28</v>
      </c>
      <c r="U98" s="530">
        <v>1242.03</v>
      </c>
      <c r="V98" s="530">
        <v>533.91999999999996</v>
      </c>
      <c r="W98" s="530">
        <v>2030.4599999999998</v>
      </c>
      <c r="X98" s="530">
        <v>884.8</v>
      </c>
      <c r="Y98" s="530">
        <v>2424.21</v>
      </c>
      <c r="Z98" s="530">
        <v>1321.13</v>
      </c>
      <c r="AA98" s="530">
        <v>377.9</v>
      </c>
      <c r="AB98" s="530">
        <v>1196.04</v>
      </c>
      <c r="AC98" s="530">
        <v>3907.74</v>
      </c>
      <c r="AD98" s="530">
        <v>0</v>
      </c>
      <c r="AE98" s="530">
        <v>0</v>
      </c>
      <c r="AF98" s="530">
        <v>444.50000000000006</v>
      </c>
      <c r="AG98" s="530">
        <v>0</v>
      </c>
      <c r="AH98" s="530">
        <f t="shared" si="14"/>
        <v>54963.849999999991</v>
      </c>
    </row>
    <row r="99" spans="1:34" s="545" customFormat="1" ht="12.75" x14ac:dyDescent="0.2">
      <c r="A99" s="513">
        <v>62303</v>
      </c>
      <c r="B99" s="529" t="s">
        <v>626</v>
      </c>
      <c r="C99" s="530">
        <v>0</v>
      </c>
      <c r="D99" s="530">
        <v>0</v>
      </c>
      <c r="E99" s="530">
        <v>0</v>
      </c>
      <c r="F99" s="530">
        <v>0</v>
      </c>
      <c r="G99" s="530">
        <v>0</v>
      </c>
      <c r="H99" s="530">
        <v>0</v>
      </c>
      <c r="I99" s="530">
        <v>0</v>
      </c>
      <c r="J99" s="530">
        <v>0</v>
      </c>
      <c r="K99" s="530">
        <v>0</v>
      </c>
      <c r="L99" s="530">
        <v>0</v>
      </c>
      <c r="M99" s="530">
        <v>0</v>
      </c>
      <c r="N99" s="530">
        <v>0</v>
      </c>
      <c r="O99" s="530">
        <v>0</v>
      </c>
      <c r="P99" s="530">
        <v>0</v>
      </c>
      <c r="Q99" s="530">
        <v>0</v>
      </c>
      <c r="R99" s="530">
        <v>0</v>
      </c>
      <c r="S99" s="530">
        <v>0</v>
      </c>
      <c r="T99" s="530">
        <v>0</v>
      </c>
      <c r="U99" s="530">
        <v>0</v>
      </c>
      <c r="V99" s="530">
        <v>0</v>
      </c>
      <c r="W99" s="530">
        <v>0</v>
      </c>
      <c r="X99" s="530">
        <v>0</v>
      </c>
      <c r="Y99" s="530">
        <v>0</v>
      </c>
      <c r="Z99" s="530">
        <v>0</v>
      </c>
      <c r="AA99" s="530">
        <v>0</v>
      </c>
      <c r="AB99" s="530">
        <v>0</v>
      </c>
      <c r="AC99" s="530">
        <v>0</v>
      </c>
      <c r="AD99" s="530">
        <v>0</v>
      </c>
      <c r="AE99" s="530">
        <v>0</v>
      </c>
      <c r="AF99" s="530">
        <v>0</v>
      </c>
      <c r="AG99" s="530">
        <v>0</v>
      </c>
      <c r="AH99" s="530">
        <f t="shared" si="14"/>
        <v>0</v>
      </c>
    </row>
    <row r="100" spans="1:34" s="545" customFormat="1" ht="12.75" x14ac:dyDescent="0.2">
      <c r="A100" s="513">
        <v>62304</v>
      </c>
      <c r="B100" s="529" t="s">
        <v>627</v>
      </c>
      <c r="C100" s="530">
        <v>3143.8300000000004</v>
      </c>
      <c r="D100" s="530">
        <v>0</v>
      </c>
      <c r="E100" s="530">
        <v>1081.4100000000001</v>
      </c>
      <c r="F100" s="530">
        <v>0</v>
      </c>
      <c r="G100" s="530">
        <v>4705.96</v>
      </c>
      <c r="H100" s="530">
        <v>0</v>
      </c>
      <c r="I100" s="530">
        <v>6087.3799999999992</v>
      </c>
      <c r="J100" s="530">
        <v>0</v>
      </c>
      <c r="K100" s="530">
        <v>3361.1800000000003</v>
      </c>
      <c r="L100" s="530">
        <v>1512.7499999999998</v>
      </c>
      <c r="M100" s="530">
        <v>3649.67</v>
      </c>
      <c r="N100" s="530">
        <v>0</v>
      </c>
      <c r="O100" s="530">
        <v>0</v>
      </c>
      <c r="P100" s="530">
        <v>17526.66</v>
      </c>
      <c r="Q100" s="530">
        <v>0</v>
      </c>
      <c r="R100" s="530">
        <v>306.66000000000003</v>
      </c>
      <c r="S100" s="530">
        <v>454.19000000000005</v>
      </c>
      <c r="T100" s="530">
        <v>27944.760000000002</v>
      </c>
      <c r="U100" s="530">
        <v>1231.44</v>
      </c>
      <c r="V100" s="530">
        <v>435.35999999999996</v>
      </c>
      <c r="W100" s="530">
        <v>1431.99</v>
      </c>
      <c r="X100" s="530">
        <v>1719.8700000000001</v>
      </c>
      <c r="Y100" s="530">
        <v>1998.54</v>
      </c>
      <c r="Z100" s="530">
        <v>1451.6100000000001</v>
      </c>
      <c r="AA100" s="530">
        <v>1283.55</v>
      </c>
      <c r="AB100" s="530">
        <v>1984.14</v>
      </c>
      <c r="AC100" s="530">
        <v>221.62</v>
      </c>
      <c r="AD100" s="530">
        <v>0</v>
      </c>
      <c r="AE100" s="530">
        <v>0</v>
      </c>
      <c r="AF100" s="530">
        <v>1205.3400000000001</v>
      </c>
      <c r="AG100" s="530">
        <v>0</v>
      </c>
      <c r="AH100" s="530">
        <f t="shared" si="14"/>
        <v>82737.91</v>
      </c>
    </row>
    <row r="101" spans="1:34" s="545" customFormat="1" ht="12.75" x14ac:dyDescent="0.2">
      <c r="A101" s="513">
        <v>62305</v>
      </c>
      <c r="B101" s="529" t="s">
        <v>628</v>
      </c>
      <c r="C101" s="530">
        <v>6534.82</v>
      </c>
      <c r="D101" s="530">
        <v>0</v>
      </c>
      <c r="E101" s="530">
        <v>637.5</v>
      </c>
      <c r="F101" s="530">
        <v>0</v>
      </c>
      <c r="G101" s="530">
        <v>825.00000000000011</v>
      </c>
      <c r="H101" s="530">
        <v>0</v>
      </c>
      <c r="I101" s="530">
        <v>13958.220000000001</v>
      </c>
      <c r="J101" s="530">
        <v>0</v>
      </c>
      <c r="K101" s="530">
        <v>2968.64</v>
      </c>
      <c r="L101" s="530">
        <v>2109.96</v>
      </c>
      <c r="M101" s="530">
        <v>2984.94</v>
      </c>
      <c r="N101" s="530">
        <v>0</v>
      </c>
      <c r="O101" s="530">
        <v>0</v>
      </c>
      <c r="P101" s="530">
        <v>15471.58</v>
      </c>
      <c r="Q101" s="530">
        <v>0</v>
      </c>
      <c r="R101" s="530">
        <v>630.12</v>
      </c>
      <c r="S101" s="530">
        <v>1951.1</v>
      </c>
      <c r="T101" s="530">
        <v>1443.0600000000002</v>
      </c>
      <c r="U101" s="530">
        <v>3668.42</v>
      </c>
      <c r="V101" s="530">
        <v>1050</v>
      </c>
      <c r="W101" s="530">
        <v>2142.5099999999998</v>
      </c>
      <c r="X101" s="530">
        <v>743.41</v>
      </c>
      <c r="Y101" s="530">
        <v>5232.63</v>
      </c>
      <c r="Z101" s="530">
        <v>3034.83</v>
      </c>
      <c r="AA101" s="530">
        <v>450</v>
      </c>
      <c r="AB101" s="530">
        <v>2487.14</v>
      </c>
      <c r="AC101" s="530">
        <v>2734.5</v>
      </c>
      <c r="AD101" s="530">
        <v>0</v>
      </c>
      <c r="AE101" s="530">
        <v>0</v>
      </c>
      <c r="AF101" s="530">
        <v>0</v>
      </c>
      <c r="AG101" s="530">
        <v>0</v>
      </c>
      <c r="AH101" s="530">
        <f t="shared" si="14"/>
        <v>71058.37999999999</v>
      </c>
    </row>
    <row r="102" spans="1:34" s="545" customFormat="1" ht="12.75" x14ac:dyDescent="0.2">
      <c r="A102" s="513">
        <v>62306</v>
      </c>
      <c r="B102" s="529" t="s">
        <v>629</v>
      </c>
      <c r="C102" s="530">
        <v>1640.8400000000001</v>
      </c>
      <c r="D102" s="530">
        <v>0</v>
      </c>
      <c r="E102" s="530">
        <v>218.88</v>
      </c>
      <c r="F102" s="530">
        <v>0</v>
      </c>
      <c r="G102" s="530">
        <v>2124.58</v>
      </c>
      <c r="H102" s="530">
        <v>0</v>
      </c>
      <c r="I102" s="530">
        <v>3305.84</v>
      </c>
      <c r="J102" s="530">
        <v>239.57999999999998</v>
      </c>
      <c r="K102" s="530">
        <v>718.93</v>
      </c>
      <c r="L102" s="530">
        <v>1086.06</v>
      </c>
      <c r="M102" s="530">
        <v>1234.3800000000001</v>
      </c>
      <c r="N102" s="530">
        <v>0</v>
      </c>
      <c r="O102" s="530">
        <v>0</v>
      </c>
      <c r="P102" s="530">
        <v>4259.0600000000004</v>
      </c>
      <c r="Q102" s="530">
        <v>0</v>
      </c>
      <c r="R102" s="530">
        <v>447.94</v>
      </c>
      <c r="S102" s="530">
        <v>517.63</v>
      </c>
      <c r="T102" s="530">
        <v>277.62</v>
      </c>
      <c r="U102" s="530">
        <v>551.12</v>
      </c>
      <c r="V102" s="530">
        <v>216.3</v>
      </c>
      <c r="W102" s="530">
        <v>351.9</v>
      </c>
      <c r="X102" s="530">
        <v>542.04</v>
      </c>
      <c r="Y102" s="530">
        <v>591.77</v>
      </c>
      <c r="Z102" s="530">
        <v>542.72</v>
      </c>
      <c r="AA102" s="530">
        <v>154.5</v>
      </c>
      <c r="AB102" s="530">
        <v>712.29000000000008</v>
      </c>
      <c r="AC102" s="530">
        <v>1456.0900000000001</v>
      </c>
      <c r="AD102" s="530">
        <v>0</v>
      </c>
      <c r="AE102" s="530">
        <v>0</v>
      </c>
      <c r="AF102" s="530">
        <v>283.26</v>
      </c>
      <c r="AG102" s="530">
        <v>0</v>
      </c>
      <c r="AH102" s="530">
        <f t="shared" si="14"/>
        <v>21473.330000000005</v>
      </c>
    </row>
    <row r="103" spans="1:34" s="545" customFormat="1" ht="12.75" x14ac:dyDescent="0.2">
      <c r="A103" s="513">
        <v>62600</v>
      </c>
      <c r="B103" s="529" t="s">
        <v>630</v>
      </c>
      <c r="C103" s="530">
        <v>34287.53</v>
      </c>
      <c r="D103" s="530">
        <v>0</v>
      </c>
      <c r="E103" s="530">
        <v>2274.5700000000002</v>
      </c>
      <c r="F103" s="530">
        <v>0</v>
      </c>
      <c r="G103" s="530">
        <v>191584.05</v>
      </c>
      <c r="H103" s="530">
        <v>0</v>
      </c>
      <c r="I103" s="530">
        <v>84508.58</v>
      </c>
      <c r="J103" s="530">
        <v>2058.63</v>
      </c>
      <c r="K103" s="530">
        <v>3373.0699999999997</v>
      </c>
      <c r="L103" s="530">
        <v>5194.0600000000004</v>
      </c>
      <c r="M103" s="530">
        <v>32678.949999999997</v>
      </c>
      <c r="N103" s="530">
        <v>0</v>
      </c>
      <c r="O103" s="530">
        <v>0</v>
      </c>
      <c r="P103" s="530">
        <v>37586.03</v>
      </c>
      <c r="Q103" s="530">
        <v>0</v>
      </c>
      <c r="R103" s="530">
        <v>1050.8599999999999</v>
      </c>
      <c r="S103" s="530">
        <v>2810.33</v>
      </c>
      <c r="T103" s="530">
        <v>1792.9</v>
      </c>
      <c r="U103" s="530">
        <v>7093.71</v>
      </c>
      <c r="V103" s="530">
        <v>2247.8200000000002</v>
      </c>
      <c r="W103" s="530">
        <v>9098.3000000000011</v>
      </c>
      <c r="X103" s="530">
        <v>6192.83</v>
      </c>
      <c r="Y103" s="530">
        <v>14075.08</v>
      </c>
      <c r="Z103" s="530">
        <v>6703.3</v>
      </c>
      <c r="AA103" s="530">
        <v>802.79</v>
      </c>
      <c r="AB103" s="530">
        <v>4346.87</v>
      </c>
      <c r="AC103" s="530">
        <v>39993.56</v>
      </c>
      <c r="AD103" s="530">
        <v>0</v>
      </c>
      <c r="AE103" s="530">
        <v>0</v>
      </c>
      <c r="AF103" s="530">
        <v>2885.85</v>
      </c>
      <c r="AG103" s="530">
        <v>0</v>
      </c>
      <c r="AH103" s="530">
        <f t="shared" si="14"/>
        <v>492639.67</v>
      </c>
    </row>
    <row r="104" spans="1:34" s="545" customFormat="1" ht="12.75" x14ac:dyDescent="0.2">
      <c r="A104" s="513">
        <v>62601</v>
      </c>
      <c r="B104" s="529" t="s">
        <v>631</v>
      </c>
      <c r="C104" s="530">
        <v>0</v>
      </c>
      <c r="D104" s="530">
        <v>0</v>
      </c>
      <c r="E104" s="530">
        <v>0</v>
      </c>
      <c r="F104" s="530">
        <v>0</v>
      </c>
      <c r="G104" s="530">
        <v>0</v>
      </c>
      <c r="H104" s="530">
        <v>0</v>
      </c>
      <c r="I104" s="530">
        <v>0</v>
      </c>
      <c r="J104" s="530">
        <v>0</v>
      </c>
      <c r="K104" s="530">
        <v>0</v>
      </c>
      <c r="L104" s="530">
        <v>0</v>
      </c>
      <c r="M104" s="530">
        <v>0</v>
      </c>
      <c r="N104" s="530">
        <v>0</v>
      </c>
      <c r="O104" s="530">
        <v>0</v>
      </c>
      <c r="P104" s="530">
        <v>57499.999999999993</v>
      </c>
      <c r="Q104" s="530">
        <v>0</v>
      </c>
      <c r="R104" s="530">
        <v>0</v>
      </c>
      <c r="S104" s="530">
        <v>0</v>
      </c>
      <c r="T104" s="530">
        <v>0</v>
      </c>
      <c r="U104" s="530">
        <v>0</v>
      </c>
      <c r="V104" s="530">
        <v>0</v>
      </c>
      <c r="W104" s="530">
        <v>0</v>
      </c>
      <c r="X104" s="530">
        <v>0</v>
      </c>
      <c r="Y104" s="530">
        <v>0</v>
      </c>
      <c r="Z104" s="530">
        <v>0</v>
      </c>
      <c r="AA104" s="530">
        <v>0</v>
      </c>
      <c r="AB104" s="530">
        <v>0</v>
      </c>
      <c r="AC104" s="530">
        <v>0</v>
      </c>
      <c r="AD104" s="530">
        <v>0</v>
      </c>
      <c r="AE104" s="530">
        <v>0</v>
      </c>
      <c r="AF104" s="530">
        <v>0</v>
      </c>
      <c r="AG104" s="530">
        <v>0</v>
      </c>
      <c r="AH104" s="530">
        <f t="shared" si="14"/>
        <v>57499.999999999993</v>
      </c>
    </row>
    <row r="105" spans="1:34" s="545" customFormat="1" ht="12.75" x14ac:dyDescent="0.2">
      <c r="A105" s="513">
        <v>62400</v>
      </c>
      <c r="B105" s="553" t="s">
        <v>632</v>
      </c>
      <c r="C105" s="531">
        <v>0</v>
      </c>
      <c r="D105" s="531">
        <v>0</v>
      </c>
      <c r="E105" s="531">
        <v>0</v>
      </c>
      <c r="F105" s="531">
        <v>0</v>
      </c>
      <c r="G105" s="531">
        <v>0</v>
      </c>
      <c r="H105" s="531">
        <v>0</v>
      </c>
      <c r="I105" s="531">
        <v>0</v>
      </c>
      <c r="J105" s="531">
        <v>0</v>
      </c>
      <c r="K105" s="531">
        <v>0</v>
      </c>
      <c r="L105" s="531">
        <v>0</v>
      </c>
      <c r="M105" s="531">
        <v>0</v>
      </c>
      <c r="N105" s="531">
        <v>0</v>
      </c>
      <c r="O105" s="531">
        <v>0</v>
      </c>
      <c r="P105" s="531">
        <v>0</v>
      </c>
      <c r="Q105" s="531">
        <v>0</v>
      </c>
      <c r="R105" s="531">
        <v>0</v>
      </c>
      <c r="S105" s="531">
        <v>0</v>
      </c>
      <c r="T105" s="531">
        <v>0</v>
      </c>
      <c r="U105" s="531">
        <v>0</v>
      </c>
      <c r="V105" s="531">
        <v>0</v>
      </c>
      <c r="W105" s="531">
        <v>0</v>
      </c>
      <c r="X105" s="531">
        <v>0</v>
      </c>
      <c r="Y105" s="531">
        <v>0</v>
      </c>
      <c r="Z105" s="531">
        <v>0</v>
      </c>
      <c r="AA105" s="531">
        <v>0</v>
      </c>
      <c r="AB105" s="531">
        <v>0</v>
      </c>
      <c r="AC105" s="531">
        <v>0</v>
      </c>
      <c r="AD105" s="531">
        <v>0</v>
      </c>
      <c r="AE105" s="531">
        <v>0</v>
      </c>
      <c r="AF105" s="531">
        <v>0</v>
      </c>
      <c r="AG105" s="531">
        <v>0</v>
      </c>
      <c r="AH105" s="531">
        <f t="shared" si="14"/>
        <v>0</v>
      </c>
    </row>
    <row r="106" spans="1:34" s="428" customFormat="1" ht="12.75" x14ac:dyDescent="0.2">
      <c r="A106" s="513">
        <v>62950</v>
      </c>
      <c r="B106" s="532" t="s">
        <v>633</v>
      </c>
      <c r="C106" s="533">
        <f t="shared" ref="C106:AH106" si="15">SUM(C80:C105)</f>
        <v>188013.99999999997</v>
      </c>
      <c r="D106" s="533">
        <f t="shared" si="15"/>
        <v>0</v>
      </c>
      <c r="E106" s="533">
        <f t="shared" si="15"/>
        <v>27517.39</v>
      </c>
      <c r="F106" s="533">
        <f t="shared" si="15"/>
        <v>0</v>
      </c>
      <c r="G106" s="533">
        <f t="shared" si="15"/>
        <v>470691.88000000006</v>
      </c>
      <c r="H106" s="533">
        <f t="shared" si="15"/>
        <v>0</v>
      </c>
      <c r="I106" s="533">
        <f t="shared" si="15"/>
        <v>486451.17000000004</v>
      </c>
      <c r="J106" s="533">
        <f t="shared" si="15"/>
        <v>41709.67</v>
      </c>
      <c r="K106" s="533">
        <f t="shared" si="15"/>
        <v>85443.419999999984</v>
      </c>
      <c r="L106" s="533">
        <f t="shared" si="15"/>
        <v>57845.30999999999</v>
      </c>
      <c r="M106" s="533">
        <f t="shared" si="15"/>
        <v>169752.63</v>
      </c>
      <c r="N106" s="533">
        <f t="shared" si="15"/>
        <v>0</v>
      </c>
      <c r="O106" s="533">
        <f t="shared" si="15"/>
        <v>0</v>
      </c>
      <c r="P106" s="533">
        <f t="shared" si="15"/>
        <v>532034.54999999993</v>
      </c>
      <c r="Q106" s="533">
        <f t="shared" si="15"/>
        <v>0</v>
      </c>
      <c r="R106" s="533">
        <f t="shared" si="15"/>
        <v>17762.46</v>
      </c>
      <c r="S106" s="533">
        <f t="shared" si="15"/>
        <v>38438.11</v>
      </c>
      <c r="T106" s="533">
        <f t="shared" si="15"/>
        <v>60394.2</v>
      </c>
      <c r="U106" s="533">
        <f t="shared" si="15"/>
        <v>66199.83</v>
      </c>
      <c r="V106" s="533">
        <f t="shared" si="15"/>
        <v>27010.559999999998</v>
      </c>
      <c r="W106" s="533">
        <f t="shared" si="15"/>
        <v>60826.560000000005</v>
      </c>
      <c r="X106" s="533">
        <f t="shared" si="15"/>
        <v>47233.580000000016</v>
      </c>
      <c r="Y106" s="533">
        <f t="shared" si="15"/>
        <v>123948.08000000002</v>
      </c>
      <c r="Z106" s="533">
        <f t="shared" si="15"/>
        <v>81516.060000000012</v>
      </c>
      <c r="AA106" s="533">
        <f t="shared" si="15"/>
        <v>19129.120000000003</v>
      </c>
      <c r="AB106" s="533">
        <f t="shared" si="15"/>
        <v>61831.390000000007</v>
      </c>
      <c r="AC106" s="533">
        <f t="shared" si="15"/>
        <v>198359.3</v>
      </c>
      <c r="AD106" s="533">
        <f t="shared" si="15"/>
        <v>0</v>
      </c>
      <c r="AE106" s="533">
        <f t="shared" si="15"/>
        <v>0</v>
      </c>
      <c r="AF106" s="533">
        <f t="shared" si="15"/>
        <v>34230.74</v>
      </c>
      <c r="AG106" s="533">
        <f t="shared" si="15"/>
        <v>0</v>
      </c>
      <c r="AH106" s="533">
        <f t="shared" si="15"/>
        <v>2896340.0100000007</v>
      </c>
    </row>
    <row r="107" spans="1:34" s="428" customFormat="1" ht="12.75" x14ac:dyDescent="0.2">
      <c r="A107" s="513"/>
      <c r="B107" s="516"/>
      <c r="C107" s="528"/>
      <c r="D107" s="528"/>
      <c r="E107" s="528"/>
      <c r="F107" s="528"/>
      <c r="G107" s="528"/>
      <c r="H107" s="528"/>
      <c r="I107" s="528"/>
      <c r="J107" s="528"/>
      <c r="K107" s="528"/>
      <c r="L107" s="528"/>
      <c r="M107" s="528"/>
      <c r="N107" s="528"/>
      <c r="O107" s="528"/>
      <c r="P107" s="528"/>
      <c r="Q107" s="528"/>
      <c r="R107" s="528"/>
      <c r="S107" s="528"/>
      <c r="T107" s="528"/>
      <c r="U107" s="528"/>
      <c r="V107" s="528"/>
      <c r="W107" s="528"/>
      <c r="X107" s="528"/>
      <c r="Y107" s="528"/>
      <c r="Z107" s="528"/>
      <c r="AA107" s="528"/>
      <c r="AB107" s="528"/>
      <c r="AC107" s="528"/>
      <c r="AD107" s="528"/>
      <c r="AE107" s="528"/>
      <c r="AF107" s="528"/>
      <c r="AG107" s="528"/>
      <c r="AH107" s="528"/>
    </row>
    <row r="108" spans="1:34" s="428" customFormat="1" ht="12.75" x14ac:dyDescent="0.2">
      <c r="A108" s="513"/>
      <c r="B108" s="516" t="s">
        <v>634</v>
      </c>
      <c r="C108" s="528"/>
      <c r="D108" s="528"/>
      <c r="E108" s="528"/>
      <c r="F108" s="528"/>
      <c r="G108" s="528"/>
      <c r="H108" s="528"/>
      <c r="I108" s="528"/>
      <c r="J108" s="528"/>
      <c r="K108" s="528"/>
      <c r="L108" s="528"/>
      <c r="M108" s="528"/>
      <c r="N108" s="528"/>
      <c r="O108" s="528"/>
      <c r="P108" s="528"/>
      <c r="Q108" s="528"/>
      <c r="R108" s="528"/>
      <c r="S108" s="528"/>
      <c r="T108" s="528"/>
      <c r="U108" s="528"/>
      <c r="V108" s="528"/>
      <c r="W108" s="528"/>
      <c r="X108" s="528"/>
      <c r="Y108" s="528"/>
      <c r="Z108" s="528"/>
      <c r="AA108" s="528"/>
      <c r="AB108" s="528"/>
      <c r="AC108" s="528"/>
      <c r="AD108" s="528"/>
      <c r="AE108" s="528"/>
      <c r="AF108" s="528"/>
      <c r="AG108" s="528"/>
      <c r="AH108" s="528"/>
    </row>
    <row r="109" spans="1:34" s="545" customFormat="1" ht="12.75" x14ac:dyDescent="0.2">
      <c r="A109" s="513">
        <v>63100</v>
      </c>
      <c r="B109" s="529" t="s">
        <v>635</v>
      </c>
      <c r="C109" s="530">
        <v>0</v>
      </c>
      <c r="D109" s="530">
        <v>0</v>
      </c>
      <c r="E109" s="530">
        <v>0</v>
      </c>
      <c r="F109" s="530">
        <v>0</v>
      </c>
      <c r="G109" s="530">
        <v>0</v>
      </c>
      <c r="H109" s="530">
        <v>0</v>
      </c>
      <c r="I109" s="530">
        <v>0</v>
      </c>
      <c r="J109" s="530">
        <v>0</v>
      </c>
      <c r="K109" s="530">
        <v>0</v>
      </c>
      <c r="L109" s="530">
        <v>0</v>
      </c>
      <c r="M109" s="530">
        <v>0</v>
      </c>
      <c r="N109" s="530">
        <v>0</v>
      </c>
      <c r="O109" s="530">
        <v>0</v>
      </c>
      <c r="P109" s="530">
        <v>0</v>
      </c>
      <c r="Q109" s="530">
        <v>0</v>
      </c>
      <c r="R109" s="530">
        <v>0</v>
      </c>
      <c r="S109" s="530">
        <v>0</v>
      </c>
      <c r="T109" s="530">
        <v>0</v>
      </c>
      <c r="U109" s="530">
        <v>0</v>
      </c>
      <c r="V109" s="530">
        <v>0</v>
      </c>
      <c r="W109" s="530">
        <v>0</v>
      </c>
      <c r="X109" s="530">
        <v>0</v>
      </c>
      <c r="Y109" s="530">
        <v>0</v>
      </c>
      <c r="Z109" s="530">
        <v>0</v>
      </c>
      <c r="AA109" s="530">
        <v>0</v>
      </c>
      <c r="AB109" s="530">
        <v>2228.92</v>
      </c>
      <c r="AC109" s="530">
        <v>0</v>
      </c>
      <c r="AD109" s="530">
        <v>0</v>
      </c>
      <c r="AE109" s="530">
        <v>0</v>
      </c>
      <c r="AF109" s="530">
        <v>0</v>
      </c>
      <c r="AG109" s="530">
        <v>0</v>
      </c>
      <c r="AH109" s="530">
        <f t="shared" ref="AH109:AH116" si="16">SUM(C109:AG109)</f>
        <v>2228.92</v>
      </c>
    </row>
    <row r="110" spans="1:34" s="545" customFormat="1" ht="12.75" x14ac:dyDescent="0.2">
      <c r="A110" s="513">
        <v>63200</v>
      </c>
      <c r="B110" s="529" t="s">
        <v>636</v>
      </c>
      <c r="C110" s="530">
        <v>1950</v>
      </c>
      <c r="D110" s="530">
        <v>0</v>
      </c>
      <c r="E110" s="530">
        <v>0</v>
      </c>
      <c r="F110" s="530">
        <v>0</v>
      </c>
      <c r="G110" s="530">
        <v>0</v>
      </c>
      <c r="H110" s="530">
        <v>0</v>
      </c>
      <c r="I110" s="530">
        <v>0</v>
      </c>
      <c r="J110" s="530">
        <v>0</v>
      </c>
      <c r="K110" s="530">
        <v>0</v>
      </c>
      <c r="L110" s="530">
        <v>0</v>
      </c>
      <c r="M110" s="530">
        <v>0</v>
      </c>
      <c r="N110" s="530">
        <v>0</v>
      </c>
      <c r="O110" s="530">
        <v>0</v>
      </c>
      <c r="P110" s="530">
        <v>0</v>
      </c>
      <c r="Q110" s="530">
        <v>0</v>
      </c>
      <c r="R110" s="530">
        <v>0</v>
      </c>
      <c r="S110" s="530">
        <v>0</v>
      </c>
      <c r="T110" s="530">
        <v>0</v>
      </c>
      <c r="U110" s="530">
        <v>0</v>
      </c>
      <c r="V110" s="530">
        <v>0</v>
      </c>
      <c r="W110" s="530">
        <v>1950</v>
      </c>
      <c r="X110" s="530">
        <v>0</v>
      </c>
      <c r="Y110" s="530">
        <v>0</v>
      </c>
      <c r="Z110" s="530">
        <v>0</v>
      </c>
      <c r="AA110" s="530">
        <v>0</v>
      </c>
      <c r="AB110" s="530">
        <v>1950</v>
      </c>
      <c r="AC110" s="530">
        <v>0</v>
      </c>
      <c r="AD110" s="530">
        <v>0</v>
      </c>
      <c r="AE110" s="530">
        <v>0</v>
      </c>
      <c r="AF110" s="530">
        <v>0</v>
      </c>
      <c r="AG110" s="530">
        <v>0</v>
      </c>
      <c r="AH110" s="530">
        <f t="shared" si="16"/>
        <v>5850</v>
      </c>
    </row>
    <row r="111" spans="1:34" s="545" customFormat="1" ht="12.75" x14ac:dyDescent="0.2">
      <c r="A111" s="513">
        <v>63250</v>
      </c>
      <c r="B111" s="529" t="s">
        <v>637</v>
      </c>
      <c r="C111" s="530">
        <v>0</v>
      </c>
      <c r="D111" s="530">
        <v>0</v>
      </c>
      <c r="E111" s="530">
        <v>0</v>
      </c>
      <c r="F111" s="530">
        <v>0</v>
      </c>
      <c r="G111" s="530">
        <v>0</v>
      </c>
      <c r="H111" s="530">
        <v>0</v>
      </c>
      <c r="I111" s="530">
        <v>313.05</v>
      </c>
      <c r="J111" s="530">
        <v>0</v>
      </c>
      <c r="K111" s="530">
        <v>0</v>
      </c>
      <c r="L111" s="530">
        <v>0</v>
      </c>
      <c r="M111" s="530">
        <v>0</v>
      </c>
      <c r="N111" s="530">
        <v>0</v>
      </c>
      <c r="O111" s="530">
        <v>0</v>
      </c>
      <c r="P111" s="530">
        <v>249.35</v>
      </c>
      <c r="Q111" s="530">
        <v>0</v>
      </c>
      <c r="R111" s="530">
        <v>84.52</v>
      </c>
      <c r="S111" s="530">
        <v>37.619999999999997</v>
      </c>
      <c r="T111" s="530">
        <v>0</v>
      </c>
      <c r="U111" s="530">
        <v>0</v>
      </c>
      <c r="V111" s="530">
        <v>0</v>
      </c>
      <c r="W111" s="530">
        <v>0</v>
      </c>
      <c r="X111" s="530">
        <v>0</v>
      </c>
      <c r="Y111" s="530">
        <v>0</v>
      </c>
      <c r="Z111" s="530">
        <v>0</v>
      </c>
      <c r="AA111" s="530">
        <v>0</v>
      </c>
      <c r="AB111" s="530">
        <v>0</v>
      </c>
      <c r="AC111" s="530">
        <v>0</v>
      </c>
      <c r="AD111" s="530">
        <v>0</v>
      </c>
      <c r="AE111" s="530">
        <v>0</v>
      </c>
      <c r="AF111" s="530">
        <v>0</v>
      </c>
      <c r="AG111" s="530">
        <v>0</v>
      </c>
      <c r="AH111" s="530">
        <f t="shared" si="16"/>
        <v>684.54</v>
      </c>
    </row>
    <row r="112" spans="1:34" s="545" customFormat="1" ht="12.75" x14ac:dyDescent="0.2">
      <c r="A112" s="513">
        <v>63300</v>
      </c>
      <c r="B112" s="529" t="s">
        <v>638</v>
      </c>
      <c r="C112" s="530">
        <v>0</v>
      </c>
      <c r="D112" s="530">
        <v>0</v>
      </c>
      <c r="E112" s="530">
        <v>0</v>
      </c>
      <c r="F112" s="530">
        <v>0</v>
      </c>
      <c r="G112" s="530">
        <v>0</v>
      </c>
      <c r="H112" s="530">
        <v>0</v>
      </c>
      <c r="I112" s="530">
        <v>0</v>
      </c>
      <c r="J112" s="530">
        <v>0</v>
      </c>
      <c r="K112" s="530">
        <v>0</v>
      </c>
      <c r="L112" s="530">
        <v>0</v>
      </c>
      <c r="M112" s="530">
        <v>0</v>
      </c>
      <c r="N112" s="530">
        <v>0</v>
      </c>
      <c r="O112" s="530">
        <v>0</v>
      </c>
      <c r="P112" s="530">
        <v>0</v>
      </c>
      <c r="Q112" s="530">
        <v>0</v>
      </c>
      <c r="R112" s="530">
        <v>0</v>
      </c>
      <c r="S112" s="530">
        <v>0</v>
      </c>
      <c r="T112" s="530">
        <v>0</v>
      </c>
      <c r="U112" s="530">
        <v>0</v>
      </c>
      <c r="V112" s="530">
        <v>0</v>
      </c>
      <c r="W112" s="530">
        <v>0</v>
      </c>
      <c r="X112" s="530">
        <v>0</v>
      </c>
      <c r="Y112" s="530">
        <v>0</v>
      </c>
      <c r="Z112" s="530">
        <v>0</v>
      </c>
      <c r="AA112" s="530">
        <v>0</v>
      </c>
      <c r="AB112" s="530">
        <v>0</v>
      </c>
      <c r="AC112" s="530">
        <v>0</v>
      </c>
      <c r="AD112" s="530">
        <v>0</v>
      </c>
      <c r="AE112" s="530">
        <v>0</v>
      </c>
      <c r="AF112" s="530">
        <v>0</v>
      </c>
      <c r="AG112" s="530">
        <v>0</v>
      </c>
      <c r="AH112" s="530">
        <f t="shared" si="16"/>
        <v>0</v>
      </c>
    </row>
    <row r="113" spans="1:37" s="545" customFormat="1" ht="12.75" x14ac:dyDescent="0.2">
      <c r="A113" s="513">
        <v>63400</v>
      </c>
      <c r="B113" s="529" t="s">
        <v>639</v>
      </c>
      <c r="C113" s="530">
        <v>0</v>
      </c>
      <c r="D113" s="530">
        <v>0</v>
      </c>
      <c r="E113" s="530">
        <v>0</v>
      </c>
      <c r="F113" s="530">
        <v>0</v>
      </c>
      <c r="G113" s="530">
        <v>0</v>
      </c>
      <c r="H113" s="530">
        <v>0</v>
      </c>
      <c r="I113" s="530">
        <v>0</v>
      </c>
      <c r="J113" s="530">
        <v>0</v>
      </c>
      <c r="K113" s="530">
        <v>0</v>
      </c>
      <c r="L113" s="530">
        <v>0</v>
      </c>
      <c r="M113" s="530">
        <v>0</v>
      </c>
      <c r="N113" s="530">
        <v>0</v>
      </c>
      <c r="O113" s="530">
        <v>0</v>
      </c>
      <c r="P113" s="530">
        <v>0</v>
      </c>
      <c r="Q113" s="530">
        <v>0</v>
      </c>
      <c r="R113" s="530">
        <v>0</v>
      </c>
      <c r="S113" s="530">
        <v>0</v>
      </c>
      <c r="T113" s="530">
        <v>0</v>
      </c>
      <c r="U113" s="530">
        <v>0</v>
      </c>
      <c r="V113" s="530">
        <v>0</v>
      </c>
      <c r="W113" s="530">
        <v>0</v>
      </c>
      <c r="X113" s="530">
        <v>0</v>
      </c>
      <c r="Y113" s="530">
        <v>0</v>
      </c>
      <c r="Z113" s="530">
        <v>0</v>
      </c>
      <c r="AA113" s="530">
        <v>0</v>
      </c>
      <c r="AB113" s="530">
        <v>0</v>
      </c>
      <c r="AC113" s="530">
        <v>0</v>
      </c>
      <c r="AD113" s="530">
        <v>0</v>
      </c>
      <c r="AE113" s="530">
        <v>0</v>
      </c>
      <c r="AF113" s="530">
        <v>28.270000000000003</v>
      </c>
      <c r="AG113" s="530">
        <v>0</v>
      </c>
      <c r="AH113" s="530">
        <f t="shared" si="16"/>
        <v>28.270000000000003</v>
      </c>
    </row>
    <row r="114" spans="1:37" s="545" customFormat="1" ht="12.75" x14ac:dyDescent="0.2">
      <c r="A114" s="513">
        <v>63450</v>
      </c>
      <c r="B114" s="529" t="s">
        <v>640</v>
      </c>
      <c r="C114" s="530">
        <v>0</v>
      </c>
      <c r="D114" s="530">
        <v>0</v>
      </c>
      <c r="E114" s="530">
        <v>0</v>
      </c>
      <c r="F114" s="530">
        <v>0</v>
      </c>
      <c r="G114" s="530">
        <v>0</v>
      </c>
      <c r="H114" s="530">
        <v>0</v>
      </c>
      <c r="I114" s="530">
        <v>170.55</v>
      </c>
      <c r="J114" s="530">
        <v>0</v>
      </c>
      <c r="K114" s="530">
        <v>0</v>
      </c>
      <c r="L114" s="530">
        <v>0</v>
      </c>
      <c r="M114" s="530">
        <v>0</v>
      </c>
      <c r="N114" s="530">
        <v>0</v>
      </c>
      <c r="O114" s="530">
        <v>0</v>
      </c>
      <c r="P114" s="530">
        <v>0</v>
      </c>
      <c r="Q114" s="530">
        <v>0</v>
      </c>
      <c r="R114" s="530">
        <v>53.64</v>
      </c>
      <c r="S114" s="530">
        <v>265.76</v>
      </c>
      <c r="T114" s="530">
        <v>90.47</v>
      </c>
      <c r="U114" s="530">
        <v>0</v>
      </c>
      <c r="V114" s="530">
        <v>0</v>
      </c>
      <c r="W114" s="530">
        <v>634.74</v>
      </c>
      <c r="X114" s="530">
        <v>0</v>
      </c>
      <c r="Y114" s="530">
        <v>0</v>
      </c>
      <c r="Z114" s="530">
        <v>0</v>
      </c>
      <c r="AA114" s="530">
        <v>0</v>
      </c>
      <c r="AB114" s="530">
        <v>966.03000000000009</v>
      </c>
      <c r="AC114" s="530">
        <v>0</v>
      </c>
      <c r="AD114" s="530">
        <v>0</v>
      </c>
      <c r="AE114" s="530">
        <v>0</v>
      </c>
      <c r="AF114" s="530">
        <v>50.73</v>
      </c>
      <c r="AG114" s="530">
        <v>0</v>
      </c>
      <c r="AH114" s="530">
        <f t="shared" si="16"/>
        <v>2231.92</v>
      </c>
    </row>
    <row r="115" spans="1:37" s="545" customFormat="1" ht="12.75" x14ac:dyDescent="0.2">
      <c r="A115" s="513">
        <v>63460</v>
      </c>
      <c r="B115" s="529" t="s">
        <v>641</v>
      </c>
      <c r="C115" s="530">
        <v>0</v>
      </c>
      <c r="D115" s="530">
        <v>0</v>
      </c>
      <c r="E115" s="530">
        <v>0</v>
      </c>
      <c r="F115" s="530">
        <v>0</v>
      </c>
      <c r="G115" s="530">
        <v>0</v>
      </c>
      <c r="H115" s="530">
        <v>0</v>
      </c>
      <c r="I115" s="530">
        <v>0</v>
      </c>
      <c r="J115" s="530">
        <v>0</v>
      </c>
      <c r="K115" s="530">
        <v>0</v>
      </c>
      <c r="L115" s="530">
        <v>0</v>
      </c>
      <c r="M115" s="530">
        <v>0</v>
      </c>
      <c r="N115" s="530">
        <v>0</v>
      </c>
      <c r="O115" s="530">
        <v>0</v>
      </c>
      <c r="P115" s="530">
        <v>0</v>
      </c>
      <c r="Q115" s="530">
        <v>0</v>
      </c>
      <c r="R115" s="530">
        <v>0</v>
      </c>
      <c r="S115" s="530">
        <v>0</v>
      </c>
      <c r="T115" s="530">
        <v>0</v>
      </c>
      <c r="U115" s="530">
        <v>0</v>
      </c>
      <c r="V115" s="530">
        <v>0</v>
      </c>
      <c r="W115" s="530">
        <v>0</v>
      </c>
      <c r="X115" s="530">
        <v>0</v>
      </c>
      <c r="Y115" s="530">
        <v>0</v>
      </c>
      <c r="Z115" s="530">
        <v>0</v>
      </c>
      <c r="AA115" s="530">
        <v>0</v>
      </c>
      <c r="AB115" s="530">
        <v>378</v>
      </c>
      <c r="AC115" s="530">
        <v>0</v>
      </c>
      <c r="AD115" s="530">
        <v>0</v>
      </c>
      <c r="AE115" s="530">
        <v>0</v>
      </c>
      <c r="AF115" s="530">
        <v>0</v>
      </c>
      <c r="AG115" s="530">
        <v>0</v>
      </c>
      <c r="AH115" s="530">
        <f t="shared" si="16"/>
        <v>378</v>
      </c>
    </row>
    <row r="116" spans="1:37" s="545" customFormat="1" ht="12.75" x14ac:dyDescent="0.2">
      <c r="A116" s="513">
        <v>63470</v>
      </c>
      <c r="B116" s="553" t="s">
        <v>642</v>
      </c>
      <c r="C116" s="530">
        <v>0</v>
      </c>
      <c r="D116" s="530">
        <v>0</v>
      </c>
      <c r="E116" s="530">
        <v>0</v>
      </c>
      <c r="F116" s="530">
        <v>0</v>
      </c>
      <c r="G116" s="530">
        <v>0</v>
      </c>
      <c r="H116" s="530">
        <v>0</v>
      </c>
      <c r="I116" s="530">
        <v>0</v>
      </c>
      <c r="J116" s="530">
        <v>0</v>
      </c>
      <c r="K116" s="530">
        <v>0</v>
      </c>
      <c r="L116" s="530">
        <v>0</v>
      </c>
      <c r="M116" s="530">
        <v>0</v>
      </c>
      <c r="N116" s="530">
        <v>0</v>
      </c>
      <c r="O116" s="530">
        <v>0</v>
      </c>
      <c r="P116" s="530">
        <v>0</v>
      </c>
      <c r="Q116" s="530">
        <v>0</v>
      </c>
      <c r="R116" s="530">
        <v>0</v>
      </c>
      <c r="S116" s="530">
        <v>0</v>
      </c>
      <c r="T116" s="530">
        <v>0</v>
      </c>
      <c r="U116" s="530">
        <v>0</v>
      </c>
      <c r="V116" s="530">
        <v>0</v>
      </c>
      <c r="W116" s="530">
        <v>0</v>
      </c>
      <c r="X116" s="530">
        <v>0</v>
      </c>
      <c r="Y116" s="530">
        <v>0</v>
      </c>
      <c r="Z116" s="530">
        <v>0</v>
      </c>
      <c r="AA116" s="530">
        <v>0</v>
      </c>
      <c r="AB116" s="530">
        <v>0</v>
      </c>
      <c r="AC116" s="530">
        <v>0</v>
      </c>
      <c r="AD116" s="530">
        <v>0</v>
      </c>
      <c r="AE116" s="530">
        <v>0</v>
      </c>
      <c r="AF116" s="530">
        <v>0</v>
      </c>
      <c r="AG116" s="530">
        <v>0</v>
      </c>
      <c r="AH116" s="530">
        <f t="shared" si="16"/>
        <v>0</v>
      </c>
    </row>
    <row r="117" spans="1:37" s="428" customFormat="1" ht="12.75" x14ac:dyDescent="0.2">
      <c r="A117" s="513">
        <v>63500</v>
      </c>
      <c r="B117" s="536" t="s">
        <v>643</v>
      </c>
      <c r="C117" s="537">
        <f t="shared" ref="C117:AH117" si="17">SUM(C109:C116)</f>
        <v>1950</v>
      </c>
      <c r="D117" s="537">
        <f t="shared" si="17"/>
        <v>0</v>
      </c>
      <c r="E117" s="537">
        <f t="shared" si="17"/>
        <v>0</v>
      </c>
      <c r="F117" s="537">
        <f t="shared" si="17"/>
        <v>0</v>
      </c>
      <c r="G117" s="537">
        <f t="shared" si="17"/>
        <v>0</v>
      </c>
      <c r="H117" s="537">
        <f t="shared" si="17"/>
        <v>0</v>
      </c>
      <c r="I117" s="537">
        <f t="shared" si="17"/>
        <v>483.6</v>
      </c>
      <c r="J117" s="537">
        <f t="shared" si="17"/>
        <v>0</v>
      </c>
      <c r="K117" s="537">
        <f t="shared" si="17"/>
        <v>0</v>
      </c>
      <c r="L117" s="537">
        <f t="shared" si="17"/>
        <v>0</v>
      </c>
      <c r="M117" s="537">
        <f t="shared" si="17"/>
        <v>0</v>
      </c>
      <c r="N117" s="537">
        <f t="shared" si="17"/>
        <v>0</v>
      </c>
      <c r="O117" s="537">
        <f t="shared" si="17"/>
        <v>0</v>
      </c>
      <c r="P117" s="537">
        <f t="shared" si="17"/>
        <v>249.35</v>
      </c>
      <c r="Q117" s="537">
        <f t="shared" si="17"/>
        <v>0</v>
      </c>
      <c r="R117" s="537">
        <f t="shared" si="17"/>
        <v>138.16</v>
      </c>
      <c r="S117" s="537">
        <f t="shared" si="17"/>
        <v>303.38</v>
      </c>
      <c r="T117" s="537">
        <f t="shared" si="17"/>
        <v>90.47</v>
      </c>
      <c r="U117" s="537">
        <f t="shared" si="17"/>
        <v>0</v>
      </c>
      <c r="V117" s="537">
        <f t="shared" si="17"/>
        <v>0</v>
      </c>
      <c r="W117" s="537">
        <f t="shared" si="17"/>
        <v>2584.7399999999998</v>
      </c>
      <c r="X117" s="537">
        <f t="shared" si="17"/>
        <v>0</v>
      </c>
      <c r="Y117" s="537">
        <f t="shared" si="17"/>
        <v>0</v>
      </c>
      <c r="Z117" s="537">
        <f t="shared" si="17"/>
        <v>0</v>
      </c>
      <c r="AA117" s="537">
        <f t="shared" si="17"/>
        <v>0</v>
      </c>
      <c r="AB117" s="537">
        <f t="shared" si="17"/>
        <v>5522.95</v>
      </c>
      <c r="AC117" s="537">
        <f t="shared" si="17"/>
        <v>0</v>
      </c>
      <c r="AD117" s="537">
        <f t="shared" si="17"/>
        <v>0</v>
      </c>
      <c r="AE117" s="537">
        <f t="shared" si="17"/>
        <v>0</v>
      </c>
      <c r="AF117" s="537">
        <f t="shared" si="17"/>
        <v>79</v>
      </c>
      <c r="AG117" s="537">
        <f t="shared" si="17"/>
        <v>0</v>
      </c>
      <c r="AH117" s="537">
        <f t="shared" si="17"/>
        <v>11401.65</v>
      </c>
    </row>
    <row r="118" spans="1:37" s="428" customFormat="1" ht="12.75" x14ac:dyDescent="0.2">
      <c r="A118" s="513"/>
      <c r="B118" s="516"/>
      <c r="C118" s="528"/>
      <c r="D118" s="528"/>
      <c r="E118" s="528"/>
      <c r="F118" s="528"/>
      <c r="G118" s="528"/>
      <c r="H118" s="528"/>
      <c r="I118" s="528"/>
      <c r="J118" s="528"/>
      <c r="K118" s="528"/>
      <c r="L118" s="528"/>
      <c r="M118" s="528"/>
      <c r="N118" s="528"/>
      <c r="O118" s="528"/>
      <c r="P118" s="528"/>
      <c r="Q118" s="528"/>
      <c r="R118" s="528"/>
      <c r="S118" s="528"/>
      <c r="T118" s="528"/>
      <c r="U118" s="528"/>
      <c r="V118" s="528"/>
      <c r="W118" s="528"/>
      <c r="X118" s="528"/>
      <c r="Y118" s="528"/>
      <c r="Z118" s="528"/>
      <c r="AA118" s="528"/>
      <c r="AB118" s="528"/>
      <c r="AC118" s="528"/>
      <c r="AD118" s="528"/>
      <c r="AE118" s="528"/>
      <c r="AF118" s="528"/>
      <c r="AG118" s="528"/>
      <c r="AH118" s="528"/>
    </row>
    <row r="119" spans="1:37" s="428" customFormat="1" ht="12.75" x14ac:dyDescent="0.2">
      <c r="A119" s="513"/>
      <c r="B119" s="516" t="s">
        <v>644</v>
      </c>
      <c r="C119" s="528"/>
      <c r="D119" s="528"/>
      <c r="E119" s="528"/>
      <c r="F119" s="528"/>
      <c r="G119" s="528"/>
      <c r="H119" s="528"/>
      <c r="I119" s="528"/>
      <c r="J119" s="528"/>
      <c r="K119" s="528"/>
      <c r="L119" s="528"/>
      <c r="M119" s="528"/>
      <c r="N119" s="528"/>
      <c r="O119" s="528"/>
      <c r="P119" s="528"/>
      <c r="Q119" s="528"/>
      <c r="R119" s="528"/>
      <c r="S119" s="528"/>
      <c r="T119" s="528"/>
      <c r="U119" s="528"/>
      <c r="V119" s="528"/>
      <c r="W119" s="528"/>
      <c r="X119" s="528"/>
      <c r="Y119" s="528"/>
      <c r="Z119" s="528"/>
      <c r="AA119" s="528"/>
      <c r="AB119" s="528"/>
      <c r="AC119" s="528"/>
      <c r="AD119" s="528"/>
      <c r="AE119" s="528"/>
      <c r="AF119" s="528"/>
      <c r="AG119" s="528"/>
      <c r="AH119" s="528"/>
    </row>
    <row r="120" spans="1:37" s="545" customFormat="1" ht="12.75" x14ac:dyDescent="0.2">
      <c r="A120" s="513">
        <v>64100</v>
      </c>
      <c r="B120" s="529" t="s">
        <v>645</v>
      </c>
      <c r="C120" s="530">
        <v>4384.76</v>
      </c>
      <c r="D120" s="530">
        <v>0</v>
      </c>
      <c r="E120" s="530">
        <v>2729.9</v>
      </c>
      <c r="F120" s="530">
        <v>0</v>
      </c>
      <c r="G120" s="530">
        <v>579.84</v>
      </c>
      <c r="H120" s="530">
        <v>0</v>
      </c>
      <c r="I120" s="530">
        <v>1828.8799999999999</v>
      </c>
      <c r="J120" s="530">
        <v>0</v>
      </c>
      <c r="K120" s="530">
        <v>0</v>
      </c>
      <c r="L120" s="530">
        <v>0</v>
      </c>
      <c r="M120" s="530">
        <v>0</v>
      </c>
      <c r="N120" s="530">
        <v>0</v>
      </c>
      <c r="O120" s="530">
        <v>0</v>
      </c>
      <c r="P120" s="530">
        <v>205.73</v>
      </c>
      <c r="Q120" s="530">
        <v>0</v>
      </c>
      <c r="R120" s="530">
        <v>0</v>
      </c>
      <c r="S120" s="530">
        <v>0</v>
      </c>
      <c r="T120" s="530">
        <v>0</v>
      </c>
      <c r="U120" s="530">
        <v>0</v>
      </c>
      <c r="V120" s="530">
        <v>0</v>
      </c>
      <c r="W120" s="530">
        <v>0</v>
      </c>
      <c r="X120" s="530">
        <v>579.82999999999993</v>
      </c>
      <c r="Y120" s="530">
        <v>0</v>
      </c>
      <c r="Z120" s="530">
        <v>579.84</v>
      </c>
      <c r="AA120" s="530">
        <v>0</v>
      </c>
      <c r="AB120" s="530">
        <v>0</v>
      </c>
      <c r="AC120" s="530">
        <v>0</v>
      </c>
      <c r="AD120" s="530">
        <v>0</v>
      </c>
      <c r="AE120" s="530">
        <v>0</v>
      </c>
      <c r="AF120" s="530">
        <v>0</v>
      </c>
      <c r="AG120" s="530">
        <v>0</v>
      </c>
      <c r="AH120" s="530">
        <f t="shared" ref="AH120:AH125" si="18">SUM(C120:AG120)</f>
        <v>10888.779999999999</v>
      </c>
    </row>
    <row r="121" spans="1:37" s="545" customFormat="1" ht="12.75" x14ac:dyDescent="0.2">
      <c r="A121" s="513">
        <v>64150</v>
      </c>
      <c r="B121" s="529" t="s">
        <v>646</v>
      </c>
      <c r="C121" s="530">
        <v>0</v>
      </c>
      <c r="D121" s="530">
        <v>0</v>
      </c>
      <c r="E121" s="530">
        <v>283.75</v>
      </c>
      <c r="F121" s="530">
        <v>0</v>
      </c>
      <c r="G121" s="530">
        <v>315.2</v>
      </c>
      <c r="H121" s="530">
        <v>0</v>
      </c>
      <c r="I121" s="530">
        <v>539.68999999999994</v>
      </c>
      <c r="J121" s="530">
        <v>0</v>
      </c>
      <c r="K121" s="530">
        <v>385.84000000000003</v>
      </c>
      <c r="L121" s="530">
        <v>32.299999999999997</v>
      </c>
      <c r="M121" s="530">
        <v>0</v>
      </c>
      <c r="N121" s="530">
        <v>0</v>
      </c>
      <c r="O121" s="530">
        <v>0</v>
      </c>
      <c r="P121" s="530">
        <v>0</v>
      </c>
      <c r="Q121" s="530">
        <v>0</v>
      </c>
      <c r="R121" s="530">
        <v>0</v>
      </c>
      <c r="S121" s="530">
        <v>0</v>
      </c>
      <c r="T121" s="530">
        <v>0</v>
      </c>
      <c r="U121" s="530">
        <v>0</v>
      </c>
      <c r="V121" s="530">
        <v>466.99</v>
      </c>
      <c r="W121" s="530">
        <v>0</v>
      </c>
      <c r="X121" s="530">
        <v>0</v>
      </c>
      <c r="Y121" s="530">
        <v>0</v>
      </c>
      <c r="Z121" s="530">
        <v>385.83</v>
      </c>
      <c r="AA121" s="530">
        <v>0</v>
      </c>
      <c r="AB121" s="530">
        <v>472.51</v>
      </c>
      <c r="AC121" s="530">
        <v>0</v>
      </c>
      <c r="AD121" s="530">
        <v>0</v>
      </c>
      <c r="AE121" s="530">
        <v>0</v>
      </c>
      <c r="AF121" s="530">
        <v>58.03</v>
      </c>
      <c r="AG121" s="530">
        <v>0</v>
      </c>
      <c r="AH121" s="530">
        <f t="shared" si="18"/>
        <v>2940.14</v>
      </c>
    </row>
    <row r="122" spans="1:37" s="545" customFormat="1" ht="12.75" x14ac:dyDescent="0.2">
      <c r="A122" s="513">
        <v>64200</v>
      </c>
      <c r="B122" s="529" t="s">
        <v>647</v>
      </c>
      <c r="C122" s="530">
        <v>0</v>
      </c>
      <c r="D122" s="530">
        <v>0</v>
      </c>
      <c r="E122" s="530">
        <v>18</v>
      </c>
      <c r="F122" s="530">
        <v>0</v>
      </c>
      <c r="G122" s="530">
        <v>0</v>
      </c>
      <c r="H122" s="530">
        <v>0</v>
      </c>
      <c r="I122" s="530">
        <v>0</v>
      </c>
      <c r="J122" s="530">
        <v>0</v>
      </c>
      <c r="K122" s="530">
        <v>0</v>
      </c>
      <c r="L122" s="530">
        <v>0</v>
      </c>
      <c r="M122" s="530">
        <v>0</v>
      </c>
      <c r="N122" s="530">
        <v>0</v>
      </c>
      <c r="O122" s="530">
        <v>0</v>
      </c>
      <c r="P122" s="530">
        <v>23301.01</v>
      </c>
      <c r="Q122" s="530">
        <v>0</v>
      </c>
      <c r="R122" s="530">
        <v>0</v>
      </c>
      <c r="S122" s="530">
        <v>0</v>
      </c>
      <c r="T122" s="530">
        <v>0</v>
      </c>
      <c r="U122" s="530">
        <v>0</v>
      </c>
      <c r="V122" s="530">
        <v>0</v>
      </c>
      <c r="W122" s="530">
        <v>0</v>
      </c>
      <c r="X122" s="530">
        <v>0</v>
      </c>
      <c r="Y122" s="530">
        <v>0</v>
      </c>
      <c r="Z122" s="530">
        <v>0</v>
      </c>
      <c r="AA122" s="530">
        <v>0</v>
      </c>
      <c r="AB122" s="530">
        <v>0</v>
      </c>
      <c r="AC122" s="530">
        <v>0</v>
      </c>
      <c r="AD122" s="530">
        <v>0</v>
      </c>
      <c r="AE122" s="530">
        <v>0</v>
      </c>
      <c r="AF122" s="530">
        <v>0</v>
      </c>
      <c r="AG122" s="530">
        <v>0</v>
      </c>
      <c r="AH122" s="530">
        <f t="shared" si="18"/>
        <v>23319.01</v>
      </c>
    </row>
    <row r="123" spans="1:37" s="545" customFormat="1" ht="12.75" x14ac:dyDescent="0.2">
      <c r="A123" s="513">
        <v>64248</v>
      </c>
      <c r="B123" s="529" t="s">
        <v>648</v>
      </c>
      <c r="C123" s="530">
        <v>7451.6100000000006</v>
      </c>
      <c r="D123" s="530">
        <v>0</v>
      </c>
      <c r="E123" s="530">
        <v>7043.12</v>
      </c>
      <c r="F123" s="530">
        <v>0</v>
      </c>
      <c r="G123" s="530">
        <v>6523.8899999999994</v>
      </c>
      <c r="H123" s="530">
        <v>0</v>
      </c>
      <c r="I123" s="530">
        <v>58555.310000000005</v>
      </c>
      <c r="J123" s="530">
        <v>0</v>
      </c>
      <c r="K123" s="530">
        <v>0</v>
      </c>
      <c r="L123" s="530">
        <v>0</v>
      </c>
      <c r="M123" s="530">
        <v>301945.95</v>
      </c>
      <c r="N123" s="1155">
        <v>0</v>
      </c>
      <c r="O123" s="1155">
        <v>0</v>
      </c>
      <c r="P123" s="1155">
        <v>182065.07</v>
      </c>
      <c r="Q123" s="1155">
        <v>0</v>
      </c>
      <c r="R123" s="530">
        <v>11175</v>
      </c>
      <c r="S123" s="530">
        <v>192.83</v>
      </c>
      <c r="T123" s="530">
        <v>0</v>
      </c>
      <c r="U123" s="530">
        <v>0</v>
      </c>
      <c r="V123" s="530">
        <v>0</v>
      </c>
      <c r="W123" s="530">
        <v>0</v>
      </c>
      <c r="X123" s="530">
        <v>32.809999999999995</v>
      </c>
      <c r="Y123" s="530">
        <v>0</v>
      </c>
      <c r="Z123" s="530">
        <v>32.809999999999995</v>
      </c>
      <c r="AA123" s="530">
        <v>0</v>
      </c>
      <c r="AB123" s="530">
        <v>0</v>
      </c>
      <c r="AC123" s="530">
        <v>32.809999999999995</v>
      </c>
      <c r="AD123" s="530">
        <v>0</v>
      </c>
      <c r="AE123" s="530">
        <v>0</v>
      </c>
      <c r="AF123" s="530">
        <v>165.51</v>
      </c>
      <c r="AG123" s="530">
        <v>0</v>
      </c>
      <c r="AH123" s="530">
        <f t="shared" si="18"/>
        <v>575216.72000000009</v>
      </c>
      <c r="AI123" s="554"/>
      <c r="AJ123" s="580">
        <f>AH123-SUM(P123:S123)</f>
        <v>381783.82000000007</v>
      </c>
      <c r="AK123" s="545" t="s">
        <v>1079</v>
      </c>
    </row>
    <row r="124" spans="1:37" s="545" customFormat="1" ht="12.75" x14ac:dyDescent="0.2">
      <c r="A124" s="513">
        <v>64250</v>
      </c>
      <c r="B124" s="529" t="s">
        <v>649</v>
      </c>
      <c r="C124" s="530">
        <v>0</v>
      </c>
      <c r="D124" s="530">
        <v>0</v>
      </c>
      <c r="E124" s="530">
        <v>0</v>
      </c>
      <c r="F124" s="530">
        <v>0</v>
      </c>
      <c r="G124" s="530">
        <v>0</v>
      </c>
      <c r="H124" s="530">
        <v>0</v>
      </c>
      <c r="I124" s="530">
        <v>0</v>
      </c>
      <c r="J124" s="530">
        <v>0</v>
      </c>
      <c r="K124" s="530">
        <v>0</v>
      </c>
      <c r="L124" s="530">
        <v>0</v>
      </c>
      <c r="M124" s="530">
        <v>0</v>
      </c>
      <c r="N124" s="530">
        <v>0</v>
      </c>
      <c r="O124" s="530">
        <v>0</v>
      </c>
      <c r="P124" s="530">
        <v>0</v>
      </c>
      <c r="Q124" s="530">
        <v>0</v>
      </c>
      <c r="R124" s="530">
        <v>0</v>
      </c>
      <c r="S124" s="530">
        <v>0</v>
      </c>
      <c r="T124" s="530">
        <v>0</v>
      </c>
      <c r="U124" s="530">
        <v>0</v>
      </c>
      <c r="V124" s="530">
        <v>0</v>
      </c>
      <c r="W124" s="530">
        <v>0</v>
      </c>
      <c r="X124" s="530">
        <v>0</v>
      </c>
      <c r="Y124" s="530">
        <v>0</v>
      </c>
      <c r="Z124" s="530">
        <v>0</v>
      </c>
      <c r="AA124" s="530">
        <v>0</v>
      </c>
      <c r="AB124" s="530">
        <v>0</v>
      </c>
      <c r="AC124" s="530">
        <v>0</v>
      </c>
      <c r="AD124" s="530">
        <v>0</v>
      </c>
      <c r="AE124" s="530">
        <v>0</v>
      </c>
      <c r="AF124" s="530">
        <v>0</v>
      </c>
      <c r="AG124" s="530">
        <v>0</v>
      </c>
      <c r="AH124" s="530">
        <f t="shared" si="18"/>
        <v>0</v>
      </c>
    </row>
    <row r="125" spans="1:37" s="545" customFormat="1" ht="12.75" x14ac:dyDescent="0.2">
      <c r="A125" s="513">
        <v>64300</v>
      </c>
      <c r="B125" s="553" t="s">
        <v>650</v>
      </c>
      <c r="C125" s="530">
        <v>0</v>
      </c>
      <c r="D125" s="530">
        <v>0</v>
      </c>
      <c r="E125" s="530">
        <v>0</v>
      </c>
      <c r="F125" s="530">
        <v>0</v>
      </c>
      <c r="G125" s="530">
        <v>0</v>
      </c>
      <c r="H125" s="530">
        <v>0</v>
      </c>
      <c r="I125" s="530">
        <v>0</v>
      </c>
      <c r="J125" s="530">
        <v>0</v>
      </c>
      <c r="K125" s="530">
        <v>0</v>
      </c>
      <c r="L125" s="530">
        <v>0</v>
      </c>
      <c r="M125" s="530">
        <v>0</v>
      </c>
      <c r="N125" s="530">
        <v>0</v>
      </c>
      <c r="O125" s="530">
        <v>0</v>
      </c>
      <c r="P125" s="530">
        <v>0</v>
      </c>
      <c r="Q125" s="530">
        <v>0</v>
      </c>
      <c r="R125" s="530">
        <v>0</v>
      </c>
      <c r="S125" s="530">
        <v>0</v>
      </c>
      <c r="T125" s="530">
        <v>0</v>
      </c>
      <c r="U125" s="530">
        <v>0</v>
      </c>
      <c r="V125" s="530">
        <v>0</v>
      </c>
      <c r="W125" s="530">
        <v>0</v>
      </c>
      <c r="X125" s="530">
        <v>0</v>
      </c>
      <c r="Y125" s="530">
        <v>0</v>
      </c>
      <c r="Z125" s="530">
        <v>0</v>
      </c>
      <c r="AA125" s="530">
        <v>0</v>
      </c>
      <c r="AB125" s="530">
        <v>0</v>
      </c>
      <c r="AC125" s="530">
        <v>0</v>
      </c>
      <c r="AD125" s="530">
        <v>0</v>
      </c>
      <c r="AE125" s="530">
        <v>0</v>
      </c>
      <c r="AF125" s="530">
        <v>0</v>
      </c>
      <c r="AG125" s="530">
        <v>0</v>
      </c>
      <c r="AH125" s="530">
        <f t="shared" si="18"/>
        <v>0</v>
      </c>
    </row>
    <row r="126" spans="1:37" s="428" customFormat="1" ht="12.75" x14ac:dyDescent="0.2">
      <c r="A126" s="513">
        <v>64400</v>
      </c>
      <c r="B126" s="536" t="s">
        <v>651</v>
      </c>
      <c r="C126" s="537">
        <f t="shared" ref="C126:AH126" si="19">SUM(C120:C125)</f>
        <v>11836.37</v>
      </c>
      <c r="D126" s="537">
        <f t="shared" si="19"/>
        <v>0</v>
      </c>
      <c r="E126" s="537">
        <f t="shared" si="19"/>
        <v>10074.77</v>
      </c>
      <c r="F126" s="537">
        <f t="shared" si="19"/>
        <v>0</v>
      </c>
      <c r="G126" s="537">
        <f t="shared" si="19"/>
        <v>7418.9299999999994</v>
      </c>
      <c r="H126" s="537">
        <f t="shared" si="19"/>
        <v>0</v>
      </c>
      <c r="I126" s="537">
        <f t="shared" si="19"/>
        <v>60923.880000000005</v>
      </c>
      <c r="J126" s="537">
        <f t="shared" si="19"/>
        <v>0</v>
      </c>
      <c r="K126" s="537">
        <f t="shared" si="19"/>
        <v>385.84000000000003</v>
      </c>
      <c r="L126" s="537">
        <f t="shared" si="19"/>
        <v>32.299999999999997</v>
      </c>
      <c r="M126" s="537">
        <f t="shared" si="19"/>
        <v>301945.95</v>
      </c>
      <c r="N126" s="537">
        <f t="shared" si="19"/>
        <v>0</v>
      </c>
      <c r="O126" s="537">
        <f t="shared" si="19"/>
        <v>0</v>
      </c>
      <c r="P126" s="537">
        <f t="shared" si="19"/>
        <v>205571.81</v>
      </c>
      <c r="Q126" s="537">
        <f t="shared" si="19"/>
        <v>0</v>
      </c>
      <c r="R126" s="537">
        <f t="shared" si="19"/>
        <v>11175</v>
      </c>
      <c r="S126" s="537">
        <f t="shared" si="19"/>
        <v>192.83</v>
      </c>
      <c r="T126" s="537">
        <f t="shared" si="19"/>
        <v>0</v>
      </c>
      <c r="U126" s="537">
        <f t="shared" si="19"/>
        <v>0</v>
      </c>
      <c r="V126" s="537">
        <f t="shared" si="19"/>
        <v>466.99</v>
      </c>
      <c r="W126" s="537">
        <f t="shared" si="19"/>
        <v>0</v>
      </c>
      <c r="X126" s="537">
        <f t="shared" si="19"/>
        <v>612.63999999999987</v>
      </c>
      <c r="Y126" s="537">
        <f t="shared" si="19"/>
        <v>0</v>
      </c>
      <c r="Z126" s="537">
        <f t="shared" si="19"/>
        <v>998.48</v>
      </c>
      <c r="AA126" s="537">
        <f t="shared" si="19"/>
        <v>0</v>
      </c>
      <c r="AB126" s="537">
        <f t="shared" si="19"/>
        <v>472.51</v>
      </c>
      <c r="AC126" s="537">
        <f t="shared" si="19"/>
        <v>32.809999999999995</v>
      </c>
      <c r="AD126" s="537">
        <f t="shared" si="19"/>
        <v>0</v>
      </c>
      <c r="AE126" s="537">
        <f t="shared" si="19"/>
        <v>0</v>
      </c>
      <c r="AF126" s="537">
        <f t="shared" si="19"/>
        <v>223.54</v>
      </c>
      <c r="AG126" s="537">
        <f t="shared" si="19"/>
        <v>0</v>
      </c>
      <c r="AH126" s="537">
        <f t="shared" si="19"/>
        <v>612364.65000000014</v>
      </c>
    </row>
    <row r="127" spans="1:37" s="428" customFormat="1" ht="12.75" x14ac:dyDescent="0.2">
      <c r="A127" s="513"/>
      <c r="B127" s="516"/>
      <c r="C127" s="528"/>
      <c r="D127" s="528"/>
      <c r="E127" s="528"/>
      <c r="F127" s="528"/>
      <c r="G127" s="528"/>
      <c r="H127" s="528"/>
      <c r="I127" s="528"/>
      <c r="J127" s="528"/>
      <c r="K127" s="528"/>
      <c r="L127" s="528"/>
      <c r="M127" s="528"/>
      <c r="N127" s="528"/>
      <c r="O127" s="528"/>
      <c r="P127" s="528"/>
      <c r="Q127" s="528"/>
      <c r="R127" s="528"/>
      <c r="S127" s="528"/>
      <c r="T127" s="528"/>
      <c r="U127" s="528"/>
      <c r="V127" s="528"/>
      <c r="W127" s="528"/>
      <c r="X127" s="528"/>
      <c r="Y127" s="528"/>
      <c r="Z127" s="528"/>
      <c r="AA127" s="528"/>
      <c r="AB127" s="528"/>
      <c r="AC127" s="528"/>
      <c r="AD127" s="528"/>
      <c r="AE127" s="528"/>
      <c r="AF127" s="528"/>
      <c r="AG127" s="528"/>
      <c r="AH127" s="528"/>
    </row>
    <row r="128" spans="1:37" s="428" customFormat="1" ht="12.75" x14ac:dyDescent="0.2">
      <c r="A128" s="513"/>
      <c r="B128" s="516" t="s">
        <v>652</v>
      </c>
      <c r="C128" s="528"/>
      <c r="D128" s="528"/>
      <c r="E128" s="528"/>
      <c r="F128" s="528"/>
      <c r="G128" s="528"/>
      <c r="H128" s="528"/>
      <c r="I128" s="528"/>
      <c r="J128" s="528"/>
      <c r="K128" s="528"/>
      <c r="L128" s="528"/>
      <c r="M128" s="528"/>
      <c r="N128" s="528"/>
      <c r="O128" s="528"/>
      <c r="P128" s="528"/>
      <c r="Q128" s="528"/>
      <c r="R128" s="528"/>
      <c r="S128" s="528"/>
      <c r="T128" s="528"/>
      <c r="U128" s="528"/>
      <c r="V128" s="528"/>
      <c r="W128" s="528"/>
      <c r="X128" s="528"/>
      <c r="Y128" s="528"/>
      <c r="Z128" s="528"/>
      <c r="AA128" s="528"/>
      <c r="AB128" s="528"/>
      <c r="AC128" s="528"/>
      <c r="AD128" s="528"/>
      <c r="AE128" s="528"/>
      <c r="AF128" s="528"/>
      <c r="AG128" s="528"/>
      <c r="AH128" s="528"/>
    </row>
    <row r="129" spans="1:34" s="545" customFormat="1" ht="12.75" x14ac:dyDescent="0.2">
      <c r="A129" s="513">
        <v>65100</v>
      </c>
      <c r="B129" s="529" t="s">
        <v>653</v>
      </c>
      <c r="C129" s="530">
        <v>0</v>
      </c>
      <c r="D129" s="530">
        <v>0</v>
      </c>
      <c r="E129" s="530">
        <v>0</v>
      </c>
      <c r="F129" s="530">
        <v>0</v>
      </c>
      <c r="G129" s="530">
        <v>78498.39</v>
      </c>
      <c r="H129" s="530">
        <v>0</v>
      </c>
      <c r="I129" s="530">
        <v>0</v>
      </c>
      <c r="J129" s="530">
        <v>0</v>
      </c>
      <c r="K129" s="530">
        <v>0</v>
      </c>
      <c r="L129" s="530">
        <v>0</v>
      </c>
      <c r="M129" s="530">
        <v>0</v>
      </c>
      <c r="N129" s="530">
        <v>0</v>
      </c>
      <c r="O129" s="530">
        <v>0</v>
      </c>
      <c r="P129" s="530">
        <v>0</v>
      </c>
      <c r="Q129" s="530">
        <v>0</v>
      </c>
      <c r="R129" s="530">
        <v>0</v>
      </c>
      <c r="S129" s="530">
        <v>0</v>
      </c>
      <c r="T129" s="530">
        <v>0</v>
      </c>
      <c r="U129" s="530">
        <v>0</v>
      </c>
      <c r="V129" s="530">
        <v>0</v>
      </c>
      <c r="W129" s="530">
        <v>0</v>
      </c>
      <c r="X129" s="530">
        <v>0</v>
      </c>
      <c r="Y129" s="530">
        <v>0</v>
      </c>
      <c r="Z129" s="530">
        <v>0</v>
      </c>
      <c r="AA129" s="530">
        <v>0</v>
      </c>
      <c r="AB129" s="530">
        <v>0</v>
      </c>
      <c r="AC129" s="530">
        <v>0</v>
      </c>
      <c r="AD129" s="530">
        <v>0</v>
      </c>
      <c r="AE129" s="530">
        <v>0</v>
      </c>
      <c r="AF129" s="530">
        <v>0</v>
      </c>
      <c r="AG129" s="530">
        <v>0</v>
      </c>
      <c r="AH129" s="530">
        <f t="shared" ref="AH129:AH137" si="20">SUM(C129:AG129)</f>
        <v>78498.39</v>
      </c>
    </row>
    <row r="130" spans="1:34" s="545" customFormat="1" ht="12.75" x14ac:dyDescent="0.2">
      <c r="A130" s="513">
        <v>65100.1</v>
      </c>
      <c r="B130" s="529" t="s">
        <v>654</v>
      </c>
      <c r="C130" s="530">
        <v>0</v>
      </c>
      <c r="D130" s="530">
        <v>0</v>
      </c>
      <c r="E130" s="530">
        <v>0</v>
      </c>
      <c r="F130" s="530">
        <v>0</v>
      </c>
      <c r="G130" s="530">
        <v>0</v>
      </c>
      <c r="H130" s="530">
        <v>0</v>
      </c>
      <c r="I130" s="530">
        <v>0</v>
      </c>
      <c r="J130" s="530">
        <v>0</v>
      </c>
      <c r="K130" s="530">
        <v>0</v>
      </c>
      <c r="L130" s="530">
        <v>0</v>
      </c>
      <c r="M130" s="530">
        <v>0</v>
      </c>
      <c r="N130" s="530">
        <v>0</v>
      </c>
      <c r="O130" s="530">
        <v>0</v>
      </c>
      <c r="P130" s="530">
        <v>0</v>
      </c>
      <c r="Q130" s="530">
        <v>0</v>
      </c>
      <c r="R130" s="530">
        <v>0</v>
      </c>
      <c r="S130" s="530">
        <v>0</v>
      </c>
      <c r="T130" s="530">
        <v>0</v>
      </c>
      <c r="U130" s="530">
        <v>0</v>
      </c>
      <c r="V130" s="530">
        <v>0</v>
      </c>
      <c r="W130" s="530">
        <v>0</v>
      </c>
      <c r="X130" s="530">
        <v>0</v>
      </c>
      <c r="Y130" s="530">
        <v>0</v>
      </c>
      <c r="Z130" s="530">
        <v>0</v>
      </c>
      <c r="AA130" s="530">
        <v>0</v>
      </c>
      <c r="AB130" s="530">
        <v>0</v>
      </c>
      <c r="AC130" s="530">
        <v>0</v>
      </c>
      <c r="AD130" s="530">
        <v>0</v>
      </c>
      <c r="AE130" s="530">
        <v>0</v>
      </c>
      <c r="AF130" s="530">
        <v>0</v>
      </c>
      <c r="AG130" s="530">
        <v>0</v>
      </c>
      <c r="AH130" s="530">
        <f t="shared" si="20"/>
        <v>0</v>
      </c>
    </row>
    <row r="131" spans="1:34" s="545" customFormat="1" ht="12.75" x14ac:dyDescent="0.2">
      <c r="A131" s="513">
        <v>65100.2</v>
      </c>
      <c r="B131" s="529" t="s">
        <v>655</v>
      </c>
      <c r="C131" s="530">
        <v>0</v>
      </c>
      <c r="D131" s="530">
        <v>0</v>
      </c>
      <c r="E131" s="530">
        <v>0</v>
      </c>
      <c r="F131" s="530">
        <v>0</v>
      </c>
      <c r="G131" s="530">
        <v>0</v>
      </c>
      <c r="H131" s="530">
        <v>0</v>
      </c>
      <c r="I131" s="530">
        <v>0</v>
      </c>
      <c r="J131" s="530">
        <v>0</v>
      </c>
      <c r="K131" s="530">
        <v>0</v>
      </c>
      <c r="L131" s="530">
        <v>0</v>
      </c>
      <c r="M131" s="530">
        <v>0</v>
      </c>
      <c r="N131" s="530">
        <v>0</v>
      </c>
      <c r="O131" s="530">
        <v>0</v>
      </c>
      <c r="P131" s="530">
        <v>0</v>
      </c>
      <c r="Q131" s="530">
        <v>0</v>
      </c>
      <c r="R131" s="530">
        <v>0</v>
      </c>
      <c r="S131" s="530">
        <v>0</v>
      </c>
      <c r="T131" s="530">
        <v>0</v>
      </c>
      <c r="U131" s="530">
        <v>0</v>
      </c>
      <c r="V131" s="530">
        <v>0</v>
      </c>
      <c r="W131" s="530">
        <v>0</v>
      </c>
      <c r="X131" s="530">
        <v>0</v>
      </c>
      <c r="Y131" s="530">
        <v>0</v>
      </c>
      <c r="Z131" s="530">
        <v>0</v>
      </c>
      <c r="AA131" s="530">
        <v>0</v>
      </c>
      <c r="AB131" s="530">
        <v>0</v>
      </c>
      <c r="AC131" s="530">
        <v>0</v>
      </c>
      <c r="AD131" s="530">
        <v>0</v>
      </c>
      <c r="AE131" s="530">
        <v>0</v>
      </c>
      <c r="AF131" s="530">
        <v>0</v>
      </c>
      <c r="AG131" s="530">
        <v>0</v>
      </c>
      <c r="AH131" s="530">
        <f t="shared" si="20"/>
        <v>0</v>
      </c>
    </row>
    <row r="132" spans="1:34" s="545" customFormat="1" ht="12.75" x14ac:dyDescent="0.2">
      <c r="A132" s="513">
        <v>65101</v>
      </c>
      <c r="B132" s="529" t="s">
        <v>656</v>
      </c>
      <c r="C132" s="530">
        <v>0</v>
      </c>
      <c r="D132" s="530">
        <v>0</v>
      </c>
      <c r="E132" s="530">
        <v>0</v>
      </c>
      <c r="F132" s="530">
        <v>0</v>
      </c>
      <c r="G132" s="530">
        <v>0</v>
      </c>
      <c r="H132" s="530">
        <v>0</v>
      </c>
      <c r="I132" s="530">
        <v>0</v>
      </c>
      <c r="J132" s="530">
        <v>0</v>
      </c>
      <c r="K132" s="530">
        <v>0</v>
      </c>
      <c r="L132" s="530">
        <v>0</v>
      </c>
      <c r="M132" s="530">
        <v>0</v>
      </c>
      <c r="N132" s="530">
        <v>0</v>
      </c>
      <c r="O132" s="530">
        <v>0</v>
      </c>
      <c r="P132" s="530">
        <v>0</v>
      </c>
      <c r="Q132" s="530">
        <v>0</v>
      </c>
      <c r="R132" s="530">
        <v>0</v>
      </c>
      <c r="S132" s="530">
        <v>0</v>
      </c>
      <c r="T132" s="530">
        <v>0</v>
      </c>
      <c r="U132" s="530">
        <v>0</v>
      </c>
      <c r="V132" s="530">
        <v>0</v>
      </c>
      <c r="W132" s="530">
        <v>0</v>
      </c>
      <c r="X132" s="530">
        <v>0</v>
      </c>
      <c r="Y132" s="530">
        <v>0</v>
      </c>
      <c r="Z132" s="530">
        <v>0</v>
      </c>
      <c r="AA132" s="530">
        <v>0</v>
      </c>
      <c r="AB132" s="530">
        <v>0</v>
      </c>
      <c r="AC132" s="530">
        <v>0</v>
      </c>
      <c r="AD132" s="530">
        <v>0</v>
      </c>
      <c r="AE132" s="530">
        <v>0</v>
      </c>
      <c r="AF132" s="530">
        <v>0</v>
      </c>
      <c r="AG132" s="530">
        <v>0</v>
      </c>
      <c r="AH132" s="530">
        <f t="shared" si="20"/>
        <v>0</v>
      </c>
    </row>
    <row r="133" spans="1:34" s="545" customFormat="1" ht="12.75" x14ac:dyDescent="0.2">
      <c r="A133" s="513">
        <v>65103</v>
      </c>
      <c r="B133" s="529" t="s">
        <v>657</v>
      </c>
      <c r="C133" s="530">
        <v>0</v>
      </c>
      <c r="D133" s="530">
        <v>0</v>
      </c>
      <c r="E133" s="530">
        <v>0</v>
      </c>
      <c r="F133" s="530">
        <v>0</v>
      </c>
      <c r="G133" s="530">
        <v>0</v>
      </c>
      <c r="H133" s="530">
        <v>0</v>
      </c>
      <c r="I133" s="530">
        <v>0</v>
      </c>
      <c r="J133" s="530">
        <v>0</v>
      </c>
      <c r="K133" s="530">
        <v>0</v>
      </c>
      <c r="L133" s="530">
        <v>0</v>
      </c>
      <c r="M133" s="530">
        <v>0</v>
      </c>
      <c r="N133" s="530">
        <v>0</v>
      </c>
      <c r="O133" s="530">
        <v>0</v>
      </c>
      <c r="P133" s="530">
        <v>0</v>
      </c>
      <c r="Q133" s="530">
        <v>0</v>
      </c>
      <c r="R133" s="530">
        <v>0</v>
      </c>
      <c r="S133" s="530">
        <v>0</v>
      </c>
      <c r="T133" s="530">
        <v>0</v>
      </c>
      <c r="U133" s="530">
        <v>0</v>
      </c>
      <c r="V133" s="530">
        <v>0</v>
      </c>
      <c r="W133" s="530">
        <v>0</v>
      </c>
      <c r="X133" s="530">
        <v>0</v>
      </c>
      <c r="Y133" s="530">
        <v>0</v>
      </c>
      <c r="Z133" s="530">
        <v>0</v>
      </c>
      <c r="AA133" s="530">
        <v>0</v>
      </c>
      <c r="AB133" s="530">
        <v>0</v>
      </c>
      <c r="AC133" s="530">
        <v>0</v>
      </c>
      <c r="AD133" s="530">
        <v>0</v>
      </c>
      <c r="AE133" s="530">
        <v>0</v>
      </c>
      <c r="AF133" s="530">
        <v>0</v>
      </c>
      <c r="AG133" s="530">
        <v>0</v>
      </c>
      <c r="AH133" s="530">
        <f t="shared" si="20"/>
        <v>0</v>
      </c>
    </row>
    <row r="134" spans="1:34" s="545" customFormat="1" ht="12.75" x14ac:dyDescent="0.2">
      <c r="A134" s="513">
        <v>65105</v>
      </c>
      <c r="B134" s="529" t="s">
        <v>658</v>
      </c>
      <c r="C134" s="530">
        <v>0</v>
      </c>
      <c r="D134" s="530">
        <v>0</v>
      </c>
      <c r="E134" s="530">
        <v>0</v>
      </c>
      <c r="F134" s="530">
        <v>0</v>
      </c>
      <c r="G134" s="530">
        <v>0</v>
      </c>
      <c r="H134" s="530">
        <v>0</v>
      </c>
      <c r="I134" s="530">
        <v>0</v>
      </c>
      <c r="J134" s="530">
        <v>0</v>
      </c>
      <c r="K134" s="530">
        <v>0</v>
      </c>
      <c r="L134" s="530">
        <v>0</v>
      </c>
      <c r="M134" s="530">
        <v>0</v>
      </c>
      <c r="N134" s="530">
        <v>0</v>
      </c>
      <c r="O134" s="530">
        <v>0</v>
      </c>
      <c r="P134" s="530">
        <v>0</v>
      </c>
      <c r="Q134" s="530">
        <v>0</v>
      </c>
      <c r="R134" s="530">
        <v>0</v>
      </c>
      <c r="S134" s="530">
        <v>0</v>
      </c>
      <c r="T134" s="530">
        <v>0</v>
      </c>
      <c r="U134" s="530">
        <v>0</v>
      </c>
      <c r="V134" s="530">
        <v>0</v>
      </c>
      <c r="W134" s="530">
        <v>0</v>
      </c>
      <c r="X134" s="530">
        <v>0</v>
      </c>
      <c r="Y134" s="530">
        <v>0</v>
      </c>
      <c r="Z134" s="530">
        <v>0</v>
      </c>
      <c r="AA134" s="530">
        <v>0</v>
      </c>
      <c r="AB134" s="530">
        <v>0</v>
      </c>
      <c r="AC134" s="530">
        <v>0</v>
      </c>
      <c r="AD134" s="530">
        <v>0</v>
      </c>
      <c r="AE134" s="530">
        <v>0</v>
      </c>
      <c r="AF134" s="530">
        <v>0</v>
      </c>
      <c r="AG134" s="530">
        <v>0</v>
      </c>
      <c r="AH134" s="530">
        <f t="shared" si="20"/>
        <v>0</v>
      </c>
    </row>
    <row r="135" spans="1:34" s="545" customFormat="1" ht="12.75" x14ac:dyDescent="0.2">
      <c r="A135" s="513">
        <v>65200</v>
      </c>
      <c r="B135" s="529" t="s">
        <v>659</v>
      </c>
      <c r="C135" s="530">
        <v>0</v>
      </c>
      <c r="D135" s="530">
        <v>0</v>
      </c>
      <c r="E135" s="530">
        <v>0</v>
      </c>
      <c r="F135" s="530">
        <v>0</v>
      </c>
      <c r="G135" s="530">
        <v>0</v>
      </c>
      <c r="H135" s="530">
        <v>0</v>
      </c>
      <c r="I135" s="530">
        <v>0</v>
      </c>
      <c r="J135" s="530">
        <v>0</v>
      </c>
      <c r="K135" s="530">
        <v>0</v>
      </c>
      <c r="L135" s="530">
        <v>0</v>
      </c>
      <c r="M135" s="530">
        <v>0</v>
      </c>
      <c r="N135" s="530">
        <v>0</v>
      </c>
      <c r="O135" s="530">
        <v>0</v>
      </c>
      <c r="P135" s="530">
        <v>0</v>
      </c>
      <c r="Q135" s="530">
        <v>0</v>
      </c>
      <c r="R135" s="530">
        <v>0</v>
      </c>
      <c r="S135" s="530">
        <v>0</v>
      </c>
      <c r="T135" s="530">
        <v>0</v>
      </c>
      <c r="U135" s="530">
        <v>0</v>
      </c>
      <c r="V135" s="530">
        <v>0</v>
      </c>
      <c r="W135" s="530">
        <v>0</v>
      </c>
      <c r="X135" s="530">
        <v>0</v>
      </c>
      <c r="Y135" s="530">
        <v>0</v>
      </c>
      <c r="Z135" s="530">
        <v>0</v>
      </c>
      <c r="AA135" s="530">
        <v>0</v>
      </c>
      <c r="AB135" s="530">
        <v>0</v>
      </c>
      <c r="AC135" s="530">
        <v>0</v>
      </c>
      <c r="AD135" s="530">
        <v>0</v>
      </c>
      <c r="AE135" s="530">
        <v>0</v>
      </c>
      <c r="AF135" s="530">
        <v>0</v>
      </c>
      <c r="AG135" s="530">
        <v>0</v>
      </c>
      <c r="AH135" s="530">
        <f t="shared" si="20"/>
        <v>0</v>
      </c>
    </row>
    <row r="136" spans="1:34" s="545" customFormat="1" ht="12.75" x14ac:dyDescent="0.2">
      <c r="A136" s="513">
        <v>65250</v>
      </c>
      <c r="B136" s="529" t="s">
        <v>660</v>
      </c>
      <c r="C136" s="530">
        <v>0</v>
      </c>
      <c r="D136" s="530">
        <v>0</v>
      </c>
      <c r="E136" s="530">
        <v>0</v>
      </c>
      <c r="F136" s="530">
        <v>0</v>
      </c>
      <c r="G136" s="530">
        <v>5104.1400000000003</v>
      </c>
      <c r="H136" s="530">
        <v>0</v>
      </c>
      <c r="I136" s="530">
        <v>0</v>
      </c>
      <c r="J136" s="530">
        <v>0</v>
      </c>
      <c r="K136" s="530">
        <v>0</v>
      </c>
      <c r="L136" s="530">
        <v>0</v>
      </c>
      <c r="M136" s="530">
        <v>0</v>
      </c>
      <c r="N136" s="530">
        <v>0</v>
      </c>
      <c r="O136" s="530">
        <v>0</v>
      </c>
      <c r="P136" s="530">
        <v>0</v>
      </c>
      <c r="Q136" s="530">
        <v>0</v>
      </c>
      <c r="R136" s="530">
        <v>0</v>
      </c>
      <c r="S136" s="530">
        <v>0</v>
      </c>
      <c r="T136" s="530">
        <v>0</v>
      </c>
      <c r="U136" s="530">
        <v>0</v>
      </c>
      <c r="V136" s="530">
        <v>0</v>
      </c>
      <c r="W136" s="530">
        <v>0</v>
      </c>
      <c r="X136" s="530">
        <v>0</v>
      </c>
      <c r="Y136" s="530">
        <v>0</v>
      </c>
      <c r="Z136" s="530">
        <v>0</v>
      </c>
      <c r="AA136" s="530">
        <v>0</v>
      </c>
      <c r="AB136" s="530">
        <v>0</v>
      </c>
      <c r="AC136" s="530">
        <v>0</v>
      </c>
      <c r="AD136" s="530">
        <v>0</v>
      </c>
      <c r="AE136" s="530">
        <v>0</v>
      </c>
      <c r="AF136" s="530">
        <v>0</v>
      </c>
      <c r="AG136" s="530">
        <v>0</v>
      </c>
      <c r="AH136" s="530">
        <f t="shared" si="20"/>
        <v>5104.1400000000003</v>
      </c>
    </row>
    <row r="137" spans="1:34" s="545" customFormat="1" ht="12.75" x14ac:dyDescent="0.2">
      <c r="A137" s="513">
        <v>65300</v>
      </c>
      <c r="B137" s="553" t="s">
        <v>661</v>
      </c>
      <c r="C137" s="530">
        <v>0</v>
      </c>
      <c r="D137" s="530">
        <v>0</v>
      </c>
      <c r="E137" s="530">
        <v>0</v>
      </c>
      <c r="F137" s="530">
        <v>0</v>
      </c>
      <c r="G137" s="530">
        <v>281.25</v>
      </c>
      <c r="H137" s="530">
        <v>0</v>
      </c>
      <c r="I137" s="530">
        <v>0</v>
      </c>
      <c r="J137" s="530">
        <v>0</v>
      </c>
      <c r="K137" s="530">
        <v>0</v>
      </c>
      <c r="L137" s="530">
        <v>0</v>
      </c>
      <c r="M137" s="530">
        <v>0</v>
      </c>
      <c r="N137" s="530">
        <v>0</v>
      </c>
      <c r="O137" s="530">
        <v>0</v>
      </c>
      <c r="P137" s="530">
        <v>0</v>
      </c>
      <c r="Q137" s="530">
        <v>0</v>
      </c>
      <c r="R137" s="530">
        <v>0</v>
      </c>
      <c r="S137" s="530">
        <v>0</v>
      </c>
      <c r="T137" s="530">
        <v>0</v>
      </c>
      <c r="U137" s="530">
        <v>0</v>
      </c>
      <c r="V137" s="530">
        <v>0</v>
      </c>
      <c r="W137" s="530">
        <v>0</v>
      </c>
      <c r="X137" s="530">
        <v>0</v>
      </c>
      <c r="Y137" s="530">
        <v>0</v>
      </c>
      <c r="Z137" s="530">
        <v>0</v>
      </c>
      <c r="AA137" s="530">
        <v>0</v>
      </c>
      <c r="AB137" s="530">
        <v>0</v>
      </c>
      <c r="AC137" s="530">
        <v>0</v>
      </c>
      <c r="AD137" s="530">
        <v>0</v>
      </c>
      <c r="AE137" s="530">
        <v>0</v>
      </c>
      <c r="AF137" s="530">
        <v>0</v>
      </c>
      <c r="AG137" s="530">
        <v>0</v>
      </c>
      <c r="AH137" s="530">
        <f t="shared" si="20"/>
        <v>281.25</v>
      </c>
    </row>
    <row r="138" spans="1:34" s="428" customFormat="1" ht="12.75" x14ac:dyDescent="0.2">
      <c r="A138" s="513">
        <v>65400</v>
      </c>
      <c r="B138" s="536" t="s">
        <v>662</v>
      </c>
      <c r="C138" s="537">
        <f t="shared" ref="C138:AH138" si="21">SUM(C129:C137)</f>
        <v>0</v>
      </c>
      <c r="D138" s="537">
        <f t="shared" si="21"/>
        <v>0</v>
      </c>
      <c r="E138" s="537">
        <f t="shared" si="21"/>
        <v>0</v>
      </c>
      <c r="F138" s="537">
        <f t="shared" si="21"/>
        <v>0</v>
      </c>
      <c r="G138" s="537">
        <f t="shared" si="21"/>
        <v>83883.78</v>
      </c>
      <c r="H138" s="537">
        <f t="shared" si="21"/>
        <v>0</v>
      </c>
      <c r="I138" s="537">
        <f t="shared" si="21"/>
        <v>0</v>
      </c>
      <c r="J138" s="537">
        <f t="shared" si="21"/>
        <v>0</v>
      </c>
      <c r="K138" s="537">
        <f t="shared" si="21"/>
        <v>0</v>
      </c>
      <c r="L138" s="537">
        <f t="shared" si="21"/>
        <v>0</v>
      </c>
      <c r="M138" s="537">
        <f t="shared" si="21"/>
        <v>0</v>
      </c>
      <c r="N138" s="537">
        <f t="shared" si="21"/>
        <v>0</v>
      </c>
      <c r="O138" s="537">
        <f t="shared" si="21"/>
        <v>0</v>
      </c>
      <c r="P138" s="537">
        <f t="shared" si="21"/>
        <v>0</v>
      </c>
      <c r="Q138" s="537">
        <f t="shared" si="21"/>
        <v>0</v>
      </c>
      <c r="R138" s="537">
        <f t="shared" si="21"/>
        <v>0</v>
      </c>
      <c r="S138" s="537">
        <f t="shared" si="21"/>
        <v>0</v>
      </c>
      <c r="T138" s="537">
        <f t="shared" si="21"/>
        <v>0</v>
      </c>
      <c r="U138" s="537">
        <f t="shared" si="21"/>
        <v>0</v>
      </c>
      <c r="V138" s="537">
        <f t="shared" si="21"/>
        <v>0</v>
      </c>
      <c r="W138" s="537">
        <f t="shared" si="21"/>
        <v>0</v>
      </c>
      <c r="X138" s="537">
        <f t="shared" si="21"/>
        <v>0</v>
      </c>
      <c r="Y138" s="537">
        <f t="shared" si="21"/>
        <v>0</v>
      </c>
      <c r="Z138" s="537">
        <f t="shared" si="21"/>
        <v>0</v>
      </c>
      <c r="AA138" s="537">
        <f t="shared" si="21"/>
        <v>0</v>
      </c>
      <c r="AB138" s="537">
        <f t="shared" si="21"/>
        <v>0</v>
      </c>
      <c r="AC138" s="537">
        <f t="shared" si="21"/>
        <v>0</v>
      </c>
      <c r="AD138" s="537">
        <f t="shared" si="21"/>
        <v>0</v>
      </c>
      <c r="AE138" s="537">
        <f t="shared" si="21"/>
        <v>0</v>
      </c>
      <c r="AF138" s="537">
        <f t="shared" si="21"/>
        <v>0</v>
      </c>
      <c r="AG138" s="537">
        <f t="shared" si="21"/>
        <v>0</v>
      </c>
      <c r="AH138" s="537">
        <f t="shared" si="21"/>
        <v>83883.78</v>
      </c>
    </row>
    <row r="139" spans="1:34" s="428" customFormat="1" ht="12.75" x14ac:dyDescent="0.2">
      <c r="A139" s="513"/>
      <c r="B139" s="516"/>
      <c r="C139" s="528"/>
      <c r="D139" s="528"/>
      <c r="E139" s="528"/>
      <c r="F139" s="528"/>
      <c r="G139" s="528"/>
      <c r="H139" s="528"/>
      <c r="I139" s="528"/>
      <c r="J139" s="528"/>
      <c r="K139" s="528"/>
      <c r="L139" s="528"/>
      <c r="M139" s="528"/>
      <c r="N139" s="528"/>
      <c r="O139" s="528"/>
      <c r="P139" s="528"/>
      <c r="Q139" s="528"/>
      <c r="R139" s="528"/>
      <c r="S139" s="528"/>
      <c r="T139" s="528"/>
      <c r="U139" s="528"/>
      <c r="V139" s="528"/>
      <c r="W139" s="528"/>
      <c r="X139" s="528"/>
      <c r="Y139" s="528"/>
      <c r="Z139" s="528"/>
      <c r="AA139" s="528"/>
      <c r="AB139" s="528"/>
      <c r="AC139" s="528"/>
      <c r="AD139" s="528"/>
      <c r="AE139" s="528"/>
      <c r="AF139" s="528"/>
      <c r="AG139" s="528"/>
      <c r="AH139" s="528"/>
    </row>
    <row r="140" spans="1:34" s="428" customFormat="1" ht="12.75" x14ac:dyDescent="0.2">
      <c r="A140" s="513"/>
      <c r="B140" s="516" t="s">
        <v>663</v>
      </c>
      <c r="C140" s="528"/>
      <c r="D140" s="528"/>
      <c r="E140" s="528"/>
      <c r="F140" s="528"/>
      <c r="G140" s="528"/>
      <c r="H140" s="528"/>
      <c r="I140" s="528"/>
      <c r="J140" s="528"/>
      <c r="K140" s="528"/>
      <c r="L140" s="528"/>
      <c r="M140" s="528"/>
      <c r="N140" s="528"/>
      <c r="O140" s="528"/>
      <c r="P140" s="528"/>
      <c r="Q140" s="528"/>
      <c r="R140" s="528"/>
      <c r="S140" s="528"/>
      <c r="T140" s="528"/>
      <c r="U140" s="528"/>
      <c r="V140" s="528"/>
      <c r="W140" s="528"/>
      <c r="X140" s="528"/>
      <c r="Y140" s="528"/>
      <c r="Z140" s="528"/>
      <c r="AA140" s="528"/>
      <c r="AB140" s="528"/>
      <c r="AC140" s="528"/>
      <c r="AD140" s="528"/>
      <c r="AE140" s="528"/>
      <c r="AF140" s="528"/>
      <c r="AG140" s="528"/>
      <c r="AH140" s="528"/>
    </row>
    <row r="141" spans="1:34" s="545" customFormat="1" ht="12.75" x14ac:dyDescent="0.2">
      <c r="A141" s="513">
        <v>65501</v>
      </c>
      <c r="B141" s="529" t="s">
        <v>664</v>
      </c>
      <c r="C141" s="530">
        <v>160.16</v>
      </c>
      <c r="D141" s="530">
        <v>0</v>
      </c>
      <c r="E141" s="530">
        <v>0</v>
      </c>
      <c r="F141" s="530">
        <v>0</v>
      </c>
      <c r="G141" s="530">
        <v>1316.84</v>
      </c>
      <c r="H141" s="530">
        <v>0</v>
      </c>
      <c r="I141" s="530">
        <v>5720.7</v>
      </c>
      <c r="J141" s="530">
        <v>0</v>
      </c>
      <c r="K141" s="530">
        <v>0</v>
      </c>
      <c r="L141" s="530">
        <v>0</v>
      </c>
      <c r="M141" s="530">
        <v>69.2</v>
      </c>
      <c r="N141" s="530">
        <v>0</v>
      </c>
      <c r="O141" s="530">
        <v>0</v>
      </c>
      <c r="P141" s="530">
        <v>1113.8500000000001</v>
      </c>
      <c r="Q141" s="530">
        <v>0</v>
      </c>
      <c r="R141" s="530">
        <v>32.849999999999994</v>
      </c>
      <c r="S141" s="530">
        <v>0</v>
      </c>
      <c r="T141" s="530">
        <v>197.62</v>
      </c>
      <c r="U141" s="530">
        <v>111.33000000000001</v>
      </c>
      <c r="V141" s="530">
        <v>0</v>
      </c>
      <c r="W141" s="530">
        <v>0</v>
      </c>
      <c r="X141" s="530">
        <v>0</v>
      </c>
      <c r="Y141" s="530">
        <v>0</v>
      </c>
      <c r="Z141" s="530">
        <v>0</v>
      </c>
      <c r="AA141" s="530">
        <v>0</v>
      </c>
      <c r="AB141" s="530">
        <v>0</v>
      </c>
      <c r="AC141" s="530">
        <v>0</v>
      </c>
      <c r="AD141" s="530">
        <v>0</v>
      </c>
      <c r="AE141" s="530">
        <v>0</v>
      </c>
      <c r="AF141" s="530">
        <v>0</v>
      </c>
      <c r="AG141" s="530">
        <v>0</v>
      </c>
      <c r="AH141" s="530">
        <f t="shared" ref="AH141:AH148" si="22">SUM(C141:AG141)</f>
        <v>8722.5500000000011</v>
      </c>
    </row>
    <row r="142" spans="1:34" s="545" customFormat="1" ht="12.75" x14ac:dyDescent="0.2">
      <c r="A142" s="513">
        <v>65502</v>
      </c>
      <c r="B142" s="529" t="s">
        <v>665</v>
      </c>
      <c r="C142" s="530">
        <v>0</v>
      </c>
      <c r="D142" s="530">
        <v>0</v>
      </c>
      <c r="E142" s="530">
        <v>0</v>
      </c>
      <c r="F142" s="530">
        <v>0</v>
      </c>
      <c r="G142" s="530">
        <v>0</v>
      </c>
      <c r="H142" s="530">
        <v>0</v>
      </c>
      <c r="I142" s="530">
        <v>0</v>
      </c>
      <c r="J142" s="530">
        <v>0</v>
      </c>
      <c r="K142" s="530">
        <v>0</v>
      </c>
      <c r="L142" s="530">
        <v>0</v>
      </c>
      <c r="M142" s="530">
        <v>0</v>
      </c>
      <c r="N142" s="530">
        <v>0</v>
      </c>
      <c r="O142" s="530">
        <v>0</v>
      </c>
      <c r="P142" s="530">
        <v>0</v>
      </c>
      <c r="Q142" s="530">
        <v>0</v>
      </c>
      <c r="R142" s="530">
        <v>0</v>
      </c>
      <c r="S142" s="530">
        <v>0</v>
      </c>
      <c r="T142" s="530">
        <v>0</v>
      </c>
      <c r="U142" s="530">
        <v>0</v>
      </c>
      <c r="V142" s="530">
        <v>0</v>
      </c>
      <c r="W142" s="530">
        <v>0</v>
      </c>
      <c r="X142" s="530">
        <v>0</v>
      </c>
      <c r="Y142" s="530">
        <v>0</v>
      </c>
      <c r="Z142" s="530">
        <v>0</v>
      </c>
      <c r="AA142" s="530">
        <v>0</v>
      </c>
      <c r="AB142" s="530">
        <v>0</v>
      </c>
      <c r="AC142" s="530">
        <v>0</v>
      </c>
      <c r="AD142" s="530">
        <v>0</v>
      </c>
      <c r="AE142" s="530">
        <v>0</v>
      </c>
      <c r="AF142" s="530">
        <v>0</v>
      </c>
      <c r="AG142" s="530">
        <v>0</v>
      </c>
      <c r="AH142" s="530">
        <f t="shared" si="22"/>
        <v>0</v>
      </c>
    </row>
    <row r="143" spans="1:34" s="545" customFormat="1" ht="12.75" x14ac:dyDescent="0.2">
      <c r="A143" s="513">
        <v>65503</v>
      </c>
      <c r="B143" s="529" t="s">
        <v>666</v>
      </c>
      <c r="C143" s="530">
        <v>0</v>
      </c>
      <c r="D143" s="530">
        <v>0</v>
      </c>
      <c r="E143" s="530">
        <v>0</v>
      </c>
      <c r="F143" s="530">
        <v>0</v>
      </c>
      <c r="G143" s="530">
        <v>0</v>
      </c>
      <c r="H143" s="530">
        <v>0</v>
      </c>
      <c r="I143" s="530">
        <v>0</v>
      </c>
      <c r="J143" s="530">
        <v>0</v>
      </c>
      <c r="K143" s="530">
        <v>0</v>
      </c>
      <c r="L143" s="530">
        <v>0</v>
      </c>
      <c r="M143" s="530">
        <v>0</v>
      </c>
      <c r="N143" s="530">
        <v>0</v>
      </c>
      <c r="O143" s="530">
        <v>0</v>
      </c>
      <c r="P143" s="530">
        <v>0</v>
      </c>
      <c r="Q143" s="530">
        <v>0</v>
      </c>
      <c r="R143" s="530">
        <v>0</v>
      </c>
      <c r="S143" s="530">
        <v>0</v>
      </c>
      <c r="T143" s="530">
        <v>0</v>
      </c>
      <c r="U143" s="530">
        <v>0</v>
      </c>
      <c r="V143" s="530">
        <v>0</v>
      </c>
      <c r="W143" s="530">
        <v>0</v>
      </c>
      <c r="X143" s="530">
        <v>0</v>
      </c>
      <c r="Y143" s="530">
        <v>0</v>
      </c>
      <c r="Z143" s="530">
        <v>0</v>
      </c>
      <c r="AA143" s="530">
        <v>0</v>
      </c>
      <c r="AB143" s="530">
        <v>0</v>
      </c>
      <c r="AC143" s="530">
        <v>0</v>
      </c>
      <c r="AD143" s="530">
        <v>0</v>
      </c>
      <c r="AE143" s="530">
        <v>0</v>
      </c>
      <c r="AF143" s="530">
        <v>0</v>
      </c>
      <c r="AG143" s="530">
        <v>0</v>
      </c>
      <c r="AH143" s="530">
        <f t="shared" si="22"/>
        <v>0</v>
      </c>
    </row>
    <row r="144" spans="1:34" s="545" customFormat="1" ht="12.75" x14ac:dyDescent="0.2">
      <c r="A144" s="513">
        <v>65600</v>
      </c>
      <c r="B144" s="529" t="s">
        <v>667</v>
      </c>
      <c r="C144" s="530">
        <v>554.26</v>
      </c>
      <c r="D144" s="530">
        <v>0</v>
      </c>
      <c r="E144" s="530">
        <v>0</v>
      </c>
      <c r="F144" s="530">
        <v>0</v>
      </c>
      <c r="G144" s="530">
        <v>551.15000000000009</v>
      </c>
      <c r="H144" s="530">
        <v>0</v>
      </c>
      <c r="I144" s="530">
        <v>0</v>
      </c>
      <c r="J144" s="530">
        <v>0</v>
      </c>
      <c r="K144" s="530">
        <v>0</v>
      </c>
      <c r="L144" s="530">
        <v>0</v>
      </c>
      <c r="M144" s="530">
        <v>0</v>
      </c>
      <c r="N144" s="530">
        <v>0</v>
      </c>
      <c r="O144" s="530">
        <v>0</v>
      </c>
      <c r="P144" s="530">
        <v>0</v>
      </c>
      <c r="Q144" s="530">
        <v>0</v>
      </c>
      <c r="R144" s="530">
        <v>0</v>
      </c>
      <c r="S144" s="530">
        <v>0</v>
      </c>
      <c r="T144" s="530">
        <v>0</v>
      </c>
      <c r="U144" s="530">
        <v>0</v>
      </c>
      <c r="V144" s="530">
        <v>0</v>
      </c>
      <c r="W144" s="530">
        <v>0</v>
      </c>
      <c r="X144" s="530">
        <v>0</v>
      </c>
      <c r="Y144" s="530">
        <v>0</v>
      </c>
      <c r="Z144" s="530">
        <v>0</v>
      </c>
      <c r="AA144" s="530">
        <v>0</v>
      </c>
      <c r="AB144" s="530">
        <v>0</v>
      </c>
      <c r="AC144" s="530">
        <v>0</v>
      </c>
      <c r="AD144" s="530">
        <v>0</v>
      </c>
      <c r="AE144" s="530">
        <v>0</v>
      </c>
      <c r="AF144" s="530">
        <v>0</v>
      </c>
      <c r="AG144" s="530">
        <v>0</v>
      </c>
      <c r="AH144" s="530">
        <f t="shared" si="22"/>
        <v>1105.4100000000001</v>
      </c>
    </row>
    <row r="145" spans="1:34" s="545" customFormat="1" ht="12.75" x14ac:dyDescent="0.2">
      <c r="A145" s="513">
        <v>65602</v>
      </c>
      <c r="B145" s="529" t="s">
        <v>668</v>
      </c>
      <c r="C145" s="530">
        <v>0</v>
      </c>
      <c r="D145" s="530">
        <v>0</v>
      </c>
      <c r="E145" s="530">
        <v>0</v>
      </c>
      <c r="F145" s="530">
        <v>0</v>
      </c>
      <c r="G145" s="530">
        <v>0</v>
      </c>
      <c r="H145" s="530">
        <v>0</v>
      </c>
      <c r="I145" s="530">
        <v>0</v>
      </c>
      <c r="J145" s="530">
        <v>0</v>
      </c>
      <c r="K145" s="530">
        <v>0</v>
      </c>
      <c r="L145" s="530">
        <v>0</v>
      </c>
      <c r="M145" s="530">
        <v>0</v>
      </c>
      <c r="N145" s="530">
        <v>0</v>
      </c>
      <c r="O145" s="530">
        <v>0</v>
      </c>
      <c r="P145" s="530">
        <v>0</v>
      </c>
      <c r="Q145" s="530">
        <v>0</v>
      </c>
      <c r="R145" s="530">
        <v>0</v>
      </c>
      <c r="S145" s="530">
        <v>0</v>
      </c>
      <c r="T145" s="530">
        <v>0</v>
      </c>
      <c r="U145" s="530">
        <v>0</v>
      </c>
      <c r="V145" s="530">
        <v>0</v>
      </c>
      <c r="W145" s="530">
        <v>0</v>
      </c>
      <c r="X145" s="530">
        <v>0</v>
      </c>
      <c r="Y145" s="530">
        <v>0</v>
      </c>
      <c r="Z145" s="530">
        <v>0</v>
      </c>
      <c r="AA145" s="530">
        <v>0</v>
      </c>
      <c r="AB145" s="530">
        <v>0</v>
      </c>
      <c r="AC145" s="530">
        <v>0</v>
      </c>
      <c r="AD145" s="530">
        <v>0</v>
      </c>
      <c r="AE145" s="530">
        <v>0</v>
      </c>
      <c r="AF145" s="530">
        <v>0</v>
      </c>
      <c r="AG145" s="530">
        <v>0</v>
      </c>
      <c r="AH145" s="530">
        <f t="shared" si="22"/>
        <v>0</v>
      </c>
    </row>
    <row r="146" spans="1:34" s="545" customFormat="1" ht="12.75" x14ac:dyDescent="0.2">
      <c r="A146" s="513">
        <v>65608</v>
      </c>
      <c r="B146" s="529" t="s">
        <v>669</v>
      </c>
      <c r="C146" s="530">
        <v>0</v>
      </c>
      <c r="D146" s="530">
        <v>0</v>
      </c>
      <c r="E146" s="530">
        <v>0</v>
      </c>
      <c r="F146" s="530">
        <v>0</v>
      </c>
      <c r="G146" s="530">
        <v>0</v>
      </c>
      <c r="H146" s="530">
        <v>0</v>
      </c>
      <c r="I146" s="530">
        <v>0</v>
      </c>
      <c r="J146" s="530">
        <v>0</v>
      </c>
      <c r="K146" s="530">
        <v>0</v>
      </c>
      <c r="L146" s="530">
        <v>0</v>
      </c>
      <c r="M146" s="530">
        <v>0</v>
      </c>
      <c r="N146" s="530">
        <v>0</v>
      </c>
      <c r="O146" s="530">
        <v>0</v>
      </c>
      <c r="P146" s="530">
        <v>20593.469999999998</v>
      </c>
      <c r="Q146" s="530">
        <v>0</v>
      </c>
      <c r="R146" s="530">
        <v>0</v>
      </c>
      <c r="S146" s="530">
        <v>0</v>
      </c>
      <c r="T146" s="530">
        <v>0</v>
      </c>
      <c r="U146" s="530">
        <v>0</v>
      </c>
      <c r="V146" s="530">
        <v>0</v>
      </c>
      <c r="W146" s="530">
        <v>0</v>
      </c>
      <c r="X146" s="530">
        <v>0</v>
      </c>
      <c r="Y146" s="530">
        <v>0</v>
      </c>
      <c r="Z146" s="530">
        <v>0</v>
      </c>
      <c r="AA146" s="530">
        <v>0</v>
      </c>
      <c r="AB146" s="530">
        <v>0</v>
      </c>
      <c r="AC146" s="530">
        <v>0</v>
      </c>
      <c r="AD146" s="530">
        <v>0</v>
      </c>
      <c r="AE146" s="530">
        <v>0</v>
      </c>
      <c r="AF146" s="530">
        <v>0</v>
      </c>
      <c r="AG146" s="530">
        <v>0</v>
      </c>
      <c r="AH146" s="530">
        <f t="shared" si="22"/>
        <v>20593.469999999998</v>
      </c>
    </row>
    <row r="147" spans="1:34" s="545" customFormat="1" ht="12.75" x14ac:dyDescent="0.2">
      <c r="A147" s="513">
        <v>65700</v>
      </c>
      <c r="B147" s="529" t="s">
        <v>670</v>
      </c>
      <c r="C147" s="530">
        <v>0</v>
      </c>
      <c r="D147" s="530">
        <v>0</v>
      </c>
      <c r="E147" s="530">
        <v>0</v>
      </c>
      <c r="F147" s="530">
        <v>0</v>
      </c>
      <c r="G147" s="530">
        <v>9535.64</v>
      </c>
      <c r="H147" s="530">
        <v>0</v>
      </c>
      <c r="I147" s="530">
        <v>0</v>
      </c>
      <c r="J147" s="530">
        <v>0</v>
      </c>
      <c r="K147" s="530">
        <v>0</v>
      </c>
      <c r="L147" s="530">
        <v>0</v>
      </c>
      <c r="M147" s="530">
        <v>0</v>
      </c>
      <c r="N147" s="530">
        <v>0</v>
      </c>
      <c r="O147" s="530">
        <v>0</v>
      </c>
      <c r="P147" s="530">
        <v>140281.10999999999</v>
      </c>
      <c r="Q147" s="530">
        <v>0</v>
      </c>
      <c r="R147" s="530">
        <v>0</v>
      </c>
      <c r="S147" s="530">
        <v>0</v>
      </c>
      <c r="T147" s="530">
        <v>0</v>
      </c>
      <c r="U147" s="530">
        <v>0</v>
      </c>
      <c r="V147" s="530">
        <v>0</v>
      </c>
      <c r="W147" s="530">
        <v>0</v>
      </c>
      <c r="X147" s="530">
        <v>0</v>
      </c>
      <c r="Y147" s="530">
        <v>0</v>
      </c>
      <c r="Z147" s="530">
        <v>0</v>
      </c>
      <c r="AA147" s="530">
        <v>0</v>
      </c>
      <c r="AB147" s="530">
        <v>0</v>
      </c>
      <c r="AC147" s="530">
        <v>0</v>
      </c>
      <c r="AD147" s="530">
        <v>0</v>
      </c>
      <c r="AE147" s="530">
        <v>0</v>
      </c>
      <c r="AF147" s="530">
        <v>0</v>
      </c>
      <c r="AG147" s="530">
        <v>0</v>
      </c>
      <c r="AH147" s="530">
        <f t="shared" si="22"/>
        <v>149816.75</v>
      </c>
    </row>
    <row r="148" spans="1:34" s="545" customFormat="1" ht="12.75" x14ac:dyDescent="0.2">
      <c r="A148" s="513">
        <v>65800</v>
      </c>
      <c r="B148" s="553" t="s">
        <v>671</v>
      </c>
      <c r="C148" s="530">
        <v>85.73</v>
      </c>
      <c r="D148" s="530">
        <v>0</v>
      </c>
      <c r="E148" s="530">
        <v>0</v>
      </c>
      <c r="F148" s="530">
        <v>0</v>
      </c>
      <c r="G148" s="530">
        <v>408.26</v>
      </c>
      <c r="H148" s="530">
        <v>0</v>
      </c>
      <c r="I148" s="530">
        <v>50.940000000000005</v>
      </c>
      <c r="J148" s="530">
        <v>0</v>
      </c>
      <c r="K148" s="530">
        <v>90</v>
      </c>
      <c r="L148" s="530">
        <v>0</v>
      </c>
      <c r="M148" s="530">
        <v>0</v>
      </c>
      <c r="N148" s="530">
        <v>0</v>
      </c>
      <c r="O148" s="530">
        <v>0</v>
      </c>
      <c r="P148" s="530">
        <v>331.19</v>
      </c>
      <c r="Q148" s="530">
        <v>0</v>
      </c>
      <c r="R148" s="530">
        <v>0</v>
      </c>
      <c r="S148" s="530">
        <v>0</v>
      </c>
      <c r="T148" s="530">
        <v>100.1</v>
      </c>
      <c r="U148" s="530">
        <v>93.13</v>
      </c>
      <c r="V148" s="530">
        <v>0</v>
      </c>
      <c r="W148" s="530">
        <v>0</v>
      </c>
      <c r="X148" s="530">
        <v>19.989999999999998</v>
      </c>
      <c r="Y148" s="530">
        <v>0</v>
      </c>
      <c r="Z148" s="530">
        <v>0</v>
      </c>
      <c r="AA148" s="530">
        <v>0</v>
      </c>
      <c r="AB148" s="530">
        <v>0</v>
      </c>
      <c r="AC148" s="530">
        <v>0</v>
      </c>
      <c r="AD148" s="530">
        <v>0</v>
      </c>
      <c r="AE148" s="530">
        <v>0</v>
      </c>
      <c r="AF148" s="530">
        <v>0</v>
      </c>
      <c r="AG148" s="530">
        <v>0</v>
      </c>
      <c r="AH148" s="530">
        <f t="shared" si="22"/>
        <v>1179.3399999999999</v>
      </c>
    </row>
    <row r="149" spans="1:34" s="428" customFormat="1" ht="12.75" x14ac:dyDescent="0.2">
      <c r="A149" s="513">
        <v>65900</v>
      </c>
      <c r="B149" s="536" t="s">
        <v>672</v>
      </c>
      <c r="C149" s="537">
        <f t="shared" ref="C149:AH149" si="23">SUM(C141:C148)</f>
        <v>800.15</v>
      </c>
      <c r="D149" s="537">
        <f t="shared" si="23"/>
        <v>0</v>
      </c>
      <c r="E149" s="537">
        <f t="shared" si="23"/>
        <v>0</v>
      </c>
      <c r="F149" s="537">
        <f t="shared" si="23"/>
        <v>0</v>
      </c>
      <c r="G149" s="537">
        <f t="shared" si="23"/>
        <v>11811.89</v>
      </c>
      <c r="H149" s="537">
        <f t="shared" si="23"/>
        <v>0</v>
      </c>
      <c r="I149" s="537">
        <f t="shared" si="23"/>
        <v>5771.6399999999994</v>
      </c>
      <c r="J149" s="537">
        <f t="shared" si="23"/>
        <v>0</v>
      </c>
      <c r="K149" s="537">
        <f t="shared" si="23"/>
        <v>90</v>
      </c>
      <c r="L149" s="537">
        <f t="shared" si="23"/>
        <v>0</v>
      </c>
      <c r="M149" s="537">
        <f t="shared" si="23"/>
        <v>69.2</v>
      </c>
      <c r="N149" s="537">
        <f t="shared" si="23"/>
        <v>0</v>
      </c>
      <c r="O149" s="537">
        <f t="shared" si="23"/>
        <v>0</v>
      </c>
      <c r="P149" s="537">
        <f t="shared" si="23"/>
        <v>162319.62</v>
      </c>
      <c r="Q149" s="537">
        <f t="shared" si="23"/>
        <v>0</v>
      </c>
      <c r="R149" s="537">
        <f t="shared" si="23"/>
        <v>32.849999999999994</v>
      </c>
      <c r="S149" s="537">
        <f t="shared" si="23"/>
        <v>0</v>
      </c>
      <c r="T149" s="537">
        <f t="shared" si="23"/>
        <v>297.72000000000003</v>
      </c>
      <c r="U149" s="537">
        <f t="shared" si="23"/>
        <v>204.46</v>
      </c>
      <c r="V149" s="537">
        <f t="shared" si="23"/>
        <v>0</v>
      </c>
      <c r="W149" s="537">
        <f t="shared" si="23"/>
        <v>0</v>
      </c>
      <c r="X149" s="537">
        <f t="shared" si="23"/>
        <v>19.989999999999998</v>
      </c>
      <c r="Y149" s="537">
        <f t="shared" si="23"/>
        <v>0</v>
      </c>
      <c r="Z149" s="537">
        <f t="shared" si="23"/>
        <v>0</v>
      </c>
      <c r="AA149" s="537">
        <f t="shared" si="23"/>
        <v>0</v>
      </c>
      <c r="AB149" s="537">
        <f t="shared" si="23"/>
        <v>0</v>
      </c>
      <c r="AC149" s="537">
        <f t="shared" si="23"/>
        <v>0</v>
      </c>
      <c r="AD149" s="537">
        <f t="shared" si="23"/>
        <v>0</v>
      </c>
      <c r="AE149" s="537">
        <f t="shared" si="23"/>
        <v>0</v>
      </c>
      <c r="AF149" s="537">
        <f t="shared" si="23"/>
        <v>0</v>
      </c>
      <c r="AG149" s="537">
        <f t="shared" si="23"/>
        <v>0</v>
      </c>
      <c r="AH149" s="537">
        <f t="shared" si="23"/>
        <v>181417.52</v>
      </c>
    </row>
    <row r="150" spans="1:34" s="428" customFormat="1" ht="12.75" x14ac:dyDescent="0.2">
      <c r="A150" s="513"/>
      <c r="B150" s="516"/>
      <c r="C150" s="528"/>
      <c r="D150" s="528"/>
      <c r="E150" s="528"/>
      <c r="F150" s="528"/>
      <c r="G150" s="528"/>
      <c r="H150" s="528"/>
      <c r="I150" s="528"/>
      <c r="J150" s="528"/>
      <c r="K150" s="528"/>
      <c r="L150" s="528"/>
      <c r="M150" s="528"/>
      <c r="N150" s="528"/>
      <c r="O150" s="528"/>
      <c r="P150" s="528"/>
      <c r="Q150" s="528"/>
      <c r="R150" s="528"/>
      <c r="S150" s="528"/>
      <c r="T150" s="528"/>
      <c r="U150" s="528"/>
      <c r="V150" s="528"/>
      <c r="W150" s="528"/>
      <c r="X150" s="528"/>
      <c r="Y150" s="528"/>
      <c r="Z150" s="528"/>
      <c r="AA150" s="528"/>
      <c r="AB150" s="528"/>
      <c r="AC150" s="528"/>
      <c r="AD150" s="528"/>
      <c r="AE150" s="528"/>
      <c r="AF150" s="528"/>
      <c r="AG150" s="528"/>
      <c r="AH150" s="528"/>
    </row>
    <row r="151" spans="1:34" s="428" customFormat="1" ht="12.75" x14ac:dyDescent="0.2">
      <c r="A151" s="513"/>
      <c r="B151" s="516" t="s">
        <v>673</v>
      </c>
      <c r="C151" s="528"/>
      <c r="D151" s="528"/>
      <c r="E151" s="528"/>
      <c r="F151" s="528"/>
      <c r="G151" s="528"/>
      <c r="H151" s="528"/>
      <c r="I151" s="528"/>
      <c r="J151" s="528"/>
      <c r="K151" s="528"/>
      <c r="L151" s="528"/>
      <c r="M151" s="528"/>
      <c r="N151" s="528"/>
      <c r="O151" s="528"/>
      <c r="P151" s="528"/>
      <c r="Q151" s="528"/>
      <c r="R151" s="528"/>
      <c r="S151" s="528"/>
      <c r="T151" s="528"/>
      <c r="U151" s="528"/>
      <c r="V151" s="528"/>
      <c r="W151" s="528"/>
      <c r="X151" s="528"/>
      <c r="Y151" s="528"/>
      <c r="Z151" s="528"/>
      <c r="AA151" s="528"/>
      <c r="AB151" s="528"/>
      <c r="AC151" s="528"/>
      <c r="AD151" s="528"/>
      <c r="AE151" s="528"/>
      <c r="AF151" s="528"/>
      <c r="AG151" s="528"/>
      <c r="AH151" s="528"/>
    </row>
    <row r="152" spans="1:34" s="545" customFormat="1" ht="12.75" x14ac:dyDescent="0.2">
      <c r="A152" s="513">
        <v>66100</v>
      </c>
      <c r="B152" s="529" t="s">
        <v>674</v>
      </c>
      <c r="C152" s="530">
        <v>0</v>
      </c>
      <c r="D152" s="530">
        <v>0</v>
      </c>
      <c r="E152" s="530">
        <v>0</v>
      </c>
      <c r="F152" s="530">
        <v>0</v>
      </c>
      <c r="G152" s="530">
        <v>0</v>
      </c>
      <c r="H152" s="530">
        <v>0</v>
      </c>
      <c r="I152" s="530">
        <v>119142</v>
      </c>
      <c r="J152" s="530">
        <v>0</v>
      </c>
      <c r="K152" s="530">
        <v>0</v>
      </c>
      <c r="L152" s="530">
        <v>0</v>
      </c>
      <c r="M152" s="530">
        <v>0</v>
      </c>
      <c r="N152" s="530">
        <v>0</v>
      </c>
      <c r="O152" s="530">
        <v>0</v>
      </c>
      <c r="P152" s="530">
        <v>0</v>
      </c>
      <c r="Q152" s="530">
        <v>0</v>
      </c>
      <c r="R152" s="530">
        <v>0</v>
      </c>
      <c r="S152" s="530">
        <v>0</v>
      </c>
      <c r="T152" s="530">
        <v>0</v>
      </c>
      <c r="U152" s="530">
        <v>0</v>
      </c>
      <c r="V152" s="530">
        <v>0</v>
      </c>
      <c r="W152" s="530">
        <v>0</v>
      </c>
      <c r="X152" s="530">
        <v>0</v>
      </c>
      <c r="Y152" s="530">
        <v>0</v>
      </c>
      <c r="Z152" s="530">
        <v>0</v>
      </c>
      <c r="AA152" s="530">
        <v>0</v>
      </c>
      <c r="AB152" s="530">
        <v>0</v>
      </c>
      <c r="AC152" s="530">
        <v>0</v>
      </c>
      <c r="AD152" s="530">
        <v>0</v>
      </c>
      <c r="AE152" s="530">
        <v>0</v>
      </c>
      <c r="AF152" s="530">
        <v>0</v>
      </c>
      <c r="AG152" s="530">
        <v>0</v>
      </c>
      <c r="AH152" s="530">
        <f t="shared" ref="AH152:AH202" si="24">SUM(C152:AG152)</f>
        <v>119142</v>
      </c>
    </row>
    <row r="153" spans="1:34" s="545" customFormat="1" ht="12.75" x14ac:dyDescent="0.2">
      <c r="A153" s="513">
        <v>66101</v>
      </c>
      <c r="B153" s="529" t="s">
        <v>675</v>
      </c>
      <c r="C153" s="530">
        <v>0</v>
      </c>
      <c r="D153" s="530">
        <v>0</v>
      </c>
      <c r="E153" s="530">
        <v>0</v>
      </c>
      <c r="F153" s="530">
        <v>0</v>
      </c>
      <c r="G153" s="530">
        <v>0</v>
      </c>
      <c r="H153" s="530">
        <v>0</v>
      </c>
      <c r="I153" s="530">
        <v>0</v>
      </c>
      <c r="J153" s="530">
        <v>0</v>
      </c>
      <c r="K153" s="530">
        <v>0</v>
      </c>
      <c r="L153" s="530">
        <v>0</v>
      </c>
      <c r="M153" s="530">
        <v>0</v>
      </c>
      <c r="N153" s="530">
        <v>0</v>
      </c>
      <c r="O153" s="530">
        <v>0</v>
      </c>
      <c r="P153" s="530">
        <v>0</v>
      </c>
      <c r="Q153" s="530">
        <v>0</v>
      </c>
      <c r="R153" s="530">
        <v>0</v>
      </c>
      <c r="S153" s="530">
        <v>0</v>
      </c>
      <c r="T153" s="530">
        <v>0</v>
      </c>
      <c r="U153" s="530">
        <v>0</v>
      </c>
      <c r="V153" s="530">
        <v>0</v>
      </c>
      <c r="W153" s="530">
        <v>0</v>
      </c>
      <c r="X153" s="530">
        <v>0</v>
      </c>
      <c r="Y153" s="530">
        <v>0</v>
      </c>
      <c r="Z153" s="530">
        <v>0</v>
      </c>
      <c r="AA153" s="530">
        <v>0</v>
      </c>
      <c r="AB153" s="530">
        <v>0</v>
      </c>
      <c r="AC153" s="530">
        <v>0</v>
      </c>
      <c r="AD153" s="530">
        <v>0</v>
      </c>
      <c r="AE153" s="530">
        <v>0</v>
      </c>
      <c r="AF153" s="530">
        <v>0</v>
      </c>
      <c r="AG153" s="530">
        <v>0</v>
      </c>
      <c r="AH153" s="530">
        <f t="shared" si="24"/>
        <v>0</v>
      </c>
    </row>
    <row r="154" spans="1:34" s="545" customFormat="1" ht="12.75" x14ac:dyDescent="0.2">
      <c r="A154" s="513">
        <v>66102</v>
      </c>
      <c r="B154" s="529" t="s">
        <v>676</v>
      </c>
      <c r="C154" s="530">
        <v>0</v>
      </c>
      <c r="D154" s="530">
        <v>0</v>
      </c>
      <c r="E154" s="530">
        <v>0</v>
      </c>
      <c r="F154" s="530">
        <v>0</v>
      </c>
      <c r="G154" s="530">
        <v>0</v>
      </c>
      <c r="H154" s="530">
        <v>0</v>
      </c>
      <c r="I154" s="530">
        <v>0</v>
      </c>
      <c r="J154" s="530">
        <v>0</v>
      </c>
      <c r="K154" s="530">
        <v>0</v>
      </c>
      <c r="L154" s="530">
        <v>0</v>
      </c>
      <c r="M154" s="530">
        <v>0</v>
      </c>
      <c r="N154" s="530">
        <v>0</v>
      </c>
      <c r="O154" s="530">
        <v>0</v>
      </c>
      <c r="P154" s="530">
        <v>0</v>
      </c>
      <c r="Q154" s="530">
        <v>0</v>
      </c>
      <c r="R154" s="530">
        <v>0</v>
      </c>
      <c r="S154" s="530">
        <v>0</v>
      </c>
      <c r="T154" s="530">
        <v>0</v>
      </c>
      <c r="U154" s="530">
        <v>0</v>
      </c>
      <c r="V154" s="530">
        <v>0</v>
      </c>
      <c r="W154" s="530">
        <v>0</v>
      </c>
      <c r="X154" s="530">
        <v>0</v>
      </c>
      <c r="Y154" s="530">
        <v>0</v>
      </c>
      <c r="Z154" s="530">
        <v>0</v>
      </c>
      <c r="AA154" s="530">
        <v>0</v>
      </c>
      <c r="AB154" s="530">
        <v>0</v>
      </c>
      <c r="AC154" s="530">
        <v>0</v>
      </c>
      <c r="AD154" s="530">
        <v>0</v>
      </c>
      <c r="AE154" s="530">
        <v>0</v>
      </c>
      <c r="AF154" s="530">
        <v>0</v>
      </c>
      <c r="AG154" s="530">
        <v>0</v>
      </c>
      <c r="AH154" s="530">
        <f t="shared" si="24"/>
        <v>0</v>
      </c>
    </row>
    <row r="155" spans="1:34" s="545" customFormat="1" ht="12.75" x14ac:dyDescent="0.2">
      <c r="A155" s="513">
        <v>66104</v>
      </c>
      <c r="B155" s="529" t="s">
        <v>677</v>
      </c>
      <c r="C155" s="530">
        <v>0</v>
      </c>
      <c r="D155" s="530">
        <v>0</v>
      </c>
      <c r="E155" s="530">
        <v>0</v>
      </c>
      <c r="F155" s="530">
        <v>0</v>
      </c>
      <c r="G155" s="530">
        <v>1518.5800000000002</v>
      </c>
      <c r="H155" s="530">
        <v>0</v>
      </c>
      <c r="I155" s="530">
        <v>0</v>
      </c>
      <c r="J155" s="530">
        <v>26.52</v>
      </c>
      <c r="K155" s="530">
        <v>0</v>
      </c>
      <c r="L155" s="530">
        <v>20000</v>
      </c>
      <c r="M155" s="530">
        <v>0</v>
      </c>
      <c r="N155" s="530">
        <v>0</v>
      </c>
      <c r="O155" s="530">
        <v>0</v>
      </c>
      <c r="P155" s="530">
        <v>0</v>
      </c>
      <c r="Q155" s="530">
        <v>0</v>
      </c>
      <c r="R155" s="530">
        <v>0</v>
      </c>
      <c r="S155" s="530">
        <v>0</v>
      </c>
      <c r="T155" s="530">
        <v>10710.300000000001</v>
      </c>
      <c r="U155" s="530">
        <v>0</v>
      </c>
      <c r="V155" s="530">
        <v>0</v>
      </c>
      <c r="W155" s="530">
        <v>0</v>
      </c>
      <c r="X155" s="530">
        <v>0</v>
      </c>
      <c r="Y155" s="530">
        <v>0</v>
      </c>
      <c r="Z155" s="530">
        <v>0</v>
      </c>
      <c r="AA155" s="530">
        <v>0</v>
      </c>
      <c r="AB155" s="530">
        <v>0</v>
      </c>
      <c r="AC155" s="530">
        <v>0</v>
      </c>
      <c r="AD155" s="530">
        <v>0</v>
      </c>
      <c r="AE155" s="530">
        <v>0</v>
      </c>
      <c r="AF155" s="530">
        <v>0</v>
      </c>
      <c r="AG155" s="530">
        <v>0</v>
      </c>
      <c r="AH155" s="530">
        <f t="shared" si="24"/>
        <v>32255.4</v>
      </c>
    </row>
    <row r="156" spans="1:34" s="545" customFormat="1" ht="12.75" x14ac:dyDescent="0.2">
      <c r="A156" s="513">
        <v>66106</v>
      </c>
      <c r="B156" s="529" t="s">
        <v>678</v>
      </c>
      <c r="C156" s="530">
        <v>0</v>
      </c>
      <c r="D156" s="530">
        <v>0</v>
      </c>
      <c r="E156" s="530">
        <v>0</v>
      </c>
      <c r="F156" s="530">
        <v>0</v>
      </c>
      <c r="G156" s="530">
        <v>0</v>
      </c>
      <c r="H156" s="530">
        <v>0</v>
      </c>
      <c r="I156" s="530">
        <v>0</v>
      </c>
      <c r="J156" s="530">
        <v>0</v>
      </c>
      <c r="K156" s="530">
        <v>0</v>
      </c>
      <c r="L156" s="530">
        <v>0</v>
      </c>
      <c r="M156" s="530">
        <v>0</v>
      </c>
      <c r="N156" s="530">
        <v>0</v>
      </c>
      <c r="O156" s="530">
        <v>0</v>
      </c>
      <c r="P156" s="530">
        <v>0</v>
      </c>
      <c r="Q156" s="530">
        <v>0</v>
      </c>
      <c r="R156" s="530">
        <v>0</v>
      </c>
      <c r="S156" s="530">
        <v>0</v>
      </c>
      <c r="T156" s="530">
        <v>0</v>
      </c>
      <c r="U156" s="530">
        <v>0</v>
      </c>
      <c r="V156" s="530">
        <v>0</v>
      </c>
      <c r="W156" s="530">
        <v>0</v>
      </c>
      <c r="X156" s="530">
        <v>0</v>
      </c>
      <c r="Y156" s="530">
        <v>0</v>
      </c>
      <c r="Z156" s="530">
        <v>0</v>
      </c>
      <c r="AA156" s="530">
        <v>0</v>
      </c>
      <c r="AB156" s="530">
        <v>0</v>
      </c>
      <c r="AC156" s="530">
        <v>0</v>
      </c>
      <c r="AD156" s="530">
        <v>0</v>
      </c>
      <c r="AE156" s="530">
        <v>0</v>
      </c>
      <c r="AF156" s="530">
        <v>0</v>
      </c>
      <c r="AG156" s="530">
        <v>0</v>
      </c>
      <c r="AH156" s="530">
        <f t="shared" si="24"/>
        <v>0</v>
      </c>
    </row>
    <row r="157" spans="1:34" s="545" customFormat="1" ht="12.75" x14ac:dyDescent="0.2">
      <c r="A157" s="513">
        <v>66108</v>
      </c>
      <c r="B157" s="529" t="s">
        <v>679</v>
      </c>
      <c r="C157" s="530">
        <v>0</v>
      </c>
      <c r="D157" s="530">
        <v>0</v>
      </c>
      <c r="E157" s="530">
        <v>0</v>
      </c>
      <c r="F157" s="530">
        <v>0</v>
      </c>
      <c r="G157" s="530">
        <v>0</v>
      </c>
      <c r="H157" s="530">
        <v>0</v>
      </c>
      <c r="I157" s="530">
        <v>0</v>
      </c>
      <c r="J157" s="530">
        <v>0</v>
      </c>
      <c r="K157" s="530">
        <v>0</v>
      </c>
      <c r="L157" s="530">
        <v>0</v>
      </c>
      <c r="M157" s="530">
        <v>0</v>
      </c>
      <c r="N157" s="530">
        <v>0</v>
      </c>
      <c r="O157" s="530">
        <v>0</v>
      </c>
      <c r="P157" s="530">
        <v>0</v>
      </c>
      <c r="Q157" s="530">
        <v>0</v>
      </c>
      <c r="R157" s="530">
        <v>0</v>
      </c>
      <c r="S157" s="530">
        <v>0</v>
      </c>
      <c r="T157" s="530">
        <v>0</v>
      </c>
      <c r="U157" s="530">
        <v>0</v>
      </c>
      <c r="V157" s="530">
        <v>0</v>
      </c>
      <c r="W157" s="530">
        <v>0</v>
      </c>
      <c r="X157" s="530">
        <v>0</v>
      </c>
      <c r="Y157" s="530">
        <v>0</v>
      </c>
      <c r="Z157" s="530">
        <v>0</v>
      </c>
      <c r="AA157" s="530">
        <v>0</v>
      </c>
      <c r="AB157" s="530">
        <v>0</v>
      </c>
      <c r="AC157" s="530">
        <v>0</v>
      </c>
      <c r="AD157" s="530">
        <v>0</v>
      </c>
      <c r="AE157" s="530">
        <v>0</v>
      </c>
      <c r="AF157" s="530">
        <v>0</v>
      </c>
      <c r="AG157" s="530">
        <v>0</v>
      </c>
      <c r="AH157" s="530">
        <f t="shared" si="24"/>
        <v>0</v>
      </c>
    </row>
    <row r="158" spans="1:34" s="545" customFormat="1" ht="12.75" x14ac:dyDescent="0.2">
      <c r="A158" s="513">
        <v>66110</v>
      </c>
      <c r="B158" s="529" t="s">
        <v>680</v>
      </c>
      <c r="C158" s="530">
        <v>50574.149999999994</v>
      </c>
      <c r="D158" s="530">
        <v>0</v>
      </c>
      <c r="E158" s="530">
        <v>0</v>
      </c>
      <c r="F158" s="530">
        <v>0</v>
      </c>
      <c r="G158" s="530">
        <v>180979.89</v>
      </c>
      <c r="H158" s="530">
        <v>0</v>
      </c>
      <c r="I158" s="530">
        <v>1520.0000000000002</v>
      </c>
      <c r="J158" s="530">
        <v>0</v>
      </c>
      <c r="K158" s="530">
        <v>0</v>
      </c>
      <c r="L158" s="530">
        <v>0</v>
      </c>
      <c r="M158" s="530">
        <v>137300.67000000001</v>
      </c>
      <c r="N158" s="530">
        <v>0</v>
      </c>
      <c r="O158" s="530">
        <v>0</v>
      </c>
      <c r="P158" s="530">
        <v>4051.7900000000004</v>
      </c>
      <c r="Q158" s="530">
        <v>0</v>
      </c>
      <c r="R158" s="530">
        <v>0</v>
      </c>
      <c r="S158" s="530">
        <v>0</v>
      </c>
      <c r="T158" s="530">
        <v>11972.609999999999</v>
      </c>
      <c r="U158" s="530">
        <v>0</v>
      </c>
      <c r="V158" s="530">
        <v>0</v>
      </c>
      <c r="W158" s="530">
        <v>0</v>
      </c>
      <c r="X158" s="530">
        <v>-755.41</v>
      </c>
      <c r="Y158" s="530">
        <v>0</v>
      </c>
      <c r="Z158" s="530">
        <v>0</v>
      </c>
      <c r="AA158" s="530">
        <v>1563.7499999999998</v>
      </c>
      <c r="AB158" s="530">
        <v>0</v>
      </c>
      <c r="AC158" s="530">
        <v>0</v>
      </c>
      <c r="AD158" s="530">
        <v>0</v>
      </c>
      <c r="AE158" s="530">
        <v>0</v>
      </c>
      <c r="AF158" s="530">
        <v>60491.119999999995</v>
      </c>
      <c r="AG158" s="530">
        <v>0</v>
      </c>
      <c r="AH158" s="530">
        <f t="shared" si="24"/>
        <v>447698.57</v>
      </c>
    </row>
    <row r="159" spans="1:34" s="545" customFormat="1" ht="12.75" x14ac:dyDescent="0.2">
      <c r="A159" s="513">
        <v>66112</v>
      </c>
      <c r="B159" s="529" t="s">
        <v>681</v>
      </c>
      <c r="C159" s="530">
        <v>0</v>
      </c>
      <c r="D159" s="530">
        <v>0</v>
      </c>
      <c r="E159" s="530">
        <v>0</v>
      </c>
      <c r="F159" s="530">
        <v>0</v>
      </c>
      <c r="G159" s="530">
        <v>4270</v>
      </c>
      <c r="H159" s="530">
        <v>0</v>
      </c>
      <c r="I159" s="530">
        <v>0</v>
      </c>
      <c r="J159" s="530">
        <v>0</v>
      </c>
      <c r="K159" s="530">
        <v>0</v>
      </c>
      <c r="L159" s="530">
        <v>48614.39</v>
      </c>
      <c r="M159" s="530">
        <v>0</v>
      </c>
      <c r="N159" s="530">
        <v>0</v>
      </c>
      <c r="O159" s="530">
        <v>0</v>
      </c>
      <c r="P159" s="530">
        <v>0</v>
      </c>
      <c r="Q159" s="530">
        <v>0</v>
      </c>
      <c r="R159" s="530">
        <v>0</v>
      </c>
      <c r="S159" s="530">
        <v>0</v>
      </c>
      <c r="T159" s="530">
        <v>16193.070000000002</v>
      </c>
      <c r="U159" s="530">
        <v>0</v>
      </c>
      <c r="V159" s="530">
        <v>0</v>
      </c>
      <c r="W159" s="530">
        <v>0</v>
      </c>
      <c r="X159" s="530">
        <v>0</v>
      </c>
      <c r="Y159" s="530">
        <v>0</v>
      </c>
      <c r="Z159" s="530">
        <v>0</v>
      </c>
      <c r="AA159" s="530">
        <v>28008.389999999996</v>
      </c>
      <c r="AB159" s="530">
        <v>0</v>
      </c>
      <c r="AC159" s="530">
        <v>0</v>
      </c>
      <c r="AD159" s="530">
        <v>0</v>
      </c>
      <c r="AE159" s="530">
        <v>0</v>
      </c>
      <c r="AF159" s="530">
        <v>0</v>
      </c>
      <c r="AG159" s="530">
        <v>0</v>
      </c>
      <c r="AH159" s="530">
        <f t="shared" si="24"/>
        <v>97085.85</v>
      </c>
    </row>
    <row r="160" spans="1:34" s="545" customFormat="1" ht="12.75" x14ac:dyDescent="0.2">
      <c r="A160" s="513">
        <v>66114</v>
      </c>
      <c r="B160" s="529" t="s">
        <v>682</v>
      </c>
      <c r="C160" s="530">
        <v>0</v>
      </c>
      <c r="D160" s="530">
        <v>0</v>
      </c>
      <c r="E160" s="530">
        <v>0</v>
      </c>
      <c r="F160" s="530">
        <v>0</v>
      </c>
      <c r="G160" s="1156">
        <v>900</v>
      </c>
      <c r="H160" s="530">
        <v>0</v>
      </c>
      <c r="I160" s="530">
        <v>0</v>
      </c>
      <c r="J160" s="530">
        <v>0</v>
      </c>
      <c r="K160" s="530">
        <v>0</v>
      </c>
      <c r="L160" s="530">
        <v>0</v>
      </c>
      <c r="M160" s="530">
        <v>0</v>
      </c>
      <c r="N160" s="530">
        <v>0</v>
      </c>
      <c r="O160" s="530">
        <v>0</v>
      </c>
      <c r="P160" s="530">
        <v>0</v>
      </c>
      <c r="Q160" s="530">
        <v>0</v>
      </c>
      <c r="R160" s="530">
        <v>0</v>
      </c>
      <c r="S160" s="530">
        <v>0</v>
      </c>
      <c r="T160" s="530">
        <v>0</v>
      </c>
      <c r="U160" s="530">
        <v>0</v>
      </c>
      <c r="V160" s="530">
        <v>0</v>
      </c>
      <c r="W160" s="530">
        <v>0</v>
      </c>
      <c r="X160" s="530">
        <v>0</v>
      </c>
      <c r="Y160" s="530">
        <v>0</v>
      </c>
      <c r="Z160" s="530">
        <v>0</v>
      </c>
      <c r="AA160" s="530">
        <v>0</v>
      </c>
      <c r="AB160" s="530">
        <v>0</v>
      </c>
      <c r="AC160" s="530">
        <v>0</v>
      </c>
      <c r="AD160" s="530">
        <v>0</v>
      </c>
      <c r="AE160" s="530">
        <v>0</v>
      </c>
      <c r="AF160" s="530">
        <v>0</v>
      </c>
      <c r="AG160" s="530">
        <v>0</v>
      </c>
      <c r="AH160" s="530">
        <f t="shared" si="24"/>
        <v>900</v>
      </c>
    </row>
    <row r="161" spans="1:34" s="545" customFormat="1" ht="12.75" x14ac:dyDescent="0.2">
      <c r="A161" s="513">
        <v>66118</v>
      </c>
      <c r="B161" s="529" t="s">
        <v>683</v>
      </c>
      <c r="C161" s="530">
        <v>0</v>
      </c>
      <c r="D161" s="530">
        <v>0</v>
      </c>
      <c r="E161" s="530">
        <v>0</v>
      </c>
      <c r="F161" s="530">
        <v>0</v>
      </c>
      <c r="G161" s="1156">
        <v>51</v>
      </c>
      <c r="H161" s="530">
        <v>0</v>
      </c>
      <c r="I161" s="530">
        <v>0</v>
      </c>
      <c r="J161" s="530">
        <v>0</v>
      </c>
      <c r="K161" s="530">
        <v>0</v>
      </c>
      <c r="L161" s="530">
        <v>0</v>
      </c>
      <c r="M161" s="530">
        <v>0</v>
      </c>
      <c r="N161" s="530">
        <v>0</v>
      </c>
      <c r="O161" s="530">
        <v>0</v>
      </c>
      <c r="P161" s="530">
        <v>0</v>
      </c>
      <c r="Q161" s="530">
        <v>0</v>
      </c>
      <c r="R161" s="530">
        <v>0</v>
      </c>
      <c r="S161" s="530">
        <v>0</v>
      </c>
      <c r="T161" s="530">
        <v>0</v>
      </c>
      <c r="U161" s="530">
        <v>0</v>
      </c>
      <c r="V161" s="530">
        <v>0</v>
      </c>
      <c r="W161" s="530">
        <v>0</v>
      </c>
      <c r="X161" s="530">
        <v>0</v>
      </c>
      <c r="Y161" s="530">
        <v>0</v>
      </c>
      <c r="Z161" s="530">
        <v>0</v>
      </c>
      <c r="AA161" s="530">
        <v>0</v>
      </c>
      <c r="AB161" s="530">
        <v>0</v>
      </c>
      <c r="AC161" s="530">
        <v>0</v>
      </c>
      <c r="AD161" s="530">
        <v>0</v>
      </c>
      <c r="AE161" s="530">
        <v>0</v>
      </c>
      <c r="AF161" s="530">
        <v>0</v>
      </c>
      <c r="AG161" s="530">
        <v>0</v>
      </c>
      <c r="AH161" s="530">
        <f t="shared" si="24"/>
        <v>51</v>
      </c>
    </row>
    <row r="162" spans="1:34" s="545" customFormat="1" ht="12.75" x14ac:dyDescent="0.2">
      <c r="A162" s="513">
        <v>66122</v>
      </c>
      <c r="B162" s="529" t="s">
        <v>684</v>
      </c>
      <c r="C162" s="530">
        <v>345.92</v>
      </c>
      <c r="D162" s="530">
        <v>0</v>
      </c>
      <c r="E162" s="530">
        <v>283.69</v>
      </c>
      <c r="F162" s="530">
        <v>0</v>
      </c>
      <c r="G162" s="530">
        <v>2349.9900000000002</v>
      </c>
      <c r="H162" s="530">
        <v>0</v>
      </c>
      <c r="I162" s="530">
        <v>3883.0200000000004</v>
      </c>
      <c r="J162" s="530">
        <v>0</v>
      </c>
      <c r="K162" s="530">
        <v>0</v>
      </c>
      <c r="L162" s="530">
        <v>0</v>
      </c>
      <c r="M162" s="530">
        <v>274.84000000000003</v>
      </c>
      <c r="N162" s="530">
        <v>0</v>
      </c>
      <c r="O162" s="530">
        <v>0</v>
      </c>
      <c r="P162" s="530">
        <v>0</v>
      </c>
      <c r="Q162" s="530">
        <v>0</v>
      </c>
      <c r="R162" s="530">
        <v>0</v>
      </c>
      <c r="S162" s="530">
        <v>0</v>
      </c>
      <c r="T162" s="530">
        <v>42.529999999999994</v>
      </c>
      <c r="U162" s="530">
        <v>0</v>
      </c>
      <c r="V162" s="530">
        <v>0</v>
      </c>
      <c r="W162" s="530">
        <v>0</v>
      </c>
      <c r="X162" s="530">
        <v>0</v>
      </c>
      <c r="Y162" s="530">
        <v>0</v>
      </c>
      <c r="Z162" s="530">
        <v>0</v>
      </c>
      <c r="AA162" s="530">
        <v>0</v>
      </c>
      <c r="AB162" s="530">
        <v>0</v>
      </c>
      <c r="AC162" s="530">
        <v>0</v>
      </c>
      <c r="AD162" s="530">
        <v>0</v>
      </c>
      <c r="AE162" s="530">
        <v>0</v>
      </c>
      <c r="AF162" s="530">
        <v>7.88</v>
      </c>
      <c r="AG162" s="530">
        <v>0</v>
      </c>
      <c r="AH162" s="530">
        <f t="shared" si="24"/>
        <v>7187.8700000000008</v>
      </c>
    </row>
    <row r="163" spans="1:34" s="545" customFormat="1" ht="12.75" x14ac:dyDescent="0.2">
      <c r="A163" s="513">
        <v>66126</v>
      </c>
      <c r="B163" s="529" t="s">
        <v>685</v>
      </c>
      <c r="C163" s="530">
        <v>0</v>
      </c>
      <c r="D163" s="530">
        <v>0</v>
      </c>
      <c r="E163" s="530">
        <v>1659.36</v>
      </c>
      <c r="F163" s="530">
        <v>0</v>
      </c>
      <c r="G163" s="530">
        <v>0</v>
      </c>
      <c r="H163" s="530">
        <v>0</v>
      </c>
      <c r="I163" s="530">
        <v>18879</v>
      </c>
      <c r="J163" s="530">
        <v>0</v>
      </c>
      <c r="K163" s="530">
        <v>0</v>
      </c>
      <c r="L163" s="530">
        <v>0</v>
      </c>
      <c r="M163" s="530">
        <v>0</v>
      </c>
      <c r="N163" s="530">
        <v>0</v>
      </c>
      <c r="O163" s="530">
        <v>0</v>
      </c>
      <c r="P163" s="530">
        <v>2</v>
      </c>
      <c r="Q163" s="530">
        <v>0</v>
      </c>
      <c r="R163" s="530">
        <v>0</v>
      </c>
      <c r="S163" s="530">
        <v>0</v>
      </c>
      <c r="T163" s="530">
        <v>0</v>
      </c>
      <c r="U163" s="530">
        <v>0</v>
      </c>
      <c r="V163" s="530">
        <v>0</v>
      </c>
      <c r="W163" s="530">
        <v>0</v>
      </c>
      <c r="X163" s="530">
        <v>0</v>
      </c>
      <c r="Y163" s="530">
        <v>0</v>
      </c>
      <c r="Z163" s="530">
        <v>0</v>
      </c>
      <c r="AA163" s="530">
        <v>0</v>
      </c>
      <c r="AB163" s="530">
        <v>0</v>
      </c>
      <c r="AC163" s="530">
        <v>0</v>
      </c>
      <c r="AD163" s="530">
        <v>0</v>
      </c>
      <c r="AE163" s="530">
        <v>0</v>
      </c>
      <c r="AF163" s="530">
        <v>0</v>
      </c>
      <c r="AG163" s="530">
        <v>0</v>
      </c>
      <c r="AH163" s="530">
        <f t="shared" si="24"/>
        <v>20540.36</v>
      </c>
    </row>
    <row r="164" spans="1:34" s="545" customFormat="1" ht="12.75" x14ac:dyDescent="0.2">
      <c r="A164" s="513">
        <v>66127</v>
      </c>
      <c r="B164" s="529" t="s">
        <v>686</v>
      </c>
      <c r="C164" s="530">
        <v>0</v>
      </c>
      <c r="D164" s="530">
        <v>0</v>
      </c>
      <c r="E164" s="530">
        <v>103.28999999999999</v>
      </c>
      <c r="F164" s="530">
        <v>0</v>
      </c>
      <c r="G164" s="530">
        <v>0</v>
      </c>
      <c r="H164" s="530">
        <v>0</v>
      </c>
      <c r="I164" s="530">
        <v>9193.74</v>
      </c>
      <c r="J164" s="530">
        <v>0</v>
      </c>
      <c r="K164" s="530">
        <v>0</v>
      </c>
      <c r="L164" s="530">
        <v>0</v>
      </c>
      <c r="M164" s="530">
        <v>0</v>
      </c>
      <c r="N164" s="530">
        <v>0</v>
      </c>
      <c r="O164" s="530">
        <v>0</v>
      </c>
      <c r="P164" s="530">
        <v>670.67</v>
      </c>
      <c r="Q164" s="530">
        <v>0</v>
      </c>
      <c r="R164" s="530">
        <v>0</v>
      </c>
      <c r="S164" s="530">
        <v>0</v>
      </c>
      <c r="T164" s="530">
        <v>0</v>
      </c>
      <c r="U164" s="530">
        <v>0</v>
      </c>
      <c r="V164" s="530">
        <v>0</v>
      </c>
      <c r="W164" s="530">
        <v>0</v>
      </c>
      <c r="X164" s="530">
        <v>0</v>
      </c>
      <c r="Y164" s="530">
        <v>0</v>
      </c>
      <c r="Z164" s="530">
        <v>0</v>
      </c>
      <c r="AA164" s="530">
        <v>0</v>
      </c>
      <c r="AB164" s="530">
        <v>469.18</v>
      </c>
      <c r="AC164" s="530">
        <v>0</v>
      </c>
      <c r="AD164" s="530">
        <v>0</v>
      </c>
      <c r="AE164" s="530">
        <v>0</v>
      </c>
      <c r="AF164" s="530">
        <v>0</v>
      </c>
      <c r="AG164" s="530">
        <v>0</v>
      </c>
      <c r="AH164" s="530">
        <f t="shared" si="24"/>
        <v>10436.880000000001</v>
      </c>
    </row>
    <row r="165" spans="1:34" s="545" customFormat="1" ht="12.75" x14ac:dyDescent="0.2">
      <c r="A165" s="513">
        <v>66130</v>
      </c>
      <c r="B165" s="529" t="s">
        <v>687</v>
      </c>
      <c r="C165" s="530">
        <v>488.37</v>
      </c>
      <c r="D165" s="530">
        <v>0</v>
      </c>
      <c r="E165" s="530">
        <v>211.89999999999998</v>
      </c>
      <c r="F165" s="530">
        <v>0</v>
      </c>
      <c r="G165" s="530">
        <v>879.69999999999993</v>
      </c>
      <c r="H165" s="530">
        <v>0</v>
      </c>
      <c r="I165" s="530">
        <v>2023.88</v>
      </c>
      <c r="J165" s="530">
        <v>160.5</v>
      </c>
      <c r="K165" s="530">
        <v>0</v>
      </c>
      <c r="L165" s="530">
        <v>160.5</v>
      </c>
      <c r="M165" s="530">
        <v>784.9</v>
      </c>
      <c r="N165" s="530">
        <v>0</v>
      </c>
      <c r="O165" s="530">
        <v>0</v>
      </c>
      <c r="P165" s="530">
        <v>2807.9700000000003</v>
      </c>
      <c r="Q165" s="530">
        <v>0</v>
      </c>
      <c r="R165" s="530">
        <v>172.32</v>
      </c>
      <c r="S165" s="530">
        <v>547.41999999999996</v>
      </c>
      <c r="T165" s="530">
        <v>0</v>
      </c>
      <c r="U165" s="530">
        <v>271.89999999999998</v>
      </c>
      <c r="V165" s="530">
        <v>160.5</v>
      </c>
      <c r="W165" s="530">
        <v>270</v>
      </c>
      <c r="X165" s="530">
        <v>372.40000000000003</v>
      </c>
      <c r="Y165" s="530">
        <v>321</v>
      </c>
      <c r="Z165" s="530">
        <v>532.63</v>
      </c>
      <c r="AA165" s="530">
        <v>0</v>
      </c>
      <c r="AB165" s="530">
        <v>411.48</v>
      </c>
      <c r="AC165" s="530">
        <v>760.85</v>
      </c>
      <c r="AD165" s="530">
        <v>0</v>
      </c>
      <c r="AE165" s="530">
        <v>0</v>
      </c>
      <c r="AF165" s="530">
        <v>848.36</v>
      </c>
      <c r="AG165" s="530">
        <v>0</v>
      </c>
      <c r="AH165" s="530">
        <f t="shared" si="24"/>
        <v>12186.579999999998</v>
      </c>
    </row>
    <row r="166" spans="1:34" s="545" customFormat="1" ht="12.75" x14ac:dyDescent="0.2">
      <c r="A166" s="513">
        <v>66134</v>
      </c>
      <c r="B166" s="529" t="s">
        <v>688</v>
      </c>
      <c r="C166" s="530">
        <v>0</v>
      </c>
      <c r="D166" s="530">
        <v>0</v>
      </c>
      <c r="E166" s="530">
        <v>0</v>
      </c>
      <c r="F166" s="530">
        <v>0</v>
      </c>
      <c r="G166" s="530">
        <v>0</v>
      </c>
      <c r="H166" s="530">
        <v>0</v>
      </c>
      <c r="I166" s="530">
        <v>0</v>
      </c>
      <c r="J166" s="530">
        <v>0</v>
      </c>
      <c r="K166" s="530">
        <v>0</v>
      </c>
      <c r="L166" s="530">
        <v>0</v>
      </c>
      <c r="M166" s="530">
        <v>0</v>
      </c>
      <c r="N166" s="530">
        <v>0</v>
      </c>
      <c r="O166" s="530">
        <v>0</v>
      </c>
      <c r="P166" s="530">
        <v>0</v>
      </c>
      <c r="Q166" s="530">
        <v>0</v>
      </c>
      <c r="R166" s="530">
        <v>0</v>
      </c>
      <c r="S166" s="530">
        <v>0</v>
      </c>
      <c r="T166" s="530">
        <v>0</v>
      </c>
      <c r="U166" s="530">
        <v>0</v>
      </c>
      <c r="V166" s="530">
        <v>0</v>
      </c>
      <c r="W166" s="530">
        <v>0</v>
      </c>
      <c r="X166" s="530">
        <v>0</v>
      </c>
      <c r="Y166" s="530">
        <v>0</v>
      </c>
      <c r="Z166" s="530">
        <v>0</v>
      </c>
      <c r="AA166" s="530">
        <v>0</v>
      </c>
      <c r="AB166" s="530">
        <v>0</v>
      </c>
      <c r="AC166" s="530">
        <v>0</v>
      </c>
      <c r="AD166" s="530">
        <v>0</v>
      </c>
      <c r="AE166" s="530">
        <v>0</v>
      </c>
      <c r="AF166" s="530">
        <v>0</v>
      </c>
      <c r="AG166" s="530">
        <v>0</v>
      </c>
      <c r="AH166" s="530">
        <f t="shared" si="24"/>
        <v>0</v>
      </c>
    </row>
    <row r="167" spans="1:34" s="545" customFormat="1" ht="12.75" x14ac:dyDescent="0.2">
      <c r="A167" s="513">
        <v>66138</v>
      </c>
      <c r="B167" s="529" t="s">
        <v>689</v>
      </c>
      <c r="C167" s="530">
        <v>7418.57</v>
      </c>
      <c r="D167" s="530">
        <v>0</v>
      </c>
      <c r="E167" s="530">
        <v>5728.97</v>
      </c>
      <c r="F167" s="530">
        <v>0</v>
      </c>
      <c r="G167" s="530">
        <v>21505.960000000003</v>
      </c>
      <c r="H167" s="530">
        <v>0</v>
      </c>
      <c r="I167" s="530">
        <v>23639.82</v>
      </c>
      <c r="J167" s="530">
        <v>0</v>
      </c>
      <c r="K167" s="530">
        <v>0</v>
      </c>
      <c r="L167" s="530">
        <v>0</v>
      </c>
      <c r="M167" s="530">
        <v>5359.4800000000005</v>
      </c>
      <c r="N167" s="530">
        <v>0</v>
      </c>
      <c r="O167" s="530">
        <v>0</v>
      </c>
      <c r="P167" s="530">
        <v>1595.54</v>
      </c>
      <c r="Q167" s="530">
        <v>0</v>
      </c>
      <c r="R167" s="530">
        <v>2969.99</v>
      </c>
      <c r="S167" s="530">
        <v>5671.5599999999995</v>
      </c>
      <c r="T167" s="530">
        <v>5632.51</v>
      </c>
      <c r="U167" s="530">
        <v>1082.8700000000001</v>
      </c>
      <c r="V167" s="530">
        <v>0</v>
      </c>
      <c r="W167" s="530">
        <v>0</v>
      </c>
      <c r="X167" s="530">
        <v>0</v>
      </c>
      <c r="Y167" s="530">
        <v>0</v>
      </c>
      <c r="Z167" s="530">
        <v>19.43</v>
      </c>
      <c r="AA167" s="530">
        <v>61.01</v>
      </c>
      <c r="AB167" s="530">
        <v>2970.48</v>
      </c>
      <c r="AC167" s="530">
        <v>41.32</v>
      </c>
      <c r="AD167" s="530">
        <v>0</v>
      </c>
      <c r="AE167" s="530">
        <v>0</v>
      </c>
      <c r="AF167" s="530">
        <v>27088.660000000003</v>
      </c>
      <c r="AG167" s="530">
        <v>0</v>
      </c>
      <c r="AH167" s="530">
        <f t="shared" si="24"/>
        <v>110786.16999999998</v>
      </c>
    </row>
    <row r="168" spans="1:34" s="545" customFormat="1" ht="12.75" x14ac:dyDescent="0.2">
      <c r="A168" s="513">
        <v>66140</v>
      </c>
      <c r="B168" s="529" t="s">
        <v>690</v>
      </c>
      <c r="C168" s="530">
        <v>-2535.7399999999998</v>
      </c>
      <c r="D168" s="530">
        <v>0</v>
      </c>
      <c r="E168" s="530">
        <v>-6820.9699999999993</v>
      </c>
      <c r="F168" s="530">
        <v>0</v>
      </c>
      <c r="G168" s="530">
        <v>-9150.39</v>
      </c>
      <c r="H168" s="530">
        <v>0</v>
      </c>
      <c r="I168" s="530">
        <v>-4242.18</v>
      </c>
      <c r="J168" s="530">
        <v>0</v>
      </c>
      <c r="K168" s="530">
        <v>-5833.71</v>
      </c>
      <c r="L168" s="530">
        <v>0</v>
      </c>
      <c r="M168" s="530">
        <v>4720.16</v>
      </c>
      <c r="N168" s="530">
        <v>0</v>
      </c>
      <c r="O168" s="530">
        <v>0</v>
      </c>
      <c r="P168" s="530">
        <v>-20711.010000000002</v>
      </c>
      <c r="Q168" s="530">
        <v>0</v>
      </c>
      <c r="R168" s="530">
        <v>1731.52</v>
      </c>
      <c r="S168" s="530">
        <v>0</v>
      </c>
      <c r="T168" s="530">
        <v>-5169.09</v>
      </c>
      <c r="U168" s="530">
        <v>3846.6</v>
      </c>
      <c r="V168" s="530">
        <v>5749.4699999999993</v>
      </c>
      <c r="W168" s="530">
        <v>5994.78</v>
      </c>
      <c r="X168" s="530">
        <v>4256.99</v>
      </c>
      <c r="Y168" s="530">
        <v>1450.94</v>
      </c>
      <c r="Z168" s="530">
        <v>2382.73</v>
      </c>
      <c r="AA168" s="530">
        <v>0</v>
      </c>
      <c r="AB168" s="530">
        <v>978.26</v>
      </c>
      <c r="AC168" s="530">
        <v>6266.1699999999992</v>
      </c>
      <c r="AD168" s="530">
        <v>0</v>
      </c>
      <c r="AE168" s="530">
        <v>0</v>
      </c>
      <c r="AF168" s="530">
        <v>-5333.62</v>
      </c>
      <c r="AG168" s="530">
        <v>0</v>
      </c>
      <c r="AH168" s="530">
        <f t="shared" si="24"/>
        <v>-22419.090000000011</v>
      </c>
    </row>
    <row r="169" spans="1:34" s="545" customFormat="1" ht="12.75" x14ac:dyDescent="0.2">
      <c r="A169" s="513" t="s">
        <v>691</v>
      </c>
      <c r="B169" s="529" t="s">
        <v>692</v>
      </c>
      <c r="C169" s="530">
        <v>921.7</v>
      </c>
      <c r="D169" s="530">
        <v>0</v>
      </c>
      <c r="E169" s="530">
        <v>177.19</v>
      </c>
      <c r="F169" s="530">
        <v>0</v>
      </c>
      <c r="G169" s="530">
        <v>24029.37</v>
      </c>
      <c r="H169" s="530">
        <v>0</v>
      </c>
      <c r="I169" s="530">
        <v>9476.17</v>
      </c>
      <c r="J169" s="530">
        <v>0</v>
      </c>
      <c r="K169" s="530">
        <v>225.17000000000002</v>
      </c>
      <c r="L169" s="530">
        <v>0</v>
      </c>
      <c r="M169" s="530">
        <v>1940.89</v>
      </c>
      <c r="N169" s="530">
        <v>0</v>
      </c>
      <c r="O169" s="530">
        <v>0</v>
      </c>
      <c r="P169" s="530">
        <v>325.92</v>
      </c>
      <c r="Q169" s="530">
        <v>0</v>
      </c>
      <c r="R169" s="530">
        <v>116.67999999999999</v>
      </c>
      <c r="S169" s="530">
        <v>463.96000000000004</v>
      </c>
      <c r="T169" s="530">
        <v>480.34999999999997</v>
      </c>
      <c r="U169" s="530">
        <v>125.89000000000001</v>
      </c>
      <c r="V169" s="530">
        <v>0</v>
      </c>
      <c r="W169" s="530">
        <v>0</v>
      </c>
      <c r="X169" s="530">
        <v>346.53</v>
      </c>
      <c r="Y169" s="530">
        <v>0</v>
      </c>
      <c r="Z169" s="530">
        <v>333.42</v>
      </c>
      <c r="AA169" s="530">
        <v>72.56</v>
      </c>
      <c r="AB169" s="530">
        <v>438.42</v>
      </c>
      <c r="AC169" s="530">
        <v>132.76000000000002</v>
      </c>
      <c r="AD169" s="530">
        <v>0</v>
      </c>
      <c r="AE169" s="530">
        <v>0.01</v>
      </c>
      <c r="AF169" s="530">
        <v>3655.74</v>
      </c>
      <c r="AG169" s="530">
        <v>0</v>
      </c>
      <c r="AH169" s="530">
        <f t="shared" si="24"/>
        <v>43262.729999999989</v>
      </c>
    </row>
    <row r="170" spans="1:34" s="545" customFormat="1" ht="12.75" x14ac:dyDescent="0.2">
      <c r="A170" s="513">
        <v>66154</v>
      </c>
      <c r="B170" s="529" t="s">
        <v>693</v>
      </c>
      <c r="C170" s="530">
        <v>0</v>
      </c>
      <c r="D170" s="530">
        <v>0</v>
      </c>
      <c r="E170" s="530">
        <v>0</v>
      </c>
      <c r="F170" s="530">
        <v>0</v>
      </c>
      <c r="G170" s="530">
        <v>0</v>
      </c>
      <c r="H170" s="530">
        <v>0</v>
      </c>
      <c r="I170" s="530">
        <v>0</v>
      </c>
      <c r="J170" s="530">
        <v>0</v>
      </c>
      <c r="K170" s="530">
        <v>0</v>
      </c>
      <c r="L170" s="530">
        <v>0</v>
      </c>
      <c r="M170" s="530">
        <v>0</v>
      </c>
      <c r="N170" s="530">
        <v>0</v>
      </c>
      <c r="O170" s="530">
        <v>0</v>
      </c>
      <c r="P170" s="530">
        <v>0</v>
      </c>
      <c r="Q170" s="530">
        <v>0</v>
      </c>
      <c r="R170" s="530">
        <v>0</v>
      </c>
      <c r="S170" s="530">
        <v>0</v>
      </c>
      <c r="T170" s="530">
        <v>0</v>
      </c>
      <c r="U170" s="530">
        <v>0</v>
      </c>
      <c r="V170" s="530">
        <v>0</v>
      </c>
      <c r="W170" s="530">
        <v>0</v>
      </c>
      <c r="X170" s="530">
        <v>0</v>
      </c>
      <c r="Y170" s="530">
        <v>0</v>
      </c>
      <c r="Z170" s="530">
        <v>0</v>
      </c>
      <c r="AA170" s="530">
        <v>0</v>
      </c>
      <c r="AB170" s="530">
        <v>0</v>
      </c>
      <c r="AC170" s="530">
        <v>0</v>
      </c>
      <c r="AD170" s="530">
        <v>0</v>
      </c>
      <c r="AE170" s="530">
        <v>0</v>
      </c>
      <c r="AF170" s="530">
        <v>0</v>
      </c>
      <c r="AG170" s="530">
        <v>0</v>
      </c>
      <c r="AH170" s="530">
        <f t="shared" si="24"/>
        <v>0</v>
      </c>
    </row>
    <row r="171" spans="1:34" s="545" customFormat="1" ht="12.75" x14ac:dyDescent="0.2">
      <c r="A171" s="513">
        <v>66156</v>
      </c>
      <c r="B171" s="529" t="s">
        <v>694</v>
      </c>
      <c r="C171" s="530">
        <v>0</v>
      </c>
      <c r="D171" s="530">
        <v>0</v>
      </c>
      <c r="E171" s="530">
        <v>0</v>
      </c>
      <c r="F171" s="530">
        <v>0</v>
      </c>
      <c r="G171" s="530">
        <v>0</v>
      </c>
      <c r="H171" s="530">
        <v>0</v>
      </c>
      <c r="I171" s="530">
        <v>0</v>
      </c>
      <c r="J171" s="530">
        <v>0</v>
      </c>
      <c r="K171" s="530">
        <v>0</v>
      </c>
      <c r="L171" s="530">
        <v>0</v>
      </c>
      <c r="M171" s="530">
        <v>0</v>
      </c>
      <c r="N171" s="530">
        <v>0</v>
      </c>
      <c r="O171" s="530">
        <v>0</v>
      </c>
      <c r="P171" s="530">
        <v>0</v>
      </c>
      <c r="Q171" s="530">
        <v>0</v>
      </c>
      <c r="R171" s="530">
        <v>0</v>
      </c>
      <c r="S171" s="530">
        <v>0</v>
      </c>
      <c r="T171" s="530">
        <v>0</v>
      </c>
      <c r="U171" s="530">
        <v>0</v>
      </c>
      <c r="V171" s="530">
        <v>0</v>
      </c>
      <c r="W171" s="530">
        <v>0</v>
      </c>
      <c r="X171" s="530">
        <v>0</v>
      </c>
      <c r="Y171" s="530">
        <v>0</v>
      </c>
      <c r="Z171" s="530">
        <v>0</v>
      </c>
      <c r="AA171" s="530">
        <v>0</v>
      </c>
      <c r="AB171" s="530">
        <v>0</v>
      </c>
      <c r="AC171" s="530">
        <v>0</v>
      </c>
      <c r="AD171" s="530">
        <v>0</v>
      </c>
      <c r="AE171" s="530">
        <v>0</v>
      </c>
      <c r="AF171" s="530">
        <v>0</v>
      </c>
      <c r="AG171" s="530">
        <v>0</v>
      </c>
      <c r="AH171" s="530">
        <f t="shared" si="24"/>
        <v>0</v>
      </c>
    </row>
    <row r="172" spans="1:34" s="545" customFormat="1" ht="12.75" x14ac:dyDescent="0.2">
      <c r="A172" s="513">
        <v>66157</v>
      </c>
      <c r="B172" s="529" t="s">
        <v>695</v>
      </c>
      <c r="C172" s="530">
        <v>0</v>
      </c>
      <c r="D172" s="530">
        <v>0</v>
      </c>
      <c r="E172" s="530">
        <v>0</v>
      </c>
      <c r="F172" s="530">
        <v>0</v>
      </c>
      <c r="G172" s="530">
        <v>0</v>
      </c>
      <c r="H172" s="530">
        <v>0</v>
      </c>
      <c r="I172" s="530">
        <v>0</v>
      </c>
      <c r="J172" s="530">
        <v>0</v>
      </c>
      <c r="K172" s="530">
        <v>0</v>
      </c>
      <c r="L172" s="530">
        <v>0</v>
      </c>
      <c r="M172" s="530">
        <v>0</v>
      </c>
      <c r="N172" s="530">
        <v>0</v>
      </c>
      <c r="O172" s="530">
        <v>0</v>
      </c>
      <c r="P172" s="530">
        <v>0</v>
      </c>
      <c r="Q172" s="530">
        <v>0</v>
      </c>
      <c r="R172" s="530">
        <v>0</v>
      </c>
      <c r="S172" s="530">
        <v>0</v>
      </c>
      <c r="T172" s="530">
        <v>0</v>
      </c>
      <c r="U172" s="530">
        <v>0</v>
      </c>
      <c r="V172" s="530">
        <v>0</v>
      </c>
      <c r="W172" s="530">
        <v>0</v>
      </c>
      <c r="X172" s="530">
        <v>0</v>
      </c>
      <c r="Y172" s="530">
        <v>0</v>
      </c>
      <c r="Z172" s="530">
        <v>0</v>
      </c>
      <c r="AA172" s="530">
        <v>0</v>
      </c>
      <c r="AB172" s="530">
        <v>0</v>
      </c>
      <c r="AC172" s="530">
        <v>0</v>
      </c>
      <c r="AD172" s="530">
        <v>0</v>
      </c>
      <c r="AE172" s="530">
        <v>0</v>
      </c>
      <c r="AF172" s="530">
        <v>0</v>
      </c>
      <c r="AG172" s="530">
        <v>0</v>
      </c>
      <c r="AH172" s="530">
        <f t="shared" si="24"/>
        <v>0</v>
      </c>
    </row>
    <row r="173" spans="1:34" s="545" customFormat="1" ht="12.75" x14ac:dyDescent="0.2">
      <c r="A173" s="513">
        <v>66158</v>
      </c>
      <c r="B173" s="529" t="s">
        <v>696</v>
      </c>
      <c r="C173" s="530">
        <v>0</v>
      </c>
      <c r="D173" s="530">
        <v>0</v>
      </c>
      <c r="E173" s="530">
        <v>0</v>
      </c>
      <c r="F173" s="530">
        <v>0</v>
      </c>
      <c r="G173" s="530">
        <v>0</v>
      </c>
      <c r="H173" s="530">
        <v>0</v>
      </c>
      <c r="I173" s="530">
        <v>0</v>
      </c>
      <c r="J173" s="530">
        <v>0</v>
      </c>
      <c r="K173" s="530">
        <v>0</v>
      </c>
      <c r="L173" s="530">
        <v>0</v>
      </c>
      <c r="M173" s="530">
        <v>0</v>
      </c>
      <c r="N173" s="530">
        <v>0</v>
      </c>
      <c r="O173" s="530">
        <v>0</v>
      </c>
      <c r="P173" s="530">
        <v>0</v>
      </c>
      <c r="Q173" s="530">
        <v>0</v>
      </c>
      <c r="R173" s="530">
        <v>0</v>
      </c>
      <c r="S173" s="530">
        <v>0</v>
      </c>
      <c r="T173" s="530">
        <v>0</v>
      </c>
      <c r="U173" s="530">
        <v>0</v>
      </c>
      <c r="V173" s="530">
        <v>0</v>
      </c>
      <c r="W173" s="530">
        <v>0</v>
      </c>
      <c r="X173" s="530">
        <v>0</v>
      </c>
      <c r="Y173" s="530">
        <v>0</v>
      </c>
      <c r="Z173" s="530">
        <v>0</v>
      </c>
      <c r="AA173" s="530">
        <v>0</v>
      </c>
      <c r="AB173" s="530">
        <v>0</v>
      </c>
      <c r="AC173" s="530">
        <v>0</v>
      </c>
      <c r="AD173" s="530">
        <v>0</v>
      </c>
      <c r="AE173" s="530">
        <v>0</v>
      </c>
      <c r="AF173" s="530">
        <v>0</v>
      </c>
      <c r="AG173" s="530">
        <v>0</v>
      </c>
      <c r="AH173" s="530">
        <f t="shared" si="24"/>
        <v>0</v>
      </c>
    </row>
    <row r="174" spans="1:34" s="545" customFormat="1" ht="12.75" x14ac:dyDescent="0.2">
      <c r="A174" s="513">
        <v>66159</v>
      </c>
      <c r="B174" s="529" t="s">
        <v>697</v>
      </c>
      <c r="C174" s="530">
        <v>0</v>
      </c>
      <c r="D174" s="530">
        <v>0</v>
      </c>
      <c r="E174" s="530">
        <v>0</v>
      </c>
      <c r="F174" s="530">
        <v>0</v>
      </c>
      <c r="G174" s="530">
        <v>0</v>
      </c>
      <c r="H174" s="530">
        <v>0</v>
      </c>
      <c r="I174" s="530">
        <v>0</v>
      </c>
      <c r="J174" s="530">
        <v>0</v>
      </c>
      <c r="K174" s="530">
        <v>0</v>
      </c>
      <c r="L174" s="530">
        <v>0</v>
      </c>
      <c r="M174" s="530">
        <v>0</v>
      </c>
      <c r="N174" s="530">
        <v>0</v>
      </c>
      <c r="O174" s="530">
        <v>0</v>
      </c>
      <c r="P174" s="530">
        <v>0</v>
      </c>
      <c r="Q174" s="530">
        <v>0</v>
      </c>
      <c r="R174" s="530">
        <v>0</v>
      </c>
      <c r="S174" s="530">
        <v>0</v>
      </c>
      <c r="T174" s="530">
        <v>0</v>
      </c>
      <c r="U174" s="530">
        <v>0</v>
      </c>
      <c r="V174" s="530">
        <v>0</v>
      </c>
      <c r="W174" s="530">
        <v>0</v>
      </c>
      <c r="X174" s="530">
        <v>0</v>
      </c>
      <c r="Y174" s="530">
        <v>0</v>
      </c>
      <c r="Z174" s="530">
        <v>0</v>
      </c>
      <c r="AA174" s="530">
        <v>0</v>
      </c>
      <c r="AB174" s="530">
        <v>0</v>
      </c>
      <c r="AC174" s="530">
        <v>0</v>
      </c>
      <c r="AD174" s="530">
        <v>0</v>
      </c>
      <c r="AE174" s="530">
        <v>0</v>
      </c>
      <c r="AF174" s="530">
        <v>0</v>
      </c>
      <c r="AG174" s="530">
        <v>0</v>
      </c>
      <c r="AH174" s="530">
        <f t="shared" si="24"/>
        <v>0</v>
      </c>
    </row>
    <row r="175" spans="1:34" s="545" customFormat="1" ht="12.75" x14ac:dyDescent="0.2">
      <c r="A175" s="513">
        <v>66160</v>
      </c>
      <c r="B175" s="529" t="s">
        <v>698</v>
      </c>
      <c r="C175" s="530">
        <v>0</v>
      </c>
      <c r="D175" s="530">
        <v>0</v>
      </c>
      <c r="E175" s="530">
        <v>0</v>
      </c>
      <c r="F175" s="530">
        <v>0</v>
      </c>
      <c r="G175" s="530">
        <v>0</v>
      </c>
      <c r="H175" s="530">
        <v>0</v>
      </c>
      <c r="I175" s="530">
        <v>0</v>
      </c>
      <c r="J175" s="530">
        <v>0</v>
      </c>
      <c r="K175" s="530">
        <v>0</v>
      </c>
      <c r="L175" s="530">
        <v>0</v>
      </c>
      <c r="M175" s="530">
        <v>0</v>
      </c>
      <c r="N175" s="530">
        <v>0</v>
      </c>
      <c r="O175" s="530">
        <v>0</v>
      </c>
      <c r="P175" s="530">
        <v>0</v>
      </c>
      <c r="Q175" s="530">
        <v>0</v>
      </c>
      <c r="R175" s="530">
        <v>0</v>
      </c>
      <c r="S175" s="530">
        <v>0</v>
      </c>
      <c r="T175" s="530">
        <v>0</v>
      </c>
      <c r="U175" s="530">
        <v>0</v>
      </c>
      <c r="V175" s="530">
        <v>0</v>
      </c>
      <c r="W175" s="530">
        <v>0</v>
      </c>
      <c r="X175" s="530">
        <v>0</v>
      </c>
      <c r="Y175" s="530">
        <v>0</v>
      </c>
      <c r="Z175" s="530">
        <v>0</v>
      </c>
      <c r="AA175" s="530">
        <v>0</v>
      </c>
      <c r="AB175" s="530">
        <v>0</v>
      </c>
      <c r="AC175" s="530">
        <v>0</v>
      </c>
      <c r="AD175" s="530">
        <v>0</v>
      </c>
      <c r="AE175" s="530">
        <v>0</v>
      </c>
      <c r="AF175" s="530">
        <v>0</v>
      </c>
      <c r="AG175" s="530">
        <v>0</v>
      </c>
      <c r="AH175" s="530">
        <f t="shared" si="24"/>
        <v>0</v>
      </c>
    </row>
    <row r="176" spans="1:34" s="545" customFormat="1" ht="12.75" x14ac:dyDescent="0.2">
      <c r="A176" s="513">
        <v>66162</v>
      </c>
      <c r="B176" s="529" t="s">
        <v>699</v>
      </c>
      <c r="C176" s="530">
        <v>0</v>
      </c>
      <c r="D176" s="530">
        <v>0</v>
      </c>
      <c r="E176" s="530">
        <v>0</v>
      </c>
      <c r="F176" s="530">
        <v>0</v>
      </c>
      <c r="G176" s="530">
        <v>0</v>
      </c>
      <c r="H176" s="530">
        <v>0</v>
      </c>
      <c r="I176" s="530">
        <v>3.14</v>
      </c>
      <c r="J176" s="530">
        <v>0</v>
      </c>
      <c r="K176" s="530">
        <v>0</v>
      </c>
      <c r="L176" s="530">
        <v>0</v>
      </c>
      <c r="M176" s="530">
        <v>0</v>
      </c>
      <c r="N176" s="530">
        <v>0</v>
      </c>
      <c r="O176" s="530">
        <v>0</v>
      </c>
      <c r="P176" s="530">
        <v>0</v>
      </c>
      <c r="Q176" s="530">
        <v>0</v>
      </c>
      <c r="R176" s="530">
        <v>0</v>
      </c>
      <c r="S176" s="530">
        <v>0</v>
      </c>
      <c r="T176" s="530">
        <v>0</v>
      </c>
      <c r="U176" s="530">
        <v>0</v>
      </c>
      <c r="V176" s="530">
        <v>0</v>
      </c>
      <c r="W176" s="530">
        <v>0</v>
      </c>
      <c r="X176" s="530">
        <v>0</v>
      </c>
      <c r="Y176" s="530">
        <v>0</v>
      </c>
      <c r="Z176" s="530">
        <v>0</v>
      </c>
      <c r="AA176" s="530">
        <v>0</v>
      </c>
      <c r="AB176" s="530">
        <v>0</v>
      </c>
      <c r="AC176" s="530">
        <v>0</v>
      </c>
      <c r="AD176" s="530">
        <v>0</v>
      </c>
      <c r="AE176" s="530">
        <v>0</v>
      </c>
      <c r="AF176" s="530">
        <v>0</v>
      </c>
      <c r="AG176" s="530">
        <v>0</v>
      </c>
      <c r="AH176" s="530">
        <f t="shared" si="24"/>
        <v>3.14</v>
      </c>
    </row>
    <row r="177" spans="1:34" s="545" customFormat="1" ht="12.75" x14ac:dyDescent="0.2">
      <c r="A177" s="513">
        <v>66164</v>
      </c>
      <c r="B177" s="529" t="s">
        <v>700</v>
      </c>
      <c r="C177" s="530">
        <v>0</v>
      </c>
      <c r="D177" s="530">
        <v>0</v>
      </c>
      <c r="E177" s="530">
        <v>0</v>
      </c>
      <c r="F177" s="530">
        <v>0</v>
      </c>
      <c r="G177" s="530">
        <v>0</v>
      </c>
      <c r="H177" s="530">
        <v>0</v>
      </c>
      <c r="I177" s="530">
        <v>0</v>
      </c>
      <c r="J177" s="530">
        <v>0</v>
      </c>
      <c r="K177" s="530">
        <v>0</v>
      </c>
      <c r="L177" s="530">
        <v>0</v>
      </c>
      <c r="M177" s="530">
        <v>0</v>
      </c>
      <c r="N177" s="530">
        <v>0</v>
      </c>
      <c r="O177" s="530">
        <v>0</v>
      </c>
      <c r="P177" s="530">
        <v>0</v>
      </c>
      <c r="Q177" s="530">
        <v>0</v>
      </c>
      <c r="R177" s="530">
        <v>0</v>
      </c>
      <c r="S177" s="530">
        <v>0</v>
      </c>
      <c r="T177" s="530">
        <v>0</v>
      </c>
      <c r="U177" s="530">
        <v>0</v>
      </c>
      <c r="V177" s="530">
        <v>0</v>
      </c>
      <c r="W177" s="530">
        <v>0</v>
      </c>
      <c r="X177" s="530">
        <v>0</v>
      </c>
      <c r="Y177" s="530">
        <v>0</v>
      </c>
      <c r="Z177" s="530">
        <v>0</v>
      </c>
      <c r="AA177" s="530">
        <v>0</v>
      </c>
      <c r="AB177" s="530">
        <v>0</v>
      </c>
      <c r="AC177" s="530">
        <v>0</v>
      </c>
      <c r="AD177" s="530">
        <v>0</v>
      </c>
      <c r="AE177" s="530">
        <v>0</v>
      </c>
      <c r="AF177" s="530">
        <v>0</v>
      </c>
      <c r="AG177" s="530">
        <v>0</v>
      </c>
      <c r="AH177" s="530">
        <f t="shared" si="24"/>
        <v>0</v>
      </c>
    </row>
    <row r="178" spans="1:34" s="545" customFormat="1" ht="12.75" x14ac:dyDescent="0.2">
      <c r="A178" s="513">
        <v>66166</v>
      </c>
      <c r="B178" s="529" t="s">
        <v>701</v>
      </c>
      <c r="C178" s="530">
        <v>0</v>
      </c>
      <c r="D178" s="530">
        <v>0</v>
      </c>
      <c r="E178" s="530">
        <v>0</v>
      </c>
      <c r="F178" s="530">
        <v>0</v>
      </c>
      <c r="G178" s="530">
        <v>2482.27</v>
      </c>
      <c r="H178" s="530">
        <v>0</v>
      </c>
      <c r="I178" s="530">
        <v>0</v>
      </c>
      <c r="J178" s="530">
        <v>0</v>
      </c>
      <c r="K178" s="530">
        <v>0</v>
      </c>
      <c r="L178" s="530">
        <v>0</v>
      </c>
      <c r="M178" s="530">
        <v>0</v>
      </c>
      <c r="N178" s="530">
        <v>0</v>
      </c>
      <c r="O178" s="530">
        <v>0</v>
      </c>
      <c r="P178" s="530">
        <v>0</v>
      </c>
      <c r="Q178" s="530">
        <v>0</v>
      </c>
      <c r="R178" s="530">
        <v>0</v>
      </c>
      <c r="S178" s="530">
        <v>0</v>
      </c>
      <c r="T178" s="530">
        <v>0</v>
      </c>
      <c r="U178" s="530">
        <v>0</v>
      </c>
      <c r="V178" s="530">
        <v>0</v>
      </c>
      <c r="W178" s="530">
        <v>0</v>
      </c>
      <c r="X178" s="530">
        <v>0</v>
      </c>
      <c r="Y178" s="530">
        <v>0</v>
      </c>
      <c r="Z178" s="530">
        <v>0</v>
      </c>
      <c r="AA178" s="530">
        <v>0</v>
      </c>
      <c r="AB178" s="530">
        <v>0</v>
      </c>
      <c r="AC178" s="530">
        <v>0</v>
      </c>
      <c r="AD178" s="530">
        <v>0</v>
      </c>
      <c r="AE178" s="530">
        <v>0</v>
      </c>
      <c r="AF178" s="530">
        <v>0</v>
      </c>
      <c r="AG178" s="530">
        <v>0</v>
      </c>
      <c r="AH178" s="530">
        <f t="shared" si="24"/>
        <v>2482.27</v>
      </c>
    </row>
    <row r="179" spans="1:34" s="545" customFormat="1" ht="12.75" x14ac:dyDescent="0.2">
      <c r="A179" s="513">
        <v>66168</v>
      </c>
      <c r="B179" s="529" t="s">
        <v>702</v>
      </c>
      <c r="C179" s="530">
        <v>0</v>
      </c>
      <c r="D179" s="530">
        <v>0</v>
      </c>
      <c r="E179" s="530">
        <v>0</v>
      </c>
      <c r="F179" s="530">
        <v>0</v>
      </c>
      <c r="G179" s="530">
        <v>0</v>
      </c>
      <c r="H179" s="530">
        <v>0</v>
      </c>
      <c r="I179" s="530">
        <v>0</v>
      </c>
      <c r="J179" s="530">
        <v>0</v>
      </c>
      <c r="K179" s="530">
        <v>0</v>
      </c>
      <c r="L179" s="530">
        <v>0</v>
      </c>
      <c r="M179" s="530">
        <v>0</v>
      </c>
      <c r="N179" s="530">
        <v>0</v>
      </c>
      <c r="O179" s="530">
        <v>0</v>
      </c>
      <c r="P179" s="530">
        <v>0</v>
      </c>
      <c r="Q179" s="530">
        <v>0</v>
      </c>
      <c r="R179" s="530">
        <v>0</v>
      </c>
      <c r="S179" s="530">
        <v>0</v>
      </c>
      <c r="T179" s="530">
        <v>0</v>
      </c>
      <c r="U179" s="530">
        <v>0</v>
      </c>
      <c r="V179" s="530">
        <v>0</v>
      </c>
      <c r="W179" s="530">
        <v>0</v>
      </c>
      <c r="X179" s="530">
        <v>0</v>
      </c>
      <c r="Y179" s="530">
        <v>0</v>
      </c>
      <c r="Z179" s="530">
        <v>0</v>
      </c>
      <c r="AA179" s="530">
        <v>0</v>
      </c>
      <c r="AB179" s="530">
        <v>0</v>
      </c>
      <c r="AC179" s="530">
        <v>0</v>
      </c>
      <c r="AD179" s="530">
        <v>0</v>
      </c>
      <c r="AE179" s="530">
        <v>0</v>
      </c>
      <c r="AF179" s="530">
        <v>0</v>
      </c>
      <c r="AG179" s="530">
        <v>0</v>
      </c>
      <c r="AH179" s="530">
        <f t="shared" si="24"/>
        <v>0</v>
      </c>
    </row>
    <row r="180" spans="1:34" s="545" customFormat="1" ht="12.75" x14ac:dyDescent="0.2">
      <c r="A180" s="513" t="s">
        <v>703</v>
      </c>
      <c r="B180" s="529" t="s">
        <v>704</v>
      </c>
      <c r="C180" s="530">
        <v>0</v>
      </c>
      <c r="D180" s="530">
        <v>0</v>
      </c>
      <c r="E180" s="530">
        <v>0</v>
      </c>
      <c r="F180" s="530">
        <v>0</v>
      </c>
      <c r="G180" s="530">
        <v>0</v>
      </c>
      <c r="H180" s="530">
        <v>0</v>
      </c>
      <c r="I180" s="530">
        <v>0</v>
      </c>
      <c r="J180" s="530">
        <v>0</v>
      </c>
      <c r="K180" s="530">
        <v>0</v>
      </c>
      <c r="L180" s="530">
        <v>0</v>
      </c>
      <c r="M180" s="530">
        <v>0</v>
      </c>
      <c r="N180" s="530">
        <v>0</v>
      </c>
      <c r="O180" s="530">
        <v>0</v>
      </c>
      <c r="P180" s="530">
        <v>0</v>
      </c>
      <c r="Q180" s="530">
        <v>0</v>
      </c>
      <c r="R180" s="530">
        <v>0</v>
      </c>
      <c r="S180" s="530">
        <v>0</v>
      </c>
      <c r="T180" s="530">
        <v>0</v>
      </c>
      <c r="U180" s="530">
        <v>0</v>
      </c>
      <c r="V180" s="530">
        <v>0</v>
      </c>
      <c r="W180" s="530">
        <v>0</v>
      </c>
      <c r="X180" s="530">
        <v>0</v>
      </c>
      <c r="Y180" s="530">
        <v>0</v>
      </c>
      <c r="Z180" s="530">
        <v>4533.1499999999996</v>
      </c>
      <c r="AA180" s="530">
        <v>0</v>
      </c>
      <c r="AB180" s="530">
        <v>0</v>
      </c>
      <c r="AC180" s="530">
        <v>0</v>
      </c>
      <c r="AD180" s="530">
        <v>0</v>
      </c>
      <c r="AE180" s="530">
        <v>0</v>
      </c>
      <c r="AF180" s="530">
        <v>0</v>
      </c>
      <c r="AG180" s="530">
        <v>0</v>
      </c>
      <c r="AH180" s="530">
        <f t="shared" si="24"/>
        <v>4533.1499999999996</v>
      </c>
    </row>
    <row r="181" spans="1:34" s="545" customFormat="1" ht="12.75" x14ac:dyDescent="0.2">
      <c r="A181" s="513">
        <v>66172</v>
      </c>
      <c r="B181" s="529" t="s">
        <v>705</v>
      </c>
      <c r="C181" s="530">
        <v>0</v>
      </c>
      <c r="D181" s="530">
        <v>0</v>
      </c>
      <c r="E181" s="530">
        <v>0</v>
      </c>
      <c r="F181" s="530">
        <v>0</v>
      </c>
      <c r="G181" s="530">
        <v>0</v>
      </c>
      <c r="H181" s="530">
        <v>0</v>
      </c>
      <c r="I181" s="530">
        <v>0</v>
      </c>
      <c r="J181" s="530">
        <v>0</v>
      </c>
      <c r="K181" s="530">
        <v>0</v>
      </c>
      <c r="L181" s="530">
        <v>0</v>
      </c>
      <c r="M181" s="530">
        <v>0</v>
      </c>
      <c r="N181" s="530">
        <v>0</v>
      </c>
      <c r="O181" s="530">
        <v>0</v>
      </c>
      <c r="P181" s="530">
        <v>3.35</v>
      </c>
      <c r="Q181" s="530">
        <v>0</v>
      </c>
      <c r="R181" s="530">
        <v>0</v>
      </c>
      <c r="S181" s="530">
        <v>0</v>
      </c>
      <c r="T181" s="530">
        <v>0</v>
      </c>
      <c r="U181" s="530">
        <v>0</v>
      </c>
      <c r="V181" s="530">
        <v>0</v>
      </c>
      <c r="W181" s="530">
        <v>0</v>
      </c>
      <c r="X181" s="530">
        <v>0</v>
      </c>
      <c r="Y181" s="530">
        <v>0</v>
      </c>
      <c r="Z181" s="530">
        <v>0</v>
      </c>
      <c r="AA181" s="530">
        <v>0</v>
      </c>
      <c r="AB181" s="530">
        <v>0</v>
      </c>
      <c r="AC181" s="530">
        <v>0</v>
      </c>
      <c r="AD181" s="530">
        <v>0</v>
      </c>
      <c r="AE181" s="530">
        <v>0</v>
      </c>
      <c r="AF181" s="530">
        <v>0</v>
      </c>
      <c r="AG181" s="530">
        <v>0</v>
      </c>
      <c r="AH181" s="530">
        <f t="shared" si="24"/>
        <v>3.35</v>
      </c>
    </row>
    <row r="182" spans="1:34" s="545" customFormat="1" ht="12.75" x14ac:dyDescent="0.2">
      <c r="A182" s="513">
        <v>66176</v>
      </c>
      <c r="B182" s="529" t="s">
        <v>706</v>
      </c>
      <c r="C182" s="530">
        <v>0</v>
      </c>
      <c r="D182" s="530">
        <v>0</v>
      </c>
      <c r="E182" s="530">
        <v>0</v>
      </c>
      <c r="F182" s="530">
        <v>0</v>
      </c>
      <c r="G182" s="530">
        <v>155</v>
      </c>
      <c r="H182" s="530">
        <v>0</v>
      </c>
      <c r="I182" s="530">
        <v>0</v>
      </c>
      <c r="J182" s="530">
        <v>0</v>
      </c>
      <c r="K182" s="530">
        <v>0</v>
      </c>
      <c r="L182" s="530">
        <v>0</v>
      </c>
      <c r="M182" s="530">
        <v>0</v>
      </c>
      <c r="N182" s="530">
        <v>0</v>
      </c>
      <c r="O182" s="530">
        <v>0</v>
      </c>
      <c r="P182" s="530">
        <v>0</v>
      </c>
      <c r="Q182" s="530">
        <v>0</v>
      </c>
      <c r="R182" s="530">
        <v>7.9</v>
      </c>
      <c r="S182" s="530">
        <v>0</v>
      </c>
      <c r="T182" s="530">
        <v>0</v>
      </c>
      <c r="U182" s="530">
        <v>0</v>
      </c>
      <c r="V182" s="530">
        <v>0</v>
      </c>
      <c r="W182" s="530">
        <v>0</v>
      </c>
      <c r="X182" s="530">
        <v>0</v>
      </c>
      <c r="Y182" s="530">
        <v>0</v>
      </c>
      <c r="Z182" s="530">
        <v>0</v>
      </c>
      <c r="AA182" s="530">
        <v>0</v>
      </c>
      <c r="AB182" s="530">
        <v>0</v>
      </c>
      <c r="AC182" s="530">
        <v>0</v>
      </c>
      <c r="AD182" s="530">
        <v>0</v>
      </c>
      <c r="AE182" s="530">
        <v>0</v>
      </c>
      <c r="AF182" s="530">
        <v>0</v>
      </c>
      <c r="AG182" s="530">
        <v>0</v>
      </c>
      <c r="AH182" s="530">
        <f t="shared" si="24"/>
        <v>162.9</v>
      </c>
    </row>
    <row r="183" spans="1:34" s="545" customFormat="1" ht="12.75" x14ac:dyDescent="0.2">
      <c r="A183" s="513">
        <v>66180</v>
      </c>
      <c r="B183" s="529" t="s">
        <v>707</v>
      </c>
      <c r="C183" s="530">
        <v>0</v>
      </c>
      <c r="D183" s="530">
        <v>0</v>
      </c>
      <c r="E183" s="530">
        <v>0</v>
      </c>
      <c r="F183" s="530">
        <v>0</v>
      </c>
      <c r="G183" s="530">
        <v>0</v>
      </c>
      <c r="H183" s="530">
        <v>0</v>
      </c>
      <c r="I183" s="530">
        <v>0</v>
      </c>
      <c r="J183" s="530">
        <v>0</v>
      </c>
      <c r="K183" s="530">
        <v>0</v>
      </c>
      <c r="L183" s="530">
        <v>0</v>
      </c>
      <c r="M183" s="530">
        <v>0</v>
      </c>
      <c r="N183" s="530">
        <v>0</v>
      </c>
      <c r="O183" s="530">
        <v>0</v>
      </c>
      <c r="P183" s="530">
        <v>0</v>
      </c>
      <c r="Q183" s="530">
        <v>0</v>
      </c>
      <c r="R183" s="530">
        <v>0</v>
      </c>
      <c r="S183" s="530">
        <v>0</v>
      </c>
      <c r="T183" s="530">
        <v>0</v>
      </c>
      <c r="U183" s="530">
        <v>697.88</v>
      </c>
      <c r="V183" s="530">
        <v>0</v>
      </c>
      <c r="W183" s="530">
        <v>0</v>
      </c>
      <c r="X183" s="530">
        <v>0</v>
      </c>
      <c r="Y183" s="530">
        <v>0</v>
      </c>
      <c r="Z183" s="530">
        <v>0</v>
      </c>
      <c r="AA183" s="530">
        <v>0</v>
      </c>
      <c r="AB183" s="530">
        <v>0</v>
      </c>
      <c r="AC183" s="530">
        <v>0</v>
      </c>
      <c r="AD183" s="530">
        <v>0</v>
      </c>
      <c r="AE183" s="530">
        <v>0</v>
      </c>
      <c r="AF183" s="530">
        <v>0</v>
      </c>
      <c r="AG183" s="530">
        <v>0</v>
      </c>
      <c r="AH183" s="530">
        <f t="shared" si="24"/>
        <v>697.88</v>
      </c>
    </row>
    <row r="184" spans="1:34" s="545" customFormat="1" ht="12.75" x14ac:dyDescent="0.2">
      <c r="A184" s="513">
        <v>66220</v>
      </c>
      <c r="B184" s="529" t="s">
        <v>708</v>
      </c>
      <c r="C184" s="530">
        <v>0</v>
      </c>
      <c r="D184" s="530">
        <v>0</v>
      </c>
      <c r="E184" s="530">
        <v>0</v>
      </c>
      <c r="F184" s="530">
        <v>0</v>
      </c>
      <c r="G184" s="530">
        <v>0</v>
      </c>
      <c r="H184" s="530">
        <v>0</v>
      </c>
      <c r="I184" s="530">
        <v>0</v>
      </c>
      <c r="J184" s="530">
        <v>0</v>
      </c>
      <c r="K184" s="530">
        <v>0</v>
      </c>
      <c r="L184" s="530">
        <v>0</v>
      </c>
      <c r="M184" s="530">
        <v>0</v>
      </c>
      <c r="N184" s="530">
        <v>0</v>
      </c>
      <c r="O184" s="530">
        <v>0</v>
      </c>
      <c r="P184" s="530">
        <v>0</v>
      </c>
      <c r="Q184" s="530">
        <v>0</v>
      </c>
      <c r="R184" s="530">
        <v>0</v>
      </c>
      <c r="S184" s="530">
        <v>0</v>
      </c>
      <c r="T184" s="530">
        <v>0</v>
      </c>
      <c r="U184" s="530">
        <v>0</v>
      </c>
      <c r="V184" s="530">
        <v>0</v>
      </c>
      <c r="W184" s="530">
        <v>0</v>
      </c>
      <c r="X184" s="530">
        <v>0</v>
      </c>
      <c r="Y184" s="530">
        <v>0</v>
      </c>
      <c r="Z184" s="530">
        <v>0</v>
      </c>
      <c r="AA184" s="530">
        <v>0</v>
      </c>
      <c r="AB184" s="530">
        <v>0</v>
      </c>
      <c r="AC184" s="530">
        <v>0</v>
      </c>
      <c r="AD184" s="530">
        <v>0</v>
      </c>
      <c r="AE184" s="530">
        <v>0</v>
      </c>
      <c r="AF184" s="530">
        <v>0</v>
      </c>
      <c r="AG184" s="530">
        <v>0</v>
      </c>
      <c r="AH184" s="530">
        <f t="shared" si="24"/>
        <v>0</v>
      </c>
    </row>
    <row r="185" spans="1:34" s="545" customFormat="1" ht="12.75" x14ac:dyDescent="0.2">
      <c r="A185" s="513">
        <v>66230</v>
      </c>
      <c r="B185" s="529" t="s">
        <v>709</v>
      </c>
      <c r="C185" s="530">
        <v>0</v>
      </c>
      <c r="D185" s="530">
        <v>0</v>
      </c>
      <c r="E185" s="530">
        <v>0</v>
      </c>
      <c r="F185" s="530">
        <v>0</v>
      </c>
      <c r="G185" s="530">
        <v>0</v>
      </c>
      <c r="H185" s="530">
        <v>0</v>
      </c>
      <c r="I185" s="530">
        <v>0</v>
      </c>
      <c r="J185" s="530">
        <v>0</v>
      </c>
      <c r="K185" s="530">
        <v>0</v>
      </c>
      <c r="L185" s="530">
        <v>0</v>
      </c>
      <c r="M185" s="530">
        <v>0</v>
      </c>
      <c r="N185" s="530">
        <v>0</v>
      </c>
      <c r="O185" s="530">
        <v>0</v>
      </c>
      <c r="P185" s="530">
        <v>0</v>
      </c>
      <c r="Q185" s="530">
        <v>0</v>
      </c>
      <c r="R185" s="530">
        <v>0</v>
      </c>
      <c r="S185" s="530">
        <v>0</v>
      </c>
      <c r="T185" s="530">
        <v>0</v>
      </c>
      <c r="U185" s="530">
        <v>0</v>
      </c>
      <c r="V185" s="530">
        <v>0</v>
      </c>
      <c r="W185" s="530">
        <v>0</v>
      </c>
      <c r="X185" s="530">
        <v>0</v>
      </c>
      <c r="Y185" s="530">
        <v>0</v>
      </c>
      <c r="Z185" s="530">
        <v>0</v>
      </c>
      <c r="AA185" s="530">
        <v>0</v>
      </c>
      <c r="AB185" s="530">
        <v>0</v>
      </c>
      <c r="AC185" s="530">
        <v>0</v>
      </c>
      <c r="AD185" s="530">
        <v>0</v>
      </c>
      <c r="AE185" s="530">
        <v>0</v>
      </c>
      <c r="AF185" s="530">
        <v>0</v>
      </c>
      <c r="AG185" s="530">
        <v>0</v>
      </c>
      <c r="AH185" s="530">
        <f t="shared" si="24"/>
        <v>0</v>
      </c>
    </row>
    <row r="186" spans="1:34" s="545" customFormat="1" ht="12.75" x14ac:dyDescent="0.2">
      <c r="A186" s="513">
        <v>66240</v>
      </c>
      <c r="B186" s="529" t="s">
        <v>710</v>
      </c>
      <c r="C186" s="530">
        <v>0</v>
      </c>
      <c r="D186" s="530">
        <v>0</v>
      </c>
      <c r="E186" s="530">
        <v>0</v>
      </c>
      <c r="F186" s="530">
        <v>0</v>
      </c>
      <c r="G186" s="530">
        <v>0</v>
      </c>
      <c r="H186" s="530">
        <v>0</v>
      </c>
      <c r="I186" s="530">
        <v>0</v>
      </c>
      <c r="J186" s="530">
        <v>0</v>
      </c>
      <c r="K186" s="530">
        <v>0</v>
      </c>
      <c r="L186" s="530">
        <v>0</v>
      </c>
      <c r="M186" s="530">
        <v>0</v>
      </c>
      <c r="N186" s="530">
        <v>0</v>
      </c>
      <c r="O186" s="530">
        <v>0</v>
      </c>
      <c r="P186" s="530">
        <v>0</v>
      </c>
      <c r="Q186" s="530">
        <v>0</v>
      </c>
      <c r="R186" s="530">
        <v>0</v>
      </c>
      <c r="S186" s="530">
        <v>0</v>
      </c>
      <c r="T186" s="530">
        <v>0</v>
      </c>
      <c r="U186" s="530">
        <v>0</v>
      </c>
      <c r="V186" s="530">
        <v>0</v>
      </c>
      <c r="W186" s="530">
        <v>0</v>
      </c>
      <c r="X186" s="530">
        <v>0</v>
      </c>
      <c r="Y186" s="530">
        <v>0</v>
      </c>
      <c r="Z186" s="530">
        <v>0</v>
      </c>
      <c r="AA186" s="530">
        <v>0</v>
      </c>
      <c r="AB186" s="530">
        <v>0</v>
      </c>
      <c r="AC186" s="530">
        <v>0</v>
      </c>
      <c r="AD186" s="530">
        <v>0</v>
      </c>
      <c r="AE186" s="530">
        <v>0</v>
      </c>
      <c r="AF186" s="530">
        <v>0</v>
      </c>
      <c r="AG186" s="530">
        <v>0</v>
      </c>
      <c r="AH186" s="530">
        <f t="shared" si="24"/>
        <v>0</v>
      </c>
    </row>
    <row r="187" spans="1:34" s="545" customFormat="1" ht="12.75" x14ac:dyDescent="0.2">
      <c r="A187" s="513">
        <v>66250</v>
      </c>
      <c r="B187" s="529" t="s">
        <v>711</v>
      </c>
      <c r="C187" s="530">
        <v>0</v>
      </c>
      <c r="D187" s="530">
        <v>0</v>
      </c>
      <c r="E187" s="530">
        <v>0</v>
      </c>
      <c r="F187" s="530">
        <v>0</v>
      </c>
      <c r="G187" s="530">
        <v>0</v>
      </c>
      <c r="H187" s="530">
        <v>0</v>
      </c>
      <c r="I187" s="530">
        <v>0</v>
      </c>
      <c r="J187" s="530">
        <v>0</v>
      </c>
      <c r="K187" s="530">
        <v>0</v>
      </c>
      <c r="L187" s="530">
        <v>0</v>
      </c>
      <c r="M187" s="530">
        <v>0</v>
      </c>
      <c r="N187" s="530">
        <v>0</v>
      </c>
      <c r="O187" s="530">
        <v>0</v>
      </c>
      <c r="P187" s="530">
        <v>0</v>
      </c>
      <c r="Q187" s="530">
        <v>0</v>
      </c>
      <c r="R187" s="530">
        <v>0</v>
      </c>
      <c r="S187" s="530">
        <v>0</v>
      </c>
      <c r="T187" s="530">
        <v>0</v>
      </c>
      <c r="U187" s="530">
        <v>0</v>
      </c>
      <c r="V187" s="530">
        <v>0</v>
      </c>
      <c r="W187" s="530">
        <v>0</v>
      </c>
      <c r="X187" s="530">
        <v>0</v>
      </c>
      <c r="Y187" s="530">
        <v>0</v>
      </c>
      <c r="Z187" s="530">
        <v>0</v>
      </c>
      <c r="AA187" s="530">
        <v>0</v>
      </c>
      <c r="AB187" s="530">
        <v>0</v>
      </c>
      <c r="AC187" s="530">
        <v>0</v>
      </c>
      <c r="AD187" s="530">
        <v>0</v>
      </c>
      <c r="AE187" s="530">
        <v>0</v>
      </c>
      <c r="AF187" s="530">
        <v>0</v>
      </c>
      <c r="AG187" s="530">
        <v>0</v>
      </c>
      <c r="AH187" s="530">
        <f t="shared" si="24"/>
        <v>0</v>
      </c>
    </row>
    <row r="188" spans="1:34" s="545" customFormat="1" ht="12.75" x14ac:dyDescent="0.2">
      <c r="A188" s="513">
        <v>66260</v>
      </c>
      <c r="B188" s="529" t="s">
        <v>712</v>
      </c>
      <c r="C188" s="530">
        <v>0</v>
      </c>
      <c r="D188" s="530">
        <v>0</v>
      </c>
      <c r="E188" s="530">
        <v>0</v>
      </c>
      <c r="F188" s="530">
        <v>0</v>
      </c>
      <c r="G188" s="530">
        <v>0</v>
      </c>
      <c r="H188" s="530">
        <v>0</v>
      </c>
      <c r="I188" s="530">
        <v>0</v>
      </c>
      <c r="J188" s="530">
        <v>0</v>
      </c>
      <c r="K188" s="530">
        <v>0</v>
      </c>
      <c r="L188" s="530">
        <v>0</v>
      </c>
      <c r="M188" s="530">
        <v>0</v>
      </c>
      <c r="N188" s="530">
        <v>0</v>
      </c>
      <c r="O188" s="530">
        <v>0</v>
      </c>
      <c r="P188" s="530">
        <v>0</v>
      </c>
      <c r="Q188" s="530">
        <v>0</v>
      </c>
      <c r="R188" s="530">
        <v>0</v>
      </c>
      <c r="S188" s="530">
        <v>0</v>
      </c>
      <c r="T188" s="530">
        <v>0</v>
      </c>
      <c r="U188" s="530">
        <v>0</v>
      </c>
      <c r="V188" s="530">
        <v>0</v>
      </c>
      <c r="W188" s="530">
        <v>0</v>
      </c>
      <c r="X188" s="530">
        <v>0</v>
      </c>
      <c r="Y188" s="530">
        <v>0</v>
      </c>
      <c r="Z188" s="530">
        <v>0</v>
      </c>
      <c r="AA188" s="530">
        <v>0</v>
      </c>
      <c r="AB188" s="530">
        <v>0</v>
      </c>
      <c r="AC188" s="530">
        <v>0</v>
      </c>
      <c r="AD188" s="530">
        <v>0</v>
      </c>
      <c r="AE188" s="530">
        <v>0</v>
      </c>
      <c r="AF188" s="530">
        <v>0</v>
      </c>
      <c r="AG188" s="530">
        <v>0</v>
      </c>
      <c r="AH188" s="530">
        <f t="shared" si="24"/>
        <v>0</v>
      </c>
    </row>
    <row r="189" spans="1:34" s="545" customFormat="1" ht="12.75" x14ac:dyDescent="0.2">
      <c r="A189" s="513">
        <v>66270</v>
      </c>
      <c r="B189" s="529" t="s">
        <v>713</v>
      </c>
      <c r="C189" s="530">
        <v>0</v>
      </c>
      <c r="D189" s="530">
        <v>0</v>
      </c>
      <c r="E189" s="530">
        <v>0</v>
      </c>
      <c r="F189" s="530">
        <v>0</v>
      </c>
      <c r="G189" s="530">
        <v>0</v>
      </c>
      <c r="H189" s="530">
        <v>0</v>
      </c>
      <c r="I189" s="530">
        <v>0</v>
      </c>
      <c r="J189" s="530">
        <v>0</v>
      </c>
      <c r="K189" s="530">
        <v>0</v>
      </c>
      <c r="L189" s="530">
        <v>0</v>
      </c>
      <c r="M189" s="530">
        <v>0</v>
      </c>
      <c r="N189" s="530">
        <v>0</v>
      </c>
      <c r="O189" s="530">
        <v>0</v>
      </c>
      <c r="P189" s="530">
        <v>0</v>
      </c>
      <c r="Q189" s="530">
        <v>0</v>
      </c>
      <c r="R189" s="530">
        <v>0</v>
      </c>
      <c r="S189" s="530">
        <v>0</v>
      </c>
      <c r="T189" s="530">
        <v>0</v>
      </c>
      <c r="U189" s="530">
        <v>0</v>
      </c>
      <c r="V189" s="530">
        <v>0</v>
      </c>
      <c r="W189" s="530">
        <v>0</v>
      </c>
      <c r="X189" s="530">
        <v>0</v>
      </c>
      <c r="Y189" s="530">
        <v>0</v>
      </c>
      <c r="Z189" s="530">
        <v>0</v>
      </c>
      <c r="AA189" s="530">
        <v>0</v>
      </c>
      <c r="AB189" s="530">
        <v>0</v>
      </c>
      <c r="AC189" s="530">
        <v>0</v>
      </c>
      <c r="AD189" s="530">
        <v>0</v>
      </c>
      <c r="AE189" s="530">
        <v>0</v>
      </c>
      <c r="AF189" s="530">
        <v>0</v>
      </c>
      <c r="AG189" s="530">
        <v>0</v>
      </c>
      <c r="AH189" s="530">
        <f t="shared" si="24"/>
        <v>0</v>
      </c>
    </row>
    <row r="190" spans="1:34" s="545" customFormat="1" ht="12.75" x14ac:dyDescent="0.2">
      <c r="A190" s="513">
        <v>66275</v>
      </c>
      <c r="B190" s="529" t="s">
        <v>714</v>
      </c>
      <c r="C190" s="530">
        <v>0</v>
      </c>
      <c r="D190" s="530">
        <v>0</v>
      </c>
      <c r="E190" s="530">
        <v>0</v>
      </c>
      <c r="F190" s="530">
        <v>0</v>
      </c>
      <c r="G190" s="530">
        <v>0</v>
      </c>
      <c r="H190" s="530">
        <v>0</v>
      </c>
      <c r="I190" s="530">
        <v>0</v>
      </c>
      <c r="J190" s="530">
        <v>0</v>
      </c>
      <c r="K190" s="530">
        <v>0</v>
      </c>
      <c r="L190" s="530">
        <v>0</v>
      </c>
      <c r="M190" s="530">
        <v>0</v>
      </c>
      <c r="N190" s="530">
        <v>0</v>
      </c>
      <c r="O190" s="530">
        <v>0</v>
      </c>
      <c r="P190" s="530">
        <v>0</v>
      </c>
      <c r="Q190" s="530">
        <v>0</v>
      </c>
      <c r="R190" s="530">
        <v>0</v>
      </c>
      <c r="S190" s="530">
        <v>0</v>
      </c>
      <c r="T190" s="530">
        <v>0</v>
      </c>
      <c r="U190" s="530">
        <v>0</v>
      </c>
      <c r="V190" s="530">
        <v>0</v>
      </c>
      <c r="W190" s="530">
        <v>0</v>
      </c>
      <c r="X190" s="530">
        <v>0</v>
      </c>
      <c r="Y190" s="530">
        <v>0</v>
      </c>
      <c r="Z190" s="530">
        <v>0</v>
      </c>
      <c r="AA190" s="530">
        <v>0</v>
      </c>
      <c r="AB190" s="530">
        <v>0</v>
      </c>
      <c r="AC190" s="530">
        <v>0</v>
      </c>
      <c r="AD190" s="530">
        <v>0</v>
      </c>
      <c r="AE190" s="530">
        <v>0</v>
      </c>
      <c r="AF190" s="530">
        <v>0</v>
      </c>
      <c r="AG190" s="530">
        <v>0</v>
      </c>
      <c r="AH190" s="530">
        <f t="shared" si="24"/>
        <v>0</v>
      </c>
    </row>
    <row r="191" spans="1:34" s="545" customFormat="1" ht="12.75" x14ac:dyDescent="0.2">
      <c r="A191" s="513">
        <v>66278</v>
      </c>
      <c r="B191" s="529" t="s">
        <v>715</v>
      </c>
      <c r="C191" s="530">
        <v>0</v>
      </c>
      <c r="D191" s="530">
        <v>0</v>
      </c>
      <c r="E191" s="530">
        <v>0</v>
      </c>
      <c r="F191" s="530">
        <v>0</v>
      </c>
      <c r="G191" s="530">
        <v>0</v>
      </c>
      <c r="H191" s="530">
        <v>0</v>
      </c>
      <c r="I191" s="530">
        <v>0</v>
      </c>
      <c r="J191" s="530">
        <v>0</v>
      </c>
      <c r="K191" s="530">
        <v>0</v>
      </c>
      <c r="L191" s="530">
        <v>0</v>
      </c>
      <c r="M191" s="530">
        <v>0</v>
      </c>
      <c r="N191" s="530">
        <v>0</v>
      </c>
      <c r="O191" s="530">
        <v>0</v>
      </c>
      <c r="P191" s="530">
        <v>0</v>
      </c>
      <c r="Q191" s="530">
        <v>0</v>
      </c>
      <c r="R191" s="530">
        <v>0</v>
      </c>
      <c r="S191" s="530">
        <v>0</v>
      </c>
      <c r="T191" s="530">
        <v>0</v>
      </c>
      <c r="U191" s="530">
        <v>0</v>
      </c>
      <c r="V191" s="530">
        <v>0</v>
      </c>
      <c r="W191" s="530">
        <v>0</v>
      </c>
      <c r="X191" s="530">
        <v>0</v>
      </c>
      <c r="Y191" s="530">
        <v>0</v>
      </c>
      <c r="Z191" s="530">
        <v>0</v>
      </c>
      <c r="AA191" s="530">
        <v>0</v>
      </c>
      <c r="AB191" s="530">
        <v>0</v>
      </c>
      <c r="AC191" s="530">
        <v>0</v>
      </c>
      <c r="AD191" s="530">
        <v>0</v>
      </c>
      <c r="AE191" s="530">
        <v>0</v>
      </c>
      <c r="AF191" s="530">
        <v>0</v>
      </c>
      <c r="AG191" s="530">
        <v>0</v>
      </c>
      <c r="AH191" s="530">
        <f t="shared" si="24"/>
        <v>0</v>
      </c>
    </row>
    <row r="192" spans="1:34" s="545" customFormat="1" ht="12.75" x14ac:dyDescent="0.2">
      <c r="A192" s="513">
        <v>66280</v>
      </c>
      <c r="B192" s="529" t="s">
        <v>716</v>
      </c>
      <c r="C192" s="530">
        <v>0</v>
      </c>
      <c r="D192" s="530">
        <v>0</v>
      </c>
      <c r="E192" s="530">
        <v>0</v>
      </c>
      <c r="F192" s="530">
        <v>0</v>
      </c>
      <c r="G192" s="530">
        <v>0</v>
      </c>
      <c r="H192" s="530">
        <v>0</v>
      </c>
      <c r="I192" s="530">
        <v>0</v>
      </c>
      <c r="J192" s="530">
        <v>0</v>
      </c>
      <c r="K192" s="530">
        <v>0</v>
      </c>
      <c r="L192" s="530">
        <v>0</v>
      </c>
      <c r="M192" s="530">
        <v>0</v>
      </c>
      <c r="N192" s="530">
        <v>0</v>
      </c>
      <c r="O192" s="530">
        <v>0</v>
      </c>
      <c r="P192" s="530">
        <v>0</v>
      </c>
      <c r="Q192" s="530">
        <v>0</v>
      </c>
      <c r="R192" s="530">
        <v>0</v>
      </c>
      <c r="S192" s="530">
        <v>0</v>
      </c>
      <c r="T192" s="530">
        <v>0</v>
      </c>
      <c r="U192" s="530">
        <v>0</v>
      </c>
      <c r="V192" s="530">
        <v>0</v>
      </c>
      <c r="W192" s="530">
        <v>0</v>
      </c>
      <c r="X192" s="530">
        <v>0</v>
      </c>
      <c r="Y192" s="530">
        <v>0</v>
      </c>
      <c r="Z192" s="530">
        <v>0</v>
      </c>
      <c r="AA192" s="530">
        <v>0</v>
      </c>
      <c r="AB192" s="530">
        <v>0</v>
      </c>
      <c r="AC192" s="530">
        <v>0</v>
      </c>
      <c r="AD192" s="530">
        <v>0</v>
      </c>
      <c r="AE192" s="530">
        <v>0</v>
      </c>
      <c r="AF192" s="530">
        <v>0</v>
      </c>
      <c r="AG192" s="530">
        <v>0</v>
      </c>
      <c r="AH192" s="530">
        <f t="shared" si="24"/>
        <v>0</v>
      </c>
    </row>
    <row r="193" spans="1:36" s="545" customFormat="1" ht="12.75" x14ac:dyDescent="0.2">
      <c r="A193" s="513">
        <v>66282</v>
      </c>
      <c r="B193" s="529" t="s">
        <v>717</v>
      </c>
      <c r="C193" s="530">
        <v>0</v>
      </c>
      <c r="D193" s="530">
        <v>0</v>
      </c>
      <c r="E193" s="530">
        <v>0</v>
      </c>
      <c r="F193" s="530">
        <v>0</v>
      </c>
      <c r="G193" s="530">
        <v>0</v>
      </c>
      <c r="H193" s="530">
        <v>0</v>
      </c>
      <c r="I193" s="530">
        <v>0</v>
      </c>
      <c r="J193" s="530">
        <v>0</v>
      </c>
      <c r="K193" s="530">
        <v>0</v>
      </c>
      <c r="L193" s="530">
        <v>0</v>
      </c>
      <c r="M193" s="530">
        <v>0</v>
      </c>
      <c r="N193" s="530">
        <v>0</v>
      </c>
      <c r="O193" s="530">
        <v>0</v>
      </c>
      <c r="P193" s="530">
        <v>0</v>
      </c>
      <c r="Q193" s="530">
        <v>0</v>
      </c>
      <c r="R193" s="530">
        <v>0</v>
      </c>
      <c r="S193" s="530">
        <v>0</v>
      </c>
      <c r="T193" s="530">
        <v>0</v>
      </c>
      <c r="U193" s="530">
        <v>0</v>
      </c>
      <c r="V193" s="530">
        <v>0</v>
      </c>
      <c r="W193" s="530">
        <v>0</v>
      </c>
      <c r="X193" s="530">
        <v>0</v>
      </c>
      <c r="Y193" s="530">
        <v>0</v>
      </c>
      <c r="Z193" s="530">
        <v>0</v>
      </c>
      <c r="AA193" s="530">
        <v>0</v>
      </c>
      <c r="AB193" s="530">
        <v>0</v>
      </c>
      <c r="AC193" s="530">
        <v>0</v>
      </c>
      <c r="AD193" s="530">
        <v>0</v>
      </c>
      <c r="AE193" s="530">
        <v>0</v>
      </c>
      <c r="AF193" s="530">
        <v>0</v>
      </c>
      <c r="AG193" s="530">
        <v>0</v>
      </c>
      <c r="AH193" s="530">
        <f t="shared" si="24"/>
        <v>0</v>
      </c>
    </row>
    <row r="194" spans="1:36" s="545" customFormat="1" ht="12.75" x14ac:dyDescent="0.2">
      <c r="A194" s="513">
        <v>66284</v>
      </c>
      <c r="B194" s="529" t="s">
        <v>718</v>
      </c>
      <c r="C194" s="530">
        <v>0</v>
      </c>
      <c r="D194" s="530">
        <v>0</v>
      </c>
      <c r="E194" s="530">
        <v>0</v>
      </c>
      <c r="F194" s="530">
        <v>0</v>
      </c>
      <c r="G194" s="530">
        <v>0</v>
      </c>
      <c r="H194" s="530">
        <v>0</v>
      </c>
      <c r="I194" s="530">
        <v>0</v>
      </c>
      <c r="J194" s="530">
        <v>0</v>
      </c>
      <c r="K194" s="530">
        <v>0</v>
      </c>
      <c r="L194" s="530">
        <v>0</v>
      </c>
      <c r="M194" s="530">
        <v>0</v>
      </c>
      <c r="N194" s="530">
        <v>0</v>
      </c>
      <c r="O194" s="530">
        <v>0</v>
      </c>
      <c r="P194" s="530">
        <v>0</v>
      </c>
      <c r="Q194" s="530">
        <v>0</v>
      </c>
      <c r="R194" s="530">
        <v>0</v>
      </c>
      <c r="S194" s="530">
        <v>0</v>
      </c>
      <c r="T194" s="530">
        <v>0</v>
      </c>
      <c r="U194" s="530">
        <v>0</v>
      </c>
      <c r="V194" s="530">
        <v>0</v>
      </c>
      <c r="W194" s="530">
        <v>0</v>
      </c>
      <c r="X194" s="530">
        <v>0</v>
      </c>
      <c r="Y194" s="530">
        <v>0</v>
      </c>
      <c r="Z194" s="530">
        <v>0</v>
      </c>
      <c r="AA194" s="530">
        <v>0</v>
      </c>
      <c r="AB194" s="530">
        <v>0</v>
      </c>
      <c r="AC194" s="530">
        <v>0</v>
      </c>
      <c r="AD194" s="530">
        <v>0</v>
      </c>
      <c r="AE194" s="530">
        <v>0</v>
      </c>
      <c r="AF194" s="530">
        <v>0</v>
      </c>
      <c r="AG194" s="530">
        <v>0</v>
      </c>
      <c r="AH194" s="530">
        <f t="shared" si="24"/>
        <v>0</v>
      </c>
    </row>
    <row r="195" spans="1:36" s="545" customFormat="1" ht="12.75" x14ac:dyDescent="0.2">
      <c r="A195" s="513">
        <v>66400</v>
      </c>
      <c r="B195" s="529" t="s">
        <v>719</v>
      </c>
      <c r="C195" s="530">
        <v>0</v>
      </c>
      <c r="D195" s="530">
        <v>0</v>
      </c>
      <c r="E195" s="530">
        <v>0</v>
      </c>
      <c r="F195" s="530">
        <v>0</v>
      </c>
      <c r="G195" s="530">
        <v>0</v>
      </c>
      <c r="H195" s="530">
        <v>0</v>
      </c>
      <c r="I195" s="530">
        <v>0</v>
      </c>
      <c r="J195" s="530">
        <v>0</v>
      </c>
      <c r="K195" s="530">
        <v>0</v>
      </c>
      <c r="L195" s="530">
        <v>0</v>
      </c>
      <c r="M195" s="530">
        <v>0</v>
      </c>
      <c r="N195" s="530">
        <v>0</v>
      </c>
      <c r="O195" s="530">
        <v>0</v>
      </c>
      <c r="P195" s="530">
        <v>0</v>
      </c>
      <c r="Q195" s="530">
        <v>0</v>
      </c>
      <c r="R195" s="530">
        <v>0</v>
      </c>
      <c r="S195" s="530">
        <v>0</v>
      </c>
      <c r="T195" s="530">
        <v>0</v>
      </c>
      <c r="U195" s="530">
        <v>0</v>
      </c>
      <c r="V195" s="530">
        <v>0</v>
      </c>
      <c r="W195" s="530">
        <v>0</v>
      </c>
      <c r="X195" s="530">
        <v>0</v>
      </c>
      <c r="Y195" s="530">
        <v>0</v>
      </c>
      <c r="Z195" s="530">
        <v>0</v>
      </c>
      <c r="AA195" s="530">
        <v>0</v>
      </c>
      <c r="AB195" s="530">
        <v>0</v>
      </c>
      <c r="AC195" s="530">
        <v>0</v>
      </c>
      <c r="AD195" s="530">
        <v>0</v>
      </c>
      <c r="AE195" s="530">
        <v>0</v>
      </c>
      <c r="AF195" s="530">
        <v>0</v>
      </c>
      <c r="AG195" s="530">
        <v>0</v>
      </c>
      <c r="AH195" s="530">
        <f t="shared" si="24"/>
        <v>0</v>
      </c>
    </row>
    <row r="196" spans="1:36" s="559" customFormat="1" ht="12.75" x14ac:dyDescent="0.2">
      <c r="A196" s="556">
        <v>66450</v>
      </c>
      <c r="B196" s="557" t="s">
        <v>720</v>
      </c>
      <c r="C196" s="558">
        <v>0</v>
      </c>
      <c r="D196" s="558">
        <v>0</v>
      </c>
      <c r="E196" s="558">
        <v>0</v>
      </c>
      <c r="F196" s="558">
        <v>0</v>
      </c>
      <c r="G196" s="558">
        <v>0</v>
      </c>
      <c r="H196" s="558">
        <v>0</v>
      </c>
      <c r="I196" s="558">
        <v>0</v>
      </c>
      <c r="J196" s="558">
        <v>0</v>
      </c>
      <c r="K196" s="558">
        <v>0</v>
      </c>
      <c r="L196" s="558">
        <v>0</v>
      </c>
      <c r="M196" s="558">
        <v>0</v>
      </c>
      <c r="N196" s="558">
        <v>0</v>
      </c>
      <c r="O196" s="558">
        <v>0</v>
      </c>
      <c r="P196" s="558">
        <v>0</v>
      </c>
      <c r="Q196" s="558">
        <v>0</v>
      </c>
      <c r="R196" s="558">
        <v>0</v>
      </c>
      <c r="S196" s="558">
        <v>0</v>
      </c>
      <c r="T196" s="558">
        <v>0</v>
      </c>
      <c r="U196" s="558">
        <v>0</v>
      </c>
      <c r="V196" s="558">
        <v>0</v>
      </c>
      <c r="W196" s="558">
        <v>0</v>
      </c>
      <c r="X196" s="558">
        <v>0</v>
      </c>
      <c r="Y196" s="558">
        <v>0</v>
      </c>
      <c r="Z196" s="558">
        <v>-1465900.85</v>
      </c>
      <c r="AA196" s="558">
        <v>0</v>
      </c>
      <c r="AB196" s="558">
        <v>0</v>
      </c>
      <c r="AC196" s="558">
        <v>0</v>
      </c>
      <c r="AD196" s="558">
        <v>0</v>
      </c>
      <c r="AE196" s="558">
        <v>0</v>
      </c>
      <c r="AF196" s="558">
        <v>0</v>
      </c>
      <c r="AG196" s="558">
        <v>0</v>
      </c>
      <c r="AH196" s="558">
        <f t="shared" si="24"/>
        <v>-1465900.85</v>
      </c>
    </row>
    <row r="197" spans="1:36" s="545" customFormat="1" ht="12.75" x14ac:dyDescent="0.2">
      <c r="A197" s="513">
        <v>66500</v>
      </c>
      <c r="B197" s="529" t="s">
        <v>721</v>
      </c>
      <c r="C197" s="530">
        <v>0</v>
      </c>
      <c r="D197" s="530">
        <v>0</v>
      </c>
      <c r="E197" s="530">
        <v>0</v>
      </c>
      <c r="F197" s="530">
        <v>0</v>
      </c>
      <c r="G197" s="530">
        <v>0.01</v>
      </c>
      <c r="H197" s="530">
        <v>0</v>
      </c>
      <c r="I197" s="530">
        <v>32033.98</v>
      </c>
      <c r="J197" s="530">
        <v>0</v>
      </c>
      <c r="K197" s="530">
        <v>0</v>
      </c>
      <c r="L197" s="530">
        <v>0</v>
      </c>
      <c r="M197" s="530">
        <v>0</v>
      </c>
      <c r="N197" s="530">
        <v>0</v>
      </c>
      <c r="O197" s="530">
        <v>0</v>
      </c>
      <c r="P197" s="530">
        <v>0</v>
      </c>
      <c r="Q197" s="530">
        <v>0</v>
      </c>
      <c r="R197" s="530">
        <v>0</v>
      </c>
      <c r="S197" s="530">
        <v>0</v>
      </c>
      <c r="T197" s="530">
        <v>0</v>
      </c>
      <c r="U197" s="530">
        <v>0</v>
      </c>
      <c r="V197" s="530">
        <v>0</v>
      </c>
      <c r="W197" s="530">
        <v>0</v>
      </c>
      <c r="X197" s="530">
        <v>0</v>
      </c>
      <c r="Y197" s="530">
        <v>0</v>
      </c>
      <c r="Z197" s="530">
        <v>0</v>
      </c>
      <c r="AA197" s="530">
        <v>0</v>
      </c>
      <c r="AB197" s="530">
        <v>0</v>
      </c>
      <c r="AC197" s="530">
        <v>0</v>
      </c>
      <c r="AD197" s="530">
        <v>0</v>
      </c>
      <c r="AE197" s="530">
        <v>0</v>
      </c>
      <c r="AF197" s="530">
        <v>0</v>
      </c>
      <c r="AG197" s="530">
        <v>0</v>
      </c>
      <c r="AH197" s="530">
        <f t="shared" si="24"/>
        <v>32033.989999999998</v>
      </c>
    </row>
    <row r="198" spans="1:36" s="545" customFormat="1" ht="12.75" x14ac:dyDescent="0.2">
      <c r="A198" s="513">
        <v>66501</v>
      </c>
      <c r="B198" s="529" t="s">
        <v>722</v>
      </c>
      <c r="C198" s="530">
        <v>0</v>
      </c>
      <c r="D198" s="530">
        <v>0</v>
      </c>
      <c r="E198" s="530">
        <v>0</v>
      </c>
      <c r="F198" s="530">
        <v>0</v>
      </c>
      <c r="G198" s="530">
        <v>0</v>
      </c>
      <c r="H198" s="530">
        <v>0</v>
      </c>
      <c r="I198" s="530">
        <v>0</v>
      </c>
      <c r="J198" s="530">
        <v>0</v>
      </c>
      <c r="K198" s="530">
        <v>0</v>
      </c>
      <c r="L198" s="530">
        <v>0</v>
      </c>
      <c r="M198" s="530">
        <v>0</v>
      </c>
      <c r="N198" s="530">
        <v>0</v>
      </c>
      <c r="O198" s="530">
        <v>0</v>
      </c>
      <c r="P198" s="530">
        <v>0</v>
      </c>
      <c r="Q198" s="530">
        <v>0</v>
      </c>
      <c r="R198" s="530">
        <v>0</v>
      </c>
      <c r="S198" s="530">
        <v>0</v>
      </c>
      <c r="T198" s="530">
        <v>0</v>
      </c>
      <c r="U198" s="530">
        <v>0</v>
      </c>
      <c r="V198" s="530">
        <v>0</v>
      </c>
      <c r="W198" s="530">
        <v>0</v>
      </c>
      <c r="X198" s="530">
        <v>0</v>
      </c>
      <c r="Y198" s="530">
        <v>0</v>
      </c>
      <c r="Z198" s="530">
        <v>0</v>
      </c>
      <c r="AA198" s="530">
        <v>0</v>
      </c>
      <c r="AB198" s="530">
        <v>0</v>
      </c>
      <c r="AC198" s="530">
        <v>0</v>
      </c>
      <c r="AD198" s="530">
        <v>0</v>
      </c>
      <c r="AE198" s="530">
        <v>0</v>
      </c>
      <c r="AF198" s="530">
        <v>0</v>
      </c>
      <c r="AG198" s="530">
        <v>0</v>
      </c>
      <c r="AH198" s="530">
        <f t="shared" si="24"/>
        <v>0</v>
      </c>
    </row>
    <row r="199" spans="1:36" s="545" customFormat="1" ht="12.75" x14ac:dyDescent="0.2">
      <c r="A199" s="513">
        <v>66580</v>
      </c>
      <c r="B199" s="529" t="s">
        <v>723</v>
      </c>
      <c r="C199" s="530">
        <v>0</v>
      </c>
      <c r="D199" s="530">
        <v>0</v>
      </c>
      <c r="E199" s="530">
        <v>0</v>
      </c>
      <c r="F199" s="530">
        <v>0</v>
      </c>
      <c r="G199" s="530">
        <v>0</v>
      </c>
      <c r="H199" s="530">
        <v>0</v>
      </c>
      <c r="I199" s="530">
        <v>0</v>
      </c>
      <c r="J199" s="530">
        <v>0</v>
      </c>
      <c r="K199" s="530">
        <v>0</v>
      </c>
      <c r="L199" s="530">
        <v>0</v>
      </c>
      <c r="M199" s="530">
        <v>0</v>
      </c>
      <c r="N199" s="530">
        <v>0</v>
      </c>
      <c r="O199" s="530">
        <v>0</v>
      </c>
      <c r="P199" s="530">
        <v>0</v>
      </c>
      <c r="Q199" s="530">
        <v>0</v>
      </c>
      <c r="R199" s="530">
        <v>0</v>
      </c>
      <c r="S199" s="530">
        <v>0</v>
      </c>
      <c r="T199" s="530">
        <v>0</v>
      </c>
      <c r="U199" s="530">
        <v>0</v>
      </c>
      <c r="V199" s="530">
        <v>0</v>
      </c>
      <c r="W199" s="530">
        <v>0</v>
      </c>
      <c r="X199" s="530">
        <v>0</v>
      </c>
      <c r="Y199" s="530">
        <v>0</v>
      </c>
      <c r="Z199" s="530">
        <v>0</v>
      </c>
      <c r="AA199" s="530">
        <v>0</v>
      </c>
      <c r="AB199" s="530">
        <v>0</v>
      </c>
      <c r="AC199" s="530">
        <v>0</v>
      </c>
      <c r="AD199" s="530">
        <v>0</v>
      </c>
      <c r="AE199" s="530">
        <v>0</v>
      </c>
      <c r="AF199" s="530">
        <v>0</v>
      </c>
      <c r="AG199" s="530">
        <v>0</v>
      </c>
      <c r="AH199" s="530">
        <f t="shared" si="24"/>
        <v>0</v>
      </c>
    </row>
    <row r="200" spans="1:36" s="545" customFormat="1" ht="12.75" x14ac:dyDescent="0.2">
      <c r="A200" s="513">
        <v>66582</v>
      </c>
      <c r="B200" s="529" t="s">
        <v>724</v>
      </c>
      <c r="C200" s="530">
        <v>0</v>
      </c>
      <c r="D200" s="530">
        <v>0</v>
      </c>
      <c r="E200" s="530">
        <v>0</v>
      </c>
      <c r="F200" s="530">
        <v>0</v>
      </c>
      <c r="G200" s="530">
        <v>0</v>
      </c>
      <c r="H200" s="530">
        <v>0</v>
      </c>
      <c r="I200" s="530">
        <v>0</v>
      </c>
      <c r="J200" s="530">
        <v>0</v>
      </c>
      <c r="K200" s="530">
        <v>0</v>
      </c>
      <c r="L200" s="530">
        <v>0</v>
      </c>
      <c r="M200" s="530">
        <v>0</v>
      </c>
      <c r="N200" s="530">
        <v>0</v>
      </c>
      <c r="O200" s="530">
        <v>0</v>
      </c>
      <c r="P200" s="530">
        <v>0</v>
      </c>
      <c r="Q200" s="530">
        <v>0</v>
      </c>
      <c r="R200" s="530">
        <v>0</v>
      </c>
      <c r="S200" s="530">
        <v>0</v>
      </c>
      <c r="T200" s="530">
        <v>0</v>
      </c>
      <c r="U200" s="530">
        <v>0</v>
      </c>
      <c r="V200" s="530">
        <v>0</v>
      </c>
      <c r="W200" s="530">
        <v>0</v>
      </c>
      <c r="X200" s="530">
        <v>0</v>
      </c>
      <c r="Y200" s="530">
        <v>0</v>
      </c>
      <c r="Z200" s="530">
        <v>0</v>
      </c>
      <c r="AA200" s="530">
        <v>0</v>
      </c>
      <c r="AB200" s="530">
        <v>0</v>
      </c>
      <c r="AC200" s="530">
        <v>0</v>
      </c>
      <c r="AD200" s="530">
        <v>0</v>
      </c>
      <c r="AE200" s="530">
        <v>0</v>
      </c>
      <c r="AF200" s="530">
        <v>0</v>
      </c>
      <c r="AG200" s="530">
        <v>0</v>
      </c>
      <c r="AH200" s="530">
        <f t="shared" si="24"/>
        <v>0</v>
      </c>
    </row>
    <row r="201" spans="1:36" s="545" customFormat="1" ht="12.75" x14ac:dyDescent="0.2">
      <c r="A201" s="513">
        <v>66583</v>
      </c>
      <c r="B201" s="529" t="s">
        <v>725</v>
      </c>
      <c r="C201" s="530">
        <v>0</v>
      </c>
      <c r="D201" s="530">
        <v>0</v>
      </c>
      <c r="E201" s="530">
        <v>0</v>
      </c>
      <c r="F201" s="530">
        <v>0</v>
      </c>
      <c r="G201" s="530">
        <v>0</v>
      </c>
      <c r="H201" s="530">
        <v>0</v>
      </c>
      <c r="I201" s="530">
        <v>0</v>
      </c>
      <c r="J201" s="530">
        <v>0</v>
      </c>
      <c r="K201" s="530">
        <v>0</v>
      </c>
      <c r="L201" s="530">
        <v>0</v>
      </c>
      <c r="M201" s="530">
        <v>0</v>
      </c>
      <c r="N201" s="530">
        <v>0</v>
      </c>
      <c r="O201" s="530">
        <v>0</v>
      </c>
      <c r="P201" s="530">
        <v>0</v>
      </c>
      <c r="Q201" s="530">
        <v>0</v>
      </c>
      <c r="R201" s="530">
        <v>0</v>
      </c>
      <c r="S201" s="530">
        <v>-45617.25</v>
      </c>
      <c r="T201" s="530">
        <v>0</v>
      </c>
      <c r="U201" s="530">
        <v>0</v>
      </c>
      <c r="V201" s="530">
        <v>0</v>
      </c>
      <c r="W201" s="530">
        <v>0</v>
      </c>
      <c r="X201" s="530">
        <v>0</v>
      </c>
      <c r="Y201" s="530">
        <v>0</v>
      </c>
      <c r="Z201" s="530">
        <v>0</v>
      </c>
      <c r="AA201" s="530">
        <v>0</v>
      </c>
      <c r="AB201" s="530">
        <v>0</v>
      </c>
      <c r="AC201" s="530">
        <v>0</v>
      </c>
      <c r="AD201" s="530">
        <v>0</v>
      </c>
      <c r="AE201" s="530">
        <v>0</v>
      </c>
      <c r="AF201" s="530">
        <v>0</v>
      </c>
      <c r="AG201" s="530">
        <v>0</v>
      </c>
      <c r="AH201" s="530">
        <f t="shared" si="24"/>
        <v>-45617.25</v>
      </c>
    </row>
    <row r="202" spans="1:36" s="545" customFormat="1" ht="12.75" x14ac:dyDescent="0.2">
      <c r="A202" s="513">
        <v>66585</v>
      </c>
      <c r="B202" s="553" t="s">
        <v>726</v>
      </c>
      <c r="C202" s="531">
        <v>0</v>
      </c>
      <c r="D202" s="531">
        <v>0</v>
      </c>
      <c r="E202" s="531">
        <v>0</v>
      </c>
      <c r="F202" s="531">
        <v>0</v>
      </c>
      <c r="G202" s="531">
        <v>88800</v>
      </c>
      <c r="H202" s="531">
        <v>0</v>
      </c>
      <c r="I202" s="531">
        <v>0</v>
      </c>
      <c r="J202" s="531">
        <v>0</v>
      </c>
      <c r="K202" s="531">
        <v>0</v>
      </c>
      <c r="L202" s="531">
        <v>0</v>
      </c>
      <c r="M202" s="531">
        <v>0</v>
      </c>
      <c r="N202" s="531">
        <v>0</v>
      </c>
      <c r="O202" s="531">
        <v>0</v>
      </c>
      <c r="P202" s="531">
        <v>0</v>
      </c>
      <c r="Q202" s="531">
        <v>0</v>
      </c>
      <c r="R202" s="531">
        <v>0</v>
      </c>
      <c r="S202" s="531">
        <v>0</v>
      </c>
      <c r="T202" s="531">
        <v>0</v>
      </c>
      <c r="U202" s="531">
        <v>0</v>
      </c>
      <c r="V202" s="531">
        <v>0</v>
      </c>
      <c r="W202" s="531">
        <v>0</v>
      </c>
      <c r="X202" s="531">
        <v>0</v>
      </c>
      <c r="Y202" s="531">
        <v>0</v>
      </c>
      <c r="Z202" s="531">
        <v>0</v>
      </c>
      <c r="AA202" s="531">
        <v>0</v>
      </c>
      <c r="AB202" s="531">
        <v>0</v>
      </c>
      <c r="AC202" s="531">
        <v>0</v>
      </c>
      <c r="AD202" s="531">
        <v>0</v>
      </c>
      <c r="AE202" s="531">
        <v>0</v>
      </c>
      <c r="AF202" s="531">
        <v>0</v>
      </c>
      <c r="AG202" s="531">
        <v>0</v>
      </c>
      <c r="AH202" s="531">
        <f t="shared" si="24"/>
        <v>88800</v>
      </c>
    </row>
    <row r="203" spans="1:36" s="428" customFormat="1" ht="12.75" x14ac:dyDescent="0.2">
      <c r="A203" s="513">
        <v>66600</v>
      </c>
      <c r="B203" s="532" t="s">
        <v>727</v>
      </c>
      <c r="C203" s="533">
        <f t="shared" ref="C203:AH203" si="25">SUM(C152:C202)</f>
        <v>57212.969999999994</v>
      </c>
      <c r="D203" s="533">
        <f t="shared" si="25"/>
        <v>0</v>
      </c>
      <c r="E203" s="533">
        <f t="shared" si="25"/>
        <v>1343.4300000000007</v>
      </c>
      <c r="F203" s="533">
        <f t="shared" si="25"/>
        <v>0</v>
      </c>
      <c r="G203" s="533">
        <f t="shared" si="25"/>
        <v>318771.38</v>
      </c>
      <c r="H203" s="533">
        <f t="shared" si="25"/>
        <v>0</v>
      </c>
      <c r="I203" s="533">
        <f t="shared" si="25"/>
        <v>215552.57000000007</v>
      </c>
      <c r="J203" s="533">
        <f t="shared" si="25"/>
        <v>187.02</v>
      </c>
      <c r="K203" s="533">
        <f t="shared" si="25"/>
        <v>-5608.54</v>
      </c>
      <c r="L203" s="533">
        <f t="shared" si="25"/>
        <v>68774.89</v>
      </c>
      <c r="M203" s="533">
        <f t="shared" si="25"/>
        <v>150380.94000000003</v>
      </c>
      <c r="N203" s="533">
        <f t="shared" si="25"/>
        <v>0</v>
      </c>
      <c r="O203" s="533">
        <f t="shared" si="25"/>
        <v>0</v>
      </c>
      <c r="P203" s="533">
        <f t="shared" si="25"/>
        <v>-11253.77</v>
      </c>
      <c r="Q203" s="533">
        <f t="shared" si="25"/>
        <v>0</v>
      </c>
      <c r="R203" s="533">
        <f t="shared" si="25"/>
        <v>4998.41</v>
      </c>
      <c r="S203" s="533">
        <f t="shared" si="25"/>
        <v>-38934.31</v>
      </c>
      <c r="T203" s="533">
        <f t="shared" si="25"/>
        <v>39862.280000000006</v>
      </c>
      <c r="U203" s="533">
        <f t="shared" si="25"/>
        <v>6025.14</v>
      </c>
      <c r="V203" s="533">
        <f t="shared" si="25"/>
        <v>5909.9699999999993</v>
      </c>
      <c r="W203" s="533">
        <f t="shared" si="25"/>
        <v>6264.78</v>
      </c>
      <c r="X203" s="533">
        <f t="shared" si="25"/>
        <v>4220.51</v>
      </c>
      <c r="Y203" s="533">
        <f t="shared" si="25"/>
        <v>1771.94</v>
      </c>
      <c r="Z203" s="533">
        <f t="shared" si="25"/>
        <v>-1458099.49</v>
      </c>
      <c r="AA203" s="533">
        <f t="shared" si="25"/>
        <v>29705.709999999995</v>
      </c>
      <c r="AB203" s="533">
        <f t="shared" si="25"/>
        <v>5267.8200000000006</v>
      </c>
      <c r="AC203" s="533">
        <f t="shared" si="25"/>
        <v>7201.0999999999995</v>
      </c>
      <c r="AD203" s="533">
        <f t="shared" si="25"/>
        <v>0</v>
      </c>
      <c r="AE203" s="533">
        <f t="shared" si="25"/>
        <v>0.01</v>
      </c>
      <c r="AF203" s="533">
        <f t="shared" si="25"/>
        <v>86758.14</v>
      </c>
      <c r="AG203" s="533">
        <f t="shared" si="25"/>
        <v>0</v>
      </c>
      <c r="AH203" s="533">
        <f t="shared" si="25"/>
        <v>-503687.10000000009</v>
      </c>
    </row>
    <row r="204" spans="1:36" s="428" customFormat="1" ht="12.75" x14ac:dyDescent="0.2">
      <c r="A204" s="513"/>
      <c r="B204" s="536"/>
      <c r="C204" s="537"/>
      <c r="D204" s="537"/>
      <c r="E204" s="537"/>
      <c r="F204" s="537"/>
      <c r="G204" s="537"/>
      <c r="H204" s="537"/>
      <c r="I204" s="537"/>
      <c r="J204" s="537"/>
      <c r="K204" s="537"/>
      <c r="L204" s="537"/>
      <c r="M204" s="537"/>
      <c r="N204" s="537"/>
      <c r="O204" s="537"/>
      <c r="P204" s="537"/>
      <c r="Q204" s="537"/>
      <c r="R204" s="537"/>
      <c r="S204" s="537"/>
      <c r="T204" s="537"/>
      <c r="U204" s="537"/>
      <c r="V204" s="537"/>
      <c r="W204" s="537"/>
      <c r="X204" s="537"/>
      <c r="Y204" s="537"/>
      <c r="Z204" s="537"/>
      <c r="AA204" s="537"/>
      <c r="AB204" s="537"/>
      <c r="AC204" s="537"/>
      <c r="AD204" s="537"/>
      <c r="AE204" s="537"/>
      <c r="AF204" s="537"/>
      <c r="AG204" s="537"/>
      <c r="AH204" s="537"/>
    </row>
    <row r="205" spans="1:36" s="428" customFormat="1" ht="12.75" x14ac:dyDescent="0.2">
      <c r="A205" s="513">
        <v>66690</v>
      </c>
      <c r="B205" s="536" t="s">
        <v>728</v>
      </c>
      <c r="C205" s="537">
        <f t="shared" ref="C205:AH205" si="26">C203+C149+C138+C126+C117+C106+C77</f>
        <v>259813.48999999996</v>
      </c>
      <c r="D205" s="537">
        <f t="shared" si="26"/>
        <v>0</v>
      </c>
      <c r="E205" s="537">
        <f t="shared" si="26"/>
        <v>48506.38</v>
      </c>
      <c r="F205" s="537">
        <f t="shared" si="26"/>
        <v>0</v>
      </c>
      <c r="G205" s="537">
        <f t="shared" si="26"/>
        <v>892883.3600000001</v>
      </c>
      <c r="H205" s="537">
        <f t="shared" si="26"/>
        <v>0</v>
      </c>
      <c r="I205" s="537">
        <f t="shared" si="26"/>
        <v>769419.40000000014</v>
      </c>
      <c r="J205" s="537">
        <f t="shared" si="26"/>
        <v>41896.689999999995</v>
      </c>
      <c r="K205" s="537">
        <f t="shared" si="26"/>
        <v>80310.719999999987</v>
      </c>
      <c r="L205" s="537">
        <f t="shared" si="26"/>
        <v>126652.5</v>
      </c>
      <c r="M205" s="537">
        <f t="shared" si="26"/>
        <v>622148.72000000009</v>
      </c>
      <c r="N205" s="537">
        <f t="shared" si="26"/>
        <v>0</v>
      </c>
      <c r="O205" s="537">
        <f t="shared" si="26"/>
        <v>0</v>
      </c>
      <c r="P205" s="537">
        <f t="shared" si="26"/>
        <v>888921.55999999994</v>
      </c>
      <c r="Q205" s="537">
        <f t="shared" si="26"/>
        <v>0</v>
      </c>
      <c r="R205" s="537">
        <f t="shared" si="26"/>
        <v>34106.879999999997</v>
      </c>
      <c r="S205" s="537">
        <f t="shared" si="26"/>
        <v>1.0000000002037268E-2</v>
      </c>
      <c r="T205" s="537">
        <f t="shared" si="26"/>
        <v>100880.67000000001</v>
      </c>
      <c r="U205" s="537">
        <f t="shared" si="26"/>
        <v>72429.430000000008</v>
      </c>
      <c r="V205" s="537">
        <f t="shared" si="26"/>
        <v>33387.519999999997</v>
      </c>
      <c r="W205" s="537">
        <f t="shared" si="26"/>
        <v>69676.08</v>
      </c>
      <c r="X205" s="537">
        <f t="shared" si="26"/>
        <v>52086.720000000016</v>
      </c>
      <c r="Y205" s="537">
        <f t="shared" si="26"/>
        <v>125720.02000000002</v>
      </c>
      <c r="Z205" s="537">
        <f t="shared" si="26"/>
        <v>-1375584.95</v>
      </c>
      <c r="AA205" s="537">
        <f t="shared" si="26"/>
        <v>48834.83</v>
      </c>
      <c r="AB205" s="537">
        <f t="shared" si="26"/>
        <v>73094.670000000013</v>
      </c>
      <c r="AC205" s="537">
        <f t="shared" si="26"/>
        <v>205593.21</v>
      </c>
      <c r="AD205" s="537">
        <f t="shared" si="26"/>
        <v>0</v>
      </c>
      <c r="AE205" s="537">
        <f t="shared" si="26"/>
        <v>0.01</v>
      </c>
      <c r="AF205" s="537">
        <f t="shared" si="26"/>
        <v>121291.41999999998</v>
      </c>
      <c r="AG205" s="537">
        <f t="shared" si="26"/>
        <v>0</v>
      </c>
      <c r="AH205" s="537">
        <f t="shared" si="26"/>
        <v>3292069.3400000008</v>
      </c>
      <c r="AJ205" s="560"/>
    </row>
    <row r="206" spans="1:36" s="428" customFormat="1" ht="12.75" x14ac:dyDescent="0.2">
      <c r="A206" s="513" t="s">
        <v>729</v>
      </c>
      <c r="B206" s="516" t="s">
        <v>128</v>
      </c>
      <c r="C206" s="544" t="str">
        <f t="shared" ref="C206:AH206" si="27">IF(ISERROR(C205/C24),"",(C205/C24))</f>
        <v/>
      </c>
      <c r="D206" s="544" t="str">
        <f t="shared" si="27"/>
        <v/>
      </c>
      <c r="E206" s="544" t="str">
        <f t="shared" si="27"/>
        <v/>
      </c>
      <c r="F206" s="544" t="str">
        <f t="shared" si="27"/>
        <v/>
      </c>
      <c r="G206" s="544" t="str">
        <f t="shared" si="27"/>
        <v/>
      </c>
      <c r="H206" s="544" t="str">
        <f t="shared" si="27"/>
        <v/>
      </c>
      <c r="I206" s="544">
        <f t="shared" si="27"/>
        <v>197.45612909517382</v>
      </c>
      <c r="J206" s="544" t="str">
        <f t="shared" si="27"/>
        <v/>
      </c>
      <c r="K206" s="544" t="str">
        <f t="shared" si="27"/>
        <v/>
      </c>
      <c r="L206" s="544" t="str">
        <f t="shared" si="27"/>
        <v/>
      </c>
      <c r="M206" s="544" t="str">
        <f t="shared" si="27"/>
        <v/>
      </c>
      <c r="N206" s="544" t="str">
        <f t="shared" si="27"/>
        <v/>
      </c>
      <c r="O206" s="544" t="str">
        <f t="shared" si="27"/>
        <v/>
      </c>
      <c r="P206" s="544" t="str">
        <f t="shared" si="27"/>
        <v/>
      </c>
      <c r="Q206" s="544" t="str">
        <f t="shared" si="27"/>
        <v/>
      </c>
      <c r="R206" s="544" t="str">
        <f t="shared" si="27"/>
        <v/>
      </c>
      <c r="S206" s="544" t="str">
        <f t="shared" si="27"/>
        <v/>
      </c>
      <c r="T206" s="544" t="str">
        <f t="shared" si="27"/>
        <v/>
      </c>
      <c r="U206" s="544" t="str">
        <f t="shared" si="27"/>
        <v/>
      </c>
      <c r="V206" s="544" t="str">
        <f t="shared" si="27"/>
        <v/>
      </c>
      <c r="W206" s="544" t="str">
        <f t="shared" si="27"/>
        <v/>
      </c>
      <c r="X206" s="544" t="str">
        <f t="shared" si="27"/>
        <v/>
      </c>
      <c r="Y206" s="544" t="str">
        <f t="shared" si="27"/>
        <v/>
      </c>
      <c r="Z206" s="544">
        <f t="shared" si="27"/>
        <v>-391.15344040219065</v>
      </c>
      <c r="AA206" s="544" t="str">
        <f t="shared" si="27"/>
        <v/>
      </c>
      <c r="AB206" s="544" t="str">
        <f t="shared" si="27"/>
        <v/>
      </c>
      <c r="AC206" s="544" t="str">
        <f t="shared" si="27"/>
        <v/>
      </c>
      <c r="AD206" s="544" t="str">
        <f t="shared" si="27"/>
        <v/>
      </c>
      <c r="AE206" s="544" t="str">
        <f t="shared" si="27"/>
        <v/>
      </c>
      <c r="AF206" s="544" t="str">
        <f t="shared" si="27"/>
        <v/>
      </c>
      <c r="AG206" s="544" t="str">
        <f t="shared" si="27"/>
        <v/>
      </c>
      <c r="AH206" s="544">
        <f t="shared" si="27"/>
        <v>444.07010818248045</v>
      </c>
    </row>
    <row r="207" spans="1:36" s="428" customFormat="1" x14ac:dyDescent="0.25">
      <c r="A207" s="513"/>
      <c r="B207" s="514"/>
      <c r="C207" s="561"/>
      <c r="D207" s="561"/>
      <c r="E207" s="561"/>
      <c r="F207" s="561"/>
      <c r="G207" s="561"/>
      <c r="H207" s="561"/>
      <c r="I207" s="561"/>
      <c r="J207" s="561"/>
      <c r="K207" s="561"/>
      <c r="L207" s="561"/>
      <c r="M207" s="561"/>
      <c r="N207" s="561"/>
      <c r="O207" s="561"/>
      <c r="P207" s="561"/>
      <c r="Q207" s="561"/>
      <c r="R207" s="561"/>
      <c r="S207" s="561"/>
      <c r="T207" s="561"/>
      <c r="U207" s="561"/>
      <c r="V207" s="561"/>
      <c r="W207" s="561"/>
      <c r="X207" s="561"/>
      <c r="Y207" s="561"/>
      <c r="Z207" s="561"/>
      <c r="AA207" s="561"/>
      <c r="AB207" s="561"/>
      <c r="AC207" s="561"/>
      <c r="AD207" s="561"/>
      <c r="AE207" s="561"/>
      <c r="AF207" s="561"/>
      <c r="AG207" s="561"/>
      <c r="AH207" s="561"/>
    </row>
    <row r="208" spans="1:36" s="428" customFormat="1" ht="12.75" x14ac:dyDescent="0.2">
      <c r="A208" s="513">
        <v>66695</v>
      </c>
      <c r="B208" s="536" t="s">
        <v>730</v>
      </c>
      <c r="C208" s="537">
        <f t="shared" ref="C208:AH208" si="28">C69-C205+C196</f>
        <v>-259813.48999999996</v>
      </c>
      <c r="D208" s="537">
        <f t="shared" si="28"/>
        <v>0</v>
      </c>
      <c r="E208" s="537">
        <f t="shared" si="28"/>
        <v>-48506.38</v>
      </c>
      <c r="F208" s="537">
        <f t="shared" si="28"/>
        <v>0</v>
      </c>
      <c r="G208" s="537">
        <f t="shared" si="28"/>
        <v>-892883.3600000001</v>
      </c>
      <c r="H208" s="537">
        <f t="shared" si="28"/>
        <v>0</v>
      </c>
      <c r="I208" s="537">
        <f t="shared" si="28"/>
        <v>-765522.74000000011</v>
      </c>
      <c r="J208" s="537">
        <f t="shared" si="28"/>
        <v>-41896.689999999995</v>
      </c>
      <c r="K208" s="537">
        <f t="shared" si="28"/>
        <v>-80310.719999999987</v>
      </c>
      <c r="L208" s="537">
        <f t="shared" si="28"/>
        <v>-126652.5</v>
      </c>
      <c r="M208" s="537">
        <f t="shared" si="28"/>
        <v>-622148.72000000009</v>
      </c>
      <c r="N208" s="537">
        <f t="shared" si="28"/>
        <v>0</v>
      </c>
      <c r="O208" s="537">
        <f t="shared" si="28"/>
        <v>0</v>
      </c>
      <c r="P208" s="537">
        <f t="shared" si="28"/>
        <v>-888921.55999999994</v>
      </c>
      <c r="Q208" s="537">
        <f t="shared" si="28"/>
        <v>0</v>
      </c>
      <c r="R208" s="537">
        <f t="shared" si="28"/>
        <v>-34106.879999999997</v>
      </c>
      <c r="S208" s="537">
        <f t="shared" si="28"/>
        <v>-1.0000000002037268E-2</v>
      </c>
      <c r="T208" s="537">
        <f t="shared" si="28"/>
        <v>-100880.67000000001</v>
      </c>
      <c r="U208" s="537">
        <f t="shared" si="28"/>
        <v>-72429.430000000008</v>
      </c>
      <c r="V208" s="537">
        <f t="shared" si="28"/>
        <v>-33387.519999999997</v>
      </c>
      <c r="W208" s="537">
        <f t="shared" si="28"/>
        <v>-69676.08</v>
      </c>
      <c r="X208" s="537">
        <f t="shared" si="28"/>
        <v>-52086.720000000016</v>
      </c>
      <c r="Y208" s="537">
        <f t="shared" si="28"/>
        <v>-125720.02000000002</v>
      </c>
      <c r="Z208" s="537">
        <f t="shared" si="28"/>
        <v>-86799.160000000149</v>
      </c>
      <c r="AA208" s="537">
        <f t="shared" si="28"/>
        <v>-48834.83</v>
      </c>
      <c r="AB208" s="537">
        <f t="shared" si="28"/>
        <v>-73094.670000000013</v>
      </c>
      <c r="AC208" s="537">
        <f t="shared" si="28"/>
        <v>-205593.21</v>
      </c>
      <c r="AD208" s="537">
        <f t="shared" si="28"/>
        <v>0</v>
      </c>
      <c r="AE208" s="537">
        <f t="shared" si="28"/>
        <v>-0.01</v>
      </c>
      <c r="AF208" s="537">
        <f t="shared" si="28"/>
        <v>-121291.41999999998</v>
      </c>
      <c r="AG208" s="537">
        <f t="shared" si="28"/>
        <v>0</v>
      </c>
      <c r="AH208" s="537">
        <f t="shared" si="28"/>
        <v>-4750556.790000001</v>
      </c>
    </row>
    <row r="209" spans="1:35" s="428" customFormat="1" ht="12.75" x14ac:dyDescent="0.2">
      <c r="A209" s="513"/>
      <c r="B209" s="516"/>
      <c r="C209" s="528"/>
      <c r="D209" s="528"/>
      <c r="E209" s="528"/>
      <c r="F209" s="528"/>
      <c r="G209" s="528"/>
      <c r="H209" s="528"/>
      <c r="I209" s="528"/>
      <c r="J209" s="528"/>
      <c r="K209" s="528"/>
      <c r="L209" s="528"/>
      <c r="M209" s="528"/>
      <c r="N209" s="528"/>
      <c r="O209" s="528"/>
      <c r="P209" s="528"/>
      <c r="Q209" s="528"/>
      <c r="R209" s="528"/>
      <c r="S209" s="528"/>
      <c r="T209" s="528"/>
      <c r="U209" s="528"/>
      <c r="V209" s="528"/>
      <c r="W209" s="528"/>
      <c r="X209" s="528"/>
      <c r="Y209" s="528"/>
      <c r="Z209" s="528"/>
      <c r="AA209" s="528"/>
      <c r="AB209" s="528"/>
      <c r="AC209" s="528"/>
      <c r="AD209" s="528"/>
      <c r="AE209" s="528"/>
      <c r="AF209" s="528"/>
      <c r="AG209" s="528"/>
      <c r="AH209" s="528"/>
    </row>
    <row r="210" spans="1:35" s="428" customFormat="1" ht="12.75" x14ac:dyDescent="0.2">
      <c r="A210" s="513"/>
      <c r="B210" s="516" t="s">
        <v>98</v>
      </c>
      <c r="C210" s="528"/>
      <c r="D210" s="528"/>
      <c r="E210" s="528"/>
      <c r="F210" s="528"/>
      <c r="G210" s="528"/>
      <c r="H210" s="528"/>
      <c r="I210" s="528"/>
      <c r="J210" s="528"/>
      <c r="K210" s="528"/>
      <c r="L210" s="528"/>
      <c r="M210" s="528"/>
      <c r="N210" s="528"/>
      <c r="O210" s="528"/>
      <c r="P210" s="528"/>
      <c r="Q210" s="528"/>
      <c r="R210" s="528"/>
      <c r="S210" s="528"/>
      <c r="T210" s="528"/>
      <c r="U210" s="528"/>
      <c r="V210" s="528"/>
      <c r="W210" s="528"/>
      <c r="X210" s="528"/>
      <c r="Y210" s="528"/>
      <c r="Z210" s="528"/>
      <c r="AA210" s="528"/>
      <c r="AB210" s="528"/>
      <c r="AC210" s="528"/>
      <c r="AD210" s="528"/>
      <c r="AE210" s="528"/>
      <c r="AF210" s="528"/>
      <c r="AG210" s="528"/>
      <c r="AH210" s="528"/>
    </row>
    <row r="211" spans="1:35" s="559" customFormat="1" ht="12.75" x14ac:dyDescent="0.2">
      <c r="A211" s="556" t="s">
        <v>731</v>
      </c>
      <c r="B211" s="557" t="s">
        <v>732</v>
      </c>
      <c r="C211" s="558">
        <v>0</v>
      </c>
      <c r="D211" s="558">
        <v>0</v>
      </c>
      <c r="E211" s="558">
        <v>0</v>
      </c>
      <c r="F211" s="558">
        <v>0</v>
      </c>
      <c r="G211" s="558">
        <v>-4377543.1900000004</v>
      </c>
      <c r="H211" s="558">
        <v>0</v>
      </c>
      <c r="I211" s="558">
        <v>0</v>
      </c>
      <c r="J211" s="558">
        <v>0</v>
      </c>
      <c r="K211" s="558">
        <v>0</v>
      </c>
      <c r="L211" s="558">
        <v>0</v>
      </c>
      <c r="M211" s="558">
        <v>0</v>
      </c>
      <c r="N211" s="558">
        <v>0</v>
      </c>
      <c r="O211" s="558">
        <v>0</v>
      </c>
      <c r="P211" s="558">
        <v>0</v>
      </c>
      <c r="Q211" s="558">
        <v>0</v>
      </c>
      <c r="R211" s="558">
        <v>0</v>
      </c>
      <c r="S211" s="558">
        <v>0</v>
      </c>
      <c r="T211" s="558">
        <v>0</v>
      </c>
      <c r="U211" s="558">
        <v>0</v>
      </c>
      <c r="V211" s="558">
        <v>0</v>
      </c>
      <c r="W211" s="558">
        <v>0</v>
      </c>
      <c r="X211" s="558">
        <v>0</v>
      </c>
      <c r="Y211" s="558">
        <v>0</v>
      </c>
      <c r="Z211" s="558">
        <v>0</v>
      </c>
      <c r="AA211" s="558">
        <v>0</v>
      </c>
      <c r="AB211" s="558">
        <v>0</v>
      </c>
      <c r="AC211" s="558">
        <v>0</v>
      </c>
      <c r="AD211" s="558">
        <v>0</v>
      </c>
      <c r="AE211" s="558">
        <v>0</v>
      </c>
      <c r="AF211" s="558">
        <v>0</v>
      </c>
      <c r="AG211" s="558">
        <v>0</v>
      </c>
      <c r="AH211" s="558">
        <f>SUM(C211:AG211)</f>
        <v>-4377543.1900000004</v>
      </c>
    </row>
    <row r="212" spans="1:35" s="545" customFormat="1" ht="12.75" x14ac:dyDescent="0.2">
      <c r="A212" s="513">
        <v>70003</v>
      </c>
      <c r="B212" s="529" t="s">
        <v>733</v>
      </c>
      <c r="C212" s="530">
        <v>0</v>
      </c>
      <c r="D212" s="530">
        <v>0</v>
      </c>
      <c r="E212" s="530">
        <v>0</v>
      </c>
      <c r="F212" s="530">
        <v>0</v>
      </c>
      <c r="G212" s="530">
        <v>0</v>
      </c>
      <c r="H212" s="530">
        <v>0</v>
      </c>
      <c r="I212" s="530">
        <v>0</v>
      </c>
      <c r="J212" s="530">
        <v>0</v>
      </c>
      <c r="K212" s="530">
        <v>0</v>
      </c>
      <c r="L212" s="530">
        <v>0</v>
      </c>
      <c r="M212" s="530">
        <v>0</v>
      </c>
      <c r="N212" s="530">
        <v>0</v>
      </c>
      <c r="O212" s="530">
        <v>0</v>
      </c>
      <c r="P212" s="530">
        <v>0</v>
      </c>
      <c r="Q212" s="530">
        <v>0</v>
      </c>
      <c r="R212" s="530">
        <v>0</v>
      </c>
      <c r="S212" s="530">
        <v>0</v>
      </c>
      <c r="T212" s="530">
        <v>0</v>
      </c>
      <c r="U212" s="530">
        <v>0</v>
      </c>
      <c r="V212" s="530">
        <v>0</v>
      </c>
      <c r="W212" s="530">
        <v>0</v>
      </c>
      <c r="X212" s="530">
        <v>0</v>
      </c>
      <c r="Y212" s="530">
        <v>0</v>
      </c>
      <c r="Z212" s="530">
        <v>0</v>
      </c>
      <c r="AA212" s="530">
        <v>0</v>
      </c>
      <c r="AB212" s="530">
        <v>0</v>
      </c>
      <c r="AC212" s="530">
        <v>0</v>
      </c>
      <c r="AD212" s="530">
        <v>0</v>
      </c>
      <c r="AE212" s="530">
        <v>0</v>
      </c>
      <c r="AF212" s="530">
        <v>0</v>
      </c>
      <c r="AG212" s="530">
        <v>0</v>
      </c>
      <c r="AH212" s="530">
        <f>SUM(C212:AG212)</f>
        <v>0</v>
      </c>
    </row>
    <row r="213" spans="1:35" s="545" customFormat="1" ht="12.75" x14ac:dyDescent="0.2">
      <c r="A213" s="513">
        <v>70004</v>
      </c>
      <c r="B213" s="529" t="s">
        <v>734</v>
      </c>
      <c r="C213" s="530">
        <v>0</v>
      </c>
      <c r="D213" s="530">
        <v>0</v>
      </c>
      <c r="E213" s="530">
        <v>0</v>
      </c>
      <c r="F213" s="530">
        <v>0</v>
      </c>
      <c r="G213" s="530">
        <v>0</v>
      </c>
      <c r="H213" s="530">
        <v>0</v>
      </c>
      <c r="I213" s="530">
        <v>0</v>
      </c>
      <c r="J213" s="530">
        <v>0</v>
      </c>
      <c r="K213" s="530">
        <v>0</v>
      </c>
      <c r="L213" s="530">
        <v>0</v>
      </c>
      <c r="M213" s="530">
        <v>0</v>
      </c>
      <c r="N213" s="530">
        <v>0</v>
      </c>
      <c r="O213" s="530">
        <v>0</v>
      </c>
      <c r="P213" s="530">
        <v>0</v>
      </c>
      <c r="Q213" s="530">
        <v>0</v>
      </c>
      <c r="R213" s="530">
        <v>0</v>
      </c>
      <c r="S213" s="530">
        <v>0</v>
      </c>
      <c r="T213" s="530">
        <v>0</v>
      </c>
      <c r="U213" s="530">
        <v>0</v>
      </c>
      <c r="V213" s="530">
        <v>0</v>
      </c>
      <c r="W213" s="530">
        <v>0</v>
      </c>
      <c r="X213" s="530">
        <v>0</v>
      </c>
      <c r="Y213" s="530">
        <v>0</v>
      </c>
      <c r="Z213" s="530">
        <v>0</v>
      </c>
      <c r="AA213" s="530">
        <v>0</v>
      </c>
      <c r="AB213" s="530">
        <v>0</v>
      </c>
      <c r="AC213" s="530">
        <v>0</v>
      </c>
      <c r="AD213" s="530">
        <v>0</v>
      </c>
      <c r="AE213" s="530">
        <v>0</v>
      </c>
      <c r="AF213" s="530">
        <v>0</v>
      </c>
      <c r="AG213" s="530">
        <v>0</v>
      </c>
      <c r="AH213" s="530">
        <f>SUM(C213:AG213)</f>
        <v>0</v>
      </c>
    </row>
    <row r="214" spans="1:35" s="545" customFormat="1" ht="12.75" x14ac:dyDescent="0.2">
      <c r="A214" s="513" t="s">
        <v>735</v>
      </c>
      <c r="B214" s="529" t="s">
        <v>736</v>
      </c>
      <c r="C214" s="530">
        <v>0</v>
      </c>
      <c r="D214" s="530">
        <v>0</v>
      </c>
      <c r="E214" s="530">
        <v>0</v>
      </c>
      <c r="F214" s="530">
        <v>0</v>
      </c>
      <c r="G214" s="530">
        <v>0</v>
      </c>
      <c r="H214" s="530">
        <v>0</v>
      </c>
      <c r="I214" s="530">
        <v>0</v>
      </c>
      <c r="J214" s="530">
        <v>0</v>
      </c>
      <c r="K214" s="530">
        <v>0</v>
      </c>
      <c r="L214" s="530">
        <v>0</v>
      </c>
      <c r="M214" s="530">
        <v>0</v>
      </c>
      <c r="N214" s="530">
        <v>0</v>
      </c>
      <c r="O214" s="530">
        <v>0</v>
      </c>
      <c r="P214" s="530">
        <v>0</v>
      </c>
      <c r="Q214" s="530">
        <v>0</v>
      </c>
      <c r="R214" s="530">
        <v>0</v>
      </c>
      <c r="S214" s="530">
        <v>0</v>
      </c>
      <c r="T214" s="530">
        <v>0</v>
      </c>
      <c r="U214" s="530">
        <v>0</v>
      </c>
      <c r="V214" s="530">
        <v>0</v>
      </c>
      <c r="W214" s="530">
        <v>0</v>
      </c>
      <c r="X214" s="530">
        <v>0</v>
      </c>
      <c r="Y214" s="530">
        <v>0</v>
      </c>
      <c r="Z214" s="530">
        <v>0</v>
      </c>
      <c r="AA214" s="530">
        <v>0</v>
      </c>
      <c r="AB214" s="530">
        <v>0</v>
      </c>
      <c r="AC214" s="530">
        <v>0</v>
      </c>
      <c r="AD214" s="530">
        <v>0</v>
      </c>
      <c r="AE214" s="530">
        <v>0</v>
      </c>
      <c r="AF214" s="530">
        <v>0</v>
      </c>
      <c r="AG214" s="530">
        <v>0</v>
      </c>
      <c r="AH214" s="530">
        <f>SUM(C214:AG214)</f>
        <v>0</v>
      </c>
    </row>
    <row r="215" spans="1:35" s="428" customFormat="1" ht="12.75" x14ac:dyDescent="0.2">
      <c r="A215" s="513">
        <v>72000</v>
      </c>
      <c r="B215" s="536" t="s">
        <v>737</v>
      </c>
      <c r="C215" s="537">
        <f t="shared" ref="C215:AH215" si="29">SUM(C211:C214)</f>
        <v>0</v>
      </c>
      <c r="D215" s="537">
        <f t="shared" si="29"/>
        <v>0</v>
      </c>
      <c r="E215" s="537">
        <f t="shared" si="29"/>
        <v>0</v>
      </c>
      <c r="F215" s="537">
        <f t="shared" si="29"/>
        <v>0</v>
      </c>
      <c r="G215" s="537">
        <f t="shared" si="29"/>
        <v>-4377543.1900000004</v>
      </c>
      <c r="H215" s="537">
        <f t="shared" si="29"/>
        <v>0</v>
      </c>
      <c r="I215" s="537">
        <f t="shared" si="29"/>
        <v>0</v>
      </c>
      <c r="J215" s="537">
        <f t="shared" si="29"/>
        <v>0</v>
      </c>
      <c r="K215" s="537">
        <f t="shared" si="29"/>
        <v>0</v>
      </c>
      <c r="L215" s="537">
        <f t="shared" si="29"/>
        <v>0</v>
      </c>
      <c r="M215" s="537">
        <f t="shared" si="29"/>
        <v>0</v>
      </c>
      <c r="N215" s="537">
        <f t="shared" si="29"/>
        <v>0</v>
      </c>
      <c r="O215" s="537">
        <f t="shared" si="29"/>
        <v>0</v>
      </c>
      <c r="P215" s="537">
        <f t="shared" si="29"/>
        <v>0</v>
      </c>
      <c r="Q215" s="537">
        <f t="shared" si="29"/>
        <v>0</v>
      </c>
      <c r="R215" s="537">
        <f t="shared" si="29"/>
        <v>0</v>
      </c>
      <c r="S215" s="537">
        <f t="shared" si="29"/>
        <v>0</v>
      </c>
      <c r="T215" s="537">
        <f t="shared" si="29"/>
        <v>0</v>
      </c>
      <c r="U215" s="537">
        <f t="shared" si="29"/>
        <v>0</v>
      </c>
      <c r="V215" s="537">
        <f t="shared" si="29"/>
        <v>0</v>
      </c>
      <c r="W215" s="537">
        <f t="shared" si="29"/>
        <v>0</v>
      </c>
      <c r="X215" s="537">
        <f t="shared" si="29"/>
        <v>0</v>
      </c>
      <c r="Y215" s="537">
        <f t="shared" si="29"/>
        <v>0</v>
      </c>
      <c r="Z215" s="537">
        <f t="shared" si="29"/>
        <v>0</v>
      </c>
      <c r="AA215" s="537">
        <f t="shared" si="29"/>
        <v>0</v>
      </c>
      <c r="AB215" s="537">
        <f t="shared" si="29"/>
        <v>0</v>
      </c>
      <c r="AC215" s="537">
        <f t="shared" si="29"/>
        <v>0</v>
      </c>
      <c r="AD215" s="537">
        <f t="shared" si="29"/>
        <v>0</v>
      </c>
      <c r="AE215" s="537">
        <f t="shared" si="29"/>
        <v>0</v>
      </c>
      <c r="AF215" s="537">
        <f t="shared" si="29"/>
        <v>0</v>
      </c>
      <c r="AG215" s="537">
        <f t="shared" si="29"/>
        <v>0</v>
      </c>
      <c r="AH215" s="537">
        <f t="shared" si="29"/>
        <v>-4377543.1900000004</v>
      </c>
    </row>
    <row r="216" spans="1:35" s="428" customFormat="1" ht="12.75" x14ac:dyDescent="0.2">
      <c r="A216" s="513"/>
      <c r="B216" s="536"/>
      <c r="C216" s="537"/>
      <c r="D216" s="537"/>
      <c r="E216" s="537"/>
      <c r="F216" s="537"/>
      <c r="G216" s="537"/>
      <c r="H216" s="537"/>
      <c r="I216" s="537"/>
      <c r="J216" s="537"/>
      <c r="K216" s="537"/>
      <c r="L216" s="537"/>
      <c r="M216" s="537"/>
      <c r="N216" s="537"/>
      <c r="O216" s="537"/>
      <c r="P216" s="537"/>
      <c r="Q216" s="537"/>
      <c r="R216" s="537"/>
      <c r="S216" s="537"/>
      <c r="T216" s="537"/>
      <c r="U216" s="537"/>
      <c r="V216" s="537"/>
      <c r="W216" s="537"/>
      <c r="X216" s="537"/>
      <c r="Y216" s="537"/>
      <c r="Z216" s="537"/>
      <c r="AA216" s="537"/>
      <c r="AB216" s="537"/>
      <c r="AC216" s="537"/>
      <c r="AD216" s="537"/>
      <c r="AE216" s="537"/>
      <c r="AF216" s="537"/>
      <c r="AG216" s="537"/>
      <c r="AH216" s="537"/>
    </row>
    <row r="217" spans="1:35" s="428" customFormat="1" ht="12.75" x14ac:dyDescent="0.2">
      <c r="A217" s="513">
        <v>72999</v>
      </c>
      <c r="B217" s="536" t="s">
        <v>738</v>
      </c>
      <c r="C217" s="537">
        <f t="shared" ref="C217:AH217" si="30">C205+C215</f>
        <v>259813.48999999996</v>
      </c>
      <c r="D217" s="537">
        <f t="shared" si="30"/>
        <v>0</v>
      </c>
      <c r="E217" s="537">
        <f t="shared" si="30"/>
        <v>48506.38</v>
      </c>
      <c r="F217" s="537">
        <f t="shared" si="30"/>
        <v>0</v>
      </c>
      <c r="G217" s="537">
        <f t="shared" si="30"/>
        <v>-3484659.83</v>
      </c>
      <c r="H217" s="537">
        <f t="shared" si="30"/>
        <v>0</v>
      </c>
      <c r="I217" s="537">
        <f t="shared" si="30"/>
        <v>769419.40000000014</v>
      </c>
      <c r="J217" s="537">
        <f t="shared" si="30"/>
        <v>41896.689999999995</v>
      </c>
      <c r="K217" s="537">
        <f t="shared" si="30"/>
        <v>80310.719999999987</v>
      </c>
      <c r="L217" s="537">
        <f t="shared" si="30"/>
        <v>126652.5</v>
      </c>
      <c r="M217" s="537">
        <f t="shared" si="30"/>
        <v>622148.72000000009</v>
      </c>
      <c r="N217" s="537">
        <f t="shared" si="30"/>
        <v>0</v>
      </c>
      <c r="O217" s="537">
        <f t="shared" si="30"/>
        <v>0</v>
      </c>
      <c r="P217" s="537">
        <f t="shared" si="30"/>
        <v>888921.55999999994</v>
      </c>
      <c r="Q217" s="537">
        <f t="shared" si="30"/>
        <v>0</v>
      </c>
      <c r="R217" s="537">
        <f t="shared" si="30"/>
        <v>34106.879999999997</v>
      </c>
      <c r="S217" s="537">
        <f t="shared" si="30"/>
        <v>1.0000000002037268E-2</v>
      </c>
      <c r="T217" s="537">
        <f t="shared" si="30"/>
        <v>100880.67000000001</v>
      </c>
      <c r="U217" s="537">
        <f t="shared" si="30"/>
        <v>72429.430000000008</v>
      </c>
      <c r="V217" s="537">
        <f t="shared" si="30"/>
        <v>33387.519999999997</v>
      </c>
      <c r="W217" s="537">
        <f t="shared" si="30"/>
        <v>69676.08</v>
      </c>
      <c r="X217" s="537">
        <f t="shared" si="30"/>
        <v>52086.720000000016</v>
      </c>
      <c r="Y217" s="537">
        <f t="shared" si="30"/>
        <v>125720.02000000002</v>
      </c>
      <c r="Z217" s="537">
        <f t="shared" si="30"/>
        <v>-1375584.95</v>
      </c>
      <c r="AA217" s="537">
        <f t="shared" si="30"/>
        <v>48834.83</v>
      </c>
      <c r="AB217" s="537">
        <f t="shared" si="30"/>
        <v>73094.670000000013</v>
      </c>
      <c r="AC217" s="537">
        <f t="shared" si="30"/>
        <v>205593.21</v>
      </c>
      <c r="AD217" s="537">
        <f t="shared" si="30"/>
        <v>0</v>
      </c>
      <c r="AE217" s="537">
        <f t="shared" si="30"/>
        <v>0.01</v>
      </c>
      <c r="AF217" s="537">
        <f t="shared" si="30"/>
        <v>121291.41999999998</v>
      </c>
      <c r="AG217" s="537">
        <f t="shared" si="30"/>
        <v>0</v>
      </c>
      <c r="AH217" s="537">
        <f t="shared" si="30"/>
        <v>-1085473.8499999996</v>
      </c>
    </row>
    <row r="218" spans="1:35" s="428" customFormat="1" ht="12.75" x14ac:dyDescent="0.2">
      <c r="A218" s="513" t="s">
        <v>739</v>
      </c>
      <c r="B218" s="562" t="s">
        <v>128</v>
      </c>
      <c r="C218" s="544" t="str">
        <f t="shared" ref="C218:Y218" si="31">IF(ISERROR(C217/C24),"",(C217/C24))</f>
        <v/>
      </c>
      <c r="D218" s="544" t="str">
        <f t="shared" si="31"/>
        <v/>
      </c>
      <c r="E218" s="544" t="str">
        <f t="shared" si="31"/>
        <v/>
      </c>
      <c r="F218" s="544" t="str">
        <f t="shared" si="31"/>
        <v/>
      </c>
      <c r="G218" s="544" t="str">
        <f t="shared" si="31"/>
        <v/>
      </c>
      <c r="H218" s="544" t="str">
        <f t="shared" si="31"/>
        <v/>
      </c>
      <c r="I218" s="544">
        <f t="shared" si="31"/>
        <v>197.45612909517382</v>
      </c>
      <c r="J218" s="544" t="str">
        <f t="shared" si="31"/>
        <v/>
      </c>
      <c r="K218" s="544" t="str">
        <f t="shared" si="31"/>
        <v/>
      </c>
      <c r="L218" s="544" t="str">
        <f t="shared" si="31"/>
        <v/>
      </c>
      <c r="M218" s="544" t="str">
        <f t="shared" si="31"/>
        <v/>
      </c>
      <c r="N218" s="544" t="str">
        <f t="shared" si="31"/>
        <v/>
      </c>
      <c r="O218" s="544" t="str">
        <f t="shared" si="31"/>
        <v/>
      </c>
      <c r="P218" s="544" t="str">
        <f t="shared" si="31"/>
        <v/>
      </c>
      <c r="Q218" s="544" t="str">
        <f t="shared" si="31"/>
        <v/>
      </c>
      <c r="R218" s="544" t="str">
        <f t="shared" si="31"/>
        <v/>
      </c>
      <c r="S218" s="544" t="str">
        <f t="shared" si="31"/>
        <v/>
      </c>
      <c r="T218" s="544" t="str">
        <f t="shared" si="31"/>
        <v/>
      </c>
      <c r="U218" s="544" t="str">
        <f t="shared" si="31"/>
        <v/>
      </c>
      <c r="V218" s="544" t="str">
        <f t="shared" si="31"/>
        <v/>
      </c>
      <c r="W218" s="544" t="str">
        <f t="shared" si="31"/>
        <v/>
      </c>
      <c r="X218" s="544" t="str">
        <f t="shared" si="31"/>
        <v/>
      </c>
      <c r="Y218" s="544" t="str">
        <f t="shared" si="31"/>
        <v/>
      </c>
      <c r="Z218" s="544"/>
      <c r="AA218" s="544" t="str">
        <f t="shared" ref="AA218:AH218" si="32">IF(ISERROR(AA217/AA24),"",(AA217/AA24))</f>
        <v/>
      </c>
      <c r="AB218" s="544" t="str">
        <f t="shared" si="32"/>
        <v/>
      </c>
      <c r="AC218" s="544" t="str">
        <f t="shared" si="32"/>
        <v/>
      </c>
      <c r="AD218" s="544" t="str">
        <f t="shared" si="32"/>
        <v/>
      </c>
      <c r="AE218" s="544" t="str">
        <f t="shared" si="32"/>
        <v/>
      </c>
      <c r="AF218" s="544" t="str">
        <f t="shared" si="32"/>
        <v/>
      </c>
      <c r="AG218" s="544" t="str">
        <f t="shared" si="32"/>
        <v/>
      </c>
      <c r="AH218" s="544">
        <f t="shared" si="32"/>
        <v>-146.42051555291764</v>
      </c>
    </row>
    <row r="219" spans="1:35" s="428" customFormat="1" x14ac:dyDescent="0.25">
      <c r="A219" s="513"/>
      <c r="B219" s="534"/>
      <c r="C219" s="563"/>
      <c r="D219" s="563"/>
      <c r="E219" s="563"/>
      <c r="F219" s="563"/>
      <c r="G219" s="563"/>
      <c r="H219" s="563"/>
      <c r="I219" s="563"/>
      <c r="J219" s="563"/>
      <c r="K219" s="563"/>
      <c r="L219" s="563"/>
      <c r="M219" s="563"/>
      <c r="N219" s="563"/>
      <c r="O219" s="563"/>
      <c r="P219" s="563"/>
      <c r="Q219" s="563"/>
      <c r="R219" s="563"/>
      <c r="S219" s="563"/>
      <c r="T219" s="563"/>
      <c r="U219" s="563"/>
      <c r="V219" s="563"/>
      <c r="W219" s="563"/>
      <c r="X219" s="563"/>
      <c r="Y219" s="563"/>
      <c r="Z219" s="563"/>
      <c r="AA219" s="563"/>
      <c r="AB219" s="563"/>
      <c r="AC219" s="563"/>
      <c r="AD219" s="563"/>
      <c r="AE219" s="563"/>
      <c r="AF219" s="563"/>
      <c r="AG219" s="563"/>
      <c r="AH219" s="563"/>
    </row>
    <row r="220" spans="1:35" s="428" customFormat="1" ht="12.75" x14ac:dyDescent="0.2">
      <c r="A220" s="513">
        <v>75999</v>
      </c>
      <c r="B220" s="532" t="s">
        <v>740</v>
      </c>
      <c r="C220" s="1157">
        <f t="shared" ref="C220:AH220" si="33">C208-C215</f>
        <v>-259813.48999999996</v>
      </c>
      <c r="D220" s="533">
        <f t="shared" si="33"/>
        <v>0</v>
      </c>
      <c r="E220" s="1157">
        <f t="shared" si="33"/>
        <v>-48506.38</v>
      </c>
      <c r="F220" s="1157">
        <f t="shared" si="33"/>
        <v>0</v>
      </c>
      <c r="G220" s="533">
        <f t="shared" si="33"/>
        <v>3484659.83</v>
      </c>
      <c r="H220" s="533">
        <f t="shared" si="33"/>
        <v>0</v>
      </c>
      <c r="I220" s="1158">
        <f t="shared" si="33"/>
        <v>-765522.74000000011</v>
      </c>
      <c r="J220" s="1157">
        <f t="shared" si="33"/>
        <v>-41896.689999999995</v>
      </c>
      <c r="K220" s="1157">
        <f t="shared" si="33"/>
        <v>-80310.719999999987</v>
      </c>
      <c r="L220" s="1157">
        <f t="shared" si="33"/>
        <v>-126652.5</v>
      </c>
      <c r="M220" s="1157">
        <f t="shared" si="33"/>
        <v>-622148.72000000009</v>
      </c>
      <c r="N220" s="533">
        <f t="shared" si="33"/>
        <v>0</v>
      </c>
      <c r="O220" s="533">
        <f t="shared" si="33"/>
        <v>0</v>
      </c>
      <c r="P220" s="1157">
        <f t="shared" si="33"/>
        <v>-888921.55999999994</v>
      </c>
      <c r="Q220" s="533">
        <f t="shared" si="33"/>
        <v>0</v>
      </c>
      <c r="R220" s="1157">
        <f t="shared" si="33"/>
        <v>-34106.879999999997</v>
      </c>
      <c r="S220" s="1158">
        <f t="shared" si="33"/>
        <v>-1.0000000002037268E-2</v>
      </c>
      <c r="T220" s="1157">
        <f t="shared" si="33"/>
        <v>-100880.67000000001</v>
      </c>
      <c r="U220" s="1157">
        <f t="shared" si="33"/>
        <v>-72429.430000000008</v>
      </c>
      <c r="V220" s="1157">
        <f t="shared" si="33"/>
        <v>-33387.519999999997</v>
      </c>
      <c r="W220" s="1157">
        <f t="shared" si="33"/>
        <v>-69676.08</v>
      </c>
      <c r="X220" s="1157">
        <f t="shared" si="33"/>
        <v>-52086.720000000016</v>
      </c>
      <c r="Y220" s="1157">
        <f t="shared" si="33"/>
        <v>-125720.02000000002</v>
      </c>
      <c r="Z220" s="1158">
        <f t="shared" si="33"/>
        <v>-86799.160000000149</v>
      </c>
      <c r="AA220" s="1157">
        <f t="shared" si="33"/>
        <v>-48834.83</v>
      </c>
      <c r="AB220" s="1157">
        <f t="shared" si="33"/>
        <v>-73094.670000000013</v>
      </c>
      <c r="AC220" s="1157">
        <f t="shared" si="33"/>
        <v>-205593.21</v>
      </c>
      <c r="AD220" s="533">
        <f t="shared" si="33"/>
        <v>0</v>
      </c>
      <c r="AE220" s="1157">
        <f t="shared" si="33"/>
        <v>-0.01</v>
      </c>
      <c r="AF220" s="1157">
        <f t="shared" si="33"/>
        <v>-121291.41999999998</v>
      </c>
      <c r="AG220" s="533">
        <f t="shared" si="33"/>
        <v>0</v>
      </c>
      <c r="AH220" s="533">
        <f t="shared" si="33"/>
        <v>-373013.60000000056</v>
      </c>
      <c r="AI220" s="564"/>
    </row>
    <row r="221" spans="1:35" s="428" customFormat="1" ht="12.75" x14ac:dyDescent="0.2">
      <c r="A221" s="513" t="s">
        <v>741</v>
      </c>
      <c r="B221" s="516" t="s">
        <v>128</v>
      </c>
      <c r="C221" s="544" t="str">
        <f t="shared" ref="C221:Y221" si="34">IF(ISERROR(C220/C24),"",(C220/C24))</f>
        <v/>
      </c>
      <c r="D221" s="544" t="str">
        <f t="shared" si="34"/>
        <v/>
      </c>
      <c r="E221" s="544" t="str">
        <f t="shared" si="34"/>
        <v/>
      </c>
      <c r="F221" s="544" t="str">
        <f t="shared" si="34"/>
        <v/>
      </c>
      <c r="G221" s="544" t="str">
        <f t="shared" si="34"/>
        <v/>
      </c>
      <c r="H221" s="544" t="str">
        <f t="shared" si="34"/>
        <v/>
      </c>
      <c r="I221" s="544">
        <f t="shared" si="34"/>
        <v>-196.45612909517382</v>
      </c>
      <c r="J221" s="544" t="str">
        <f t="shared" si="34"/>
        <v/>
      </c>
      <c r="K221" s="544" t="str">
        <f t="shared" si="34"/>
        <v/>
      </c>
      <c r="L221" s="544" t="str">
        <f t="shared" si="34"/>
        <v/>
      </c>
      <c r="M221" s="544" t="str">
        <f t="shared" si="34"/>
        <v/>
      </c>
      <c r="N221" s="544" t="str">
        <f t="shared" si="34"/>
        <v/>
      </c>
      <c r="O221" s="544" t="str">
        <f t="shared" si="34"/>
        <v/>
      </c>
      <c r="P221" s="544" t="str">
        <f t="shared" si="34"/>
        <v/>
      </c>
      <c r="Q221" s="544" t="str">
        <f t="shared" si="34"/>
        <v/>
      </c>
      <c r="R221" s="544" t="str">
        <f t="shared" si="34"/>
        <v/>
      </c>
      <c r="S221" s="544" t="str">
        <f t="shared" si="34"/>
        <v/>
      </c>
      <c r="T221" s="544" t="str">
        <f t="shared" si="34"/>
        <v/>
      </c>
      <c r="U221" s="544" t="str">
        <f t="shared" si="34"/>
        <v/>
      </c>
      <c r="V221" s="544" t="str">
        <f t="shared" si="34"/>
        <v/>
      </c>
      <c r="W221" s="544" t="str">
        <f t="shared" si="34"/>
        <v/>
      </c>
      <c r="X221" s="544" t="str">
        <f t="shared" si="34"/>
        <v/>
      </c>
      <c r="Y221" s="544" t="str">
        <f t="shared" si="34"/>
        <v/>
      </c>
      <c r="Z221" s="544"/>
      <c r="AA221" s="544" t="str">
        <f t="shared" ref="AA221:AH221" si="35">IF(ISERROR(AA220/AA24),"",(AA220/AA24))</f>
        <v/>
      </c>
      <c r="AB221" s="544" t="str">
        <f t="shared" si="35"/>
        <v/>
      </c>
      <c r="AC221" s="544" t="str">
        <f t="shared" si="35"/>
        <v/>
      </c>
      <c r="AD221" s="544" t="str">
        <f t="shared" si="35"/>
        <v/>
      </c>
      <c r="AE221" s="544" t="str">
        <f t="shared" si="35"/>
        <v/>
      </c>
      <c r="AF221" s="544" t="str">
        <f t="shared" si="35"/>
        <v/>
      </c>
      <c r="AG221" s="544" t="str">
        <f t="shared" si="35"/>
        <v/>
      </c>
      <c r="AH221" s="544">
        <f t="shared" si="35"/>
        <v>-50.316130250627317</v>
      </c>
    </row>
    <row r="222" spans="1:35" s="428" customFormat="1" x14ac:dyDescent="0.25">
      <c r="A222" s="513"/>
      <c r="B222" s="534"/>
      <c r="C222" s="563"/>
      <c r="D222" s="563"/>
      <c r="E222" s="563"/>
      <c r="F222" s="563"/>
      <c r="G222" s="563"/>
      <c r="H222" s="563"/>
      <c r="I222" s="563"/>
      <c r="J222" s="563"/>
      <c r="K222" s="563"/>
      <c r="L222" s="563"/>
      <c r="M222" s="563"/>
      <c r="N222" s="563"/>
      <c r="O222" s="563"/>
      <c r="P222" s="563"/>
      <c r="Q222" s="563"/>
      <c r="R222" s="563"/>
      <c r="S222" s="563"/>
      <c r="T222" s="563"/>
      <c r="U222" s="563"/>
      <c r="V222" s="563"/>
      <c r="W222" s="563"/>
      <c r="X222" s="563"/>
      <c r="Y222" s="563"/>
      <c r="Z222" s="563"/>
      <c r="AA222" s="563"/>
      <c r="AB222" s="563"/>
      <c r="AC222" s="563"/>
      <c r="AD222" s="563"/>
      <c r="AE222" s="563"/>
      <c r="AF222" s="563"/>
      <c r="AG222" s="563"/>
      <c r="AH222" s="563"/>
    </row>
    <row r="223" spans="1:35" s="428" customFormat="1" ht="12.75" x14ac:dyDescent="0.2">
      <c r="A223" s="513"/>
      <c r="B223" s="516" t="s">
        <v>462</v>
      </c>
      <c r="C223" s="528"/>
      <c r="D223" s="528"/>
      <c r="E223" s="528"/>
      <c r="F223" s="528"/>
      <c r="G223" s="528"/>
      <c r="H223" s="528"/>
      <c r="I223" s="528"/>
      <c r="J223" s="528"/>
      <c r="K223" s="528"/>
      <c r="L223" s="528"/>
      <c r="M223" s="528"/>
      <c r="N223" s="528"/>
      <c r="O223" s="528"/>
      <c r="P223" s="528"/>
      <c r="Q223" s="528"/>
      <c r="R223" s="528"/>
      <c r="S223" s="528"/>
      <c r="T223" s="528"/>
      <c r="U223" s="528"/>
      <c r="V223" s="528"/>
      <c r="W223" s="528"/>
      <c r="X223" s="528"/>
      <c r="Y223" s="528"/>
      <c r="Z223" s="528"/>
      <c r="AA223" s="528"/>
      <c r="AB223" s="528"/>
      <c r="AC223" s="528"/>
      <c r="AD223" s="528"/>
      <c r="AE223" s="528"/>
      <c r="AF223" s="528"/>
      <c r="AG223" s="528"/>
      <c r="AH223" s="528"/>
    </row>
    <row r="224" spans="1:35" s="545" customFormat="1" ht="12.75" x14ac:dyDescent="0.2">
      <c r="A224" s="513">
        <v>81100</v>
      </c>
      <c r="B224" s="529" t="s">
        <v>742</v>
      </c>
      <c r="C224" s="530">
        <v>0</v>
      </c>
      <c r="D224" s="530">
        <v>0</v>
      </c>
      <c r="E224" s="530">
        <v>0</v>
      </c>
      <c r="F224" s="530">
        <v>0</v>
      </c>
      <c r="G224" s="530">
        <v>0</v>
      </c>
      <c r="H224" s="530">
        <v>0</v>
      </c>
      <c r="I224" s="530">
        <v>0</v>
      </c>
      <c r="J224" s="530">
        <v>0</v>
      </c>
      <c r="K224" s="530">
        <v>0</v>
      </c>
      <c r="L224" s="530">
        <v>0</v>
      </c>
      <c r="M224" s="530">
        <v>0</v>
      </c>
      <c r="N224" s="530">
        <v>0</v>
      </c>
      <c r="O224" s="530">
        <v>0</v>
      </c>
      <c r="P224" s="530">
        <v>0</v>
      </c>
      <c r="Q224" s="530">
        <v>0</v>
      </c>
      <c r="R224" s="530">
        <v>0</v>
      </c>
      <c r="S224" s="530">
        <v>0</v>
      </c>
      <c r="T224" s="530">
        <v>0</v>
      </c>
      <c r="U224" s="530">
        <v>0</v>
      </c>
      <c r="V224" s="530">
        <v>0</v>
      </c>
      <c r="W224" s="530">
        <v>0</v>
      </c>
      <c r="X224" s="530">
        <v>0</v>
      </c>
      <c r="Y224" s="530">
        <v>0</v>
      </c>
      <c r="Z224" s="530">
        <v>0</v>
      </c>
      <c r="AA224" s="530">
        <v>0</v>
      </c>
      <c r="AB224" s="530">
        <v>0</v>
      </c>
      <c r="AC224" s="530">
        <v>0</v>
      </c>
      <c r="AD224" s="530">
        <v>0</v>
      </c>
      <c r="AE224" s="530">
        <v>0</v>
      </c>
      <c r="AF224" s="530">
        <v>0</v>
      </c>
      <c r="AG224" s="530">
        <v>0</v>
      </c>
      <c r="AH224" s="530">
        <f t="shared" ref="AH224:AH234" si="36">SUM(C224:AG224)</f>
        <v>0</v>
      </c>
    </row>
    <row r="225" spans="1:34" s="545" customFormat="1" ht="12.75" x14ac:dyDescent="0.2">
      <c r="A225" s="513">
        <v>81200</v>
      </c>
      <c r="B225" s="529" t="s">
        <v>743</v>
      </c>
      <c r="C225" s="530">
        <v>30.990000000000002</v>
      </c>
      <c r="D225" s="530">
        <v>0</v>
      </c>
      <c r="E225" s="530">
        <v>0</v>
      </c>
      <c r="F225" s="530">
        <v>0</v>
      </c>
      <c r="G225" s="530">
        <v>3167.9900000000002</v>
      </c>
      <c r="H225" s="530">
        <v>0</v>
      </c>
      <c r="I225" s="530">
        <v>130.20000000000002</v>
      </c>
      <c r="J225" s="530">
        <v>0</v>
      </c>
      <c r="K225" s="530">
        <v>0</v>
      </c>
      <c r="L225" s="530">
        <v>0</v>
      </c>
      <c r="M225" s="530">
        <v>0</v>
      </c>
      <c r="N225" s="530">
        <v>0</v>
      </c>
      <c r="O225" s="530">
        <v>0</v>
      </c>
      <c r="P225" s="530">
        <v>304.41000000000003</v>
      </c>
      <c r="Q225" s="530">
        <v>0</v>
      </c>
      <c r="R225" s="530">
        <v>0</v>
      </c>
      <c r="S225" s="530">
        <v>0</v>
      </c>
      <c r="T225" s="530">
        <v>0</v>
      </c>
      <c r="U225" s="530">
        <v>0</v>
      </c>
      <c r="V225" s="530">
        <v>0</v>
      </c>
      <c r="W225" s="530">
        <v>0</v>
      </c>
      <c r="X225" s="530">
        <v>0</v>
      </c>
      <c r="Y225" s="530">
        <v>0</v>
      </c>
      <c r="Z225" s="530">
        <v>0</v>
      </c>
      <c r="AA225" s="530">
        <v>0</v>
      </c>
      <c r="AB225" s="530">
        <v>0</v>
      </c>
      <c r="AC225" s="530">
        <v>0</v>
      </c>
      <c r="AD225" s="530">
        <v>0</v>
      </c>
      <c r="AE225" s="530">
        <v>0</v>
      </c>
      <c r="AF225" s="530">
        <v>0</v>
      </c>
      <c r="AG225" s="530">
        <v>0</v>
      </c>
      <c r="AH225" s="530">
        <f t="shared" si="36"/>
        <v>3633.5899999999997</v>
      </c>
    </row>
    <row r="226" spans="1:34" s="545" customFormat="1" ht="12.75" x14ac:dyDescent="0.2">
      <c r="A226" s="513">
        <v>81201</v>
      </c>
      <c r="B226" s="529" t="s">
        <v>744</v>
      </c>
      <c r="C226" s="530">
        <v>0</v>
      </c>
      <c r="D226" s="530">
        <v>0</v>
      </c>
      <c r="E226" s="530">
        <v>0</v>
      </c>
      <c r="F226" s="530">
        <v>0</v>
      </c>
      <c r="G226" s="530">
        <v>0</v>
      </c>
      <c r="H226" s="530">
        <v>0</v>
      </c>
      <c r="I226" s="530">
        <v>0</v>
      </c>
      <c r="J226" s="530">
        <v>0</v>
      </c>
      <c r="K226" s="530">
        <v>0</v>
      </c>
      <c r="L226" s="530">
        <v>0</v>
      </c>
      <c r="M226" s="530">
        <v>0</v>
      </c>
      <c r="N226" s="530">
        <v>0</v>
      </c>
      <c r="O226" s="530">
        <v>0</v>
      </c>
      <c r="P226" s="530">
        <v>0</v>
      </c>
      <c r="Q226" s="530">
        <v>0</v>
      </c>
      <c r="R226" s="530">
        <v>0</v>
      </c>
      <c r="S226" s="530">
        <v>0</v>
      </c>
      <c r="T226" s="530">
        <v>0</v>
      </c>
      <c r="U226" s="530">
        <v>0</v>
      </c>
      <c r="V226" s="530">
        <v>0</v>
      </c>
      <c r="W226" s="530">
        <v>0</v>
      </c>
      <c r="X226" s="530">
        <v>0</v>
      </c>
      <c r="Y226" s="530">
        <v>0</v>
      </c>
      <c r="Z226" s="530">
        <v>0</v>
      </c>
      <c r="AA226" s="530">
        <v>0</v>
      </c>
      <c r="AB226" s="530">
        <v>0</v>
      </c>
      <c r="AC226" s="530">
        <v>0</v>
      </c>
      <c r="AD226" s="530">
        <v>0</v>
      </c>
      <c r="AE226" s="530">
        <v>0</v>
      </c>
      <c r="AF226" s="530">
        <v>0</v>
      </c>
      <c r="AG226" s="530">
        <v>0</v>
      </c>
      <c r="AH226" s="530">
        <f t="shared" si="36"/>
        <v>0</v>
      </c>
    </row>
    <row r="227" spans="1:34" s="545" customFormat="1" ht="12.75" x14ac:dyDescent="0.2">
      <c r="A227" s="513">
        <v>81250</v>
      </c>
      <c r="B227" s="529" t="s">
        <v>745</v>
      </c>
      <c r="C227" s="530">
        <v>0</v>
      </c>
      <c r="D227" s="530">
        <v>0</v>
      </c>
      <c r="E227" s="530">
        <v>0</v>
      </c>
      <c r="F227" s="530">
        <v>0</v>
      </c>
      <c r="G227" s="530">
        <v>106.53</v>
      </c>
      <c r="H227" s="530">
        <v>0</v>
      </c>
      <c r="I227" s="530">
        <v>0</v>
      </c>
      <c r="J227" s="530">
        <v>0</v>
      </c>
      <c r="K227" s="530">
        <v>0</v>
      </c>
      <c r="L227" s="530">
        <v>0</v>
      </c>
      <c r="M227" s="530">
        <v>0</v>
      </c>
      <c r="N227" s="530">
        <v>0</v>
      </c>
      <c r="O227" s="530">
        <v>0</v>
      </c>
      <c r="P227" s="530">
        <v>0</v>
      </c>
      <c r="Q227" s="530">
        <v>0</v>
      </c>
      <c r="R227" s="530">
        <v>0</v>
      </c>
      <c r="S227" s="530">
        <v>0</v>
      </c>
      <c r="T227" s="530">
        <v>0</v>
      </c>
      <c r="U227" s="530">
        <v>0</v>
      </c>
      <c r="V227" s="530">
        <v>0</v>
      </c>
      <c r="W227" s="530">
        <v>0</v>
      </c>
      <c r="X227" s="530">
        <v>0</v>
      </c>
      <c r="Y227" s="530">
        <v>0</v>
      </c>
      <c r="Z227" s="530">
        <v>0</v>
      </c>
      <c r="AA227" s="530">
        <v>0</v>
      </c>
      <c r="AB227" s="530">
        <v>0</v>
      </c>
      <c r="AC227" s="530">
        <v>0</v>
      </c>
      <c r="AD227" s="530">
        <v>0</v>
      </c>
      <c r="AE227" s="530">
        <v>0</v>
      </c>
      <c r="AF227" s="530">
        <v>0</v>
      </c>
      <c r="AG227" s="530">
        <v>0</v>
      </c>
      <c r="AH227" s="530">
        <f t="shared" si="36"/>
        <v>106.53</v>
      </c>
    </row>
    <row r="228" spans="1:34" s="545" customFormat="1" ht="12.75" x14ac:dyDescent="0.2">
      <c r="A228" s="513">
        <v>81252</v>
      </c>
      <c r="B228" s="529" t="s">
        <v>746</v>
      </c>
      <c r="C228" s="530">
        <v>0</v>
      </c>
      <c r="D228" s="530">
        <v>0</v>
      </c>
      <c r="E228" s="530">
        <v>0</v>
      </c>
      <c r="F228" s="530">
        <v>0</v>
      </c>
      <c r="G228" s="530">
        <v>0</v>
      </c>
      <c r="H228" s="530">
        <v>0</v>
      </c>
      <c r="I228" s="530">
        <v>0</v>
      </c>
      <c r="J228" s="530">
        <v>0</v>
      </c>
      <c r="K228" s="530">
        <v>0</v>
      </c>
      <c r="L228" s="530">
        <v>0</v>
      </c>
      <c r="M228" s="530">
        <v>0</v>
      </c>
      <c r="N228" s="530">
        <v>0</v>
      </c>
      <c r="O228" s="530">
        <v>0</v>
      </c>
      <c r="P228" s="530">
        <v>0</v>
      </c>
      <c r="Q228" s="530">
        <v>0</v>
      </c>
      <c r="R228" s="530">
        <v>0</v>
      </c>
      <c r="S228" s="530">
        <v>0</v>
      </c>
      <c r="T228" s="530">
        <v>0</v>
      </c>
      <c r="U228" s="530">
        <v>0</v>
      </c>
      <c r="V228" s="530">
        <v>0</v>
      </c>
      <c r="W228" s="530">
        <v>0</v>
      </c>
      <c r="X228" s="530">
        <v>0</v>
      </c>
      <c r="Y228" s="530">
        <v>0</v>
      </c>
      <c r="Z228" s="530">
        <v>0</v>
      </c>
      <c r="AA228" s="530">
        <v>0</v>
      </c>
      <c r="AB228" s="530">
        <v>0</v>
      </c>
      <c r="AC228" s="530">
        <v>0</v>
      </c>
      <c r="AD228" s="530">
        <v>0</v>
      </c>
      <c r="AE228" s="530">
        <v>0</v>
      </c>
      <c r="AF228" s="530">
        <v>0</v>
      </c>
      <c r="AG228" s="530">
        <v>0</v>
      </c>
      <c r="AH228" s="530">
        <f t="shared" si="36"/>
        <v>0</v>
      </c>
    </row>
    <row r="229" spans="1:34" s="545" customFormat="1" ht="12.75" x14ac:dyDescent="0.2">
      <c r="A229" s="513">
        <v>81300</v>
      </c>
      <c r="B229" s="529" t="s">
        <v>747</v>
      </c>
      <c r="C229" s="530">
        <v>979.2</v>
      </c>
      <c r="D229" s="530">
        <v>0</v>
      </c>
      <c r="E229" s="530">
        <v>1002.9000000000001</v>
      </c>
      <c r="F229" s="530">
        <v>0</v>
      </c>
      <c r="G229" s="530">
        <v>959.8</v>
      </c>
      <c r="H229" s="530">
        <v>0</v>
      </c>
      <c r="I229" s="530">
        <v>3355.96</v>
      </c>
      <c r="J229" s="530">
        <v>0</v>
      </c>
      <c r="K229" s="530">
        <v>875.16</v>
      </c>
      <c r="L229" s="530">
        <v>294.57</v>
      </c>
      <c r="M229" s="530">
        <v>656.66000000000008</v>
      </c>
      <c r="N229" s="530">
        <v>0</v>
      </c>
      <c r="O229" s="530">
        <v>0</v>
      </c>
      <c r="P229" s="530">
        <v>81544.400000000009</v>
      </c>
      <c r="Q229" s="530">
        <v>0</v>
      </c>
      <c r="R229" s="530">
        <v>37.03</v>
      </c>
      <c r="S229" s="530">
        <v>158.94999999999999</v>
      </c>
      <c r="T229" s="530">
        <v>276.3</v>
      </c>
      <c r="U229" s="530">
        <v>358.78</v>
      </c>
      <c r="V229" s="530">
        <v>0</v>
      </c>
      <c r="W229" s="530">
        <v>82.68</v>
      </c>
      <c r="X229" s="530">
        <v>685.79</v>
      </c>
      <c r="Y229" s="530">
        <v>167.88</v>
      </c>
      <c r="Z229" s="530">
        <v>380.94</v>
      </c>
      <c r="AA229" s="530">
        <v>120.12</v>
      </c>
      <c r="AB229" s="530">
        <v>212.30999999999997</v>
      </c>
      <c r="AC229" s="530">
        <v>181.52</v>
      </c>
      <c r="AD229" s="530">
        <v>0</v>
      </c>
      <c r="AE229" s="530">
        <v>0</v>
      </c>
      <c r="AF229" s="530">
        <v>268.49</v>
      </c>
      <c r="AG229" s="530">
        <v>0</v>
      </c>
      <c r="AH229" s="530">
        <f t="shared" si="36"/>
        <v>92599.44</v>
      </c>
    </row>
    <row r="230" spans="1:34" s="545" customFormat="1" ht="12.75" x14ac:dyDescent="0.2">
      <c r="A230" s="513">
        <v>81301</v>
      </c>
      <c r="B230" s="529" t="s">
        <v>748</v>
      </c>
      <c r="C230" s="530">
        <v>0</v>
      </c>
      <c r="D230" s="530">
        <v>0</v>
      </c>
      <c r="E230" s="530">
        <v>0</v>
      </c>
      <c r="F230" s="530">
        <v>0</v>
      </c>
      <c r="G230" s="530">
        <v>0</v>
      </c>
      <c r="H230" s="530">
        <v>0</v>
      </c>
      <c r="I230" s="530">
        <v>1914</v>
      </c>
      <c r="J230" s="530">
        <v>0</v>
      </c>
      <c r="K230" s="530">
        <v>0</v>
      </c>
      <c r="L230" s="530">
        <v>0</v>
      </c>
      <c r="M230" s="530">
        <v>37275.61</v>
      </c>
      <c r="N230" s="530">
        <v>0</v>
      </c>
      <c r="O230" s="530">
        <v>0</v>
      </c>
      <c r="P230" s="530">
        <v>126132.59</v>
      </c>
      <c r="Q230" s="530">
        <v>0</v>
      </c>
      <c r="R230" s="530">
        <v>0</v>
      </c>
      <c r="S230" s="530">
        <v>14.82</v>
      </c>
      <c r="T230" s="530">
        <v>0</v>
      </c>
      <c r="U230" s="530">
        <v>0</v>
      </c>
      <c r="V230" s="530">
        <v>0</v>
      </c>
      <c r="W230" s="530">
        <v>0</v>
      </c>
      <c r="X230" s="530">
        <v>0</v>
      </c>
      <c r="Y230" s="530">
        <v>0</v>
      </c>
      <c r="Z230" s="530">
        <v>0</v>
      </c>
      <c r="AA230" s="530">
        <v>0.1</v>
      </c>
      <c r="AB230" s="530">
        <v>0</v>
      </c>
      <c r="AC230" s="530">
        <v>0</v>
      </c>
      <c r="AD230" s="530">
        <v>0</v>
      </c>
      <c r="AE230" s="530">
        <v>0</v>
      </c>
      <c r="AF230" s="530">
        <v>0</v>
      </c>
      <c r="AG230" s="530">
        <v>0</v>
      </c>
      <c r="AH230" s="530">
        <f t="shared" si="36"/>
        <v>165337.12000000002</v>
      </c>
    </row>
    <row r="231" spans="1:34" s="545" customFormat="1" ht="12.75" x14ac:dyDescent="0.2">
      <c r="A231" s="513">
        <v>81302</v>
      </c>
      <c r="B231" s="529" t="s">
        <v>749</v>
      </c>
      <c r="C231" s="530">
        <v>0</v>
      </c>
      <c r="D231" s="530">
        <v>0</v>
      </c>
      <c r="E231" s="530">
        <v>0</v>
      </c>
      <c r="F231" s="530">
        <v>0</v>
      </c>
      <c r="G231" s="530">
        <v>0</v>
      </c>
      <c r="H231" s="530">
        <v>0</v>
      </c>
      <c r="I231" s="530">
        <v>0</v>
      </c>
      <c r="J231" s="530">
        <v>0</v>
      </c>
      <c r="K231" s="530">
        <v>0</v>
      </c>
      <c r="L231" s="530">
        <v>0</v>
      </c>
      <c r="M231" s="530">
        <v>0</v>
      </c>
      <c r="N231" s="530">
        <v>0</v>
      </c>
      <c r="O231" s="530">
        <v>0</v>
      </c>
      <c r="P231" s="530">
        <v>0</v>
      </c>
      <c r="Q231" s="530">
        <v>0</v>
      </c>
      <c r="R231" s="530">
        <v>0</v>
      </c>
      <c r="S231" s="530">
        <v>0</v>
      </c>
      <c r="T231" s="530">
        <v>0</v>
      </c>
      <c r="U231" s="530">
        <v>0</v>
      </c>
      <c r="V231" s="530">
        <v>0</v>
      </c>
      <c r="W231" s="530">
        <v>0</v>
      </c>
      <c r="X231" s="530">
        <v>0</v>
      </c>
      <c r="Y231" s="530">
        <v>0</v>
      </c>
      <c r="Z231" s="530">
        <v>0</v>
      </c>
      <c r="AA231" s="530">
        <v>0</v>
      </c>
      <c r="AB231" s="530">
        <v>0</v>
      </c>
      <c r="AC231" s="530">
        <v>0</v>
      </c>
      <c r="AD231" s="530">
        <v>0</v>
      </c>
      <c r="AE231" s="530">
        <v>0</v>
      </c>
      <c r="AF231" s="530">
        <v>0</v>
      </c>
      <c r="AG231" s="530">
        <v>0</v>
      </c>
      <c r="AH231" s="530">
        <f t="shared" si="36"/>
        <v>0</v>
      </c>
    </row>
    <row r="232" spans="1:34" s="545" customFormat="1" ht="12.75" x14ac:dyDescent="0.2">
      <c r="A232" s="513">
        <v>81303</v>
      </c>
      <c r="B232" s="529" t="s">
        <v>750</v>
      </c>
      <c r="C232" s="530">
        <v>0</v>
      </c>
      <c r="D232" s="530">
        <v>0</v>
      </c>
      <c r="E232" s="530">
        <v>0</v>
      </c>
      <c r="F232" s="530">
        <v>0</v>
      </c>
      <c r="G232" s="530">
        <v>0</v>
      </c>
      <c r="H232" s="530">
        <v>0</v>
      </c>
      <c r="I232" s="530">
        <v>0</v>
      </c>
      <c r="J232" s="530">
        <v>0</v>
      </c>
      <c r="K232" s="530">
        <v>0</v>
      </c>
      <c r="L232" s="530">
        <v>0</v>
      </c>
      <c r="M232" s="530">
        <v>0</v>
      </c>
      <c r="N232" s="530">
        <v>0</v>
      </c>
      <c r="O232" s="530">
        <v>0</v>
      </c>
      <c r="P232" s="530">
        <v>0</v>
      </c>
      <c r="Q232" s="530">
        <v>0</v>
      </c>
      <c r="R232" s="530">
        <v>0</v>
      </c>
      <c r="S232" s="530">
        <v>0</v>
      </c>
      <c r="T232" s="530">
        <v>0</v>
      </c>
      <c r="U232" s="530">
        <v>0</v>
      </c>
      <c r="V232" s="530">
        <v>0</v>
      </c>
      <c r="W232" s="530">
        <v>0</v>
      </c>
      <c r="X232" s="530">
        <v>0</v>
      </c>
      <c r="Y232" s="530">
        <v>0</v>
      </c>
      <c r="Z232" s="530">
        <v>0</v>
      </c>
      <c r="AA232" s="530">
        <v>0</v>
      </c>
      <c r="AB232" s="530">
        <v>0</v>
      </c>
      <c r="AC232" s="530">
        <v>0</v>
      </c>
      <c r="AD232" s="530">
        <v>0</v>
      </c>
      <c r="AE232" s="530">
        <v>0</v>
      </c>
      <c r="AF232" s="530">
        <v>0</v>
      </c>
      <c r="AG232" s="530">
        <v>0</v>
      </c>
      <c r="AH232" s="530">
        <f t="shared" si="36"/>
        <v>0</v>
      </c>
    </row>
    <row r="233" spans="1:34" s="545" customFormat="1" ht="12.75" x14ac:dyDescent="0.2">
      <c r="A233" s="513">
        <v>81401</v>
      </c>
      <c r="B233" s="529" t="s">
        <v>751</v>
      </c>
      <c r="C233" s="530">
        <v>0</v>
      </c>
      <c r="D233" s="530">
        <v>0</v>
      </c>
      <c r="E233" s="530">
        <v>0</v>
      </c>
      <c r="F233" s="530">
        <v>0</v>
      </c>
      <c r="G233" s="530">
        <v>70.02</v>
      </c>
      <c r="H233" s="530">
        <v>0</v>
      </c>
      <c r="I233" s="530">
        <v>0</v>
      </c>
      <c r="J233" s="530">
        <v>0</v>
      </c>
      <c r="K233" s="530">
        <v>0</v>
      </c>
      <c r="L233" s="530">
        <v>0</v>
      </c>
      <c r="M233" s="530">
        <v>0</v>
      </c>
      <c r="N233" s="530">
        <v>0</v>
      </c>
      <c r="O233" s="530">
        <v>0</v>
      </c>
      <c r="P233" s="530">
        <v>0</v>
      </c>
      <c r="Q233" s="530">
        <v>0</v>
      </c>
      <c r="R233" s="530">
        <v>0</v>
      </c>
      <c r="S233" s="530">
        <v>0</v>
      </c>
      <c r="T233" s="530">
        <v>0</v>
      </c>
      <c r="U233" s="530">
        <v>0</v>
      </c>
      <c r="V233" s="530">
        <v>0</v>
      </c>
      <c r="W233" s="530">
        <v>0</v>
      </c>
      <c r="X233" s="530">
        <v>0</v>
      </c>
      <c r="Y233" s="530">
        <v>0</v>
      </c>
      <c r="Z233" s="530">
        <v>0</v>
      </c>
      <c r="AA233" s="530">
        <v>35.910000000000004</v>
      </c>
      <c r="AB233" s="530">
        <v>0</v>
      </c>
      <c r="AC233" s="530">
        <v>0</v>
      </c>
      <c r="AD233" s="530">
        <v>0</v>
      </c>
      <c r="AE233" s="530">
        <v>0</v>
      </c>
      <c r="AF233" s="530">
        <v>0</v>
      </c>
      <c r="AG233" s="530">
        <v>0</v>
      </c>
      <c r="AH233" s="530">
        <f t="shared" si="36"/>
        <v>105.93</v>
      </c>
    </row>
    <row r="234" spans="1:34" s="545" customFormat="1" ht="12.75" x14ac:dyDescent="0.2">
      <c r="A234" s="513">
        <v>81610</v>
      </c>
      <c r="B234" s="529" t="s">
        <v>752</v>
      </c>
      <c r="C234" s="530">
        <v>0</v>
      </c>
      <c r="D234" s="530">
        <v>0</v>
      </c>
      <c r="E234" s="530">
        <v>0</v>
      </c>
      <c r="F234" s="530">
        <v>0</v>
      </c>
      <c r="G234" s="530">
        <v>0</v>
      </c>
      <c r="H234" s="530">
        <v>0</v>
      </c>
      <c r="I234" s="530">
        <v>0</v>
      </c>
      <c r="J234" s="530">
        <v>0</v>
      </c>
      <c r="K234" s="530">
        <v>0</v>
      </c>
      <c r="L234" s="530">
        <v>0</v>
      </c>
      <c r="M234" s="530">
        <v>0</v>
      </c>
      <c r="N234" s="530">
        <v>0</v>
      </c>
      <c r="O234" s="530">
        <v>0</v>
      </c>
      <c r="P234" s="530">
        <v>0</v>
      </c>
      <c r="Q234" s="530">
        <v>0</v>
      </c>
      <c r="R234" s="530">
        <v>0</v>
      </c>
      <c r="S234" s="530">
        <v>0</v>
      </c>
      <c r="T234" s="530">
        <v>0</v>
      </c>
      <c r="U234" s="530">
        <v>0</v>
      </c>
      <c r="V234" s="530">
        <v>0</v>
      </c>
      <c r="W234" s="530">
        <v>0</v>
      </c>
      <c r="X234" s="530">
        <v>0</v>
      </c>
      <c r="Y234" s="530">
        <v>0</v>
      </c>
      <c r="Z234" s="530">
        <v>0</v>
      </c>
      <c r="AA234" s="530">
        <v>0</v>
      </c>
      <c r="AB234" s="530">
        <v>0</v>
      </c>
      <c r="AC234" s="530">
        <v>0</v>
      </c>
      <c r="AD234" s="530">
        <v>0</v>
      </c>
      <c r="AE234" s="530">
        <v>0</v>
      </c>
      <c r="AF234" s="530">
        <v>0</v>
      </c>
      <c r="AG234" s="530">
        <v>0</v>
      </c>
      <c r="AH234" s="530">
        <f t="shared" si="36"/>
        <v>0</v>
      </c>
    </row>
    <row r="235" spans="1:34" s="428" customFormat="1" ht="12.75" x14ac:dyDescent="0.2">
      <c r="A235" s="513">
        <v>82950</v>
      </c>
      <c r="B235" s="536" t="s">
        <v>753</v>
      </c>
      <c r="C235" s="537">
        <f t="shared" ref="C235:AH235" si="37">SUM(C224:C234)</f>
        <v>1010.19</v>
      </c>
      <c r="D235" s="537">
        <f t="shared" si="37"/>
        <v>0</v>
      </c>
      <c r="E235" s="537">
        <f t="shared" si="37"/>
        <v>1002.9000000000001</v>
      </c>
      <c r="F235" s="537">
        <f t="shared" si="37"/>
        <v>0</v>
      </c>
      <c r="G235" s="537">
        <f t="shared" si="37"/>
        <v>4304.3400000000011</v>
      </c>
      <c r="H235" s="537">
        <f t="shared" si="37"/>
        <v>0</v>
      </c>
      <c r="I235" s="537">
        <f t="shared" si="37"/>
        <v>5400.16</v>
      </c>
      <c r="J235" s="537">
        <f t="shared" si="37"/>
        <v>0</v>
      </c>
      <c r="K235" s="537">
        <f t="shared" si="37"/>
        <v>875.16</v>
      </c>
      <c r="L235" s="537">
        <f t="shared" si="37"/>
        <v>294.57</v>
      </c>
      <c r="M235" s="537">
        <f t="shared" si="37"/>
        <v>37932.270000000004</v>
      </c>
      <c r="N235" s="537">
        <f t="shared" si="37"/>
        <v>0</v>
      </c>
      <c r="O235" s="537">
        <f t="shared" si="37"/>
        <v>0</v>
      </c>
      <c r="P235" s="537">
        <f t="shared" si="37"/>
        <v>207981.40000000002</v>
      </c>
      <c r="Q235" s="537">
        <f t="shared" si="37"/>
        <v>0</v>
      </c>
      <c r="R235" s="537">
        <f t="shared" si="37"/>
        <v>37.03</v>
      </c>
      <c r="S235" s="537">
        <f t="shared" si="37"/>
        <v>173.76999999999998</v>
      </c>
      <c r="T235" s="537">
        <f t="shared" si="37"/>
        <v>276.3</v>
      </c>
      <c r="U235" s="537">
        <f t="shared" si="37"/>
        <v>358.78</v>
      </c>
      <c r="V235" s="537">
        <f t="shared" si="37"/>
        <v>0</v>
      </c>
      <c r="W235" s="537">
        <f t="shared" si="37"/>
        <v>82.68</v>
      </c>
      <c r="X235" s="537">
        <f t="shared" si="37"/>
        <v>685.79</v>
      </c>
      <c r="Y235" s="537">
        <f t="shared" si="37"/>
        <v>167.88</v>
      </c>
      <c r="Z235" s="537">
        <f t="shared" si="37"/>
        <v>380.94</v>
      </c>
      <c r="AA235" s="537">
        <f t="shared" si="37"/>
        <v>156.13</v>
      </c>
      <c r="AB235" s="537">
        <f t="shared" si="37"/>
        <v>212.30999999999997</v>
      </c>
      <c r="AC235" s="537">
        <f t="shared" si="37"/>
        <v>181.52</v>
      </c>
      <c r="AD235" s="537">
        <f t="shared" si="37"/>
        <v>0</v>
      </c>
      <c r="AE235" s="537">
        <f t="shared" si="37"/>
        <v>0</v>
      </c>
      <c r="AF235" s="537">
        <f t="shared" si="37"/>
        <v>268.49</v>
      </c>
      <c r="AG235" s="537">
        <f t="shared" si="37"/>
        <v>0</v>
      </c>
      <c r="AH235" s="537">
        <f t="shared" si="37"/>
        <v>261782.61000000002</v>
      </c>
    </row>
    <row r="236" spans="1:34" s="428" customFormat="1" ht="12.75" x14ac:dyDescent="0.2">
      <c r="A236" s="513"/>
      <c r="B236" s="516"/>
      <c r="C236" s="528"/>
      <c r="D236" s="528"/>
      <c r="E236" s="528"/>
      <c r="F236" s="528"/>
      <c r="G236" s="528"/>
      <c r="H236" s="528"/>
      <c r="I236" s="528"/>
      <c r="J236" s="528"/>
      <c r="K236" s="528"/>
      <c r="L236" s="528"/>
      <c r="M236" s="528"/>
      <c r="N236" s="528"/>
      <c r="O236" s="528"/>
      <c r="P236" s="528"/>
      <c r="Q236" s="528"/>
      <c r="R236" s="528"/>
      <c r="S236" s="528"/>
      <c r="T236" s="528"/>
      <c r="U236" s="528"/>
      <c r="V236" s="528"/>
      <c r="W236" s="528"/>
      <c r="X236" s="528"/>
      <c r="Y236" s="528"/>
      <c r="Z236" s="528"/>
      <c r="AA236" s="528"/>
      <c r="AB236" s="528"/>
      <c r="AC236" s="528"/>
      <c r="AD236" s="528"/>
      <c r="AE236" s="528"/>
      <c r="AF236" s="528"/>
      <c r="AG236" s="528"/>
      <c r="AH236" s="528"/>
    </row>
    <row r="237" spans="1:34" s="428" customFormat="1" ht="12.75" x14ac:dyDescent="0.2">
      <c r="A237" s="513"/>
      <c r="B237" s="516" t="s">
        <v>754</v>
      </c>
      <c r="C237" s="528"/>
      <c r="D237" s="528"/>
      <c r="E237" s="528"/>
      <c r="F237" s="528"/>
      <c r="G237" s="528"/>
      <c r="H237" s="528"/>
      <c r="I237" s="528"/>
      <c r="J237" s="528"/>
      <c r="K237" s="528"/>
      <c r="L237" s="528"/>
      <c r="M237" s="528"/>
      <c r="N237" s="528"/>
      <c r="O237" s="528"/>
      <c r="P237" s="528"/>
      <c r="Q237" s="528"/>
      <c r="R237" s="528"/>
      <c r="S237" s="528"/>
      <c r="T237" s="528"/>
      <c r="U237" s="528"/>
      <c r="V237" s="528"/>
      <c r="W237" s="528"/>
      <c r="X237" s="528"/>
      <c r="Y237" s="528"/>
      <c r="Z237" s="528"/>
      <c r="AA237" s="528"/>
      <c r="AB237" s="528"/>
      <c r="AC237" s="528"/>
      <c r="AD237" s="528"/>
      <c r="AE237" s="528"/>
      <c r="AF237" s="528"/>
      <c r="AG237" s="528"/>
      <c r="AH237" s="528"/>
    </row>
    <row r="238" spans="1:34" s="545" customFormat="1" ht="12.75" x14ac:dyDescent="0.2">
      <c r="A238" s="513">
        <v>83200</v>
      </c>
      <c r="B238" s="553" t="s">
        <v>755</v>
      </c>
      <c r="C238" s="530">
        <v>0</v>
      </c>
      <c r="D238" s="530">
        <v>0</v>
      </c>
      <c r="E238" s="530">
        <v>0</v>
      </c>
      <c r="F238" s="530">
        <v>0</v>
      </c>
      <c r="G238" s="530">
        <v>0</v>
      </c>
      <c r="H238" s="530">
        <v>0</v>
      </c>
      <c r="I238" s="530">
        <v>0</v>
      </c>
      <c r="J238" s="530">
        <v>0</v>
      </c>
      <c r="K238" s="530">
        <v>0</v>
      </c>
      <c r="L238" s="530">
        <v>0</v>
      </c>
      <c r="M238" s="530">
        <v>0</v>
      </c>
      <c r="N238" s="530">
        <v>0</v>
      </c>
      <c r="O238" s="530">
        <v>0</v>
      </c>
      <c r="P238" s="530">
        <v>0</v>
      </c>
      <c r="Q238" s="530">
        <v>0</v>
      </c>
      <c r="R238" s="530">
        <v>0</v>
      </c>
      <c r="S238" s="530">
        <v>0</v>
      </c>
      <c r="T238" s="530">
        <v>0</v>
      </c>
      <c r="U238" s="530">
        <v>0</v>
      </c>
      <c r="V238" s="530">
        <v>0</v>
      </c>
      <c r="W238" s="530">
        <v>0</v>
      </c>
      <c r="X238" s="530">
        <v>0</v>
      </c>
      <c r="Y238" s="530">
        <v>0</v>
      </c>
      <c r="Z238" s="530">
        <v>0</v>
      </c>
      <c r="AA238" s="530">
        <v>0</v>
      </c>
      <c r="AB238" s="530">
        <v>0</v>
      </c>
      <c r="AC238" s="530">
        <v>0</v>
      </c>
      <c r="AD238" s="530">
        <v>0</v>
      </c>
      <c r="AE238" s="530">
        <v>0</v>
      </c>
      <c r="AF238" s="530">
        <v>0</v>
      </c>
      <c r="AG238" s="530">
        <v>0</v>
      </c>
      <c r="AH238" s="530">
        <f>SUM(C238:AG238)</f>
        <v>0</v>
      </c>
    </row>
    <row r="239" spans="1:34" s="428" customFormat="1" ht="12.75" x14ac:dyDescent="0.2">
      <c r="A239" s="513">
        <v>83799</v>
      </c>
      <c r="B239" s="536" t="s">
        <v>756</v>
      </c>
      <c r="C239" s="537">
        <f t="shared" ref="C239:AH239" si="38">SUM(C238)</f>
        <v>0</v>
      </c>
      <c r="D239" s="537">
        <f t="shared" si="38"/>
        <v>0</v>
      </c>
      <c r="E239" s="537">
        <f t="shared" si="38"/>
        <v>0</v>
      </c>
      <c r="F239" s="537">
        <f t="shared" si="38"/>
        <v>0</v>
      </c>
      <c r="G239" s="537">
        <f t="shared" si="38"/>
        <v>0</v>
      </c>
      <c r="H239" s="537">
        <f t="shared" si="38"/>
        <v>0</v>
      </c>
      <c r="I239" s="537">
        <f t="shared" si="38"/>
        <v>0</v>
      </c>
      <c r="J239" s="537">
        <f t="shared" si="38"/>
        <v>0</v>
      </c>
      <c r="K239" s="537">
        <f t="shared" si="38"/>
        <v>0</v>
      </c>
      <c r="L239" s="537">
        <f t="shared" si="38"/>
        <v>0</v>
      </c>
      <c r="M239" s="537">
        <f t="shared" si="38"/>
        <v>0</v>
      </c>
      <c r="N239" s="537">
        <f t="shared" si="38"/>
        <v>0</v>
      </c>
      <c r="O239" s="537">
        <f t="shared" si="38"/>
        <v>0</v>
      </c>
      <c r="P239" s="537">
        <f t="shared" si="38"/>
        <v>0</v>
      </c>
      <c r="Q239" s="537">
        <f t="shared" si="38"/>
        <v>0</v>
      </c>
      <c r="R239" s="537">
        <f t="shared" si="38"/>
        <v>0</v>
      </c>
      <c r="S239" s="537">
        <f t="shared" si="38"/>
        <v>0</v>
      </c>
      <c r="T239" s="537">
        <f t="shared" si="38"/>
        <v>0</v>
      </c>
      <c r="U239" s="537">
        <f t="shared" si="38"/>
        <v>0</v>
      </c>
      <c r="V239" s="537">
        <f t="shared" si="38"/>
        <v>0</v>
      </c>
      <c r="W239" s="537">
        <f t="shared" si="38"/>
        <v>0</v>
      </c>
      <c r="X239" s="537">
        <f t="shared" si="38"/>
        <v>0</v>
      </c>
      <c r="Y239" s="537">
        <f t="shared" si="38"/>
        <v>0</v>
      </c>
      <c r="Z239" s="537">
        <f t="shared" si="38"/>
        <v>0</v>
      </c>
      <c r="AA239" s="537">
        <f t="shared" si="38"/>
        <v>0</v>
      </c>
      <c r="AB239" s="537">
        <f t="shared" si="38"/>
        <v>0</v>
      </c>
      <c r="AC239" s="537">
        <f t="shared" si="38"/>
        <v>0</v>
      </c>
      <c r="AD239" s="537">
        <f t="shared" si="38"/>
        <v>0</v>
      </c>
      <c r="AE239" s="537">
        <f t="shared" si="38"/>
        <v>0</v>
      </c>
      <c r="AF239" s="537">
        <f t="shared" si="38"/>
        <v>0</v>
      </c>
      <c r="AG239" s="537">
        <f t="shared" si="38"/>
        <v>0</v>
      </c>
      <c r="AH239" s="537">
        <f t="shared" si="38"/>
        <v>0</v>
      </c>
    </row>
    <row r="240" spans="1:34" s="428" customFormat="1" ht="12.75" x14ac:dyDescent="0.2">
      <c r="A240" s="513"/>
      <c r="B240" s="516"/>
      <c r="C240" s="528"/>
      <c r="D240" s="528"/>
      <c r="E240" s="528"/>
      <c r="F240" s="528"/>
      <c r="G240" s="528"/>
      <c r="H240" s="528"/>
      <c r="I240" s="528"/>
      <c r="J240" s="528"/>
      <c r="K240" s="528"/>
      <c r="L240" s="528"/>
      <c r="M240" s="528"/>
      <c r="N240" s="528"/>
      <c r="O240" s="528"/>
      <c r="P240" s="528"/>
      <c r="Q240" s="528"/>
      <c r="R240" s="528"/>
      <c r="S240" s="528"/>
      <c r="T240" s="528"/>
      <c r="U240" s="528"/>
      <c r="V240" s="528"/>
      <c r="W240" s="528"/>
      <c r="X240" s="528"/>
      <c r="Y240" s="528"/>
      <c r="Z240" s="528"/>
      <c r="AA240" s="528"/>
      <c r="AB240" s="528"/>
      <c r="AC240" s="528"/>
      <c r="AD240" s="528"/>
      <c r="AE240" s="528"/>
      <c r="AF240" s="528"/>
      <c r="AG240" s="528"/>
      <c r="AH240" s="528"/>
    </row>
    <row r="241" spans="1:34" s="428" customFormat="1" ht="12.75" x14ac:dyDescent="0.2">
      <c r="A241" s="513"/>
      <c r="B241" s="516" t="s">
        <v>757</v>
      </c>
      <c r="C241" s="528"/>
      <c r="D241" s="528"/>
      <c r="E241" s="528"/>
      <c r="F241" s="528"/>
      <c r="G241" s="528"/>
      <c r="H241" s="528"/>
      <c r="I241" s="528"/>
      <c r="J241" s="528"/>
      <c r="K241" s="528"/>
      <c r="L241" s="528"/>
      <c r="M241" s="528"/>
      <c r="N241" s="528"/>
      <c r="O241" s="528"/>
      <c r="P241" s="528"/>
      <c r="Q241" s="528"/>
      <c r="R241" s="528"/>
      <c r="S241" s="528"/>
      <c r="T241" s="528"/>
      <c r="U241" s="528"/>
      <c r="V241" s="528"/>
      <c r="W241" s="528"/>
      <c r="X241" s="528"/>
      <c r="Y241" s="528"/>
      <c r="Z241" s="528"/>
      <c r="AA241" s="528"/>
      <c r="AB241" s="528"/>
      <c r="AC241" s="528"/>
      <c r="AD241" s="528"/>
      <c r="AE241" s="528"/>
      <c r="AF241" s="528"/>
      <c r="AG241" s="528"/>
      <c r="AH241" s="528"/>
    </row>
    <row r="242" spans="1:34" s="545" customFormat="1" ht="12.75" x14ac:dyDescent="0.2">
      <c r="A242" s="513">
        <v>83905</v>
      </c>
      <c r="B242" s="529" t="s">
        <v>758</v>
      </c>
      <c r="C242" s="530">
        <v>0</v>
      </c>
      <c r="D242" s="530">
        <v>0</v>
      </c>
      <c r="E242" s="530">
        <v>0</v>
      </c>
      <c r="F242" s="530">
        <v>0</v>
      </c>
      <c r="G242" s="530">
        <v>0</v>
      </c>
      <c r="H242" s="530">
        <v>0</v>
      </c>
      <c r="I242" s="530">
        <v>0</v>
      </c>
      <c r="J242" s="530">
        <v>0</v>
      </c>
      <c r="K242" s="530">
        <v>0</v>
      </c>
      <c r="L242" s="530">
        <v>0</v>
      </c>
      <c r="M242" s="530">
        <v>0</v>
      </c>
      <c r="N242" s="530">
        <v>0</v>
      </c>
      <c r="O242" s="530">
        <v>0</v>
      </c>
      <c r="P242" s="530">
        <v>0</v>
      </c>
      <c r="Q242" s="530">
        <v>0</v>
      </c>
      <c r="R242" s="530">
        <v>0</v>
      </c>
      <c r="S242" s="530">
        <v>0</v>
      </c>
      <c r="T242" s="530">
        <v>0</v>
      </c>
      <c r="U242" s="530">
        <v>0</v>
      </c>
      <c r="V242" s="530">
        <v>0</v>
      </c>
      <c r="W242" s="530">
        <v>0</v>
      </c>
      <c r="X242" s="530">
        <v>0</v>
      </c>
      <c r="Y242" s="530">
        <v>0</v>
      </c>
      <c r="Z242" s="530">
        <v>0</v>
      </c>
      <c r="AA242" s="530">
        <v>0</v>
      </c>
      <c r="AB242" s="530">
        <v>0</v>
      </c>
      <c r="AC242" s="530">
        <v>0</v>
      </c>
      <c r="AD242" s="530">
        <v>0</v>
      </c>
      <c r="AE242" s="530">
        <v>0</v>
      </c>
      <c r="AF242" s="530">
        <v>0</v>
      </c>
      <c r="AG242" s="530">
        <v>0</v>
      </c>
      <c r="AH242" s="530">
        <f>SUM(C242:AG242)</f>
        <v>0</v>
      </c>
    </row>
    <row r="243" spans="1:34" s="545" customFormat="1" ht="12.75" x14ac:dyDescent="0.2">
      <c r="A243" s="513">
        <v>83929</v>
      </c>
      <c r="B243" s="529" t="s">
        <v>759</v>
      </c>
      <c r="C243" s="530">
        <v>0</v>
      </c>
      <c r="D243" s="530">
        <v>0</v>
      </c>
      <c r="E243" s="530">
        <v>0</v>
      </c>
      <c r="F243" s="530">
        <v>0</v>
      </c>
      <c r="G243" s="530">
        <v>0</v>
      </c>
      <c r="H243" s="530">
        <v>0</v>
      </c>
      <c r="I243" s="530">
        <v>0</v>
      </c>
      <c r="J243" s="530">
        <v>0</v>
      </c>
      <c r="K243" s="530">
        <v>0</v>
      </c>
      <c r="L243" s="530">
        <v>0</v>
      </c>
      <c r="M243" s="530">
        <v>0</v>
      </c>
      <c r="N243" s="530">
        <v>0</v>
      </c>
      <c r="O243" s="530">
        <v>0</v>
      </c>
      <c r="P243" s="530">
        <v>0</v>
      </c>
      <c r="Q243" s="530">
        <v>0</v>
      </c>
      <c r="R243" s="530">
        <v>0</v>
      </c>
      <c r="S243" s="530">
        <v>0</v>
      </c>
      <c r="T243" s="530">
        <v>0</v>
      </c>
      <c r="U243" s="530">
        <v>0</v>
      </c>
      <c r="V243" s="530">
        <v>0</v>
      </c>
      <c r="W243" s="530">
        <v>0</v>
      </c>
      <c r="X243" s="530">
        <v>0</v>
      </c>
      <c r="Y243" s="530">
        <v>0</v>
      </c>
      <c r="Z243" s="530">
        <v>0</v>
      </c>
      <c r="AA243" s="530">
        <v>0</v>
      </c>
      <c r="AB243" s="530">
        <v>0</v>
      </c>
      <c r="AC243" s="530">
        <v>0</v>
      </c>
      <c r="AD243" s="530">
        <v>0</v>
      </c>
      <c r="AE243" s="530">
        <v>0</v>
      </c>
      <c r="AF243" s="530">
        <v>0</v>
      </c>
      <c r="AG243" s="530">
        <v>0</v>
      </c>
      <c r="AH243" s="530">
        <f>SUM(C243:AG243)</f>
        <v>0</v>
      </c>
    </row>
    <row r="244" spans="1:34" s="428" customFormat="1" ht="12.75" x14ac:dyDescent="0.2">
      <c r="A244" s="513"/>
      <c r="B244" s="516"/>
      <c r="C244" s="528"/>
      <c r="D244" s="528"/>
      <c r="E244" s="528"/>
      <c r="F244" s="528"/>
      <c r="G244" s="528"/>
      <c r="H244" s="528"/>
      <c r="I244" s="528"/>
      <c r="J244" s="528"/>
      <c r="K244" s="528"/>
      <c r="L244" s="528"/>
      <c r="M244" s="528"/>
      <c r="N244" s="528"/>
      <c r="O244" s="528"/>
      <c r="P244" s="528"/>
      <c r="Q244" s="528"/>
      <c r="R244" s="528"/>
      <c r="S244" s="528"/>
      <c r="T244" s="528"/>
      <c r="U244" s="528"/>
      <c r="V244" s="528"/>
      <c r="W244" s="528"/>
      <c r="X244" s="528"/>
      <c r="Y244" s="528"/>
      <c r="Z244" s="528"/>
      <c r="AA244" s="528"/>
      <c r="AB244" s="528"/>
      <c r="AC244" s="528"/>
      <c r="AD244" s="528"/>
      <c r="AE244" s="528"/>
      <c r="AF244" s="528"/>
      <c r="AG244" s="528"/>
      <c r="AH244" s="528"/>
    </row>
    <row r="245" spans="1:34" s="428" customFormat="1" ht="12.75" x14ac:dyDescent="0.2">
      <c r="A245" s="513">
        <v>84000</v>
      </c>
      <c r="B245" s="536" t="s">
        <v>760</v>
      </c>
      <c r="C245" s="537">
        <f t="shared" ref="C245:AH245" si="39">C235+C239+C242+C243</f>
        <v>1010.19</v>
      </c>
      <c r="D245" s="537">
        <f t="shared" si="39"/>
        <v>0</v>
      </c>
      <c r="E245" s="537">
        <f t="shared" si="39"/>
        <v>1002.9000000000001</v>
      </c>
      <c r="F245" s="537">
        <f t="shared" si="39"/>
        <v>0</v>
      </c>
      <c r="G245" s="537">
        <f t="shared" si="39"/>
        <v>4304.3400000000011</v>
      </c>
      <c r="H245" s="537">
        <f t="shared" si="39"/>
        <v>0</v>
      </c>
      <c r="I245" s="537">
        <f t="shared" si="39"/>
        <v>5400.16</v>
      </c>
      <c r="J245" s="537">
        <f t="shared" si="39"/>
        <v>0</v>
      </c>
      <c r="K245" s="537">
        <f t="shared" si="39"/>
        <v>875.16</v>
      </c>
      <c r="L245" s="537">
        <f t="shared" si="39"/>
        <v>294.57</v>
      </c>
      <c r="M245" s="537">
        <f t="shared" si="39"/>
        <v>37932.270000000004</v>
      </c>
      <c r="N245" s="537">
        <f t="shared" si="39"/>
        <v>0</v>
      </c>
      <c r="O245" s="537">
        <f t="shared" si="39"/>
        <v>0</v>
      </c>
      <c r="P245" s="537">
        <f t="shared" si="39"/>
        <v>207981.40000000002</v>
      </c>
      <c r="Q245" s="537">
        <f t="shared" si="39"/>
        <v>0</v>
      </c>
      <c r="R245" s="537">
        <f t="shared" si="39"/>
        <v>37.03</v>
      </c>
      <c r="S245" s="537">
        <f t="shared" si="39"/>
        <v>173.76999999999998</v>
      </c>
      <c r="T245" s="537">
        <f t="shared" si="39"/>
        <v>276.3</v>
      </c>
      <c r="U245" s="537">
        <f t="shared" si="39"/>
        <v>358.78</v>
      </c>
      <c r="V245" s="537">
        <f t="shared" si="39"/>
        <v>0</v>
      </c>
      <c r="W245" s="537">
        <f t="shared" si="39"/>
        <v>82.68</v>
      </c>
      <c r="X245" s="537">
        <f t="shared" si="39"/>
        <v>685.79</v>
      </c>
      <c r="Y245" s="537">
        <f t="shared" si="39"/>
        <v>167.88</v>
      </c>
      <c r="Z245" s="537">
        <f t="shared" si="39"/>
        <v>380.94</v>
      </c>
      <c r="AA245" s="537">
        <f t="shared" si="39"/>
        <v>156.13</v>
      </c>
      <c r="AB245" s="537">
        <f t="shared" si="39"/>
        <v>212.30999999999997</v>
      </c>
      <c r="AC245" s="537">
        <f t="shared" si="39"/>
        <v>181.52</v>
      </c>
      <c r="AD245" s="537">
        <f t="shared" si="39"/>
        <v>0</v>
      </c>
      <c r="AE245" s="537">
        <f t="shared" si="39"/>
        <v>0</v>
      </c>
      <c r="AF245" s="537">
        <f t="shared" si="39"/>
        <v>268.49</v>
      </c>
      <c r="AG245" s="537">
        <f t="shared" si="39"/>
        <v>0</v>
      </c>
      <c r="AH245" s="537">
        <f t="shared" si="39"/>
        <v>261782.61000000002</v>
      </c>
    </row>
    <row r="246" spans="1:34" s="428" customFormat="1" ht="12.75" x14ac:dyDescent="0.2">
      <c r="A246" s="513"/>
      <c r="B246" s="536"/>
      <c r="C246" s="537"/>
      <c r="D246" s="537"/>
      <c r="E246" s="537"/>
      <c r="F246" s="537"/>
      <c r="G246" s="537"/>
      <c r="H246" s="537"/>
      <c r="I246" s="537"/>
      <c r="J246" s="537"/>
      <c r="K246" s="537"/>
      <c r="L246" s="537"/>
      <c r="M246" s="537"/>
      <c r="N246" s="537"/>
      <c r="O246" s="537"/>
      <c r="P246" s="537"/>
      <c r="Q246" s="537"/>
      <c r="R246" s="537"/>
      <c r="S246" s="537"/>
      <c r="T246" s="537"/>
      <c r="U246" s="537"/>
      <c r="V246" s="537"/>
      <c r="W246" s="537"/>
      <c r="X246" s="537"/>
      <c r="Y246" s="537"/>
      <c r="Z246" s="537"/>
      <c r="AA246" s="537"/>
      <c r="AB246" s="537"/>
      <c r="AC246" s="537"/>
      <c r="AD246" s="537"/>
      <c r="AE246" s="537"/>
      <c r="AF246" s="537"/>
      <c r="AG246" s="537"/>
      <c r="AH246" s="537"/>
    </row>
    <row r="247" spans="1:34" s="428" customFormat="1" ht="12.75" x14ac:dyDescent="0.2">
      <c r="A247" s="513">
        <v>85000</v>
      </c>
      <c r="B247" s="536" t="s">
        <v>761</v>
      </c>
      <c r="C247" s="1159">
        <f t="shared" ref="C247:AH247" si="40">C220-C235-C239-C196</f>
        <v>-260823.67999999996</v>
      </c>
      <c r="D247" s="537">
        <f t="shared" si="40"/>
        <v>0</v>
      </c>
      <c r="E247" s="1159">
        <f t="shared" si="40"/>
        <v>-49509.279999999999</v>
      </c>
      <c r="F247" s="1159">
        <f t="shared" si="40"/>
        <v>0</v>
      </c>
      <c r="G247" s="537">
        <f t="shared" si="40"/>
        <v>3480355.49</v>
      </c>
      <c r="H247" s="537">
        <f t="shared" si="40"/>
        <v>0</v>
      </c>
      <c r="I247" s="1159">
        <f t="shared" si="40"/>
        <v>-770922.90000000014</v>
      </c>
      <c r="J247" s="1159">
        <f t="shared" si="40"/>
        <v>-41896.689999999995</v>
      </c>
      <c r="K247" s="537">
        <f t="shared" si="40"/>
        <v>-81185.87999999999</v>
      </c>
      <c r="L247" s="537">
        <f t="shared" si="40"/>
        <v>-126947.07</v>
      </c>
      <c r="M247" s="1159">
        <f t="shared" si="40"/>
        <v>-660080.99000000011</v>
      </c>
      <c r="N247" s="537">
        <f t="shared" si="40"/>
        <v>0</v>
      </c>
      <c r="O247" s="537">
        <f t="shared" si="40"/>
        <v>0</v>
      </c>
      <c r="P247" s="537">
        <f t="shared" si="40"/>
        <v>-1096902.96</v>
      </c>
      <c r="Q247" s="537">
        <f t="shared" si="40"/>
        <v>0</v>
      </c>
      <c r="R247" s="1159">
        <f t="shared" si="40"/>
        <v>-34143.909999999996</v>
      </c>
      <c r="S247" s="1159">
        <f t="shared" si="40"/>
        <v>-173.78000000000202</v>
      </c>
      <c r="T247" s="1159">
        <f t="shared" si="40"/>
        <v>-101156.97000000002</v>
      </c>
      <c r="U247" s="537">
        <f t="shared" si="40"/>
        <v>-72788.210000000006</v>
      </c>
      <c r="V247" s="537">
        <f t="shared" si="40"/>
        <v>-33387.519999999997</v>
      </c>
      <c r="W247" s="537">
        <f t="shared" si="40"/>
        <v>-69758.759999999995</v>
      </c>
      <c r="X247" s="1159">
        <f t="shared" si="40"/>
        <v>-52772.510000000017</v>
      </c>
      <c r="Y247" s="1159">
        <f t="shared" si="40"/>
        <v>-125887.90000000002</v>
      </c>
      <c r="Z247" s="537">
        <f t="shared" si="40"/>
        <v>1378720.75</v>
      </c>
      <c r="AA247" s="1159">
        <f t="shared" si="40"/>
        <v>-48990.96</v>
      </c>
      <c r="AB247" s="1159">
        <f t="shared" si="40"/>
        <v>-73306.98000000001</v>
      </c>
      <c r="AC247" s="1159">
        <f t="shared" si="40"/>
        <v>-205774.72999999998</v>
      </c>
      <c r="AD247" s="537">
        <f t="shared" si="40"/>
        <v>0</v>
      </c>
      <c r="AE247" s="1159">
        <f t="shared" si="40"/>
        <v>-0.01</v>
      </c>
      <c r="AF247" s="1159">
        <f t="shared" si="40"/>
        <v>-121559.90999999999</v>
      </c>
      <c r="AG247" s="537">
        <f t="shared" si="40"/>
        <v>0</v>
      </c>
      <c r="AH247" s="537">
        <f t="shared" si="40"/>
        <v>831104.63999999955</v>
      </c>
    </row>
    <row r="248" spans="1:34" s="428" customFormat="1" ht="12.75" x14ac:dyDescent="0.2">
      <c r="A248" s="513" t="s">
        <v>762</v>
      </c>
      <c r="B248" s="516" t="s">
        <v>128</v>
      </c>
      <c r="C248" s="544" t="str">
        <f t="shared" ref="C248:AH248" si="41">IF(ISERROR(C247/C24),"",(C247/C24))</f>
        <v/>
      </c>
      <c r="D248" s="544" t="str">
        <f t="shared" si="41"/>
        <v/>
      </c>
      <c r="E248" s="544" t="str">
        <f t="shared" si="41"/>
        <v/>
      </c>
      <c r="F248" s="544" t="str">
        <f t="shared" si="41"/>
        <v/>
      </c>
      <c r="G248" s="544" t="str">
        <f t="shared" si="41"/>
        <v/>
      </c>
      <c r="H248" s="544" t="str">
        <f t="shared" si="41"/>
        <v/>
      </c>
      <c r="I248" s="544">
        <f t="shared" si="41"/>
        <v>-197.84197235581243</v>
      </c>
      <c r="J248" s="544" t="str">
        <f t="shared" si="41"/>
        <v/>
      </c>
      <c r="K248" s="544" t="str">
        <f t="shared" si="41"/>
        <v/>
      </c>
      <c r="L248" s="544" t="str">
        <f t="shared" si="41"/>
        <v/>
      </c>
      <c r="M248" s="544" t="str">
        <f t="shared" si="41"/>
        <v/>
      </c>
      <c r="N248" s="544" t="str">
        <f t="shared" si="41"/>
        <v/>
      </c>
      <c r="O248" s="544" t="str">
        <f t="shared" si="41"/>
        <v/>
      </c>
      <c r="P248" s="544" t="str">
        <f t="shared" si="41"/>
        <v/>
      </c>
      <c r="Q248" s="544" t="str">
        <f t="shared" si="41"/>
        <v/>
      </c>
      <c r="R248" s="544" t="str">
        <f t="shared" si="41"/>
        <v/>
      </c>
      <c r="S248" s="544" t="str">
        <f t="shared" si="41"/>
        <v/>
      </c>
      <c r="T248" s="544" t="str">
        <f t="shared" si="41"/>
        <v/>
      </c>
      <c r="U248" s="544" t="str">
        <f t="shared" si="41"/>
        <v/>
      </c>
      <c r="V248" s="544" t="str">
        <f t="shared" si="41"/>
        <v/>
      </c>
      <c r="W248" s="544" t="str">
        <f t="shared" si="41"/>
        <v/>
      </c>
      <c r="X248" s="544" t="str">
        <f t="shared" si="41"/>
        <v/>
      </c>
      <c r="Y248" s="544" t="str">
        <f t="shared" si="41"/>
        <v/>
      </c>
      <c r="Z248" s="544">
        <f t="shared" si="41"/>
        <v>392.04511849042007</v>
      </c>
      <c r="AA248" s="544" t="str">
        <f t="shared" si="41"/>
        <v/>
      </c>
      <c r="AB248" s="544" t="str">
        <f t="shared" si="41"/>
        <v/>
      </c>
      <c r="AC248" s="544" t="str">
        <f t="shared" si="41"/>
        <v/>
      </c>
      <c r="AD248" s="544" t="str">
        <f t="shared" si="41"/>
        <v/>
      </c>
      <c r="AE248" s="544" t="str">
        <f t="shared" si="41"/>
        <v/>
      </c>
      <c r="AF248" s="544" t="str">
        <f t="shared" si="41"/>
        <v/>
      </c>
      <c r="AG248" s="544" t="str">
        <f t="shared" si="41"/>
        <v/>
      </c>
      <c r="AH248" s="544">
        <f t="shared" si="41"/>
        <v>112.10843067958015</v>
      </c>
    </row>
    <row r="249" spans="1:34" s="428" customFormat="1" x14ac:dyDescent="0.25">
      <c r="A249" s="513"/>
      <c r="B249" s="534"/>
      <c r="C249" s="563"/>
      <c r="D249" s="563"/>
      <c r="E249" s="563"/>
      <c r="F249" s="563"/>
      <c r="G249" s="1160">
        <f>G247+G211+45935+178543</f>
        <v>-672709.70000000019</v>
      </c>
      <c r="H249" s="563"/>
      <c r="I249" s="563"/>
      <c r="J249" s="563"/>
      <c r="K249" s="563"/>
      <c r="L249" s="563"/>
      <c r="M249" s="563"/>
      <c r="N249" s="563"/>
      <c r="O249" s="563"/>
      <c r="P249" s="563"/>
      <c r="Q249" s="563"/>
      <c r="R249" s="563"/>
      <c r="S249" s="563"/>
      <c r="T249" s="563"/>
      <c r="U249" s="563"/>
      <c r="V249" s="563"/>
      <c r="W249" s="563"/>
      <c r="X249" s="563"/>
      <c r="Y249" s="563"/>
      <c r="Z249" s="1160">
        <f>Z247+Z196</f>
        <v>-87180.100000000093</v>
      </c>
      <c r="AA249" s="563"/>
      <c r="AB249" s="563"/>
      <c r="AC249" s="563"/>
      <c r="AD249" s="563"/>
      <c r="AE249" s="563"/>
      <c r="AF249" s="563"/>
      <c r="AG249" s="563"/>
      <c r="AH249" s="563"/>
    </row>
    <row r="250" spans="1:34" s="428" customFormat="1" ht="12.75" x14ac:dyDescent="0.2">
      <c r="A250" s="513"/>
      <c r="B250" s="516" t="s">
        <v>763</v>
      </c>
      <c r="C250" s="528"/>
      <c r="D250" s="528"/>
      <c r="E250" s="528"/>
      <c r="F250" s="528"/>
      <c r="G250" s="528"/>
      <c r="H250" s="528"/>
      <c r="I250" s="528"/>
      <c r="J250" s="528"/>
      <c r="K250" s="528"/>
      <c r="L250" s="528"/>
      <c r="M250" s="528"/>
      <c r="N250" s="528"/>
      <c r="O250" s="528"/>
      <c r="P250" s="528"/>
      <c r="Q250" s="528"/>
      <c r="R250" s="528"/>
      <c r="S250" s="528"/>
      <c r="T250" s="528"/>
      <c r="U250" s="528"/>
      <c r="V250" s="528"/>
      <c r="W250" s="528"/>
      <c r="X250" s="528"/>
      <c r="Y250" s="528"/>
      <c r="Z250" s="528"/>
      <c r="AA250" s="528"/>
      <c r="AB250" s="528"/>
      <c r="AC250" s="528"/>
      <c r="AD250" s="528"/>
      <c r="AE250" s="528"/>
      <c r="AF250" s="528"/>
      <c r="AG250" s="528"/>
      <c r="AH250" s="528"/>
    </row>
    <row r="251" spans="1:34" s="545" customFormat="1" ht="12.75" x14ac:dyDescent="0.2">
      <c r="A251" s="513">
        <v>85505</v>
      </c>
      <c r="B251" s="529" t="s">
        <v>764</v>
      </c>
      <c r="C251" s="530">
        <v>0</v>
      </c>
      <c r="D251" s="530">
        <v>0</v>
      </c>
      <c r="E251" s="530">
        <v>0</v>
      </c>
      <c r="F251" s="530">
        <v>0</v>
      </c>
      <c r="G251" s="530">
        <v>0</v>
      </c>
      <c r="H251" s="530">
        <v>0</v>
      </c>
      <c r="I251" s="530">
        <v>0</v>
      </c>
      <c r="J251" s="530">
        <v>0</v>
      </c>
      <c r="K251" s="530">
        <v>0</v>
      </c>
      <c r="L251" s="530">
        <v>0</v>
      </c>
      <c r="M251" s="530">
        <v>0</v>
      </c>
      <c r="N251" s="530">
        <v>0</v>
      </c>
      <c r="O251" s="530">
        <v>0</v>
      </c>
      <c r="P251" s="530">
        <v>0</v>
      </c>
      <c r="Q251" s="530">
        <v>0</v>
      </c>
      <c r="R251" s="530">
        <v>0</v>
      </c>
      <c r="S251" s="530">
        <v>0</v>
      </c>
      <c r="T251" s="530">
        <v>0</v>
      </c>
      <c r="U251" s="530">
        <v>0</v>
      </c>
      <c r="V251" s="530">
        <v>0</v>
      </c>
      <c r="W251" s="530">
        <v>0</v>
      </c>
      <c r="X251" s="530">
        <v>0</v>
      </c>
      <c r="Y251" s="530">
        <v>0</v>
      </c>
      <c r="Z251" s="530">
        <v>-2043.6299999999999</v>
      </c>
      <c r="AA251" s="530">
        <v>0</v>
      </c>
      <c r="AB251" s="530">
        <v>0</v>
      </c>
      <c r="AC251" s="530">
        <v>0</v>
      </c>
      <c r="AD251" s="530">
        <v>0</v>
      </c>
      <c r="AE251" s="530">
        <v>0</v>
      </c>
      <c r="AF251" s="530">
        <v>0</v>
      </c>
      <c r="AG251" s="530">
        <v>0</v>
      </c>
      <c r="AH251" s="530">
        <f t="shared" ref="AH251:AH261" si="42">SUM(C251:AG251)</f>
        <v>-2043.6299999999999</v>
      </c>
    </row>
    <row r="252" spans="1:34" s="545" customFormat="1" ht="12.75" x14ac:dyDescent="0.2">
      <c r="A252" s="513">
        <v>85506</v>
      </c>
      <c r="B252" s="529" t="s">
        <v>765</v>
      </c>
      <c r="C252" s="530">
        <v>0</v>
      </c>
      <c r="D252" s="530">
        <v>0</v>
      </c>
      <c r="E252" s="530">
        <v>0</v>
      </c>
      <c r="F252" s="530">
        <v>0</v>
      </c>
      <c r="G252" s="530">
        <v>0</v>
      </c>
      <c r="H252" s="530">
        <v>0</v>
      </c>
      <c r="I252" s="530">
        <v>0</v>
      </c>
      <c r="J252" s="530">
        <v>0</v>
      </c>
      <c r="K252" s="530">
        <v>0</v>
      </c>
      <c r="L252" s="530">
        <v>0</v>
      </c>
      <c r="M252" s="530">
        <v>0</v>
      </c>
      <c r="N252" s="530">
        <v>0</v>
      </c>
      <c r="O252" s="530">
        <v>0</v>
      </c>
      <c r="P252" s="530">
        <v>0</v>
      </c>
      <c r="Q252" s="530">
        <v>0</v>
      </c>
      <c r="R252" s="530">
        <v>0</v>
      </c>
      <c r="S252" s="530">
        <v>0</v>
      </c>
      <c r="T252" s="530">
        <v>0</v>
      </c>
      <c r="U252" s="530">
        <v>0</v>
      </c>
      <c r="V252" s="530">
        <v>0</v>
      </c>
      <c r="W252" s="530">
        <v>0</v>
      </c>
      <c r="X252" s="530">
        <v>0</v>
      </c>
      <c r="Y252" s="530">
        <v>0</v>
      </c>
      <c r="Z252" s="530">
        <v>0</v>
      </c>
      <c r="AA252" s="530">
        <v>0</v>
      </c>
      <c r="AB252" s="530">
        <v>0</v>
      </c>
      <c r="AC252" s="530">
        <v>0</v>
      </c>
      <c r="AD252" s="530">
        <v>0</v>
      </c>
      <c r="AE252" s="530">
        <v>0</v>
      </c>
      <c r="AF252" s="530">
        <v>0</v>
      </c>
      <c r="AG252" s="530">
        <v>0</v>
      </c>
      <c r="AH252" s="530">
        <f t="shared" si="42"/>
        <v>0</v>
      </c>
    </row>
    <row r="253" spans="1:34" s="545" customFormat="1" ht="12.75" x14ac:dyDescent="0.2">
      <c r="A253" s="513">
        <v>85510</v>
      </c>
      <c r="B253" s="529" t="s">
        <v>766</v>
      </c>
      <c r="C253" s="530">
        <v>0</v>
      </c>
      <c r="D253" s="530">
        <v>0</v>
      </c>
      <c r="E253" s="530">
        <v>0</v>
      </c>
      <c r="F253" s="530">
        <v>0</v>
      </c>
      <c r="G253" s="530">
        <v>0</v>
      </c>
      <c r="H253" s="530">
        <v>0</v>
      </c>
      <c r="I253" s="530">
        <v>0</v>
      </c>
      <c r="J253" s="530">
        <v>0</v>
      </c>
      <c r="K253" s="530">
        <v>0</v>
      </c>
      <c r="L253" s="530">
        <v>0</v>
      </c>
      <c r="M253" s="530">
        <v>0</v>
      </c>
      <c r="N253" s="530">
        <v>0</v>
      </c>
      <c r="O253" s="530">
        <v>0</v>
      </c>
      <c r="P253" s="530">
        <v>0</v>
      </c>
      <c r="Q253" s="530">
        <v>0</v>
      </c>
      <c r="R253" s="530">
        <v>0</v>
      </c>
      <c r="S253" s="530">
        <v>0</v>
      </c>
      <c r="T253" s="530">
        <v>0</v>
      </c>
      <c r="U253" s="530">
        <v>0</v>
      </c>
      <c r="V253" s="530">
        <v>0</v>
      </c>
      <c r="W253" s="530">
        <v>0</v>
      </c>
      <c r="X253" s="530">
        <v>0</v>
      </c>
      <c r="Y253" s="530">
        <v>0</v>
      </c>
      <c r="Z253" s="530">
        <v>-614061.26</v>
      </c>
      <c r="AA253" s="530">
        <v>0</v>
      </c>
      <c r="AB253" s="530">
        <v>0</v>
      </c>
      <c r="AC253" s="530">
        <v>0</v>
      </c>
      <c r="AD253" s="530">
        <v>0</v>
      </c>
      <c r="AE253" s="530">
        <v>0</v>
      </c>
      <c r="AF253" s="530">
        <v>0</v>
      </c>
      <c r="AG253" s="530">
        <v>0</v>
      </c>
      <c r="AH253" s="530">
        <f t="shared" si="42"/>
        <v>-614061.26</v>
      </c>
    </row>
    <row r="254" spans="1:34" s="545" customFormat="1" ht="12.75" x14ac:dyDescent="0.2">
      <c r="A254" s="513">
        <v>85520</v>
      </c>
      <c r="B254" s="529" t="s">
        <v>767</v>
      </c>
      <c r="C254" s="530">
        <v>0</v>
      </c>
      <c r="D254" s="530">
        <v>0</v>
      </c>
      <c r="E254" s="530">
        <v>0</v>
      </c>
      <c r="F254" s="530">
        <v>0</v>
      </c>
      <c r="G254" s="530">
        <v>0</v>
      </c>
      <c r="H254" s="530">
        <v>0</v>
      </c>
      <c r="I254" s="530">
        <v>0</v>
      </c>
      <c r="J254" s="530">
        <v>0</v>
      </c>
      <c r="K254" s="530">
        <v>0</v>
      </c>
      <c r="L254" s="530">
        <v>0</v>
      </c>
      <c r="M254" s="530">
        <v>0</v>
      </c>
      <c r="N254" s="530">
        <v>0</v>
      </c>
      <c r="O254" s="530">
        <v>0</v>
      </c>
      <c r="P254" s="530">
        <v>0</v>
      </c>
      <c r="Q254" s="530">
        <v>0</v>
      </c>
      <c r="R254" s="530">
        <v>0</v>
      </c>
      <c r="S254" s="530">
        <v>0</v>
      </c>
      <c r="T254" s="530">
        <v>0</v>
      </c>
      <c r="U254" s="530">
        <v>0</v>
      </c>
      <c r="V254" s="530">
        <v>0</v>
      </c>
      <c r="W254" s="530">
        <v>0</v>
      </c>
      <c r="X254" s="530">
        <v>0</v>
      </c>
      <c r="Y254" s="530">
        <v>0</v>
      </c>
      <c r="Z254" s="530">
        <v>114501.35999999999</v>
      </c>
      <c r="AA254" s="530">
        <v>0</v>
      </c>
      <c r="AB254" s="530">
        <v>0</v>
      </c>
      <c r="AC254" s="530">
        <v>0</v>
      </c>
      <c r="AD254" s="530">
        <v>0</v>
      </c>
      <c r="AE254" s="530">
        <v>0</v>
      </c>
      <c r="AF254" s="530">
        <v>0</v>
      </c>
      <c r="AG254" s="530">
        <v>0</v>
      </c>
      <c r="AH254" s="530">
        <f t="shared" si="42"/>
        <v>114501.35999999999</v>
      </c>
    </row>
    <row r="255" spans="1:34" s="545" customFormat="1" ht="12.75" x14ac:dyDescent="0.2">
      <c r="A255" s="513">
        <v>85530</v>
      </c>
      <c r="B255" s="529" t="s">
        <v>768</v>
      </c>
      <c r="C255" s="530">
        <v>0</v>
      </c>
      <c r="D255" s="530">
        <v>0</v>
      </c>
      <c r="E255" s="530">
        <v>0</v>
      </c>
      <c r="F255" s="530">
        <v>0</v>
      </c>
      <c r="G255" s="530">
        <v>0</v>
      </c>
      <c r="H255" s="530">
        <v>0</v>
      </c>
      <c r="I255" s="530">
        <v>0</v>
      </c>
      <c r="J255" s="530">
        <v>0</v>
      </c>
      <c r="K255" s="530">
        <v>0</v>
      </c>
      <c r="L255" s="530">
        <v>0</v>
      </c>
      <c r="M255" s="530">
        <v>0</v>
      </c>
      <c r="N255" s="530">
        <v>0</v>
      </c>
      <c r="O255" s="530">
        <v>0</v>
      </c>
      <c r="P255" s="530">
        <v>0</v>
      </c>
      <c r="Q255" s="530">
        <v>0</v>
      </c>
      <c r="R255" s="530">
        <v>0</v>
      </c>
      <c r="S255" s="530">
        <v>0</v>
      </c>
      <c r="T255" s="530">
        <v>0</v>
      </c>
      <c r="U255" s="530">
        <v>0</v>
      </c>
      <c r="V255" s="530">
        <v>0</v>
      </c>
      <c r="W255" s="530">
        <v>0</v>
      </c>
      <c r="X255" s="530">
        <v>0</v>
      </c>
      <c r="Y255" s="530">
        <v>0</v>
      </c>
      <c r="Z255" s="530">
        <v>592219.62</v>
      </c>
      <c r="AA255" s="530">
        <v>0</v>
      </c>
      <c r="AB255" s="530">
        <v>0</v>
      </c>
      <c r="AC255" s="530">
        <v>0</v>
      </c>
      <c r="AD255" s="530">
        <v>0</v>
      </c>
      <c r="AE255" s="530">
        <v>0</v>
      </c>
      <c r="AF255" s="530">
        <v>0</v>
      </c>
      <c r="AG255" s="530">
        <v>0</v>
      </c>
      <c r="AH255" s="530">
        <f t="shared" si="42"/>
        <v>592219.62</v>
      </c>
    </row>
    <row r="256" spans="1:34" s="545" customFormat="1" ht="12.75" x14ac:dyDescent="0.2">
      <c r="A256" s="513">
        <v>85540</v>
      </c>
      <c r="B256" s="529" t="s">
        <v>769</v>
      </c>
      <c r="C256" s="530">
        <v>0</v>
      </c>
      <c r="D256" s="530">
        <v>0</v>
      </c>
      <c r="E256" s="530">
        <v>0</v>
      </c>
      <c r="F256" s="530">
        <v>0</v>
      </c>
      <c r="G256" s="530">
        <v>0</v>
      </c>
      <c r="H256" s="530">
        <v>0</v>
      </c>
      <c r="I256" s="530">
        <v>0</v>
      </c>
      <c r="J256" s="530">
        <v>0</v>
      </c>
      <c r="K256" s="530">
        <v>0</v>
      </c>
      <c r="L256" s="530">
        <v>0</v>
      </c>
      <c r="M256" s="530">
        <v>0</v>
      </c>
      <c r="N256" s="530">
        <v>0</v>
      </c>
      <c r="O256" s="530">
        <v>0</v>
      </c>
      <c r="P256" s="530">
        <v>0</v>
      </c>
      <c r="Q256" s="530">
        <v>0</v>
      </c>
      <c r="R256" s="530">
        <v>0</v>
      </c>
      <c r="S256" s="530">
        <v>0</v>
      </c>
      <c r="T256" s="530">
        <v>0</v>
      </c>
      <c r="U256" s="530">
        <v>0</v>
      </c>
      <c r="V256" s="530">
        <v>0</v>
      </c>
      <c r="W256" s="530">
        <v>0</v>
      </c>
      <c r="X256" s="530">
        <v>0</v>
      </c>
      <c r="Y256" s="530">
        <v>0</v>
      </c>
      <c r="Z256" s="530">
        <v>26872.199999999997</v>
      </c>
      <c r="AA256" s="530">
        <v>0</v>
      </c>
      <c r="AB256" s="530">
        <v>0</v>
      </c>
      <c r="AC256" s="530">
        <v>0</v>
      </c>
      <c r="AD256" s="530">
        <v>0</v>
      </c>
      <c r="AE256" s="530">
        <v>0</v>
      </c>
      <c r="AF256" s="530">
        <v>0</v>
      </c>
      <c r="AG256" s="530">
        <v>0</v>
      </c>
      <c r="AH256" s="530">
        <f t="shared" si="42"/>
        <v>26872.199999999997</v>
      </c>
    </row>
    <row r="257" spans="1:35" s="545" customFormat="1" ht="12.75" x14ac:dyDescent="0.2">
      <c r="A257" s="513">
        <v>85545</v>
      </c>
      <c r="B257" s="529" t="s">
        <v>770</v>
      </c>
      <c r="C257" s="530">
        <v>0</v>
      </c>
      <c r="D257" s="530">
        <v>0</v>
      </c>
      <c r="E257" s="530">
        <v>0</v>
      </c>
      <c r="F257" s="530">
        <v>0</v>
      </c>
      <c r="G257" s="530">
        <v>0</v>
      </c>
      <c r="H257" s="530">
        <v>0</v>
      </c>
      <c r="I257" s="530">
        <v>0</v>
      </c>
      <c r="J257" s="530">
        <v>0</v>
      </c>
      <c r="K257" s="530">
        <v>0</v>
      </c>
      <c r="L257" s="530">
        <v>0</v>
      </c>
      <c r="M257" s="530">
        <v>0</v>
      </c>
      <c r="N257" s="530">
        <v>0</v>
      </c>
      <c r="O257" s="530">
        <v>0</v>
      </c>
      <c r="P257" s="530">
        <v>0</v>
      </c>
      <c r="Q257" s="530">
        <v>0</v>
      </c>
      <c r="R257" s="530">
        <v>0</v>
      </c>
      <c r="S257" s="530">
        <v>0</v>
      </c>
      <c r="T257" s="530">
        <v>0</v>
      </c>
      <c r="U257" s="530">
        <v>0</v>
      </c>
      <c r="V257" s="530">
        <v>0</v>
      </c>
      <c r="W257" s="530">
        <v>0</v>
      </c>
      <c r="X257" s="530">
        <v>0</v>
      </c>
      <c r="Y257" s="530">
        <v>0</v>
      </c>
      <c r="Z257" s="530">
        <v>52438.98</v>
      </c>
      <c r="AA257" s="530">
        <v>0</v>
      </c>
      <c r="AB257" s="530">
        <v>0</v>
      </c>
      <c r="AC257" s="530">
        <v>0</v>
      </c>
      <c r="AD257" s="530">
        <v>0</v>
      </c>
      <c r="AE257" s="530">
        <v>0</v>
      </c>
      <c r="AF257" s="530">
        <v>0</v>
      </c>
      <c r="AG257" s="530">
        <v>0</v>
      </c>
      <c r="AH257" s="530">
        <f t="shared" si="42"/>
        <v>52438.98</v>
      </c>
    </row>
    <row r="258" spans="1:35" s="545" customFormat="1" ht="12.75" x14ac:dyDescent="0.2">
      <c r="A258" s="513">
        <v>85546</v>
      </c>
      <c r="B258" s="529" t="s">
        <v>771</v>
      </c>
      <c r="C258" s="530">
        <v>0</v>
      </c>
      <c r="D258" s="530">
        <v>0</v>
      </c>
      <c r="E258" s="530">
        <v>0</v>
      </c>
      <c r="F258" s="530">
        <v>0</v>
      </c>
      <c r="G258" s="530">
        <v>1383.73</v>
      </c>
      <c r="H258" s="530">
        <v>0</v>
      </c>
      <c r="I258" s="530">
        <v>0</v>
      </c>
      <c r="J258" s="530">
        <v>0</v>
      </c>
      <c r="K258" s="530">
        <v>0</v>
      </c>
      <c r="L258" s="530">
        <v>0</v>
      </c>
      <c r="M258" s="530">
        <v>0</v>
      </c>
      <c r="N258" s="530">
        <v>0</v>
      </c>
      <c r="O258" s="530">
        <v>0</v>
      </c>
      <c r="P258" s="530">
        <v>0</v>
      </c>
      <c r="Q258" s="530">
        <v>0</v>
      </c>
      <c r="R258" s="530">
        <v>0</v>
      </c>
      <c r="S258" s="530">
        <v>0</v>
      </c>
      <c r="T258" s="530">
        <v>0</v>
      </c>
      <c r="U258" s="530">
        <v>0</v>
      </c>
      <c r="V258" s="530">
        <v>0</v>
      </c>
      <c r="W258" s="530">
        <v>0</v>
      </c>
      <c r="X258" s="530">
        <v>0</v>
      </c>
      <c r="Y258" s="530">
        <v>0</v>
      </c>
      <c r="Z258" s="530">
        <v>0</v>
      </c>
      <c r="AA258" s="530">
        <v>0</v>
      </c>
      <c r="AB258" s="530">
        <v>0</v>
      </c>
      <c r="AC258" s="530">
        <v>0</v>
      </c>
      <c r="AD258" s="530">
        <v>0</v>
      </c>
      <c r="AE258" s="530">
        <v>0</v>
      </c>
      <c r="AF258" s="530">
        <v>0</v>
      </c>
      <c r="AG258" s="530">
        <v>0</v>
      </c>
      <c r="AH258" s="530">
        <f t="shared" si="42"/>
        <v>1383.73</v>
      </c>
    </row>
    <row r="259" spans="1:35" s="545" customFormat="1" ht="12.75" x14ac:dyDescent="0.2">
      <c r="A259" s="513">
        <v>85550</v>
      </c>
      <c r="B259" s="529" t="s">
        <v>772</v>
      </c>
      <c r="C259" s="530">
        <v>0</v>
      </c>
      <c r="D259" s="530">
        <v>0</v>
      </c>
      <c r="E259" s="530">
        <v>0</v>
      </c>
      <c r="F259" s="530">
        <v>0</v>
      </c>
      <c r="G259" s="530">
        <v>0</v>
      </c>
      <c r="H259" s="530">
        <v>0</v>
      </c>
      <c r="I259" s="530">
        <v>0</v>
      </c>
      <c r="J259" s="530">
        <v>0</v>
      </c>
      <c r="K259" s="530">
        <v>0</v>
      </c>
      <c r="L259" s="530">
        <v>0</v>
      </c>
      <c r="M259" s="530">
        <v>0</v>
      </c>
      <c r="N259" s="530">
        <v>0</v>
      </c>
      <c r="O259" s="530">
        <v>0</v>
      </c>
      <c r="P259" s="530">
        <v>0</v>
      </c>
      <c r="Q259" s="530">
        <v>0</v>
      </c>
      <c r="R259" s="530">
        <v>0</v>
      </c>
      <c r="S259" s="530">
        <v>0</v>
      </c>
      <c r="T259" s="530">
        <v>0</v>
      </c>
      <c r="U259" s="530">
        <v>0</v>
      </c>
      <c r="V259" s="530">
        <v>0</v>
      </c>
      <c r="W259" s="530">
        <v>0</v>
      </c>
      <c r="X259" s="530">
        <v>0</v>
      </c>
      <c r="Y259" s="530">
        <v>0</v>
      </c>
      <c r="Z259" s="530">
        <v>0</v>
      </c>
      <c r="AA259" s="530">
        <v>0</v>
      </c>
      <c r="AB259" s="530">
        <v>0</v>
      </c>
      <c r="AC259" s="530">
        <v>0</v>
      </c>
      <c r="AD259" s="530">
        <v>0</v>
      </c>
      <c r="AE259" s="530">
        <v>0</v>
      </c>
      <c r="AF259" s="530">
        <v>0</v>
      </c>
      <c r="AG259" s="530">
        <v>0</v>
      </c>
      <c r="AH259" s="530">
        <f t="shared" si="42"/>
        <v>0</v>
      </c>
    </row>
    <row r="260" spans="1:35" s="545" customFormat="1" ht="12.75" x14ac:dyDescent="0.2">
      <c r="A260" s="513">
        <v>85554</v>
      </c>
      <c r="B260" s="529" t="s">
        <v>773</v>
      </c>
      <c r="C260" s="530">
        <v>0</v>
      </c>
      <c r="D260" s="530">
        <v>0</v>
      </c>
      <c r="E260" s="530">
        <v>0</v>
      </c>
      <c r="F260" s="530">
        <v>0</v>
      </c>
      <c r="G260" s="530">
        <v>0</v>
      </c>
      <c r="H260" s="530">
        <v>0</v>
      </c>
      <c r="I260" s="530">
        <v>0</v>
      </c>
      <c r="J260" s="530">
        <v>0</v>
      </c>
      <c r="K260" s="530">
        <v>0</v>
      </c>
      <c r="L260" s="530">
        <v>0</v>
      </c>
      <c r="M260" s="530">
        <v>0</v>
      </c>
      <c r="N260" s="530">
        <v>0</v>
      </c>
      <c r="O260" s="530">
        <v>0</v>
      </c>
      <c r="P260" s="530">
        <v>0</v>
      </c>
      <c r="Q260" s="530">
        <v>0</v>
      </c>
      <c r="R260" s="530">
        <v>0</v>
      </c>
      <c r="S260" s="530">
        <v>0</v>
      </c>
      <c r="T260" s="530">
        <v>0</v>
      </c>
      <c r="U260" s="530">
        <v>0</v>
      </c>
      <c r="V260" s="530">
        <v>0</v>
      </c>
      <c r="W260" s="530">
        <v>0</v>
      </c>
      <c r="X260" s="530">
        <v>0</v>
      </c>
      <c r="Y260" s="530">
        <v>0</v>
      </c>
      <c r="Z260" s="530">
        <v>0</v>
      </c>
      <c r="AA260" s="530">
        <v>0</v>
      </c>
      <c r="AB260" s="530">
        <v>0</v>
      </c>
      <c r="AC260" s="530">
        <v>0</v>
      </c>
      <c r="AD260" s="530">
        <v>0</v>
      </c>
      <c r="AE260" s="530">
        <v>0</v>
      </c>
      <c r="AF260" s="530">
        <v>0</v>
      </c>
      <c r="AG260" s="530">
        <v>0</v>
      </c>
      <c r="AH260" s="530">
        <f t="shared" si="42"/>
        <v>0</v>
      </c>
    </row>
    <row r="261" spans="1:35" s="545" customFormat="1" ht="12.75" x14ac:dyDescent="0.2">
      <c r="A261" s="513">
        <v>85560</v>
      </c>
      <c r="B261" s="529" t="s">
        <v>774</v>
      </c>
      <c r="C261" s="530">
        <v>0</v>
      </c>
      <c r="D261" s="530">
        <v>0</v>
      </c>
      <c r="E261" s="530">
        <v>0</v>
      </c>
      <c r="F261" s="530">
        <v>0</v>
      </c>
      <c r="G261" s="530">
        <v>0</v>
      </c>
      <c r="H261" s="530">
        <v>0</v>
      </c>
      <c r="I261" s="530">
        <v>0</v>
      </c>
      <c r="J261" s="530">
        <v>0</v>
      </c>
      <c r="K261" s="530">
        <v>0</v>
      </c>
      <c r="L261" s="530">
        <v>0</v>
      </c>
      <c r="M261" s="530">
        <v>0</v>
      </c>
      <c r="N261" s="530">
        <v>0</v>
      </c>
      <c r="O261" s="530">
        <v>0</v>
      </c>
      <c r="P261" s="530">
        <v>0</v>
      </c>
      <c r="Q261" s="530">
        <v>0</v>
      </c>
      <c r="R261" s="530">
        <v>0</v>
      </c>
      <c r="S261" s="530">
        <v>0</v>
      </c>
      <c r="T261" s="530">
        <v>0</v>
      </c>
      <c r="U261" s="530">
        <v>0</v>
      </c>
      <c r="V261" s="530">
        <v>0</v>
      </c>
      <c r="W261" s="530">
        <v>0</v>
      </c>
      <c r="X261" s="530">
        <v>0</v>
      </c>
      <c r="Y261" s="530">
        <v>0</v>
      </c>
      <c r="Z261" s="530">
        <v>5130819.5299999993</v>
      </c>
      <c r="AA261" s="530">
        <v>0</v>
      </c>
      <c r="AB261" s="530">
        <v>0</v>
      </c>
      <c r="AC261" s="530">
        <v>0</v>
      </c>
      <c r="AD261" s="530">
        <v>0</v>
      </c>
      <c r="AE261" s="530">
        <v>0</v>
      </c>
      <c r="AF261" s="530">
        <v>0</v>
      </c>
      <c r="AG261" s="530">
        <v>0</v>
      </c>
      <c r="AH261" s="530">
        <f t="shared" si="42"/>
        <v>5130819.5299999993</v>
      </c>
    </row>
    <row r="262" spans="1:35" s="428" customFormat="1" ht="12.75" x14ac:dyDescent="0.2">
      <c r="A262" s="513">
        <v>85950</v>
      </c>
      <c r="B262" s="536" t="s">
        <v>775</v>
      </c>
      <c r="C262" s="537">
        <f t="shared" ref="C262:AH262" si="43">SUM(C251:C261)</f>
        <v>0</v>
      </c>
      <c r="D262" s="537">
        <f t="shared" si="43"/>
        <v>0</v>
      </c>
      <c r="E262" s="537">
        <f t="shared" si="43"/>
        <v>0</v>
      </c>
      <c r="F262" s="537">
        <f t="shared" si="43"/>
        <v>0</v>
      </c>
      <c r="G262" s="537">
        <f t="shared" si="43"/>
        <v>1383.73</v>
      </c>
      <c r="H262" s="537">
        <f t="shared" si="43"/>
        <v>0</v>
      </c>
      <c r="I262" s="537">
        <f t="shared" si="43"/>
        <v>0</v>
      </c>
      <c r="J262" s="537">
        <f t="shared" si="43"/>
        <v>0</v>
      </c>
      <c r="K262" s="537">
        <f t="shared" si="43"/>
        <v>0</v>
      </c>
      <c r="L262" s="537">
        <f t="shared" si="43"/>
        <v>0</v>
      </c>
      <c r="M262" s="537">
        <f t="shared" si="43"/>
        <v>0</v>
      </c>
      <c r="N262" s="537">
        <f t="shared" si="43"/>
        <v>0</v>
      </c>
      <c r="O262" s="537">
        <f t="shared" si="43"/>
        <v>0</v>
      </c>
      <c r="P262" s="537">
        <f t="shared" si="43"/>
        <v>0</v>
      </c>
      <c r="Q262" s="537">
        <f t="shared" si="43"/>
        <v>0</v>
      </c>
      <c r="R262" s="537">
        <f t="shared" si="43"/>
        <v>0</v>
      </c>
      <c r="S262" s="537">
        <f t="shared" si="43"/>
        <v>0</v>
      </c>
      <c r="T262" s="537">
        <f t="shared" si="43"/>
        <v>0</v>
      </c>
      <c r="U262" s="537">
        <f t="shared" si="43"/>
        <v>0</v>
      </c>
      <c r="V262" s="537">
        <f t="shared" si="43"/>
        <v>0</v>
      </c>
      <c r="W262" s="537">
        <f t="shared" si="43"/>
        <v>0</v>
      </c>
      <c r="X262" s="537">
        <f t="shared" si="43"/>
        <v>0</v>
      </c>
      <c r="Y262" s="537">
        <f t="shared" si="43"/>
        <v>0</v>
      </c>
      <c r="Z262" s="537">
        <f t="shared" si="43"/>
        <v>5300746.7999999989</v>
      </c>
      <c r="AA262" s="537">
        <f t="shared" si="43"/>
        <v>0</v>
      </c>
      <c r="AB262" s="537">
        <f t="shared" si="43"/>
        <v>0</v>
      </c>
      <c r="AC262" s="537">
        <f t="shared" si="43"/>
        <v>0</v>
      </c>
      <c r="AD262" s="537">
        <f t="shared" si="43"/>
        <v>0</v>
      </c>
      <c r="AE262" s="537">
        <f t="shared" si="43"/>
        <v>0</v>
      </c>
      <c r="AF262" s="537">
        <f t="shared" si="43"/>
        <v>0</v>
      </c>
      <c r="AG262" s="537">
        <f t="shared" si="43"/>
        <v>0</v>
      </c>
      <c r="AH262" s="537">
        <f t="shared" si="43"/>
        <v>5302130.5299999993</v>
      </c>
    </row>
    <row r="263" spans="1:35" s="428" customFormat="1" ht="12.75" x14ac:dyDescent="0.2">
      <c r="A263" s="513"/>
      <c r="B263" s="516"/>
      <c r="C263" s="528"/>
      <c r="D263" s="528"/>
      <c r="E263" s="528"/>
      <c r="F263" s="528"/>
      <c r="G263" s="528"/>
      <c r="H263" s="528"/>
      <c r="I263" s="528"/>
      <c r="J263" s="528"/>
      <c r="K263" s="528"/>
      <c r="L263" s="528"/>
      <c r="M263" s="528"/>
      <c r="N263" s="528"/>
      <c r="O263" s="528"/>
      <c r="P263" s="528"/>
      <c r="Q263" s="528"/>
      <c r="R263" s="528"/>
      <c r="S263" s="528"/>
      <c r="T263" s="528"/>
      <c r="U263" s="528"/>
      <c r="V263" s="528"/>
      <c r="W263" s="528"/>
      <c r="X263" s="528"/>
      <c r="Y263" s="528"/>
      <c r="Z263" s="528"/>
      <c r="AA263" s="528"/>
      <c r="AB263" s="528"/>
      <c r="AC263" s="528"/>
      <c r="AD263" s="528"/>
      <c r="AE263" s="528"/>
      <c r="AF263" s="528"/>
      <c r="AG263" s="528"/>
      <c r="AH263" s="528"/>
    </row>
    <row r="264" spans="1:35" s="428" customFormat="1" ht="12.75" x14ac:dyDescent="0.2">
      <c r="A264" s="513"/>
      <c r="B264" s="516" t="s">
        <v>776</v>
      </c>
      <c r="C264" s="528"/>
      <c r="D264" s="528"/>
      <c r="E264" s="528"/>
      <c r="F264" s="528"/>
      <c r="G264" s="528"/>
      <c r="H264" s="528"/>
      <c r="I264" s="528"/>
      <c r="J264" s="528"/>
      <c r="K264" s="528"/>
      <c r="L264" s="528"/>
      <c r="M264" s="528"/>
      <c r="N264" s="528"/>
      <c r="O264" s="528"/>
      <c r="P264" s="528"/>
      <c r="Q264" s="528"/>
      <c r="R264" s="528"/>
      <c r="S264" s="528"/>
      <c r="T264" s="528"/>
      <c r="U264" s="528"/>
      <c r="V264" s="528"/>
      <c r="W264" s="528"/>
      <c r="X264" s="528"/>
      <c r="Y264" s="528"/>
      <c r="Z264" s="528"/>
      <c r="AA264" s="528"/>
      <c r="AB264" s="528"/>
      <c r="AC264" s="528"/>
      <c r="AD264" s="528"/>
      <c r="AE264" s="528"/>
      <c r="AF264" s="528"/>
      <c r="AG264" s="528"/>
      <c r="AH264" s="528"/>
    </row>
    <row r="265" spans="1:35" s="428" customFormat="1" ht="12.75" x14ac:dyDescent="0.2">
      <c r="A265" s="513">
        <v>86100</v>
      </c>
      <c r="B265" s="516" t="s">
        <v>777</v>
      </c>
      <c r="C265" s="528"/>
      <c r="D265" s="528"/>
      <c r="E265" s="528"/>
      <c r="F265" s="528"/>
      <c r="G265" s="528"/>
      <c r="H265" s="528"/>
      <c r="I265" s="528"/>
      <c r="J265" s="528"/>
      <c r="K265" s="528"/>
      <c r="L265" s="528"/>
      <c r="M265" s="528"/>
      <c r="N265" s="528"/>
      <c r="O265" s="528"/>
      <c r="P265" s="528"/>
      <c r="Q265" s="528"/>
      <c r="R265" s="528"/>
      <c r="S265" s="528"/>
      <c r="T265" s="528"/>
      <c r="U265" s="528"/>
      <c r="V265" s="528"/>
      <c r="W265" s="528"/>
      <c r="X265" s="528"/>
      <c r="Y265" s="528"/>
      <c r="Z265" s="528"/>
      <c r="AA265" s="528"/>
      <c r="AB265" s="528"/>
      <c r="AC265" s="528"/>
      <c r="AD265" s="528"/>
      <c r="AE265" s="528"/>
      <c r="AF265" s="528"/>
      <c r="AG265" s="528"/>
      <c r="AH265" s="528"/>
    </row>
    <row r="266" spans="1:35" s="545" customFormat="1" ht="12.75" x14ac:dyDescent="0.2">
      <c r="A266" s="513" t="s">
        <v>778</v>
      </c>
      <c r="B266" s="553" t="s">
        <v>779</v>
      </c>
      <c r="C266" s="530">
        <v>0</v>
      </c>
      <c r="D266" s="530">
        <v>0</v>
      </c>
      <c r="E266" s="530">
        <v>0</v>
      </c>
      <c r="F266" s="530">
        <v>0</v>
      </c>
      <c r="G266" s="530">
        <v>0</v>
      </c>
      <c r="H266" s="530">
        <v>0</v>
      </c>
      <c r="I266" s="530">
        <v>0</v>
      </c>
      <c r="J266" s="530">
        <v>0</v>
      </c>
      <c r="K266" s="530">
        <v>0</v>
      </c>
      <c r="L266" s="530">
        <v>0</v>
      </c>
      <c r="M266" s="530">
        <v>0</v>
      </c>
      <c r="N266" s="530">
        <v>0</v>
      </c>
      <c r="O266" s="530">
        <v>0</v>
      </c>
      <c r="P266" s="530">
        <v>0</v>
      </c>
      <c r="Q266" s="530">
        <v>0</v>
      </c>
      <c r="R266" s="530">
        <v>0</v>
      </c>
      <c r="S266" s="530">
        <v>0</v>
      </c>
      <c r="T266" s="530">
        <v>0</v>
      </c>
      <c r="U266" s="530">
        <v>0</v>
      </c>
      <c r="V266" s="530">
        <v>0</v>
      </c>
      <c r="W266" s="530">
        <v>0</v>
      </c>
      <c r="X266" s="530">
        <v>0</v>
      </c>
      <c r="Y266" s="530">
        <v>0</v>
      </c>
      <c r="Z266" s="530">
        <v>0</v>
      </c>
      <c r="AA266" s="530">
        <v>0</v>
      </c>
      <c r="AB266" s="530">
        <v>0</v>
      </c>
      <c r="AC266" s="530">
        <v>0</v>
      </c>
      <c r="AD266" s="530">
        <v>0</v>
      </c>
      <c r="AE266" s="530">
        <v>0</v>
      </c>
      <c r="AF266" s="530">
        <v>0</v>
      </c>
      <c r="AG266" s="530">
        <v>0</v>
      </c>
      <c r="AH266" s="530">
        <f>SUM(C266:AG266)</f>
        <v>0</v>
      </c>
    </row>
    <row r="267" spans="1:35" s="427" customFormat="1" x14ac:dyDescent="0.25">
      <c r="A267" s="513">
        <v>86300</v>
      </c>
      <c r="B267" s="537" t="s">
        <v>780</v>
      </c>
      <c r="C267" s="537">
        <f t="shared" ref="C267:AH267" si="44">SUM(C266)</f>
        <v>0</v>
      </c>
      <c r="D267" s="537">
        <f t="shared" si="44"/>
        <v>0</v>
      </c>
      <c r="E267" s="537">
        <f t="shared" si="44"/>
        <v>0</v>
      </c>
      <c r="F267" s="537">
        <f t="shared" si="44"/>
        <v>0</v>
      </c>
      <c r="G267" s="537">
        <f t="shared" si="44"/>
        <v>0</v>
      </c>
      <c r="H267" s="537">
        <f t="shared" si="44"/>
        <v>0</v>
      </c>
      <c r="I267" s="537">
        <f t="shared" si="44"/>
        <v>0</v>
      </c>
      <c r="J267" s="537">
        <f t="shared" si="44"/>
        <v>0</v>
      </c>
      <c r="K267" s="537">
        <f t="shared" si="44"/>
        <v>0</v>
      </c>
      <c r="L267" s="537">
        <f t="shared" si="44"/>
        <v>0</v>
      </c>
      <c r="M267" s="537">
        <f t="shared" si="44"/>
        <v>0</v>
      </c>
      <c r="N267" s="537">
        <f t="shared" si="44"/>
        <v>0</v>
      </c>
      <c r="O267" s="537">
        <f t="shared" si="44"/>
        <v>0</v>
      </c>
      <c r="P267" s="537">
        <f t="shared" si="44"/>
        <v>0</v>
      </c>
      <c r="Q267" s="537">
        <f t="shared" si="44"/>
        <v>0</v>
      </c>
      <c r="R267" s="537">
        <f t="shared" si="44"/>
        <v>0</v>
      </c>
      <c r="S267" s="537">
        <f t="shared" si="44"/>
        <v>0</v>
      </c>
      <c r="T267" s="537">
        <f t="shared" si="44"/>
        <v>0</v>
      </c>
      <c r="U267" s="537">
        <f t="shared" si="44"/>
        <v>0</v>
      </c>
      <c r="V267" s="537">
        <f t="shared" si="44"/>
        <v>0</v>
      </c>
      <c r="W267" s="537">
        <f t="shared" si="44"/>
        <v>0</v>
      </c>
      <c r="X267" s="537">
        <f t="shared" si="44"/>
        <v>0</v>
      </c>
      <c r="Y267" s="537">
        <f t="shared" si="44"/>
        <v>0</v>
      </c>
      <c r="Z267" s="537">
        <f t="shared" si="44"/>
        <v>0</v>
      </c>
      <c r="AA267" s="537">
        <f t="shared" si="44"/>
        <v>0</v>
      </c>
      <c r="AB267" s="537">
        <f t="shared" si="44"/>
        <v>0</v>
      </c>
      <c r="AC267" s="537">
        <f t="shared" si="44"/>
        <v>0</v>
      </c>
      <c r="AD267" s="537">
        <f t="shared" si="44"/>
        <v>0</v>
      </c>
      <c r="AE267" s="537">
        <f t="shared" si="44"/>
        <v>0</v>
      </c>
      <c r="AF267" s="537">
        <f t="shared" si="44"/>
        <v>0</v>
      </c>
      <c r="AG267" s="537">
        <f t="shared" si="44"/>
        <v>0</v>
      </c>
      <c r="AH267" s="537">
        <f t="shared" si="44"/>
        <v>0</v>
      </c>
    </row>
    <row r="268" spans="1:35" s="428" customFormat="1" ht="12.75" x14ac:dyDescent="0.2">
      <c r="A268" s="513"/>
      <c r="B268" s="565"/>
      <c r="C268" s="537"/>
      <c r="D268" s="537"/>
      <c r="E268" s="537"/>
      <c r="F268" s="537"/>
      <c r="G268" s="537"/>
      <c r="H268" s="537"/>
      <c r="I268" s="537"/>
      <c r="J268" s="537"/>
      <c r="K268" s="537"/>
      <c r="L268" s="537"/>
      <c r="M268" s="537"/>
      <c r="N268" s="537"/>
      <c r="O268" s="537"/>
      <c r="P268" s="537"/>
      <c r="Q268" s="537"/>
      <c r="R268" s="537"/>
      <c r="S268" s="537"/>
      <c r="T268" s="537"/>
      <c r="U268" s="537"/>
      <c r="V268" s="537"/>
      <c r="W268" s="537"/>
      <c r="X268" s="537"/>
      <c r="Y268" s="537"/>
      <c r="Z268" s="537"/>
      <c r="AA268" s="537"/>
      <c r="AB268" s="537"/>
      <c r="AC268" s="537"/>
      <c r="AD268" s="537"/>
      <c r="AE268" s="537"/>
      <c r="AF268" s="537"/>
      <c r="AG268" s="537"/>
      <c r="AH268" s="537"/>
    </row>
    <row r="269" spans="1:35" s="428" customFormat="1" ht="12.75" x14ac:dyDescent="0.2">
      <c r="A269" s="513">
        <v>99999</v>
      </c>
      <c r="B269" s="565" t="s">
        <v>781</v>
      </c>
      <c r="C269" s="537">
        <f t="shared" ref="C269:AH269" si="45">-C262+C247-C267</f>
        <v>-260823.67999999996</v>
      </c>
      <c r="D269" s="537">
        <f t="shared" si="45"/>
        <v>0</v>
      </c>
      <c r="E269" s="537">
        <f t="shared" si="45"/>
        <v>-49509.279999999999</v>
      </c>
      <c r="F269" s="537">
        <f t="shared" si="45"/>
        <v>0</v>
      </c>
      <c r="G269" s="537">
        <f t="shared" si="45"/>
        <v>3478971.7600000002</v>
      </c>
      <c r="H269" s="537">
        <f t="shared" si="45"/>
        <v>0</v>
      </c>
      <c r="I269" s="537">
        <f t="shared" si="45"/>
        <v>-770922.90000000014</v>
      </c>
      <c r="J269" s="537">
        <f t="shared" si="45"/>
        <v>-41896.689999999995</v>
      </c>
      <c r="K269" s="537">
        <f t="shared" si="45"/>
        <v>-81185.87999999999</v>
      </c>
      <c r="L269" s="537">
        <f t="shared" si="45"/>
        <v>-126947.07</v>
      </c>
      <c r="M269" s="537">
        <f t="shared" si="45"/>
        <v>-660080.99000000011</v>
      </c>
      <c r="N269" s="537">
        <f t="shared" si="45"/>
        <v>0</v>
      </c>
      <c r="O269" s="537">
        <f t="shared" si="45"/>
        <v>0</v>
      </c>
      <c r="P269" s="537">
        <f t="shared" si="45"/>
        <v>-1096902.96</v>
      </c>
      <c r="Q269" s="537">
        <f t="shared" si="45"/>
        <v>0</v>
      </c>
      <c r="R269" s="537">
        <f t="shared" si="45"/>
        <v>-34143.909999999996</v>
      </c>
      <c r="S269" s="537">
        <f t="shared" si="45"/>
        <v>-173.78000000000202</v>
      </c>
      <c r="T269" s="537">
        <f t="shared" si="45"/>
        <v>-101156.97000000002</v>
      </c>
      <c r="U269" s="537">
        <f t="shared" si="45"/>
        <v>-72788.210000000006</v>
      </c>
      <c r="V269" s="537">
        <f t="shared" si="45"/>
        <v>-33387.519999999997</v>
      </c>
      <c r="W269" s="537">
        <f t="shared" si="45"/>
        <v>-69758.759999999995</v>
      </c>
      <c r="X269" s="537">
        <f t="shared" si="45"/>
        <v>-52772.510000000017</v>
      </c>
      <c r="Y269" s="537">
        <f t="shared" si="45"/>
        <v>-125887.90000000002</v>
      </c>
      <c r="Z269" s="537">
        <f t="shared" si="45"/>
        <v>-3922026.0499999989</v>
      </c>
      <c r="AA269" s="537">
        <f t="shared" si="45"/>
        <v>-48990.96</v>
      </c>
      <c r="AB269" s="537">
        <f t="shared" si="45"/>
        <v>-73306.98000000001</v>
      </c>
      <c r="AC269" s="537">
        <f t="shared" si="45"/>
        <v>-205774.72999999998</v>
      </c>
      <c r="AD269" s="537">
        <f t="shared" si="45"/>
        <v>0</v>
      </c>
      <c r="AE269" s="537">
        <f t="shared" si="45"/>
        <v>-0.01</v>
      </c>
      <c r="AF269" s="537">
        <f t="shared" si="45"/>
        <v>-121559.90999999999</v>
      </c>
      <c r="AG269" s="537">
        <f t="shared" si="45"/>
        <v>0</v>
      </c>
      <c r="AH269" s="537">
        <f t="shared" si="45"/>
        <v>-4471025.8899999997</v>
      </c>
      <c r="AI269" s="1161"/>
    </row>
    <row r="270" spans="1:35" s="428" customFormat="1" ht="12.75" x14ac:dyDescent="0.2">
      <c r="A270" s="513"/>
      <c r="B270" s="566" t="s">
        <v>128</v>
      </c>
      <c r="C270" s="544" t="str">
        <f t="shared" ref="C270:AH270" si="46">IF(ISERROR(C269/C24),"",(C269/C24))</f>
        <v/>
      </c>
      <c r="D270" s="544" t="str">
        <f t="shared" si="46"/>
        <v/>
      </c>
      <c r="E270" s="544" t="str">
        <f t="shared" si="46"/>
        <v/>
      </c>
      <c r="F270" s="544" t="str">
        <f t="shared" si="46"/>
        <v/>
      </c>
      <c r="G270" s="544" t="str">
        <f t="shared" si="46"/>
        <v/>
      </c>
      <c r="H270" s="544" t="str">
        <f t="shared" si="46"/>
        <v/>
      </c>
      <c r="I270" s="544">
        <f t="shared" si="46"/>
        <v>-197.84197235581243</v>
      </c>
      <c r="J270" s="544" t="str">
        <f t="shared" si="46"/>
        <v/>
      </c>
      <c r="K270" s="544" t="str">
        <f t="shared" si="46"/>
        <v/>
      </c>
      <c r="L270" s="544" t="str">
        <f t="shared" si="46"/>
        <v/>
      </c>
      <c r="M270" s="544" t="str">
        <f t="shared" si="46"/>
        <v/>
      </c>
      <c r="N270" s="544" t="str">
        <f t="shared" si="46"/>
        <v/>
      </c>
      <c r="O270" s="544" t="str">
        <f t="shared" si="46"/>
        <v/>
      </c>
      <c r="P270" s="544" t="str">
        <f t="shared" si="46"/>
        <v/>
      </c>
      <c r="Q270" s="544" t="str">
        <f t="shared" si="46"/>
        <v/>
      </c>
      <c r="R270" s="544" t="str">
        <f t="shared" si="46"/>
        <v/>
      </c>
      <c r="S270" s="544" t="str">
        <f t="shared" si="46"/>
        <v/>
      </c>
      <c r="T270" s="544" t="str">
        <f t="shared" si="46"/>
        <v/>
      </c>
      <c r="U270" s="544" t="str">
        <f t="shared" si="46"/>
        <v/>
      </c>
      <c r="V270" s="544" t="str">
        <f t="shared" si="46"/>
        <v/>
      </c>
      <c r="W270" s="544" t="str">
        <f t="shared" si="46"/>
        <v/>
      </c>
      <c r="X270" s="544" t="str">
        <f t="shared" si="46"/>
        <v/>
      </c>
      <c r="Y270" s="544" t="str">
        <f t="shared" si="46"/>
        <v/>
      </c>
      <c r="Z270" s="544">
        <f t="shared" si="46"/>
        <v>-1115.2448148000701</v>
      </c>
      <c r="AA270" s="544" t="str">
        <f t="shared" si="46"/>
        <v/>
      </c>
      <c r="AB270" s="544" t="str">
        <f t="shared" si="46"/>
        <v/>
      </c>
      <c r="AC270" s="544" t="str">
        <f t="shared" si="46"/>
        <v/>
      </c>
      <c r="AD270" s="544" t="str">
        <f t="shared" si="46"/>
        <v/>
      </c>
      <c r="AE270" s="544" t="str">
        <f t="shared" si="46"/>
        <v/>
      </c>
      <c r="AF270" s="544" t="str">
        <f t="shared" si="46"/>
        <v/>
      </c>
      <c r="AG270" s="544" t="str">
        <f t="shared" si="46"/>
        <v/>
      </c>
      <c r="AH270" s="544">
        <f t="shared" si="46"/>
        <v>-603.10058677529867</v>
      </c>
    </row>
    <row r="271" spans="1:35" s="428" customFormat="1" ht="12.75" x14ac:dyDescent="0.2">
      <c r="A271" s="513">
        <v>99999</v>
      </c>
      <c r="B271" s="567" t="s">
        <v>96</v>
      </c>
      <c r="C271" s="568">
        <v>0</v>
      </c>
      <c r="D271" s="568">
        <v>0</v>
      </c>
      <c r="E271" s="568">
        <v>0</v>
      </c>
      <c r="F271" s="568">
        <v>0</v>
      </c>
      <c r="G271" s="568">
        <v>0</v>
      </c>
      <c r="H271" s="568">
        <v>0</v>
      </c>
      <c r="I271" s="568">
        <v>0</v>
      </c>
      <c r="J271" s="568">
        <v>0</v>
      </c>
      <c r="K271" s="568">
        <v>0</v>
      </c>
      <c r="L271" s="568">
        <v>0</v>
      </c>
      <c r="M271" s="568">
        <v>0</v>
      </c>
      <c r="N271" s="568">
        <v>0</v>
      </c>
      <c r="O271" s="568">
        <v>0</v>
      </c>
      <c r="P271" s="568">
        <v>0</v>
      </c>
      <c r="Q271" s="568">
        <v>0</v>
      </c>
      <c r="R271" s="568">
        <v>0</v>
      </c>
      <c r="S271" s="568">
        <v>2.0179413695586845E-12</v>
      </c>
      <c r="T271" s="568">
        <v>0</v>
      </c>
      <c r="U271" s="568">
        <v>0</v>
      </c>
      <c r="V271" s="568">
        <v>0</v>
      </c>
      <c r="W271" s="568">
        <v>0</v>
      </c>
      <c r="X271" s="568">
        <v>0</v>
      </c>
      <c r="Y271" s="568">
        <v>0</v>
      </c>
      <c r="Z271" s="568">
        <v>0</v>
      </c>
      <c r="AA271" s="568">
        <v>0</v>
      </c>
      <c r="AB271" s="568">
        <v>0</v>
      </c>
      <c r="AC271" s="568">
        <v>0</v>
      </c>
      <c r="AD271" s="568">
        <v>0</v>
      </c>
      <c r="AE271" s="568">
        <v>0</v>
      </c>
      <c r="AF271" s="568">
        <v>0</v>
      </c>
      <c r="AG271" s="568">
        <v>0</v>
      </c>
      <c r="AH271" s="568">
        <v>0</v>
      </c>
    </row>
    <row r="272" spans="1:35" s="428" customFormat="1" x14ac:dyDescent="0.25">
      <c r="A272" s="513"/>
      <c r="B272" s="569"/>
      <c r="C272" s="563"/>
      <c r="D272" s="563"/>
      <c r="E272" s="563"/>
      <c r="F272" s="563"/>
      <c r="G272" s="563"/>
      <c r="H272" s="563"/>
      <c r="I272" s="563"/>
      <c r="J272" s="563"/>
      <c r="K272" s="563"/>
      <c r="L272" s="563"/>
      <c r="M272" s="563"/>
      <c r="N272" s="563"/>
      <c r="O272" s="563"/>
      <c r="P272" s="563"/>
      <c r="Q272" s="563"/>
      <c r="R272" s="563"/>
      <c r="S272" s="563"/>
      <c r="T272" s="563"/>
      <c r="U272" s="563"/>
      <c r="V272" s="563"/>
      <c r="W272" s="563"/>
      <c r="X272" s="563"/>
      <c r="Y272" s="563"/>
      <c r="Z272" s="563"/>
      <c r="AA272" s="563"/>
      <c r="AB272" s="563"/>
      <c r="AC272" s="563"/>
      <c r="AD272" s="563"/>
      <c r="AE272" s="563"/>
      <c r="AF272" s="563"/>
      <c r="AG272" s="563"/>
      <c r="AH272" s="563"/>
    </row>
    <row r="273" spans="1:35" s="428" customFormat="1" x14ac:dyDescent="0.25">
      <c r="A273" s="513"/>
      <c r="B273" s="413"/>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c r="Z273" s="427"/>
      <c r="AA273" s="427"/>
      <c r="AB273" s="427"/>
      <c r="AC273" s="427"/>
      <c r="AD273" s="427"/>
      <c r="AE273" s="427"/>
      <c r="AF273" s="427"/>
      <c r="AG273" s="427"/>
      <c r="AH273" s="427"/>
    </row>
    <row r="274" spans="1:35" s="428" customFormat="1" ht="15.75" thickBot="1" x14ac:dyDescent="0.3">
      <c r="A274" s="513"/>
      <c r="B274" s="413"/>
      <c r="C274" s="427"/>
      <c r="D274" s="427"/>
      <c r="E274" s="427"/>
      <c r="F274" s="427"/>
      <c r="G274" s="427"/>
      <c r="H274" s="427"/>
      <c r="I274" s="427"/>
      <c r="J274" s="427"/>
      <c r="K274" s="427"/>
      <c r="L274" s="427"/>
      <c r="M274" s="427"/>
      <c r="N274" s="427"/>
      <c r="O274" s="427"/>
      <c r="P274" s="427"/>
      <c r="Q274" s="427"/>
      <c r="R274" s="427"/>
      <c r="S274" s="427"/>
      <c r="T274" s="427"/>
      <c r="U274" s="427"/>
      <c r="V274" s="427"/>
      <c r="W274" s="427"/>
      <c r="X274" s="427"/>
      <c r="Y274" s="427"/>
      <c r="Z274" s="427"/>
      <c r="AA274" s="427"/>
      <c r="AB274" s="427"/>
      <c r="AC274" s="427"/>
      <c r="AD274" s="427"/>
      <c r="AE274" s="427"/>
      <c r="AF274" s="427"/>
      <c r="AG274" s="427"/>
      <c r="AH274" s="427"/>
    </row>
    <row r="275" spans="1:35" s="428" customFormat="1" ht="15.75" thickBot="1" x14ac:dyDescent="0.3">
      <c r="A275" s="513"/>
      <c r="B275" s="570" t="s">
        <v>782</v>
      </c>
      <c r="C275" s="571">
        <f t="shared" ref="C275:V275" si="47">C247+C211+C196</f>
        <v>-260823.67999999996</v>
      </c>
      <c r="D275" s="571">
        <f t="shared" si="47"/>
        <v>0</v>
      </c>
      <c r="E275" s="571">
        <f t="shared" si="47"/>
        <v>-49509.279999999999</v>
      </c>
      <c r="F275" s="571">
        <f t="shared" si="47"/>
        <v>0</v>
      </c>
      <c r="G275" s="571">
        <f t="shared" si="47"/>
        <v>-897187.70000000019</v>
      </c>
      <c r="H275" s="571">
        <f t="shared" si="47"/>
        <v>0</v>
      </c>
      <c r="I275" s="571">
        <f t="shared" si="47"/>
        <v>-770922.90000000014</v>
      </c>
      <c r="J275" s="571">
        <f t="shared" si="47"/>
        <v>-41896.689999999995</v>
      </c>
      <c r="K275" s="571">
        <f t="shared" si="47"/>
        <v>-81185.87999999999</v>
      </c>
      <c r="L275" s="571">
        <f t="shared" si="47"/>
        <v>-126947.07</v>
      </c>
      <c r="M275" s="571">
        <f t="shared" si="47"/>
        <v>-660080.99000000011</v>
      </c>
      <c r="N275" s="571">
        <f t="shared" si="47"/>
        <v>0</v>
      </c>
      <c r="O275" s="571">
        <f t="shared" si="47"/>
        <v>0</v>
      </c>
      <c r="P275" s="571">
        <f t="shared" si="47"/>
        <v>-1096902.96</v>
      </c>
      <c r="Q275" s="571">
        <f t="shared" si="47"/>
        <v>0</v>
      </c>
      <c r="R275" s="571">
        <f t="shared" si="47"/>
        <v>-34143.909999999996</v>
      </c>
      <c r="S275" s="571">
        <f t="shared" si="47"/>
        <v>-173.78000000000202</v>
      </c>
      <c r="T275" s="571">
        <f t="shared" si="47"/>
        <v>-101156.97000000002</v>
      </c>
      <c r="U275" s="571">
        <f t="shared" si="47"/>
        <v>-72788.210000000006</v>
      </c>
      <c r="V275" s="571">
        <f t="shared" si="47"/>
        <v>-33387.519999999997</v>
      </c>
      <c r="W275" s="571" t="s">
        <v>1080</v>
      </c>
      <c r="X275" s="571">
        <f t="shared" ref="X275:AC275" si="48">X247+X211+X196</f>
        <v>-52772.510000000017</v>
      </c>
      <c r="Y275" s="571">
        <f t="shared" si="48"/>
        <v>-125887.90000000002</v>
      </c>
      <c r="Z275" s="571">
        <f t="shared" si="48"/>
        <v>-87180.100000000093</v>
      </c>
      <c r="AA275" s="571">
        <f t="shared" si="48"/>
        <v>-48990.96</v>
      </c>
      <c r="AB275" s="571">
        <f t="shared" si="48"/>
        <v>-73306.98000000001</v>
      </c>
      <c r="AC275" s="571">
        <f t="shared" si="48"/>
        <v>-205774.72999999998</v>
      </c>
      <c r="AD275" s="1162" t="s">
        <v>1080</v>
      </c>
      <c r="AE275" s="571">
        <f>AE247+AE211+AE196</f>
        <v>-0.01</v>
      </c>
      <c r="AF275" s="571">
        <f>AF247+AF211+AF196</f>
        <v>-121559.90999999999</v>
      </c>
      <c r="AG275" s="571">
        <f>AG247+AG211+AG196</f>
        <v>0</v>
      </c>
      <c r="AH275" s="572">
        <f>SUM(C275:AG275)</f>
        <v>-4942580.6400000006</v>
      </c>
    </row>
    <row r="276" spans="1:35" s="428" customFormat="1" x14ac:dyDescent="0.25">
      <c r="A276" s="513"/>
      <c r="B276" s="413"/>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c r="AA276" s="427"/>
      <c r="AB276" s="427"/>
      <c r="AC276" s="427"/>
      <c r="AD276" s="427"/>
      <c r="AE276" s="427"/>
      <c r="AF276" s="427"/>
      <c r="AG276" s="427"/>
      <c r="AH276" s="427"/>
      <c r="AI276" s="427"/>
    </row>
    <row r="277" spans="1:35" s="428" customFormat="1" x14ac:dyDescent="0.25">
      <c r="A277" s="513"/>
      <c r="B277" s="413"/>
      <c r="C277" s="1163"/>
      <c r="D277" s="1163"/>
      <c r="E277" s="1163"/>
      <c r="F277" s="1163"/>
      <c r="G277" s="1163"/>
      <c r="H277" s="1163"/>
      <c r="I277" s="1163"/>
      <c r="J277" s="1163"/>
      <c r="K277" s="1163"/>
      <c r="L277" s="1163"/>
      <c r="M277" s="1163"/>
      <c r="N277" s="1163"/>
      <c r="O277" s="1163"/>
      <c r="P277" s="1163"/>
      <c r="Q277" s="1163"/>
      <c r="R277" s="1163"/>
      <c r="S277" s="1163"/>
      <c r="T277" s="1163"/>
      <c r="U277" s="1163"/>
      <c r="V277" s="1163"/>
      <c r="W277" s="1163"/>
      <c r="X277" s="1163"/>
      <c r="Y277" s="1163"/>
      <c r="Z277" s="1163"/>
      <c r="AA277" s="1163"/>
      <c r="AB277" s="1163"/>
      <c r="AC277" s="1163"/>
      <c r="AD277" s="1163"/>
      <c r="AE277" s="1163"/>
      <c r="AF277" s="1163"/>
      <c r="AG277" s="427"/>
      <c r="AH277" s="1164"/>
      <c r="AI277" s="427"/>
    </row>
    <row r="278" spans="1:35" s="428" customFormat="1" x14ac:dyDescent="0.25">
      <c r="A278" s="513"/>
      <c r="B278" s="413"/>
      <c r="C278" s="427"/>
      <c r="D278" s="427"/>
      <c r="E278" s="427"/>
      <c r="F278" s="427"/>
      <c r="G278" s="427"/>
      <c r="H278" s="427"/>
      <c r="I278" s="427"/>
      <c r="J278" s="427"/>
      <c r="K278" s="427"/>
      <c r="L278" s="427"/>
      <c r="M278" s="427"/>
      <c r="N278" s="427"/>
      <c r="O278" s="427"/>
      <c r="P278" s="427"/>
      <c r="Q278" s="427"/>
      <c r="R278" s="427"/>
      <c r="S278" s="427"/>
      <c r="T278" s="427"/>
      <c r="U278" s="427"/>
      <c r="V278" s="427"/>
      <c r="W278" s="427"/>
      <c r="X278" s="427"/>
      <c r="Y278" s="427"/>
      <c r="Z278" s="427"/>
      <c r="AA278" s="427"/>
      <c r="AB278" s="427"/>
      <c r="AC278" s="427"/>
      <c r="AD278" s="427"/>
      <c r="AE278" s="427"/>
      <c r="AF278" s="427"/>
      <c r="AG278" s="427"/>
      <c r="AH278" s="563"/>
      <c r="AI278" s="427"/>
    </row>
    <row r="279" spans="1:35" s="428" customFormat="1" x14ac:dyDescent="0.25">
      <c r="A279" s="513"/>
      <c r="I279" s="560"/>
      <c r="AG279" s="427"/>
      <c r="AH279" s="427"/>
      <c r="AI279" s="427"/>
    </row>
    <row r="280" spans="1:35" s="428" customFormat="1" x14ac:dyDescent="0.25">
      <c r="A280" s="513"/>
      <c r="B280" s="413"/>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c r="AA280" s="427"/>
      <c r="AB280" s="427"/>
      <c r="AC280" s="427"/>
      <c r="AD280" s="427"/>
      <c r="AE280" s="427"/>
      <c r="AF280" s="427"/>
      <c r="AG280" s="427"/>
      <c r="AH280" s="1164"/>
      <c r="AI280" s="1165"/>
    </row>
    <row r="281" spans="1:35" s="428" customFormat="1" x14ac:dyDescent="0.25">
      <c r="A281" s="513"/>
      <c r="B281" s="413"/>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c r="AA281" s="427"/>
      <c r="AB281" s="427"/>
      <c r="AC281" s="427"/>
      <c r="AD281" s="427"/>
      <c r="AE281" s="427"/>
      <c r="AF281" s="427"/>
      <c r="AG281" s="427"/>
      <c r="AH281" s="1163"/>
      <c r="AI281" s="530"/>
    </row>
    <row r="282" spans="1:35" s="428" customFormat="1" x14ac:dyDescent="0.25">
      <c r="A282" s="513"/>
      <c r="B282" s="534"/>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c r="AA282" s="427"/>
      <c r="AB282" s="427"/>
      <c r="AC282" s="427"/>
      <c r="AD282" s="427"/>
      <c r="AE282" s="427"/>
      <c r="AF282" s="427"/>
      <c r="AG282" s="427"/>
      <c r="AH282" s="427"/>
      <c r="AI282" s="427"/>
    </row>
    <row r="283" spans="1:35" s="428" customFormat="1" x14ac:dyDescent="0.25">
      <c r="A283" s="513"/>
      <c r="B283" s="413"/>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c r="AA283" s="427"/>
      <c r="AB283" s="427"/>
      <c r="AC283" s="427"/>
      <c r="AD283" s="427"/>
      <c r="AE283" s="427"/>
      <c r="AF283" s="427"/>
      <c r="AG283" s="427"/>
      <c r="AH283" s="427"/>
      <c r="AI283" s="1163"/>
    </row>
    <row r="284" spans="1:35" s="428" customFormat="1" x14ac:dyDescent="0.25">
      <c r="A284" s="513"/>
      <c r="B284" s="1166" t="s">
        <v>1081</v>
      </c>
      <c r="C284" s="427"/>
      <c r="D284" s="427"/>
      <c r="E284" s="427"/>
      <c r="F284" s="427"/>
      <c r="G284" s="427"/>
      <c r="H284" s="427"/>
      <c r="I284" s="427"/>
      <c r="J284" s="427"/>
      <c r="K284" s="427"/>
      <c r="L284" s="427"/>
      <c r="M284" s="427"/>
      <c r="N284" s="427"/>
      <c r="O284" s="427"/>
      <c r="P284" s="427"/>
      <c r="Q284" s="427"/>
      <c r="R284" s="427"/>
      <c r="S284" s="427"/>
      <c r="T284" s="427"/>
      <c r="U284" s="427"/>
      <c r="V284" s="427"/>
      <c r="W284" s="427"/>
      <c r="X284" s="427"/>
      <c r="Y284" s="427"/>
      <c r="Z284" s="427"/>
      <c r="AA284" s="427"/>
      <c r="AB284" s="427"/>
      <c r="AC284" s="427"/>
      <c r="AD284" s="427"/>
      <c r="AE284" s="427"/>
      <c r="AF284" s="427"/>
      <c r="AG284" s="427"/>
      <c r="AH284" s="1167"/>
      <c r="AI284" s="427"/>
    </row>
    <row r="285" spans="1:35" s="428" customFormat="1" x14ac:dyDescent="0.25">
      <c r="A285" s="513"/>
      <c r="B285" s="583" t="s">
        <v>1082</v>
      </c>
      <c r="C285" s="427">
        <f t="shared" ref="C285:AF285" si="49">C220</f>
        <v>-259813.48999999996</v>
      </c>
      <c r="D285" s="427">
        <f t="shared" si="49"/>
        <v>0</v>
      </c>
      <c r="E285" s="427">
        <f t="shared" si="49"/>
        <v>-48506.38</v>
      </c>
      <c r="F285" s="427">
        <f t="shared" si="49"/>
        <v>0</v>
      </c>
      <c r="G285" s="427">
        <f t="shared" si="49"/>
        <v>3484659.83</v>
      </c>
      <c r="H285" s="427">
        <f t="shared" si="49"/>
        <v>0</v>
      </c>
      <c r="I285" s="427">
        <f t="shared" si="49"/>
        <v>-765522.74000000011</v>
      </c>
      <c r="J285" s="427">
        <f t="shared" si="49"/>
        <v>-41896.689999999995</v>
      </c>
      <c r="K285" s="427">
        <f t="shared" si="49"/>
        <v>-80310.719999999987</v>
      </c>
      <c r="L285" s="427">
        <f t="shared" si="49"/>
        <v>-126652.5</v>
      </c>
      <c r="M285" s="427">
        <f t="shared" si="49"/>
        <v>-622148.72000000009</v>
      </c>
      <c r="N285" s="427">
        <f t="shared" si="49"/>
        <v>0</v>
      </c>
      <c r="O285" s="427">
        <f t="shared" si="49"/>
        <v>0</v>
      </c>
      <c r="P285" s="427">
        <f t="shared" si="49"/>
        <v>-888921.55999999994</v>
      </c>
      <c r="Q285" s="427">
        <f t="shared" si="49"/>
        <v>0</v>
      </c>
      <c r="R285" s="427">
        <f t="shared" si="49"/>
        <v>-34106.879999999997</v>
      </c>
      <c r="S285" s="427">
        <f t="shared" si="49"/>
        <v>-1.0000000002037268E-2</v>
      </c>
      <c r="T285" s="427">
        <f t="shared" si="49"/>
        <v>-100880.67000000001</v>
      </c>
      <c r="U285" s="427">
        <f t="shared" si="49"/>
        <v>-72429.430000000008</v>
      </c>
      <c r="V285" s="427">
        <f t="shared" si="49"/>
        <v>-33387.519999999997</v>
      </c>
      <c r="W285" s="427">
        <f t="shared" si="49"/>
        <v>-69676.08</v>
      </c>
      <c r="X285" s="427">
        <f t="shared" si="49"/>
        <v>-52086.720000000016</v>
      </c>
      <c r="Y285" s="427">
        <f t="shared" si="49"/>
        <v>-125720.02000000002</v>
      </c>
      <c r="Z285" s="427">
        <f t="shared" si="49"/>
        <v>-86799.160000000149</v>
      </c>
      <c r="AA285" s="427">
        <f t="shared" si="49"/>
        <v>-48834.83</v>
      </c>
      <c r="AB285" s="427">
        <f t="shared" si="49"/>
        <v>-73094.670000000013</v>
      </c>
      <c r="AC285" s="427">
        <f t="shared" si="49"/>
        <v>-205593.21</v>
      </c>
      <c r="AD285" s="427">
        <f t="shared" si="49"/>
        <v>0</v>
      </c>
      <c r="AE285" s="427">
        <f t="shared" si="49"/>
        <v>-0.01</v>
      </c>
      <c r="AF285" s="427">
        <f t="shared" si="49"/>
        <v>-121291.41999999998</v>
      </c>
      <c r="AG285" s="427"/>
      <c r="AH285" s="427"/>
      <c r="AI285" s="427"/>
    </row>
    <row r="286" spans="1:35" s="428" customFormat="1" x14ac:dyDescent="0.25">
      <c r="A286" s="513"/>
      <c r="B286" s="413" t="s">
        <v>1083</v>
      </c>
      <c r="C286" s="427"/>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427"/>
      <c r="AA286" s="427"/>
      <c r="AB286" s="427"/>
      <c r="AC286" s="427"/>
      <c r="AD286" s="427"/>
      <c r="AE286" s="427"/>
      <c r="AF286" s="427"/>
      <c r="AG286" s="427"/>
      <c r="AH286" s="427"/>
      <c r="AI286" s="427"/>
    </row>
    <row r="287" spans="1:35" s="428" customFormat="1" x14ac:dyDescent="0.25">
      <c r="A287" s="513">
        <v>48095</v>
      </c>
      <c r="B287" s="541" t="s">
        <v>550</v>
      </c>
      <c r="C287" s="530">
        <v>0</v>
      </c>
      <c r="D287" s="530">
        <v>0</v>
      </c>
      <c r="E287" s="530">
        <v>0</v>
      </c>
      <c r="F287" s="530">
        <v>0</v>
      </c>
      <c r="G287" s="530">
        <v>0</v>
      </c>
      <c r="H287" s="530">
        <v>0</v>
      </c>
      <c r="I287" s="530">
        <v>0</v>
      </c>
      <c r="J287" s="530">
        <v>0</v>
      </c>
      <c r="K287" s="530">
        <v>0</v>
      </c>
      <c r="L287" s="530">
        <v>0</v>
      </c>
      <c r="M287" s="530">
        <v>0</v>
      </c>
      <c r="N287" s="530">
        <v>0</v>
      </c>
      <c r="O287" s="530">
        <v>0</v>
      </c>
      <c r="P287" s="530">
        <v>0</v>
      </c>
      <c r="Q287" s="530">
        <v>0</v>
      </c>
      <c r="R287" s="530">
        <v>0</v>
      </c>
      <c r="S287" s="530">
        <v>0</v>
      </c>
      <c r="T287" s="530">
        <v>0</v>
      </c>
      <c r="U287" s="530">
        <v>0</v>
      </c>
      <c r="V287" s="530">
        <v>0</v>
      </c>
      <c r="W287" s="530">
        <v>0</v>
      </c>
      <c r="X287" s="530">
        <v>0</v>
      </c>
      <c r="Y287" s="530">
        <v>0</v>
      </c>
      <c r="Z287" s="1168">
        <v>-3516.7400000000002</v>
      </c>
      <c r="AA287" s="530">
        <v>0</v>
      </c>
      <c r="AB287" s="530">
        <v>0</v>
      </c>
      <c r="AC287" s="530">
        <v>0</v>
      </c>
      <c r="AD287" s="530">
        <v>0</v>
      </c>
      <c r="AE287" s="530">
        <v>0</v>
      </c>
      <c r="AF287" s="530">
        <v>0</v>
      </c>
      <c r="AG287" s="427" t="s">
        <v>1084</v>
      </c>
      <c r="AH287" s="427"/>
      <c r="AI287" s="427"/>
    </row>
    <row r="288" spans="1:35" s="428" customFormat="1" x14ac:dyDescent="0.25">
      <c r="A288" s="513">
        <v>48100</v>
      </c>
      <c r="B288" s="555" t="s">
        <v>549</v>
      </c>
      <c r="C288" s="530">
        <v>0</v>
      </c>
      <c r="D288" s="530">
        <v>0</v>
      </c>
      <c r="E288" s="530">
        <v>0</v>
      </c>
      <c r="F288" s="530">
        <v>0</v>
      </c>
      <c r="G288" s="530">
        <v>0</v>
      </c>
      <c r="H288" s="530">
        <v>0</v>
      </c>
      <c r="I288" s="1168">
        <v>-3896.6600000000003</v>
      </c>
      <c r="J288" s="530">
        <v>0</v>
      </c>
      <c r="K288" s="530">
        <v>0</v>
      </c>
      <c r="L288" s="530">
        <v>0</v>
      </c>
      <c r="M288" s="530">
        <v>0</v>
      </c>
      <c r="N288" s="530">
        <v>0</v>
      </c>
      <c r="O288" s="530">
        <v>0</v>
      </c>
      <c r="P288" s="530">
        <v>0</v>
      </c>
      <c r="Q288" s="530">
        <v>0</v>
      </c>
      <c r="R288" s="530">
        <v>0</v>
      </c>
      <c r="S288" s="530">
        <v>0</v>
      </c>
      <c r="T288" s="530">
        <v>0</v>
      </c>
      <c r="U288" s="530">
        <v>0</v>
      </c>
      <c r="V288" s="530">
        <v>0</v>
      </c>
      <c r="W288" s="530">
        <v>0</v>
      </c>
      <c r="X288" s="530">
        <v>0</v>
      </c>
      <c r="Y288" s="530">
        <v>0</v>
      </c>
      <c r="Z288" s="530">
        <v>0</v>
      </c>
      <c r="AA288" s="530">
        <v>0</v>
      </c>
      <c r="AB288" s="530">
        <v>0</v>
      </c>
      <c r="AC288" s="530">
        <v>0</v>
      </c>
      <c r="AD288" s="530">
        <v>0</v>
      </c>
      <c r="AE288" s="530">
        <v>0</v>
      </c>
      <c r="AF288" s="530">
        <v>0</v>
      </c>
      <c r="AG288" s="427" t="s">
        <v>1084</v>
      </c>
      <c r="AH288" s="427"/>
      <c r="AI288" s="427"/>
    </row>
    <row r="289" spans="1:35" s="428" customFormat="1" x14ac:dyDescent="0.25">
      <c r="A289" s="513" t="s">
        <v>731</v>
      </c>
      <c r="B289" s="529" t="s">
        <v>732</v>
      </c>
      <c r="C289" s="530">
        <v>0</v>
      </c>
      <c r="D289" s="530">
        <v>0</v>
      </c>
      <c r="E289" s="530">
        <v>0</v>
      </c>
      <c r="F289" s="530">
        <v>0</v>
      </c>
      <c r="G289" s="530">
        <v>-4377543.1900000004</v>
      </c>
      <c r="H289" s="530">
        <v>0</v>
      </c>
      <c r="I289" s="530">
        <v>0</v>
      </c>
      <c r="J289" s="530">
        <v>0</v>
      </c>
      <c r="K289" s="530">
        <v>0</v>
      </c>
      <c r="L289" s="530">
        <v>0</v>
      </c>
      <c r="M289" s="530">
        <v>0</v>
      </c>
      <c r="N289" s="530">
        <v>0</v>
      </c>
      <c r="O289" s="530">
        <v>0</v>
      </c>
      <c r="P289" s="530">
        <v>0</v>
      </c>
      <c r="Q289" s="530">
        <v>0</v>
      </c>
      <c r="R289" s="530">
        <v>0</v>
      </c>
      <c r="S289" s="530">
        <v>0</v>
      </c>
      <c r="T289" s="530">
        <v>0</v>
      </c>
      <c r="U289" s="530">
        <v>0</v>
      </c>
      <c r="V289" s="530">
        <v>0</v>
      </c>
      <c r="W289" s="530">
        <v>0</v>
      </c>
      <c r="X289" s="530">
        <v>0</v>
      </c>
      <c r="Y289" s="530">
        <v>0</v>
      </c>
      <c r="Z289" s="530">
        <v>0</v>
      </c>
      <c r="AA289" s="530">
        <v>0</v>
      </c>
      <c r="AB289" s="530">
        <v>0</v>
      </c>
      <c r="AC289" s="530">
        <v>0</v>
      </c>
      <c r="AD289" s="530">
        <v>0</v>
      </c>
      <c r="AE289" s="530">
        <v>0</v>
      </c>
      <c r="AF289" s="530">
        <v>0</v>
      </c>
      <c r="AG289" s="427"/>
      <c r="AH289" s="427"/>
      <c r="AI289" s="427"/>
    </row>
    <row r="290" spans="1:35" s="428" customFormat="1" x14ac:dyDescent="0.25">
      <c r="A290" s="513">
        <v>66580</v>
      </c>
      <c r="B290" s="529" t="s">
        <v>723</v>
      </c>
      <c r="C290" s="530">
        <v>0</v>
      </c>
      <c r="D290" s="530">
        <v>0</v>
      </c>
      <c r="E290" s="530">
        <v>0</v>
      </c>
      <c r="F290" s="530">
        <v>0</v>
      </c>
      <c r="G290" s="530">
        <v>0</v>
      </c>
      <c r="H290" s="530">
        <v>0</v>
      </c>
      <c r="I290" s="530">
        <v>0</v>
      </c>
      <c r="J290" s="530">
        <v>0</v>
      </c>
      <c r="K290" s="530">
        <v>0</v>
      </c>
      <c r="L290" s="530">
        <v>0</v>
      </c>
      <c r="M290" s="530">
        <v>0</v>
      </c>
      <c r="N290" s="530">
        <v>0</v>
      </c>
      <c r="O290" s="530">
        <v>0</v>
      </c>
      <c r="P290" s="530">
        <v>0</v>
      </c>
      <c r="Q290" s="530">
        <v>0</v>
      </c>
      <c r="R290" s="530">
        <v>0</v>
      </c>
      <c r="S290" s="530">
        <v>0</v>
      </c>
      <c r="T290" s="530">
        <v>0</v>
      </c>
      <c r="U290" s="530">
        <v>0</v>
      </c>
      <c r="V290" s="530">
        <v>0</v>
      </c>
      <c r="W290" s="530">
        <v>0</v>
      </c>
      <c r="X290" s="530">
        <v>0</v>
      </c>
      <c r="Y290" s="530">
        <v>0</v>
      </c>
      <c r="Z290" s="530">
        <v>0</v>
      </c>
      <c r="AA290" s="530">
        <v>0</v>
      </c>
      <c r="AB290" s="530">
        <v>0</v>
      </c>
      <c r="AC290" s="530">
        <v>0</v>
      </c>
      <c r="AD290" s="530">
        <v>0</v>
      </c>
      <c r="AE290" s="530">
        <v>0</v>
      </c>
      <c r="AF290" s="530">
        <v>0</v>
      </c>
      <c r="AG290" s="427"/>
      <c r="AH290" s="427"/>
      <c r="AI290" s="427"/>
    </row>
    <row r="291" spans="1:35" s="428" customFormat="1" ht="15.75" thickBot="1" x14ac:dyDescent="0.3">
      <c r="A291" s="513"/>
      <c r="B291" s="413"/>
      <c r="C291" s="427"/>
      <c r="D291" s="427"/>
      <c r="E291" s="427"/>
      <c r="F291" s="427"/>
      <c r="G291" s="427"/>
      <c r="H291" s="427"/>
      <c r="I291" s="427"/>
      <c r="J291" s="427"/>
      <c r="K291" s="427"/>
      <c r="L291" s="427"/>
      <c r="M291" s="427"/>
      <c r="N291" s="427"/>
      <c r="O291" s="427"/>
      <c r="P291" s="427"/>
      <c r="Q291" s="427"/>
      <c r="R291" s="427"/>
      <c r="S291" s="427"/>
      <c r="T291" s="427"/>
      <c r="U291" s="427"/>
      <c r="V291" s="427"/>
      <c r="W291" s="427"/>
      <c r="X291" s="427"/>
      <c r="Y291" s="427"/>
      <c r="Z291" s="427"/>
      <c r="AA291" s="427"/>
      <c r="AB291" s="427"/>
      <c r="AC291" s="427"/>
      <c r="AD291" s="427"/>
      <c r="AE291" s="427"/>
      <c r="AF291" s="427"/>
      <c r="AG291" s="427"/>
      <c r="AH291" s="427"/>
      <c r="AI291" s="427"/>
    </row>
    <row r="292" spans="1:35" s="428" customFormat="1" x14ac:dyDescent="0.25">
      <c r="A292" s="513"/>
      <c r="B292" s="1169" t="s">
        <v>1085</v>
      </c>
      <c r="C292" s="1170">
        <f t="shared" ref="C292:AF292" si="50">SUM(C285:C291)</f>
        <v>-259813.48999999996</v>
      </c>
      <c r="D292" s="1170">
        <f t="shared" si="50"/>
        <v>0</v>
      </c>
      <c r="E292" s="1170">
        <f t="shared" si="50"/>
        <v>-48506.38</v>
      </c>
      <c r="F292" s="1170">
        <f t="shared" si="50"/>
        <v>0</v>
      </c>
      <c r="G292" s="1170">
        <f t="shared" si="50"/>
        <v>-892883.36000000034</v>
      </c>
      <c r="H292" s="1170">
        <f t="shared" si="50"/>
        <v>0</v>
      </c>
      <c r="I292" s="1170">
        <f t="shared" si="50"/>
        <v>-769419.40000000014</v>
      </c>
      <c r="J292" s="1170">
        <f t="shared" si="50"/>
        <v>-41896.689999999995</v>
      </c>
      <c r="K292" s="1170">
        <f t="shared" si="50"/>
        <v>-80310.719999999987</v>
      </c>
      <c r="L292" s="1170">
        <f t="shared" si="50"/>
        <v>-126652.5</v>
      </c>
      <c r="M292" s="1170">
        <f t="shared" si="50"/>
        <v>-622148.72000000009</v>
      </c>
      <c r="N292" s="1170">
        <f t="shared" si="50"/>
        <v>0</v>
      </c>
      <c r="O292" s="1170">
        <f t="shared" si="50"/>
        <v>0</v>
      </c>
      <c r="P292" s="1170">
        <f t="shared" si="50"/>
        <v>-888921.55999999994</v>
      </c>
      <c r="Q292" s="1170">
        <f t="shared" si="50"/>
        <v>0</v>
      </c>
      <c r="R292" s="1170">
        <f t="shared" si="50"/>
        <v>-34106.879999999997</v>
      </c>
      <c r="S292" s="1170">
        <f t="shared" si="50"/>
        <v>-1.0000000002037268E-2</v>
      </c>
      <c r="T292" s="1170">
        <f t="shared" si="50"/>
        <v>-100880.67000000001</v>
      </c>
      <c r="U292" s="1170">
        <f t="shared" si="50"/>
        <v>-72429.430000000008</v>
      </c>
      <c r="V292" s="1170">
        <f t="shared" si="50"/>
        <v>-33387.519999999997</v>
      </c>
      <c r="W292" s="1170">
        <f t="shared" si="50"/>
        <v>-69676.08</v>
      </c>
      <c r="X292" s="1170">
        <f t="shared" si="50"/>
        <v>-52086.720000000016</v>
      </c>
      <c r="Y292" s="1170">
        <f t="shared" si="50"/>
        <v>-125720.02000000002</v>
      </c>
      <c r="Z292" s="1170">
        <f t="shared" si="50"/>
        <v>-90315.900000000154</v>
      </c>
      <c r="AA292" s="1170">
        <f t="shared" si="50"/>
        <v>-48834.83</v>
      </c>
      <c r="AB292" s="1170">
        <f t="shared" si="50"/>
        <v>-73094.670000000013</v>
      </c>
      <c r="AC292" s="1170">
        <f t="shared" si="50"/>
        <v>-205593.21</v>
      </c>
      <c r="AD292" s="1170">
        <f t="shared" si="50"/>
        <v>0</v>
      </c>
      <c r="AE292" s="1170">
        <f t="shared" si="50"/>
        <v>-0.01</v>
      </c>
      <c r="AF292" s="1171">
        <f t="shared" si="50"/>
        <v>-121291.41999999998</v>
      </c>
      <c r="AG292" s="427"/>
      <c r="AH292" s="427"/>
      <c r="AI292" s="427"/>
    </row>
    <row r="293" spans="1:35" s="428" customFormat="1" ht="15.75" thickBot="1" x14ac:dyDescent="0.3">
      <c r="A293" s="513"/>
      <c r="B293" s="1172" t="s">
        <v>344</v>
      </c>
      <c r="C293" s="1173">
        <f t="shared" ref="C293:AF293" si="51">C292/1000</f>
        <v>-259.81348999999994</v>
      </c>
      <c r="D293" s="1173">
        <f t="shared" si="51"/>
        <v>0</v>
      </c>
      <c r="E293" s="1173">
        <f t="shared" si="51"/>
        <v>-48.50638</v>
      </c>
      <c r="F293" s="1173">
        <f t="shared" si="51"/>
        <v>0</v>
      </c>
      <c r="G293" s="1173">
        <f t="shared" si="51"/>
        <v>-892.88336000000038</v>
      </c>
      <c r="H293" s="1173">
        <f t="shared" si="51"/>
        <v>0</v>
      </c>
      <c r="I293" s="1173">
        <f t="shared" si="51"/>
        <v>-769.41940000000011</v>
      </c>
      <c r="J293" s="1173">
        <f t="shared" si="51"/>
        <v>-41.896689999999992</v>
      </c>
      <c r="K293" s="1173">
        <f t="shared" si="51"/>
        <v>-80.310719999999989</v>
      </c>
      <c r="L293" s="1173">
        <f t="shared" si="51"/>
        <v>-126.6525</v>
      </c>
      <c r="M293" s="1173">
        <f t="shared" si="51"/>
        <v>-622.14872000000014</v>
      </c>
      <c r="N293" s="1173">
        <f t="shared" si="51"/>
        <v>0</v>
      </c>
      <c r="O293" s="1173">
        <f t="shared" si="51"/>
        <v>0</v>
      </c>
      <c r="P293" s="1173">
        <f t="shared" si="51"/>
        <v>-888.92155999999989</v>
      </c>
      <c r="Q293" s="1173">
        <f t="shared" si="51"/>
        <v>0</v>
      </c>
      <c r="R293" s="1173">
        <f t="shared" si="51"/>
        <v>-34.106879999999997</v>
      </c>
      <c r="S293" s="1173">
        <f t="shared" si="51"/>
        <v>-1.0000000002037268E-5</v>
      </c>
      <c r="T293" s="1173">
        <f t="shared" si="51"/>
        <v>-100.88067000000001</v>
      </c>
      <c r="U293" s="1173">
        <f t="shared" si="51"/>
        <v>-72.429430000000011</v>
      </c>
      <c r="V293" s="1173">
        <f t="shared" si="51"/>
        <v>-33.387519999999995</v>
      </c>
      <c r="W293" s="1173">
        <f t="shared" si="51"/>
        <v>-69.676079999999999</v>
      </c>
      <c r="X293" s="1173">
        <f t="shared" si="51"/>
        <v>-52.086720000000014</v>
      </c>
      <c r="Y293" s="1173">
        <f t="shared" si="51"/>
        <v>-125.72002000000002</v>
      </c>
      <c r="Z293" s="1173">
        <f t="shared" si="51"/>
        <v>-90.315900000000156</v>
      </c>
      <c r="AA293" s="1173">
        <f t="shared" si="51"/>
        <v>-48.834830000000004</v>
      </c>
      <c r="AB293" s="1173">
        <f t="shared" si="51"/>
        <v>-73.094670000000008</v>
      </c>
      <c r="AC293" s="1173">
        <f t="shared" si="51"/>
        <v>-205.59321</v>
      </c>
      <c r="AD293" s="1173">
        <f t="shared" si="51"/>
        <v>0</v>
      </c>
      <c r="AE293" s="1173">
        <f t="shared" si="51"/>
        <v>-1.0000000000000001E-5</v>
      </c>
      <c r="AF293" s="1174">
        <f t="shared" si="51"/>
        <v>-121.29141999999999</v>
      </c>
      <c r="AG293" s="427"/>
      <c r="AH293" s="427"/>
      <c r="AI293" s="427"/>
    </row>
    <row r="294" spans="1:35" s="428" customFormat="1" x14ac:dyDescent="0.25">
      <c r="A294" s="513"/>
      <c r="B294" s="413"/>
      <c r="C294" s="427"/>
      <c r="D294" s="427"/>
      <c r="E294" s="427"/>
      <c r="F294" s="427"/>
      <c r="G294" s="427"/>
      <c r="H294" s="427"/>
      <c r="I294" s="427"/>
      <c r="J294" s="427"/>
      <c r="K294" s="427"/>
      <c r="L294" s="427"/>
      <c r="M294" s="427"/>
      <c r="N294" s="427"/>
      <c r="O294" s="427"/>
      <c r="P294" s="427"/>
      <c r="Q294" s="427"/>
      <c r="R294" s="427"/>
      <c r="S294" s="427"/>
      <c r="T294" s="427"/>
      <c r="U294" s="427"/>
      <c r="V294" s="427"/>
      <c r="W294" s="427"/>
      <c r="X294" s="427"/>
      <c r="Y294" s="427"/>
      <c r="Z294" s="427"/>
      <c r="AA294" s="427"/>
      <c r="AB294" s="427"/>
      <c r="AC294" s="427"/>
      <c r="AD294" s="427"/>
      <c r="AE294" s="427"/>
      <c r="AF294" s="427"/>
      <c r="AG294" s="427"/>
      <c r="AH294" s="427"/>
      <c r="AI294" s="427"/>
    </row>
    <row r="295" spans="1:35" s="428" customFormat="1" x14ac:dyDescent="0.25">
      <c r="A295" s="513"/>
      <c r="B295" s="413"/>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c r="AA295" s="427"/>
      <c r="AB295" s="427"/>
      <c r="AC295" s="427"/>
      <c r="AD295" s="427"/>
      <c r="AE295" s="427"/>
      <c r="AF295" s="427"/>
      <c r="AG295" s="427"/>
      <c r="AH295" s="427"/>
      <c r="AI295" s="427"/>
    </row>
    <row r="296" spans="1:35" x14ac:dyDescent="0.25">
      <c r="B296" s="415" t="s">
        <v>1086</v>
      </c>
    </row>
    <row r="297" spans="1:35" x14ac:dyDescent="0.25">
      <c r="A297" s="513">
        <v>61100</v>
      </c>
      <c r="B297" s="583" t="s">
        <v>599</v>
      </c>
      <c r="C297" s="530">
        <v>0</v>
      </c>
      <c r="D297" s="530">
        <v>0</v>
      </c>
      <c r="E297" s="530">
        <v>9570.7899999999991</v>
      </c>
      <c r="F297" s="530">
        <v>0</v>
      </c>
      <c r="G297" s="530">
        <v>0</v>
      </c>
      <c r="H297" s="530">
        <v>0</v>
      </c>
      <c r="I297" s="530">
        <v>0</v>
      </c>
      <c r="J297" s="530">
        <v>0</v>
      </c>
      <c r="K297" s="530">
        <v>0</v>
      </c>
      <c r="L297" s="530">
        <v>0</v>
      </c>
      <c r="M297" s="530">
        <v>0</v>
      </c>
      <c r="N297" s="530">
        <v>0</v>
      </c>
      <c r="O297" s="530">
        <v>0</v>
      </c>
      <c r="P297" s="530">
        <v>0</v>
      </c>
      <c r="Q297" s="530">
        <v>0</v>
      </c>
      <c r="R297" s="530">
        <v>0</v>
      </c>
      <c r="S297" s="530">
        <v>0</v>
      </c>
      <c r="T297" s="530">
        <v>236</v>
      </c>
      <c r="U297" s="530">
        <v>0</v>
      </c>
      <c r="V297" s="530">
        <v>0</v>
      </c>
      <c r="W297" s="530">
        <v>0</v>
      </c>
      <c r="X297" s="530">
        <v>0</v>
      </c>
      <c r="Y297" s="530">
        <v>0</v>
      </c>
      <c r="Z297" s="530">
        <v>0</v>
      </c>
      <c r="AA297" s="530">
        <v>0</v>
      </c>
      <c r="AB297" s="530">
        <v>0</v>
      </c>
      <c r="AC297" s="530">
        <v>0</v>
      </c>
      <c r="AD297" s="530">
        <v>0</v>
      </c>
      <c r="AE297" s="530">
        <v>0</v>
      </c>
      <c r="AF297" s="530">
        <v>0</v>
      </c>
    </row>
    <row r="298" spans="1:35" x14ac:dyDescent="0.25">
      <c r="A298" s="513" t="s">
        <v>600</v>
      </c>
      <c r="B298" s="583" t="s">
        <v>1077</v>
      </c>
      <c r="C298" s="530">
        <v>0</v>
      </c>
      <c r="D298" s="530">
        <v>0</v>
      </c>
      <c r="E298" s="530">
        <v>0</v>
      </c>
      <c r="F298" s="530">
        <v>0</v>
      </c>
      <c r="G298" s="530">
        <v>305.5</v>
      </c>
      <c r="H298" s="530">
        <v>0</v>
      </c>
      <c r="I298" s="530">
        <v>236.54</v>
      </c>
      <c r="J298" s="530">
        <v>0</v>
      </c>
      <c r="K298" s="530">
        <v>0</v>
      </c>
      <c r="L298" s="530">
        <v>0</v>
      </c>
      <c r="M298" s="530">
        <v>0</v>
      </c>
      <c r="N298" s="530">
        <v>0</v>
      </c>
      <c r="O298" s="530">
        <v>0</v>
      </c>
      <c r="P298" s="530">
        <v>0</v>
      </c>
      <c r="Q298" s="530">
        <v>0</v>
      </c>
      <c r="R298" s="530">
        <v>0</v>
      </c>
      <c r="S298" s="530">
        <v>0</v>
      </c>
      <c r="T298" s="530">
        <v>0</v>
      </c>
      <c r="U298" s="530">
        <v>0</v>
      </c>
      <c r="V298" s="530">
        <v>0</v>
      </c>
      <c r="W298" s="530">
        <v>0</v>
      </c>
      <c r="X298" s="530">
        <v>0</v>
      </c>
      <c r="Y298" s="530">
        <v>0</v>
      </c>
      <c r="Z298" s="530">
        <v>0</v>
      </c>
      <c r="AA298" s="530">
        <v>0</v>
      </c>
      <c r="AB298" s="530">
        <v>0</v>
      </c>
      <c r="AC298" s="530">
        <v>0</v>
      </c>
      <c r="AD298" s="530">
        <v>0</v>
      </c>
      <c r="AE298" s="530">
        <v>0</v>
      </c>
      <c r="AF298" s="530">
        <v>0</v>
      </c>
    </row>
    <row r="299" spans="1:35" x14ac:dyDescent="0.25">
      <c r="A299" s="513">
        <v>61300</v>
      </c>
      <c r="B299" s="583" t="s">
        <v>602</v>
      </c>
      <c r="C299" s="530">
        <v>0</v>
      </c>
      <c r="D299" s="530">
        <v>0</v>
      </c>
      <c r="E299" s="530">
        <v>0</v>
      </c>
      <c r="F299" s="530">
        <v>0</v>
      </c>
      <c r="G299" s="530">
        <v>0</v>
      </c>
      <c r="H299" s="530">
        <v>0</v>
      </c>
      <c r="I299" s="530">
        <v>0</v>
      </c>
      <c r="J299" s="530">
        <v>0</v>
      </c>
      <c r="K299" s="530">
        <v>0</v>
      </c>
      <c r="L299" s="530">
        <v>0</v>
      </c>
      <c r="M299" s="530">
        <v>0</v>
      </c>
      <c r="N299" s="530">
        <v>0</v>
      </c>
      <c r="O299" s="530">
        <v>0</v>
      </c>
      <c r="P299" s="530">
        <v>0</v>
      </c>
      <c r="Q299" s="530">
        <v>0</v>
      </c>
      <c r="R299" s="530">
        <v>0</v>
      </c>
      <c r="S299" s="530">
        <v>0</v>
      </c>
      <c r="T299" s="530">
        <v>0</v>
      </c>
      <c r="U299" s="530">
        <v>0</v>
      </c>
      <c r="V299" s="530">
        <v>0</v>
      </c>
      <c r="W299" s="530">
        <v>0</v>
      </c>
      <c r="X299" s="530">
        <v>0</v>
      </c>
      <c r="Y299" s="530">
        <v>0</v>
      </c>
      <c r="Z299" s="530">
        <v>0</v>
      </c>
      <c r="AA299" s="530">
        <v>0</v>
      </c>
      <c r="AB299" s="530">
        <v>0</v>
      </c>
      <c r="AC299" s="530">
        <v>0</v>
      </c>
      <c r="AD299" s="530">
        <v>0</v>
      </c>
      <c r="AE299" s="530">
        <v>0</v>
      </c>
      <c r="AF299" s="530">
        <v>0</v>
      </c>
    </row>
    <row r="300" spans="1:35" x14ac:dyDescent="0.25">
      <c r="A300" s="513">
        <v>64100</v>
      </c>
      <c r="B300" s="529" t="s">
        <v>645</v>
      </c>
      <c r="C300" s="530">
        <v>4384.76</v>
      </c>
      <c r="D300" s="530">
        <v>0</v>
      </c>
      <c r="E300" s="530">
        <v>2729.9</v>
      </c>
      <c r="F300" s="530">
        <v>0</v>
      </c>
      <c r="G300" s="530">
        <v>579.84</v>
      </c>
      <c r="H300" s="530">
        <v>0</v>
      </c>
      <c r="I300" s="530">
        <v>1828.8799999999999</v>
      </c>
      <c r="J300" s="530">
        <v>0</v>
      </c>
      <c r="K300" s="530">
        <v>0</v>
      </c>
      <c r="L300" s="530">
        <v>0</v>
      </c>
      <c r="M300" s="530">
        <v>0</v>
      </c>
      <c r="N300" s="530">
        <v>0</v>
      </c>
      <c r="O300" s="530">
        <v>0</v>
      </c>
      <c r="P300" s="530">
        <v>205.73</v>
      </c>
      <c r="Q300" s="530">
        <v>0</v>
      </c>
      <c r="R300" s="530">
        <v>0</v>
      </c>
      <c r="S300" s="530">
        <v>0</v>
      </c>
      <c r="T300" s="530">
        <v>0</v>
      </c>
      <c r="U300" s="530">
        <v>0</v>
      </c>
      <c r="V300" s="530">
        <v>0</v>
      </c>
      <c r="W300" s="530">
        <v>0</v>
      </c>
      <c r="X300" s="530">
        <v>579.82999999999993</v>
      </c>
      <c r="Y300" s="530">
        <v>0</v>
      </c>
      <c r="Z300" s="530">
        <v>579.84</v>
      </c>
      <c r="AA300" s="530">
        <v>0</v>
      </c>
      <c r="AB300" s="530">
        <v>0</v>
      </c>
      <c r="AC300" s="530">
        <v>0</v>
      </c>
      <c r="AD300" s="530">
        <v>0</v>
      </c>
      <c r="AE300" s="530">
        <v>0</v>
      </c>
      <c r="AF300" s="530">
        <v>0</v>
      </c>
    </row>
    <row r="301" spans="1:35" x14ac:dyDescent="0.25">
      <c r="A301" s="513">
        <v>64200</v>
      </c>
      <c r="B301" s="529" t="s">
        <v>647</v>
      </c>
      <c r="C301" s="530">
        <v>0</v>
      </c>
      <c r="D301" s="530">
        <v>0</v>
      </c>
      <c r="E301" s="530">
        <v>18</v>
      </c>
      <c r="F301" s="530">
        <v>0</v>
      </c>
      <c r="G301" s="530">
        <v>0</v>
      </c>
      <c r="H301" s="530">
        <v>0</v>
      </c>
      <c r="I301" s="530">
        <v>0</v>
      </c>
      <c r="J301" s="530">
        <v>0</v>
      </c>
      <c r="K301" s="530">
        <v>0</v>
      </c>
      <c r="L301" s="530">
        <v>0</v>
      </c>
      <c r="M301" s="530">
        <v>0</v>
      </c>
      <c r="N301" s="530">
        <v>0</v>
      </c>
      <c r="O301" s="530">
        <v>0</v>
      </c>
      <c r="P301" s="530">
        <v>23301.01</v>
      </c>
      <c r="Q301" s="530">
        <v>0</v>
      </c>
      <c r="R301" s="530">
        <v>0</v>
      </c>
      <c r="S301" s="530">
        <v>0</v>
      </c>
      <c r="T301" s="530">
        <v>0</v>
      </c>
      <c r="U301" s="530">
        <v>0</v>
      </c>
      <c r="V301" s="530">
        <v>0</v>
      </c>
      <c r="W301" s="530">
        <v>0</v>
      </c>
      <c r="X301" s="530">
        <v>0</v>
      </c>
      <c r="Y301" s="530">
        <v>0</v>
      </c>
      <c r="Z301" s="530">
        <v>0</v>
      </c>
      <c r="AA301" s="530">
        <v>0</v>
      </c>
      <c r="AB301" s="530">
        <v>0</v>
      </c>
      <c r="AC301" s="530">
        <v>0</v>
      </c>
      <c r="AD301" s="530">
        <v>0</v>
      </c>
      <c r="AE301" s="530">
        <v>0</v>
      </c>
      <c r="AF301" s="530">
        <v>0</v>
      </c>
    </row>
    <row r="302" spans="1:35" x14ac:dyDescent="0.25">
      <c r="A302" s="513">
        <v>64248</v>
      </c>
      <c r="B302" s="529" t="s">
        <v>648</v>
      </c>
      <c r="C302" s="530">
        <v>7451.6100000000006</v>
      </c>
      <c r="D302" s="530">
        <v>0</v>
      </c>
      <c r="E302" s="530">
        <v>7043.12</v>
      </c>
      <c r="F302" s="530">
        <v>0</v>
      </c>
      <c r="G302" s="530">
        <v>6523.8899999999994</v>
      </c>
      <c r="H302" s="530">
        <v>0</v>
      </c>
      <c r="I302" s="530">
        <v>58555.310000000005</v>
      </c>
      <c r="J302" s="530">
        <v>0</v>
      </c>
      <c r="K302" s="530">
        <v>0</v>
      </c>
      <c r="L302" s="530">
        <v>0</v>
      </c>
      <c r="M302" s="530">
        <v>301945.95</v>
      </c>
      <c r="N302" s="530">
        <v>0</v>
      </c>
      <c r="O302" s="530">
        <v>0</v>
      </c>
      <c r="P302" s="530">
        <v>182065.07</v>
      </c>
      <c r="Q302" s="530">
        <v>0</v>
      </c>
      <c r="R302" s="530">
        <v>11175</v>
      </c>
      <c r="S302" s="530">
        <v>192.83</v>
      </c>
      <c r="T302" s="530">
        <v>0</v>
      </c>
      <c r="U302" s="530">
        <v>0</v>
      </c>
      <c r="V302" s="530">
        <v>0</v>
      </c>
      <c r="W302" s="530">
        <v>0</v>
      </c>
      <c r="X302" s="530">
        <v>32.809999999999995</v>
      </c>
      <c r="Y302" s="530">
        <v>0</v>
      </c>
      <c r="Z302" s="530">
        <v>32.809999999999995</v>
      </c>
      <c r="AA302" s="530">
        <v>0</v>
      </c>
      <c r="AB302" s="530">
        <v>0</v>
      </c>
      <c r="AC302" s="530">
        <v>32.809999999999995</v>
      </c>
      <c r="AD302" s="530">
        <v>0</v>
      </c>
      <c r="AE302" s="530">
        <v>0</v>
      </c>
      <c r="AF302" s="530">
        <v>165.51</v>
      </c>
    </row>
    <row r="303" spans="1:35" x14ac:dyDescent="0.25">
      <c r="A303" s="513">
        <v>64300</v>
      </c>
      <c r="B303" s="529" t="s">
        <v>650</v>
      </c>
      <c r="C303" s="530">
        <v>0</v>
      </c>
      <c r="D303" s="530">
        <v>0</v>
      </c>
      <c r="E303" s="530">
        <v>0</v>
      </c>
      <c r="F303" s="530">
        <v>0</v>
      </c>
      <c r="G303" s="530">
        <v>0</v>
      </c>
      <c r="H303" s="530">
        <v>0</v>
      </c>
      <c r="I303" s="530">
        <v>0</v>
      </c>
      <c r="J303" s="530">
        <v>0</v>
      </c>
      <c r="K303" s="530">
        <v>0</v>
      </c>
      <c r="L303" s="530">
        <v>0</v>
      </c>
      <c r="M303" s="530">
        <v>0</v>
      </c>
      <c r="N303" s="530">
        <v>0</v>
      </c>
      <c r="O303" s="530">
        <v>0</v>
      </c>
      <c r="P303" s="530">
        <v>0</v>
      </c>
      <c r="Q303" s="530">
        <v>0</v>
      </c>
      <c r="R303" s="530">
        <v>0</v>
      </c>
      <c r="S303" s="530">
        <v>0</v>
      </c>
      <c r="T303" s="530">
        <v>0</v>
      </c>
      <c r="U303" s="530">
        <v>0</v>
      </c>
      <c r="V303" s="530">
        <v>0</v>
      </c>
      <c r="W303" s="530">
        <v>0</v>
      </c>
      <c r="X303" s="530">
        <v>0</v>
      </c>
      <c r="Y303" s="530">
        <v>0</v>
      </c>
      <c r="Z303" s="530">
        <v>0</v>
      </c>
      <c r="AA303" s="530">
        <v>0</v>
      </c>
      <c r="AB303" s="530">
        <v>0</v>
      </c>
      <c r="AC303" s="530">
        <v>0</v>
      </c>
      <c r="AD303" s="530">
        <v>0</v>
      </c>
      <c r="AE303" s="530">
        <v>0</v>
      </c>
      <c r="AF303" s="530">
        <v>0</v>
      </c>
    </row>
    <row r="304" spans="1:35" x14ac:dyDescent="0.25">
      <c r="A304" s="513">
        <v>65800</v>
      </c>
      <c r="B304" s="529" t="s">
        <v>671</v>
      </c>
      <c r="C304" s="530">
        <v>85.73</v>
      </c>
      <c r="D304" s="530">
        <v>0</v>
      </c>
      <c r="E304" s="530">
        <v>0</v>
      </c>
      <c r="F304" s="530">
        <v>0</v>
      </c>
      <c r="G304" s="530">
        <v>408.26</v>
      </c>
      <c r="H304" s="530">
        <v>0</v>
      </c>
      <c r="I304" s="530">
        <v>50.940000000000005</v>
      </c>
      <c r="J304" s="530">
        <v>0</v>
      </c>
      <c r="K304" s="530">
        <v>90</v>
      </c>
      <c r="L304" s="530">
        <v>0</v>
      </c>
      <c r="M304" s="530">
        <v>0</v>
      </c>
      <c r="N304" s="530">
        <v>0</v>
      </c>
      <c r="O304" s="530">
        <v>0</v>
      </c>
      <c r="P304" s="530">
        <v>331.19</v>
      </c>
      <c r="Q304" s="530">
        <v>0</v>
      </c>
      <c r="R304" s="530">
        <v>0</v>
      </c>
      <c r="S304" s="530">
        <v>0</v>
      </c>
      <c r="T304" s="530">
        <v>100.1</v>
      </c>
      <c r="U304" s="530">
        <v>93.13</v>
      </c>
      <c r="V304" s="530">
        <v>0</v>
      </c>
      <c r="W304" s="530">
        <v>0</v>
      </c>
      <c r="X304" s="530">
        <v>19.989999999999998</v>
      </c>
      <c r="Y304" s="530">
        <v>0</v>
      </c>
      <c r="Z304" s="530">
        <v>0</v>
      </c>
      <c r="AA304" s="530">
        <v>0</v>
      </c>
      <c r="AB304" s="530">
        <v>0</v>
      </c>
      <c r="AC304" s="530">
        <v>0</v>
      </c>
      <c r="AD304" s="530">
        <v>0</v>
      </c>
      <c r="AE304" s="530">
        <v>0</v>
      </c>
      <c r="AF304" s="530">
        <v>0</v>
      </c>
    </row>
    <row r="305" spans="1:32" x14ac:dyDescent="0.25">
      <c r="A305" s="513">
        <v>66100</v>
      </c>
      <c r="B305" s="413" t="s">
        <v>674</v>
      </c>
      <c r="C305" s="530">
        <v>0</v>
      </c>
      <c r="D305" s="530">
        <v>0</v>
      </c>
      <c r="E305" s="530">
        <v>0</v>
      </c>
      <c r="F305" s="530">
        <v>0</v>
      </c>
      <c r="G305" s="530">
        <v>0</v>
      </c>
      <c r="H305" s="530">
        <v>0</v>
      </c>
      <c r="I305" s="530">
        <v>119142</v>
      </c>
      <c r="J305" s="530">
        <v>0</v>
      </c>
      <c r="K305" s="530">
        <v>0</v>
      </c>
      <c r="L305" s="530">
        <v>0</v>
      </c>
      <c r="M305" s="530">
        <v>0</v>
      </c>
      <c r="N305" s="530">
        <v>0</v>
      </c>
      <c r="O305" s="530">
        <v>0</v>
      </c>
      <c r="P305" s="530">
        <v>0</v>
      </c>
      <c r="Q305" s="530">
        <v>0</v>
      </c>
      <c r="R305" s="530">
        <v>0</v>
      </c>
      <c r="S305" s="530">
        <v>0</v>
      </c>
      <c r="T305" s="530">
        <v>0</v>
      </c>
      <c r="U305" s="530">
        <v>0</v>
      </c>
      <c r="V305" s="530">
        <v>0</v>
      </c>
      <c r="W305" s="530">
        <v>0</v>
      </c>
      <c r="X305" s="530">
        <v>0</v>
      </c>
      <c r="Y305" s="530">
        <v>0</v>
      </c>
      <c r="Z305" s="530">
        <v>0</v>
      </c>
      <c r="AA305" s="530">
        <v>0</v>
      </c>
      <c r="AB305" s="530">
        <v>0</v>
      </c>
      <c r="AC305" s="530">
        <v>0</v>
      </c>
      <c r="AD305" s="530">
        <v>0</v>
      </c>
      <c r="AE305" s="530">
        <v>0</v>
      </c>
      <c r="AF305" s="530">
        <v>0</v>
      </c>
    </row>
    <row r="306" spans="1:32" x14ac:dyDescent="0.25">
      <c r="A306" s="513">
        <v>66101</v>
      </c>
      <c r="B306" s="413" t="s">
        <v>675</v>
      </c>
      <c r="C306" s="530">
        <v>0</v>
      </c>
      <c r="D306" s="530">
        <v>0</v>
      </c>
      <c r="E306" s="530">
        <v>0</v>
      </c>
      <c r="F306" s="530">
        <v>0</v>
      </c>
      <c r="G306" s="530">
        <v>0</v>
      </c>
      <c r="H306" s="530">
        <v>0</v>
      </c>
      <c r="I306" s="530">
        <v>0</v>
      </c>
      <c r="J306" s="530">
        <v>0</v>
      </c>
      <c r="K306" s="530">
        <v>0</v>
      </c>
      <c r="L306" s="530">
        <v>0</v>
      </c>
      <c r="M306" s="530">
        <v>0</v>
      </c>
      <c r="N306" s="530">
        <v>0</v>
      </c>
      <c r="O306" s="530">
        <v>0</v>
      </c>
      <c r="P306" s="530">
        <v>0</v>
      </c>
      <c r="Q306" s="530">
        <v>0</v>
      </c>
      <c r="R306" s="530">
        <v>0</v>
      </c>
      <c r="S306" s="530">
        <v>0</v>
      </c>
      <c r="T306" s="530">
        <v>0</v>
      </c>
      <c r="U306" s="530">
        <v>0</v>
      </c>
      <c r="V306" s="530">
        <v>0</v>
      </c>
      <c r="W306" s="530">
        <v>0</v>
      </c>
      <c r="X306" s="530">
        <v>0</v>
      </c>
      <c r="Y306" s="530">
        <v>0</v>
      </c>
      <c r="Z306" s="530">
        <v>0</v>
      </c>
      <c r="AA306" s="530">
        <v>0</v>
      </c>
      <c r="AB306" s="530">
        <v>0</v>
      </c>
      <c r="AC306" s="530">
        <v>0</v>
      </c>
      <c r="AD306" s="530">
        <v>0</v>
      </c>
      <c r="AE306" s="530">
        <v>0</v>
      </c>
      <c r="AF306" s="530">
        <v>0</v>
      </c>
    </row>
    <row r="307" spans="1:32" x14ac:dyDescent="0.25">
      <c r="A307" s="513">
        <v>66102</v>
      </c>
      <c r="B307" s="413" t="s">
        <v>676</v>
      </c>
      <c r="C307" s="530">
        <v>0</v>
      </c>
      <c r="D307" s="530">
        <v>0</v>
      </c>
      <c r="E307" s="530">
        <v>0</v>
      </c>
      <c r="F307" s="530">
        <v>0</v>
      </c>
      <c r="G307" s="530">
        <v>0</v>
      </c>
      <c r="H307" s="530">
        <v>0</v>
      </c>
      <c r="I307" s="530">
        <v>0</v>
      </c>
      <c r="J307" s="530">
        <v>0</v>
      </c>
      <c r="K307" s="530">
        <v>0</v>
      </c>
      <c r="L307" s="530">
        <v>0</v>
      </c>
      <c r="M307" s="530">
        <v>0</v>
      </c>
      <c r="N307" s="530">
        <v>0</v>
      </c>
      <c r="O307" s="530">
        <v>0</v>
      </c>
      <c r="P307" s="530">
        <v>0</v>
      </c>
      <c r="Q307" s="530">
        <v>0</v>
      </c>
      <c r="R307" s="530">
        <v>0</v>
      </c>
      <c r="S307" s="530">
        <v>0</v>
      </c>
      <c r="T307" s="530">
        <v>0</v>
      </c>
      <c r="U307" s="530">
        <v>0</v>
      </c>
      <c r="V307" s="530">
        <v>0</v>
      </c>
      <c r="W307" s="530">
        <v>0</v>
      </c>
      <c r="X307" s="530">
        <v>0</v>
      </c>
      <c r="Y307" s="530">
        <v>0</v>
      </c>
      <c r="Z307" s="530">
        <v>0</v>
      </c>
      <c r="AA307" s="530">
        <v>0</v>
      </c>
      <c r="AB307" s="530">
        <v>0</v>
      </c>
      <c r="AC307" s="530">
        <v>0</v>
      </c>
      <c r="AD307" s="530">
        <v>0</v>
      </c>
      <c r="AE307" s="530">
        <v>0</v>
      </c>
      <c r="AF307" s="530">
        <v>0</v>
      </c>
    </row>
    <row r="308" spans="1:32" x14ac:dyDescent="0.25">
      <c r="A308" s="513">
        <v>66104</v>
      </c>
      <c r="B308" s="413" t="s">
        <v>677</v>
      </c>
      <c r="C308" s="530">
        <v>0</v>
      </c>
      <c r="D308" s="530">
        <v>0</v>
      </c>
      <c r="E308" s="530">
        <v>0</v>
      </c>
      <c r="F308" s="530">
        <v>0</v>
      </c>
      <c r="G308" s="530">
        <v>1518.5800000000002</v>
      </c>
      <c r="H308" s="530">
        <v>0</v>
      </c>
      <c r="I308" s="530">
        <v>0</v>
      </c>
      <c r="J308" s="530">
        <v>26.52</v>
      </c>
      <c r="K308" s="530">
        <v>0</v>
      </c>
      <c r="L308" s="530">
        <v>20000</v>
      </c>
      <c r="M308" s="530">
        <v>0</v>
      </c>
      <c r="N308" s="530">
        <v>0</v>
      </c>
      <c r="O308" s="530">
        <v>0</v>
      </c>
      <c r="P308" s="530">
        <v>0</v>
      </c>
      <c r="Q308" s="530">
        <v>0</v>
      </c>
      <c r="R308" s="530">
        <v>0</v>
      </c>
      <c r="S308" s="530">
        <v>0</v>
      </c>
      <c r="T308" s="530">
        <v>10710.300000000001</v>
      </c>
      <c r="U308" s="530">
        <v>0</v>
      </c>
      <c r="V308" s="530">
        <v>0</v>
      </c>
      <c r="W308" s="530">
        <v>0</v>
      </c>
      <c r="X308" s="530">
        <v>0</v>
      </c>
      <c r="Y308" s="530">
        <v>0</v>
      </c>
      <c r="Z308" s="530">
        <v>0</v>
      </c>
      <c r="AA308" s="530">
        <v>0</v>
      </c>
      <c r="AB308" s="530">
        <v>0</v>
      </c>
      <c r="AC308" s="530">
        <v>0</v>
      </c>
      <c r="AD308" s="530">
        <v>0</v>
      </c>
      <c r="AE308" s="530">
        <v>0</v>
      </c>
      <c r="AF308" s="530">
        <v>0</v>
      </c>
    </row>
    <row r="309" spans="1:32" x14ac:dyDescent="0.25">
      <c r="A309" s="513">
        <v>66106</v>
      </c>
      <c r="B309" s="529" t="s">
        <v>678</v>
      </c>
      <c r="C309" s="530">
        <v>0</v>
      </c>
      <c r="D309" s="530">
        <v>0</v>
      </c>
      <c r="E309" s="530">
        <v>0</v>
      </c>
      <c r="F309" s="530">
        <v>0</v>
      </c>
      <c r="G309" s="530">
        <v>0</v>
      </c>
      <c r="H309" s="530">
        <v>0</v>
      </c>
      <c r="I309" s="530">
        <v>0</v>
      </c>
      <c r="J309" s="530">
        <v>0</v>
      </c>
      <c r="K309" s="530">
        <v>0</v>
      </c>
      <c r="L309" s="530">
        <v>0</v>
      </c>
      <c r="M309" s="530">
        <v>0</v>
      </c>
      <c r="N309" s="530">
        <v>0</v>
      </c>
      <c r="O309" s="530">
        <v>0</v>
      </c>
      <c r="P309" s="530">
        <v>0</v>
      </c>
      <c r="Q309" s="530">
        <v>0</v>
      </c>
      <c r="R309" s="530">
        <v>0</v>
      </c>
      <c r="S309" s="530">
        <v>0</v>
      </c>
      <c r="T309" s="530">
        <v>0</v>
      </c>
      <c r="U309" s="530">
        <v>0</v>
      </c>
      <c r="V309" s="530">
        <v>0</v>
      </c>
      <c r="W309" s="530">
        <v>0</v>
      </c>
      <c r="X309" s="530">
        <v>0</v>
      </c>
      <c r="Y309" s="530">
        <v>0</v>
      </c>
      <c r="Z309" s="530">
        <v>0</v>
      </c>
      <c r="AA309" s="530">
        <v>0</v>
      </c>
      <c r="AB309" s="530">
        <v>0</v>
      </c>
      <c r="AC309" s="530">
        <v>0</v>
      </c>
      <c r="AD309" s="530">
        <v>0</v>
      </c>
      <c r="AE309" s="530">
        <v>0</v>
      </c>
      <c r="AF309" s="530">
        <v>0</v>
      </c>
    </row>
    <row r="310" spans="1:32" x14ac:dyDescent="0.25">
      <c r="A310" s="513">
        <v>66108</v>
      </c>
      <c r="B310" s="529" t="s">
        <v>679</v>
      </c>
      <c r="C310" s="530">
        <v>0</v>
      </c>
      <c r="D310" s="530">
        <v>0</v>
      </c>
      <c r="E310" s="530">
        <v>0</v>
      </c>
      <c r="F310" s="530">
        <v>0</v>
      </c>
      <c r="G310" s="530">
        <v>0</v>
      </c>
      <c r="H310" s="530">
        <v>0</v>
      </c>
      <c r="I310" s="530">
        <v>0</v>
      </c>
      <c r="J310" s="530">
        <v>0</v>
      </c>
      <c r="K310" s="530">
        <v>0</v>
      </c>
      <c r="L310" s="530">
        <v>0</v>
      </c>
      <c r="M310" s="530">
        <v>0</v>
      </c>
      <c r="N310" s="530">
        <v>0</v>
      </c>
      <c r="O310" s="530">
        <v>0</v>
      </c>
      <c r="P310" s="530">
        <v>0</v>
      </c>
      <c r="Q310" s="530">
        <v>0</v>
      </c>
      <c r="R310" s="530">
        <v>0</v>
      </c>
      <c r="S310" s="530">
        <v>0</v>
      </c>
      <c r="T310" s="530">
        <v>0</v>
      </c>
      <c r="U310" s="530">
        <v>0</v>
      </c>
      <c r="V310" s="530">
        <v>0</v>
      </c>
      <c r="W310" s="530">
        <v>0</v>
      </c>
      <c r="X310" s="530">
        <v>0</v>
      </c>
      <c r="Y310" s="530">
        <v>0</v>
      </c>
      <c r="Z310" s="530">
        <v>0</v>
      </c>
      <c r="AA310" s="530">
        <v>0</v>
      </c>
      <c r="AB310" s="530">
        <v>0</v>
      </c>
      <c r="AC310" s="530">
        <v>0</v>
      </c>
      <c r="AD310" s="530">
        <v>0</v>
      </c>
      <c r="AE310" s="530">
        <v>0</v>
      </c>
      <c r="AF310" s="530">
        <v>0</v>
      </c>
    </row>
    <row r="311" spans="1:32" x14ac:dyDescent="0.25">
      <c r="A311" s="513">
        <v>66110</v>
      </c>
      <c r="B311" s="529" t="s">
        <v>680</v>
      </c>
      <c r="C311" s="530">
        <v>50574.149999999994</v>
      </c>
      <c r="D311" s="530">
        <v>0</v>
      </c>
      <c r="E311" s="530">
        <v>0</v>
      </c>
      <c r="F311" s="530">
        <v>0</v>
      </c>
      <c r="G311" s="530">
        <v>180979.89</v>
      </c>
      <c r="H311" s="530">
        <v>0</v>
      </c>
      <c r="I311" s="530">
        <v>1520.0000000000002</v>
      </c>
      <c r="J311" s="530">
        <v>0</v>
      </c>
      <c r="K311" s="530">
        <v>0</v>
      </c>
      <c r="L311" s="530">
        <v>0</v>
      </c>
      <c r="M311" s="530">
        <v>137300.67000000001</v>
      </c>
      <c r="N311" s="530">
        <v>0</v>
      </c>
      <c r="O311" s="530">
        <v>0</v>
      </c>
      <c r="P311" s="530">
        <v>4051.7900000000004</v>
      </c>
      <c r="Q311" s="530">
        <v>0</v>
      </c>
      <c r="R311" s="530">
        <v>0</v>
      </c>
      <c r="S311" s="530">
        <v>0</v>
      </c>
      <c r="T311" s="530">
        <v>11972.609999999999</v>
      </c>
      <c r="U311" s="530">
        <v>0</v>
      </c>
      <c r="V311" s="530">
        <v>0</v>
      </c>
      <c r="W311" s="530">
        <v>0</v>
      </c>
      <c r="X311" s="530">
        <v>-755.41</v>
      </c>
      <c r="Y311" s="530">
        <v>0</v>
      </c>
      <c r="Z311" s="530">
        <v>0</v>
      </c>
      <c r="AA311" s="530">
        <v>1563.7499999999998</v>
      </c>
      <c r="AB311" s="530">
        <v>0</v>
      </c>
      <c r="AC311" s="530">
        <v>0</v>
      </c>
      <c r="AD311" s="530">
        <v>0</v>
      </c>
      <c r="AE311" s="530">
        <v>0</v>
      </c>
      <c r="AF311" s="530">
        <v>60491.119999999995</v>
      </c>
    </row>
    <row r="312" spans="1:32" x14ac:dyDescent="0.25">
      <c r="A312" s="513">
        <v>66112</v>
      </c>
      <c r="B312" s="413" t="s">
        <v>681</v>
      </c>
      <c r="C312" s="530">
        <v>0</v>
      </c>
      <c r="D312" s="530">
        <v>0</v>
      </c>
      <c r="E312" s="530">
        <v>0</v>
      </c>
      <c r="F312" s="530">
        <v>0</v>
      </c>
      <c r="G312" s="530">
        <v>4270</v>
      </c>
      <c r="H312" s="530">
        <v>0</v>
      </c>
      <c r="I312" s="530">
        <v>0</v>
      </c>
      <c r="J312" s="530">
        <v>0</v>
      </c>
      <c r="K312" s="530">
        <v>0</v>
      </c>
      <c r="L312" s="530">
        <v>48614.39</v>
      </c>
      <c r="M312" s="530">
        <v>0</v>
      </c>
      <c r="N312" s="530">
        <v>0</v>
      </c>
      <c r="O312" s="530">
        <v>0</v>
      </c>
      <c r="P312" s="530">
        <v>0</v>
      </c>
      <c r="Q312" s="530">
        <v>0</v>
      </c>
      <c r="R312" s="530">
        <v>0</v>
      </c>
      <c r="S312" s="530">
        <v>0</v>
      </c>
      <c r="T312" s="530">
        <v>16193.070000000002</v>
      </c>
      <c r="U312" s="530">
        <v>0</v>
      </c>
      <c r="V312" s="530">
        <v>0</v>
      </c>
      <c r="W312" s="530">
        <v>0</v>
      </c>
      <c r="X312" s="530">
        <v>0</v>
      </c>
      <c r="Y312" s="530">
        <v>0</v>
      </c>
      <c r="Z312" s="530">
        <v>0</v>
      </c>
      <c r="AA312" s="530">
        <v>28008.389999999996</v>
      </c>
      <c r="AB312" s="530">
        <v>0</v>
      </c>
      <c r="AC312" s="530">
        <v>0</v>
      </c>
      <c r="AD312" s="530">
        <v>0</v>
      </c>
      <c r="AE312" s="530">
        <v>0</v>
      </c>
      <c r="AF312" s="530">
        <v>0</v>
      </c>
    </row>
    <row r="313" spans="1:32" x14ac:dyDescent="0.25">
      <c r="A313" s="513">
        <v>66114</v>
      </c>
      <c r="B313" s="529" t="s">
        <v>682</v>
      </c>
      <c r="C313" s="530">
        <v>0</v>
      </c>
      <c r="D313" s="530">
        <v>0</v>
      </c>
      <c r="E313" s="530">
        <v>0</v>
      </c>
      <c r="F313" s="530">
        <v>0</v>
      </c>
      <c r="G313" s="530">
        <v>900</v>
      </c>
      <c r="H313" s="530">
        <v>0</v>
      </c>
      <c r="I313" s="530">
        <v>0</v>
      </c>
      <c r="J313" s="530">
        <v>0</v>
      </c>
      <c r="K313" s="530">
        <v>0</v>
      </c>
      <c r="L313" s="530">
        <v>0</v>
      </c>
      <c r="M313" s="530">
        <v>0</v>
      </c>
      <c r="N313" s="530">
        <v>0</v>
      </c>
      <c r="O313" s="530">
        <v>0</v>
      </c>
      <c r="P313" s="530">
        <v>0</v>
      </c>
      <c r="Q313" s="530">
        <v>0</v>
      </c>
      <c r="R313" s="530">
        <v>0</v>
      </c>
      <c r="S313" s="530">
        <v>0</v>
      </c>
      <c r="T313" s="530">
        <v>0</v>
      </c>
      <c r="U313" s="530">
        <v>0</v>
      </c>
      <c r="V313" s="530">
        <v>0</v>
      </c>
      <c r="W313" s="530">
        <v>0</v>
      </c>
      <c r="X313" s="530">
        <v>0</v>
      </c>
      <c r="Y313" s="530">
        <v>0</v>
      </c>
      <c r="Z313" s="530">
        <v>0</v>
      </c>
      <c r="AA313" s="530">
        <v>0</v>
      </c>
      <c r="AB313" s="530">
        <v>0</v>
      </c>
      <c r="AC313" s="530">
        <v>0</v>
      </c>
      <c r="AD313" s="530">
        <v>0</v>
      </c>
      <c r="AE313" s="530">
        <v>0</v>
      </c>
      <c r="AF313" s="530">
        <v>0</v>
      </c>
    </row>
    <row r="314" spans="1:32" x14ac:dyDescent="0.25">
      <c r="A314" s="513">
        <v>66118</v>
      </c>
      <c r="B314" s="529" t="s">
        <v>683</v>
      </c>
      <c r="C314" s="530">
        <v>0</v>
      </c>
      <c r="D314" s="530">
        <v>0</v>
      </c>
      <c r="E314" s="530">
        <v>0</v>
      </c>
      <c r="F314" s="530">
        <v>0</v>
      </c>
      <c r="G314" s="530">
        <v>51</v>
      </c>
      <c r="H314" s="530">
        <v>0</v>
      </c>
      <c r="I314" s="530">
        <v>0</v>
      </c>
      <c r="J314" s="530">
        <v>0</v>
      </c>
      <c r="K314" s="530">
        <v>0</v>
      </c>
      <c r="L314" s="530">
        <v>0</v>
      </c>
      <c r="M314" s="530">
        <v>0</v>
      </c>
      <c r="N314" s="530">
        <v>0</v>
      </c>
      <c r="O314" s="530">
        <v>0</v>
      </c>
      <c r="P314" s="530">
        <v>0</v>
      </c>
      <c r="Q314" s="530">
        <v>0</v>
      </c>
      <c r="R314" s="530">
        <v>0</v>
      </c>
      <c r="S314" s="530">
        <v>0</v>
      </c>
      <c r="T314" s="530">
        <v>0</v>
      </c>
      <c r="U314" s="530">
        <v>0</v>
      </c>
      <c r="V314" s="530">
        <v>0</v>
      </c>
      <c r="W314" s="530">
        <v>0</v>
      </c>
      <c r="X314" s="530">
        <v>0</v>
      </c>
      <c r="Y314" s="530">
        <v>0</v>
      </c>
      <c r="Z314" s="530">
        <v>0</v>
      </c>
      <c r="AA314" s="530">
        <v>0</v>
      </c>
      <c r="AB314" s="530">
        <v>0</v>
      </c>
      <c r="AC314" s="530">
        <v>0</v>
      </c>
      <c r="AD314" s="530">
        <v>0</v>
      </c>
      <c r="AE314" s="530">
        <v>0</v>
      </c>
      <c r="AF314" s="530">
        <v>0</v>
      </c>
    </row>
    <row r="315" spans="1:32" x14ac:dyDescent="0.25">
      <c r="A315" s="513">
        <v>66122</v>
      </c>
      <c r="B315" s="529" t="s">
        <v>684</v>
      </c>
      <c r="C315" s="530">
        <v>345.92</v>
      </c>
      <c r="D315" s="530">
        <v>0</v>
      </c>
      <c r="E315" s="530">
        <v>283.69</v>
      </c>
      <c r="F315" s="530">
        <v>0</v>
      </c>
      <c r="G315" s="530">
        <v>2349.9900000000002</v>
      </c>
      <c r="H315" s="530">
        <v>0</v>
      </c>
      <c r="I315" s="530">
        <v>3883.0200000000004</v>
      </c>
      <c r="J315" s="530">
        <v>0</v>
      </c>
      <c r="K315" s="530">
        <v>0</v>
      </c>
      <c r="L315" s="530">
        <v>0</v>
      </c>
      <c r="M315" s="530">
        <v>274.84000000000003</v>
      </c>
      <c r="N315" s="530">
        <v>0</v>
      </c>
      <c r="O315" s="530">
        <v>0</v>
      </c>
      <c r="P315" s="530">
        <v>0</v>
      </c>
      <c r="Q315" s="530">
        <v>0</v>
      </c>
      <c r="R315" s="530">
        <v>0</v>
      </c>
      <c r="S315" s="530">
        <v>0</v>
      </c>
      <c r="T315" s="530">
        <v>42.529999999999994</v>
      </c>
      <c r="U315" s="530">
        <v>0</v>
      </c>
      <c r="V315" s="530">
        <v>0</v>
      </c>
      <c r="W315" s="530">
        <v>0</v>
      </c>
      <c r="X315" s="530">
        <v>0</v>
      </c>
      <c r="Y315" s="530">
        <v>0</v>
      </c>
      <c r="Z315" s="530">
        <v>0</v>
      </c>
      <c r="AA315" s="530">
        <v>0</v>
      </c>
      <c r="AB315" s="530">
        <v>0</v>
      </c>
      <c r="AC315" s="530">
        <v>0</v>
      </c>
      <c r="AD315" s="530">
        <v>0</v>
      </c>
      <c r="AE315" s="530">
        <v>0</v>
      </c>
      <c r="AF315" s="530">
        <v>7.88</v>
      </c>
    </row>
    <row r="316" spans="1:32" x14ac:dyDescent="0.25">
      <c r="A316" s="513">
        <v>66140</v>
      </c>
      <c r="B316" s="529" t="s">
        <v>690</v>
      </c>
      <c r="C316" s="530">
        <v>-2535.7399999999998</v>
      </c>
      <c r="D316" s="530">
        <v>0</v>
      </c>
      <c r="E316" s="530">
        <v>-6820.9699999999993</v>
      </c>
      <c r="F316" s="530">
        <v>0</v>
      </c>
      <c r="G316" s="530">
        <v>-9150.39</v>
      </c>
      <c r="H316" s="530">
        <v>0</v>
      </c>
      <c r="I316" s="530">
        <v>-4242.18</v>
      </c>
      <c r="J316" s="530">
        <v>0</v>
      </c>
      <c r="K316" s="530">
        <v>-5833.71</v>
      </c>
      <c r="L316" s="530">
        <v>0</v>
      </c>
      <c r="M316" s="530">
        <v>4720.16</v>
      </c>
      <c r="N316" s="530">
        <v>0</v>
      </c>
      <c r="O316" s="530">
        <v>0</v>
      </c>
      <c r="P316" s="530">
        <v>-20711.010000000002</v>
      </c>
      <c r="Q316" s="530">
        <v>0</v>
      </c>
      <c r="R316" s="530">
        <v>1731.52</v>
      </c>
      <c r="S316" s="530">
        <v>0</v>
      </c>
      <c r="T316" s="530">
        <v>-5169.09</v>
      </c>
      <c r="U316" s="530">
        <v>3846.6</v>
      </c>
      <c r="V316" s="530">
        <v>5749.4699999999993</v>
      </c>
      <c r="W316" s="530">
        <v>5994.78</v>
      </c>
      <c r="X316" s="530">
        <v>4256.99</v>
      </c>
      <c r="Y316" s="530">
        <v>1450.94</v>
      </c>
      <c r="Z316" s="530">
        <v>2382.73</v>
      </c>
      <c r="AA316" s="530">
        <v>0</v>
      </c>
      <c r="AB316" s="530">
        <v>978.26</v>
      </c>
      <c r="AC316" s="530">
        <v>6266.1699999999992</v>
      </c>
      <c r="AD316" s="530">
        <v>0</v>
      </c>
      <c r="AE316" s="530">
        <v>0</v>
      </c>
      <c r="AF316" s="530">
        <v>-5333.62</v>
      </c>
    </row>
    <row r="317" spans="1:32" x14ac:dyDescent="0.25">
      <c r="A317" s="513">
        <v>66141</v>
      </c>
      <c r="B317" s="529" t="s">
        <v>1087</v>
      </c>
      <c r="C317" s="530">
        <v>0</v>
      </c>
      <c r="D317" s="530">
        <v>0</v>
      </c>
      <c r="E317" s="530">
        <v>0</v>
      </c>
      <c r="F317" s="530">
        <v>0</v>
      </c>
      <c r="G317" s="530">
        <v>0</v>
      </c>
      <c r="H317" s="530">
        <v>0</v>
      </c>
      <c r="I317" s="530">
        <v>0</v>
      </c>
      <c r="J317" s="530">
        <v>0</v>
      </c>
      <c r="K317" s="530">
        <v>0</v>
      </c>
      <c r="L317" s="530">
        <v>0</v>
      </c>
      <c r="M317" s="530">
        <v>0</v>
      </c>
      <c r="N317" s="530">
        <v>0</v>
      </c>
      <c r="O317" s="530">
        <v>0</v>
      </c>
      <c r="P317" s="530">
        <v>0</v>
      </c>
      <c r="Q317" s="530">
        <v>0</v>
      </c>
      <c r="R317" s="530">
        <v>0</v>
      </c>
      <c r="S317" s="530">
        <v>0</v>
      </c>
      <c r="T317" s="530">
        <v>0</v>
      </c>
      <c r="U317" s="530">
        <v>0</v>
      </c>
      <c r="V317" s="530">
        <v>0</v>
      </c>
      <c r="W317" s="530">
        <v>0</v>
      </c>
      <c r="X317" s="530">
        <v>0</v>
      </c>
      <c r="Y317" s="530">
        <v>0</v>
      </c>
      <c r="Z317" s="530">
        <v>0</v>
      </c>
      <c r="AA317" s="530">
        <v>0</v>
      </c>
      <c r="AB317" s="530">
        <v>0</v>
      </c>
      <c r="AC317" s="530">
        <v>0</v>
      </c>
      <c r="AD317" s="530">
        <v>0</v>
      </c>
      <c r="AE317" s="530">
        <v>0</v>
      </c>
      <c r="AF317" s="530">
        <v>0</v>
      </c>
    </row>
    <row r="318" spans="1:32" x14ac:dyDescent="0.25">
      <c r="A318" s="513">
        <v>66154</v>
      </c>
      <c r="B318" s="529" t="s">
        <v>693</v>
      </c>
      <c r="C318" s="530">
        <v>0</v>
      </c>
      <c r="D318" s="530">
        <v>0</v>
      </c>
      <c r="E318" s="530">
        <v>0</v>
      </c>
      <c r="F318" s="530">
        <v>0</v>
      </c>
      <c r="G318" s="530">
        <v>0</v>
      </c>
      <c r="H318" s="530">
        <v>0</v>
      </c>
      <c r="I318" s="530">
        <v>0</v>
      </c>
      <c r="J318" s="530">
        <v>0</v>
      </c>
      <c r="K318" s="530">
        <v>0</v>
      </c>
      <c r="L318" s="530">
        <v>0</v>
      </c>
      <c r="M318" s="530">
        <v>0</v>
      </c>
      <c r="N318" s="530">
        <v>0</v>
      </c>
      <c r="O318" s="530">
        <v>0</v>
      </c>
      <c r="P318" s="530">
        <v>0</v>
      </c>
      <c r="Q318" s="530">
        <v>0</v>
      </c>
      <c r="R318" s="530">
        <v>0</v>
      </c>
      <c r="S318" s="530">
        <v>0</v>
      </c>
      <c r="T318" s="530">
        <v>0</v>
      </c>
      <c r="U318" s="530">
        <v>0</v>
      </c>
      <c r="V318" s="530">
        <v>0</v>
      </c>
      <c r="W318" s="530">
        <v>0</v>
      </c>
      <c r="X318" s="530">
        <v>0</v>
      </c>
      <c r="Y318" s="530">
        <v>0</v>
      </c>
      <c r="Z318" s="530">
        <v>0</v>
      </c>
      <c r="AA318" s="530">
        <v>0</v>
      </c>
      <c r="AB318" s="530">
        <v>0</v>
      </c>
      <c r="AC318" s="530">
        <v>0</v>
      </c>
      <c r="AD318" s="530">
        <v>0</v>
      </c>
      <c r="AE318" s="530">
        <v>0</v>
      </c>
      <c r="AF318" s="530">
        <v>0</v>
      </c>
    </row>
    <row r="319" spans="1:32" x14ac:dyDescent="0.25">
      <c r="A319" s="513" t="s">
        <v>703</v>
      </c>
      <c r="B319" s="529" t="s">
        <v>704</v>
      </c>
      <c r="C319" s="530">
        <v>0</v>
      </c>
      <c r="D319" s="530">
        <v>0</v>
      </c>
      <c r="E319" s="530">
        <v>0</v>
      </c>
      <c r="F319" s="530">
        <v>0</v>
      </c>
      <c r="G319" s="530">
        <v>0</v>
      </c>
      <c r="H319" s="530">
        <v>0</v>
      </c>
      <c r="I319" s="530">
        <v>0</v>
      </c>
      <c r="J319" s="530">
        <v>0</v>
      </c>
      <c r="K319" s="530">
        <v>0</v>
      </c>
      <c r="L319" s="530">
        <v>0</v>
      </c>
      <c r="M319" s="530">
        <v>0</v>
      </c>
      <c r="N319" s="530">
        <v>0</v>
      </c>
      <c r="O319" s="530">
        <v>0</v>
      </c>
      <c r="P319" s="530">
        <v>0</v>
      </c>
      <c r="Q319" s="530">
        <v>0</v>
      </c>
      <c r="R319" s="530">
        <v>0</v>
      </c>
      <c r="S319" s="530">
        <v>0</v>
      </c>
      <c r="T319" s="530">
        <v>0</v>
      </c>
      <c r="U319" s="530">
        <v>0</v>
      </c>
      <c r="V319" s="530">
        <v>0</v>
      </c>
      <c r="W319" s="530">
        <v>0</v>
      </c>
      <c r="X319" s="530">
        <v>0</v>
      </c>
      <c r="Y319" s="530">
        <v>0</v>
      </c>
      <c r="Z319" s="530">
        <v>4533.1499999999996</v>
      </c>
      <c r="AA319" s="530">
        <v>0</v>
      </c>
      <c r="AB319" s="530">
        <v>0</v>
      </c>
      <c r="AC319" s="530">
        <v>0</v>
      </c>
      <c r="AD319" s="530">
        <v>0</v>
      </c>
      <c r="AE319" s="530">
        <v>0</v>
      </c>
      <c r="AF319" s="530">
        <v>0</v>
      </c>
    </row>
    <row r="320" spans="1:32" x14ac:dyDescent="0.25">
      <c r="A320" s="513">
        <v>66172</v>
      </c>
      <c r="B320" s="529" t="s">
        <v>705</v>
      </c>
      <c r="C320" s="530">
        <v>0</v>
      </c>
      <c r="D320" s="530">
        <v>0</v>
      </c>
      <c r="E320" s="530">
        <v>0</v>
      </c>
      <c r="F320" s="530">
        <v>0</v>
      </c>
      <c r="G320" s="530">
        <v>0</v>
      </c>
      <c r="H320" s="530">
        <v>0</v>
      </c>
      <c r="I320" s="530">
        <v>0</v>
      </c>
      <c r="J320" s="530">
        <v>0</v>
      </c>
      <c r="K320" s="530">
        <v>0</v>
      </c>
      <c r="L320" s="530">
        <v>0</v>
      </c>
      <c r="M320" s="530">
        <v>0</v>
      </c>
      <c r="N320" s="530">
        <v>0</v>
      </c>
      <c r="O320" s="530">
        <v>0</v>
      </c>
      <c r="P320" s="530">
        <v>3.35</v>
      </c>
      <c r="Q320" s="530">
        <v>0</v>
      </c>
      <c r="R320" s="530">
        <v>0</v>
      </c>
      <c r="S320" s="530">
        <v>0</v>
      </c>
      <c r="T320" s="530">
        <v>0</v>
      </c>
      <c r="U320" s="530">
        <v>0</v>
      </c>
      <c r="V320" s="530">
        <v>0</v>
      </c>
      <c r="W320" s="530">
        <v>0</v>
      </c>
      <c r="X320" s="530">
        <v>0</v>
      </c>
      <c r="Y320" s="530">
        <v>0</v>
      </c>
      <c r="Z320" s="530">
        <v>0</v>
      </c>
      <c r="AA320" s="530">
        <v>0</v>
      </c>
      <c r="AB320" s="530">
        <v>0</v>
      </c>
      <c r="AC320" s="530">
        <v>0</v>
      </c>
      <c r="AD320" s="530">
        <v>0</v>
      </c>
      <c r="AE320" s="530">
        <v>0</v>
      </c>
      <c r="AF320" s="530">
        <v>0</v>
      </c>
    </row>
    <row r="321" spans="1:32" x14ac:dyDescent="0.25">
      <c r="A321" s="513">
        <v>66176</v>
      </c>
      <c r="B321" s="529" t="s">
        <v>706</v>
      </c>
      <c r="C321" s="530">
        <v>0</v>
      </c>
      <c r="D321" s="530">
        <v>0</v>
      </c>
      <c r="E321" s="530">
        <v>0</v>
      </c>
      <c r="F321" s="530">
        <v>0</v>
      </c>
      <c r="G321" s="530">
        <v>155</v>
      </c>
      <c r="H321" s="530">
        <v>0</v>
      </c>
      <c r="I321" s="530">
        <v>0</v>
      </c>
      <c r="J321" s="530">
        <v>0</v>
      </c>
      <c r="K321" s="530">
        <v>0</v>
      </c>
      <c r="L321" s="530">
        <v>0</v>
      </c>
      <c r="M321" s="530">
        <v>0</v>
      </c>
      <c r="N321" s="530">
        <v>0</v>
      </c>
      <c r="O321" s="530">
        <v>0</v>
      </c>
      <c r="P321" s="530">
        <v>0</v>
      </c>
      <c r="Q321" s="530">
        <v>0</v>
      </c>
      <c r="R321" s="530">
        <v>7.9</v>
      </c>
      <c r="S321" s="530">
        <v>0</v>
      </c>
      <c r="T321" s="530">
        <v>0</v>
      </c>
      <c r="U321" s="530">
        <v>0</v>
      </c>
      <c r="V321" s="530">
        <v>0</v>
      </c>
      <c r="W321" s="530">
        <v>0</v>
      </c>
      <c r="X321" s="530">
        <v>0</v>
      </c>
      <c r="Y321" s="530">
        <v>0</v>
      </c>
      <c r="Z321" s="530">
        <v>0</v>
      </c>
      <c r="AA321" s="530">
        <v>0</v>
      </c>
      <c r="AB321" s="530">
        <v>0</v>
      </c>
      <c r="AC321" s="530">
        <v>0</v>
      </c>
      <c r="AD321" s="530">
        <v>0</v>
      </c>
      <c r="AE321" s="530">
        <v>0</v>
      </c>
      <c r="AF321" s="530">
        <v>0</v>
      </c>
    </row>
    <row r="322" spans="1:32" x14ac:dyDescent="0.25">
      <c r="A322" s="513">
        <v>66180</v>
      </c>
      <c r="B322" s="529" t="s">
        <v>707</v>
      </c>
      <c r="C322" s="530">
        <v>0</v>
      </c>
      <c r="D322" s="530">
        <v>0</v>
      </c>
      <c r="E322" s="530">
        <v>0</v>
      </c>
      <c r="F322" s="530">
        <v>0</v>
      </c>
      <c r="G322" s="530">
        <v>0</v>
      </c>
      <c r="H322" s="530">
        <v>0</v>
      </c>
      <c r="I322" s="530">
        <v>0</v>
      </c>
      <c r="J322" s="530">
        <v>0</v>
      </c>
      <c r="K322" s="530">
        <v>0</v>
      </c>
      <c r="L322" s="530">
        <v>0</v>
      </c>
      <c r="M322" s="530">
        <v>0</v>
      </c>
      <c r="N322" s="530">
        <v>0</v>
      </c>
      <c r="O322" s="530">
        <v>0</v>
      </c>
      <c r="P322" s="530">
        <v>0</v>
      </c>
      <c r="Q322" s="530">
        <v>0</v>
      </c>
      <c r="R322" s="530">
        <v>0</v>
      </c>
      <c r="S322" s="530">
        <v>0</v>
      </c>
      <c r="T322" s="530">
        <v>0</v>
      </c>
      <c r="U322" s="530">
        <v>697.88</v>
      </c>
      <c r="V322" s="530">
        <v>0</v>
      </c>
      <c r="W322" s="530">
        <v>0</v>
      </c>
      <c r="X322" s="530">
        <v>0</v>
      </c>
      <c r="Y322" s="530">
        <v>0</v>
      </c>
      <c r="Z322" s="530">
        <v>0</v>
      </c>
      <c r="AA322" s="530">
        <v>0</v>
      </c>
      <c r="AB322" s="530">
        <v>0</v>
      </c>
      <c r="AC322" s="530">
        <v>0</v>
      </c>
      <c r="AD322" s="530">
        <v>0</v>
      </c>
      <c r="AE322" s="530">
        <v>0</v>
      </c>
      <c r="AF322" s="530">
        <v>0</v>
      </c>
    </row>
    <row r="323" spans="1:32" x14ac:dyDescent="0.25">
      <c r="A323" s="513">
        <v>66500</v>
      </c>
      <c r="B323" s="529" t="s">
        <v>721</v>
      </c>
      <c r="C323" s="530">
        <v>0</v>
      </c>
      <c r="D323" s="530">
        <v>0</v>
      </c>
      <c r="E323" s="530">
        <v>0</v>
      </c>
      <c r="F323" s="530">
        <v>0</v>
      </c>
      <c r="G323" s="530">
        <v>0.01</v>
      </c>
      <c r="H323" s="530">
        <v>0</v>
      </c>
      <c r="I323" s="530">
        <v>32033.98</v>
      </c>
      <c r="J323" s="530">
        <v>0</v>
      </c>
      <c r="K323" s="530">
        <v>0</v>
      </c>
      <c r="L323" s="530">
        <v>0</v>
      </c>
      <c r="M323" s="530">
        <v>0</v>
      </c>
      <c r="N323" s="530">
        <v>0</v>
      </c>
      <c r="O323" s="530">
        <v>0</v>
      </c>
      <c r="P323" s="530">
        <v>0</v>
      </c>
      <c r="Q323" s="530">
        <v>0</v>
      </c>
      <c r="R323" s="530">
        <v>0</v>
      </c>
      <c r="S323" s="530">
        <v>0</v>
      </c>
      <c r="T323" s="530">
        <v>0</v>
      </c>
      <c r="U323" s="530">
        <v>0</v>
      </c>
      <c r="V323" s="530">
        <v>0</v>
      </c>
      <c r="W323" s="530">
        <v>0</v>
      </c>
      <c r="X323" s="530">
        <v>0</v>
      </c>
      <c r="Y323" s="530">
        <v>0</v>
      </c>
      <c r="Z323" s="530">
        <v>0</v>
      </c>
      <c r="AA323" s="530">
        <v>0</v>
      </c>
      <c r="AB323" s="530">
        <v>0</v>
      </c>
      <c r="AC323" s="530">
        <v>0</v>
      </c>
      <c r="AD323" s="530">
        <v>0</v>
      </c>
      <c r="AE323" s="530">
        <v>0</v>
      </c>
      <c r="AF323" s="530">
        <v>0</v>
      </c>
    </row>
    <row r="324" spans="1:32" x14ac:dyDescent="0.25">
      <c r="A324" s="513">
        <v>66501</v>
      </c>
      <c r="B324" s="529" t="s">
        <v>722</v>
      </c>
      <c r="C324" s="530">
        <v>0</v>
      </c>
      <c r="D324" s="530">
        <v>0</v>
      </c>
      <c r="E324" s="530">
        <v>0</v>
      </c>
      <c r="F324" s="530">
        <v>0</v>
      </c>
      <c r="G324" s="530">
        <v>0</v>
      </c>
      <c r="H324" s="530">
        <v>0</v>
      </c>
      <c r="I324" s="530">
        <v>0</v>
      </c>
      <c r="J324" s="530">
        <v>0</v>
      </c>
      <c r="K324" s="530">
        <v>0</v>
      </c>
      <c r="L324" s="530">
        <v>0</v>
      </c>
      <c r="M324" s="530">
        <v>0</v>
      </c>
      <c r="N324" s="530">
        <v>0</v>
      </c>
      <c r="O324" s="530">
        <v>0</v>
      </c>
      <c r="P324" s="530">
        <v>0</v>
      </c>
      <c r="Q324" s="530">
        <v>0</v>
      </c>
      <c r="R324" s="530">
        <v>0</v>
      </c>
      <c r="S324" s="530">
        <v>0</v>
      </c>
      <c r="T324" s="530">
        <v>0</v>
      </c>
      <c r="U324" s="530">
        <v>0</v>
      </c>
      <c r="V324" s="530">
        <v>0</v>
      </c>
      <c r="W324" s="530">
        <v>0</v>
      </c>
      <c r="X324" s="530">
        <v>0</v>
      </c>
      <c r="Y324" s="530">
        <v>0</v>
      </c>
      <c r="Z324" s="530">
        <v>0</v>
      </c>
      <c r="AA324" s="530">
        <v>0</v>
      </c>
      <c r="AB324" s="530">
        <v>0</v>
      </c>
      <c r="AC324" s="530">
        <v>0</v>
      </c>
      <c r="AD324" s="530">
        <v>0</v>
      </c>
      <c r="AE324" s="530">
        <v>0</v>
      </c>
      <c r="AF324" s="530">
        <v>0</v>
      </c>
    </row>
    <row r="325" spans="1:32" x14ac:dyDescent="0.25">
      <c r="A325" s="513">
        <v>66582</v>
      </c>
      <c r="B325" s="529" t="s">
        <v>724</v>
      </c>
      <c r="C325" s="530">
        <v>0</v>
      </c>
      <c r="D325" s="530">
        <v>0</v>
      </c>
      <c r="E325" s="530">
        <v>0</v>
      </c>
      <c r="F325" s="530">
        <v>0</v>
      </c>
      <c r="G325" s="530">
        <v>0</v>
      </c>
      <c r="H325" s="530">
        <v>0</v>
      </c>
      <c r="I325" s="530">
        <v>0</v>
      </c>
      <c r="J325" s="530">
        <v>0</v>
      </c>
      <c r="K325" s="530">
        <v>0</v>
      </c>
      <c r="L325" s="530">
        <v>0</v>
      </c>
      <c r="M325" s="530">
        <v>0</v>
      </c>
      <c r="N325" s="530">
        <v>0</v>
      </c>
      <c r="O325" s="530">
        <v>0</v>
      </c>
      <c r="P325" s="530">
        <v>0</v>
      </c>
      <c r="Q325" s="530">
        <v>0</v>
      </c>
      <c r="R325" s="530">
        <v>0</v>
      </c>
      <c r="S325" s="530">
        <v>0</v>
      </c>
      <c r="T325" s="530">
        <v>0</v>
      </c>
      <c r="U325" s="530">
        <v>0</v>
      </c>
      <c r="V325" s="530">
        <v>0</v>
      </c>
      <c r="W325" s="530">
        <v>0</v>
      </c>
      <c r="X325" s="530">
        <v>0</v>
      </c>
      <c r="Y325" s="530">
        <v>0</v>
      </c>
      <c r="Z325" s="530">
        <v>0</v>
      </c>
      <c r="AA325" s="530">
        <v>0</v>
      </c>
      <c r="AB325" s="530">
        <v>0</v>
      </c>
      <c r="AC325" s="530">
        <v>0</v>
      </c>
      <c r="AD325" s="530">
        <v>0</v>
      </c>
      <c r="AE325" s="530">
        <v>0</v>
      </c>
      <c r="AF325" s="530">
        <v>0</v>
      </c>
    </row>
    <row r="326" spans="1:32" x14ac:dyDescent="0.25">
      <c r="A326" s="513">
        <v>66583</v>
      </c>
      <c r="B326" s="529" t="s">
        <v>725</v>
      </c>
      <c r="C326" s="530">
        <v>0</v>
      </c>
      <c r="D326" s="530">
        <v>0</v>
      </c>
      <c r="E326" s="530">
        <v>0</v>
      </c>
      <c r="F326" s="530">
        <v>0</v>
      </c>
      <c r="G326" s="530">
        <v>0</v>
      </c>
      <c r="H326" s="530">
        <v>0</v>
      </c>
      <c r="I326" s="530">
        <v>0</v>
      </c>
      <c r="J326" s="530">
        <v>0</v>
      </c>
      <c r="K326" s="530">
        <v>0</v>
      </c>
      <c r="L326" s="530">
        <v>0</v>
      </c>
      <c r="M326" s="530">
        <v>0</v>
      </c>
      <c r="N326" s="530">
        <v>0</v>
      </c>
      <c r="O326" s="530">
        <v>0</v>
      </c>
      <c r="P326" s="530">
        <v>0</v>
      </c>
      <c r="Q326" s="530">
        <v>0</v>
      </c>
      <c r="R326" s="530">
        <v>0</v>
      </c>
      <c r="S326" s="530">
        <v>-45617.25</v>
      </c>
      <c r="T326" s="530">
        <v>0</v>
      </c>
      <c r="U326" s="530">
        <v>0</v>
      </c>
      <c r="V326" s="530">
        <v>0</v>
      </c>
      <c r="W326" s="530">
        <v>0</v>
      </c>
      <c r="X326" s="530">
        <v>0</v>
      </c>
      <c r="Y326" s="530">
        <v>0</v>
      </c>
      <c r="Z326" s="530">
        <v>0</v>
      </c>
      <c r="AA326" s="530">
        <v>0</v>
      </c>
      <c r="AB326" s="530">
        <v>0</v>
      </c>
      <c r="AC326" s="530">
        <v>0</v>
      </c>
      <c r="AD326" s="530">
        <v>0</v>
      </c>
      <c r="AE326" s="530">
        <v>0</v>
      </c>
      <c r="AF326" s="530">
        <v>0</v>
      </c>
    </row>
    <row r="327" spans="1:32" x14ac:dyDescent="0.25">
      <c r="A327" s="513">
        <v>66585</v>
      </c>
      <c r="B327" s="529" t="s">
        <v>726</v>
      </c>
      <c r="C327" s="530">
        <v>0</v>
      </c>
      <c r="D327" s="530">
        <v>0</v>
      </c>
      <c r="E327" s="530">
        <v>0</v>
      </c>
      <c r="F327" s="530">
        <v>0</v>
      </c>
      <c r="G327" s="530">
        <v>88800</v>
      </c>
      <c r="H327" s="530">
        <v>0</v>
      </c>
      <c r="I327" s="530">
        <v>0</v>
      </c>
      <c r="J327" s="530">
        <v>0</v>
      </c>
      <c r="K327" s="530">
        <v>0</v>
      </c>
      <c r="L327" s="530">
        <v>0</v>
      </c>
      <c r="M327" s="530">
        <v>0</v>
      </c>
      <c r="N327" s="530">
        <v>0</v>
      </c>
      <c r="O327" s="530">
        <v>0</v>
      </c>
      <c r="P327" s="530">
        <v>0</v>
      </c>
      <c r="Q327" s="530">
        <v>0</v>
      </c>
      <c r="R327" s="530">
        <v>0</v>
      </c>
      <c r="S327" s="530">
        <v>0</v>
      </c>
      <c r="T327" s="530">
        <v>0</v>
      </c>
      <c r="U327" s="530">
        <v>0</v>
      </c>
      <c r="V327" s="530">
        <v>0</v>
      </c>
      <c r="W327" s="530">
        <v>0</v>
      </c>
      <c r="X327" s="530">
        <v>0</v>
      </c>
      <c r="Y327" s="530">
        <v>0</v>
      </c>
      <c r="Z327" s="530">
        <v>0</v>
      </c>
      <c r="AA327" s="530">
        <v>0</v>
      </c>
      <c r="AB327" s="530">
        <v>0</v>
      </c>
      <c r="AC327" s="530">
        <v>0</v>
      </c>
      <c r="AD327" s="530">
        <v>0</v>
      </c>
      <c r="AE327" s="530">
        <v>0</v>
      </c>
      <c r="AF327" s="530">
        <v>0</v>
      </c>
    </row>
    <row r="328" spans="1:32" ht="15.75" thickBot="1" x14ac:dyDescent="0.3"/>
    <row r="329" spans="1:32" x14ac:dyDescent="0.25">
      <c r="B329" s="1169" t="s">
        <v>1088</v>
      </c>
      <c r="C329" s="1175">
        <f t="shared" ref="C329:AF329" si="52">SUM(C297:C328)</f>
        <v>60306.429999999993</v>
      </c>
      <c r="D329" s="1175">
        <f t="shared" si="52"/>
        <v>0</v>
      </c>
      <c r="E329" s="1175">
        <f t="shared" si="52"/>
        <v>12824.529999999997</v>
      </c>
      <c r="F329" s="1175">
        <f t="shared" si="52"/>
        <v>0</v>
      </c>
      <c r="G329" s="1175">
        <f t="shared" si="52"/>
        <v>277691.57</v>
      </c>
      <c r="H329" s="1175">
        <f t="shared" si="52"/>
        <v>0</v>
      </c>
      <c r="I329" s="1175">
        <f t="shared" si="52"/>
        <v>213008.49000000002</v>
      </c>
      <c r="J329" s="1175">
        <f t="shared" si="52"/>
        <v>26.52</v>
      </c>
      <c r="K329" s="1175">
        <f t="shared" si="52"/>
        <v>-5743.71</v>
      </c>
      <c r="L329" s="1175">
        <f t="shared" si="52"/>
        <v>68614.39</v>
      </c>
      <c r="M329" s="1175">
        <f t="shared" si="52"/>
        <v>444241.62</v>
      </c>
      <c r="N329" s="1175">
        <f t="shared" si="52"/>
        <v>0</v>
      </c>
      <c r="O329" s="1175">
        <f t="shared" si="52"/>
        <v>0</v>
      </c>
      <c r="P329" s="1175">
        <f t="shared" si="52"/>
        <v>189247.13</v>
      </c>
      <c r="Q329" s="1175">
        <f t="shared" si="52"/>
        <v>0</v>
      </c>
      <c r="R329" s="1175">
        <f t="shared" si="52"/>
        <v>12914.42</v>
      </c>
      <c r="S329" s="1175">
        <f t="shared" si="52"/>
        <v>-45424.42</v>
      </c>
      <c r="T329" s="1175">
        <f t="shared" si="52"/>
        <v>34085.520000000004</v>
      </c>
      <c r="U329" s="1175">
        <f t="shared" si="52"/>
        <v>4637.6099999999997</v>
      </c>
      <c r="V329" s="1175">
        <f t="shared" si="52"/>
        <v>5749.4699999999993</v>
      </c>
      <c r="W329" s="1175">
        <f t="shared" si="52"/>
        <v>5994.78</v>
      </c>
      <c r="X329" s="1175">
        <f t="shared" si="52"/>
        <v>4134.21</v>
      </c>
      <c r="Y329" s="1175">
        <f t="shared" si="52"/>
        <v>1450.94</v>
      </c>
      <c r="Z329" s="1175">
        <f t="shared" si="52"/>
        <v>7528.53</v>
      </c>
      <c r="AA329" s="1175">
        <f t="shared" si="52"/>
        <v>29572.139999999996</v>
      </c>
      <c r="AB329" s="1175">
        <f t="shared" si="52"/>
        <v>978.26</v>
      </c>
      <c r="AC329" s="1175">
        <f t="shared" si="52"/>
        <v>6298.98</v>
      </c>
      <c r="AD329" s="1175">
        <f t="shared" si="52"/>
        <v>0</v>
      </c>
      <c r="AE329" s="1175">
        <f t="shared" si="52"/>
        <v>0</v>
      </c>
      <c r="AF329" s="1176">
        <f t="shared" si="52"/>
        <v>55330.889999999992</v>
      </c>
    </row>
    <row r="330" spans="1:32" ht="15.75" thickBot="1" x14ac:dyDescent="0.3">
      <c r="B330" s="1172" t="s">
        <v>344</v>
      </c>
      <c r="C330" s="1177">
        <f t="shared" ref="C330:AF330" si="53">C329/1000</f>
        <v>60.306429999999992</v>
      </c>
      <c r="D330" s="1177">
        <f t="shared" si="53"/>
        <v>0</v>
      </c>
      <c r="E330" s="1177">
        <f t="shared" si="53"/>
        <v>12.824529999999998</v>
      </c>
      <c r="F330" s="1177">
        <f t="shared" si="53"/>
        <v>0</v>
      </c>
      <c r="G330" s="1177">
        <f t="shared" si="53"/>
        <v>277.69157000000001</v>
      </c>
      <c r="H330" s="1177">
        <f t="shared" si="53"/>
        <v>0</v>
      </c>
      <c r="I330" s="1177">
        <f t="shared" si="53"/>
        <v>213.00849000000002</v>
      </c>
      <c r="J330" s="1177">
        <f t="shared" si="53"/>
        <v>2.6519999999999998E-2</v>
      </c>
      <c r="K330" s="1177">
        <f t="shared" si="53"/>
        <v>-5.7437100000000001</v>
      </c>
      <c r="L330" s="1177">
        <f t="shared" si="53"/>
        <v>68.61439</v>
      </c>
      <c r="M330" s="1177">
        <f t="shared" si="53"/>
        <v>444.24162000000001</v>
      </c>
      <c r="N330" s="1177">
        <f t="shared" si="53"/>
        <v>0</v>
      </c>
      <c r="O330" s="1177">
        <f t="shared" si="53"/>
        <v>0</v>
      </c>
      <c r="P330" s="1177">
        <f t="shared" si="53"/>
        <v>189.24713</v>
      </c>
      <c r="Q330" s="1177">
        <f t="shared" si="53"/>
        <v>0</v>
      </c>
      <c r="R330" s="1177">
        <f t="shared" si="53"/>
        <v>12.91442</v>
      </c>
      <c r="S330" s="1177">
        <f t="shared" si="53"/>
        <v>-45.424419999999998</v>
      </c>
      <c r="T330" s="1177">
        <f t="shared" si="53"/>
        <v>34.085520000000002</v>
      </c>
      <c r="U330" s="1177">
        <f t="shared" si="53"/>
        <v>4.6376099999999996</v>
      </c>
      <c r="V330" s="1177">
        <f t="shared" si="53"/>
        <v>5.7494699999999996</v>
      </c>
      <c r="W330" s="1177">
        <f t="shared" si="53"/>
        <v>5.9947799999999996</v>
      </c>
      <c r="X330" s="1177">
        <f t="shared" si="53"/>
        <v>4.1342100000000004</v>
      </c>
      <c r="Y330" s="1177">
        <f t="shared" si="53"/>
        <v>1.4509400000000001</v>
      </c>
      <c r="Z330" s="1177">
        <f t="shared" si="53"/>
        <v>7.5285299999999999</v>
      </c>
      <c r="AA330" s="1177">
        <f t="shared" si="53"/>
        <v>29.572139999999997</v>
      </c>
      <c r="AB330" s="1177">
        <f t="shared" si="53"/>
        <v>0.97826000000000002</v>
      </c>
      <c r="AC330" s="1177">
        <f t="shared" si="53"/>
        <v>6.2989799999999994</v>
      </c>
      <c r="AD330" s="1177">
        <f t="shared" si="53"/>
        <v>0</v>
      </c>
      <c r="AE330" s="1177">
        <f t="shared" si="53"/>
        <v>0</v>
      </c>
      <c r="AF330" s="1178">
        <f t="shared" si="53"/>
        <v>55.330889999999989</v>
      </c>
    </row>
    <row r="334" spans="1:32" x14ac:dyDescent="0.25">
      <c r="B334" s="413" t="s">
        <v>1089</v>
      </c>
    </row>
    <row r="335" spans="1:32" x14ac:dyDescent="0.25">
      <c r="A335" s="513">
        <v>66126</v>
      </c>
      <c r="B335" s="529" t="s">
        <v>685</v>
      </c>
      <c r="C335" s="530">
        <v>0</v>
      </c>
      <c r="D335" s="530">
        <v>0</v>
      </c>
      <c r="E335" s="530">
        <v>1659.36</v>
      </c>
      <c r="F335" s="530">
        <v>0</v>
      </c>
      <c r="G335" s="530">
        <v>0</v>
      </c>
      <c r="H335" s="530">
        <v>0</v>
      </c>
      <c r="I335" s="530">
        <v>18879</v>
      </c>
      <c r="J335" s="530">
        <v>0</v>
      </c>
      <c r="K335" s="530">
        <v>0</v>
      </c>
      <c r="L335" s="530">
        <v>0</v>
      </c>
      <c r="M335" s="530">
        <v>0</v>
      </c>
      <c r="N335" s="530">
        <v>0</v>
      </c>
      <c r="O335" s="530">
        <v>0</v>
      </c>
      <c r="P335" s="530">
        <v>2</v>
      </c>
      <c r="Q335" s="530">
        <v>0</v>
      </c>
      <c r="R335" s="530">
        <v>0</v>
      </c>
      <c r="S335" s="530">
        <v>0</v>
      </c>
      <c r="T335" s="530">
        <v>0</v>
      </c>
      <c r="U335" s="530">
        <v>0</v>
      </c>
      <c r="V335" s="530">
        <v>0</v>
      </c>
      <c r="W335" s="530">
        <v>0</v>
      </c>
      <c r="X335" s="530">
        <v>0</v>
      </c>
      <c r="Y335" s="530">
        <v>0</v>
      </c>
      <c r="Z335" s="530">
        <v>0</v>
      </c>
      <c r="AA335" s="530">
        <v>0</v>
      </c>
      <c r="AB335" s="530">
        <v>0</v>
      </c>
      <c r="AC335" s="530">
        <v>0</v>
      </c>
      <c r="AD335" s="530">
        <v>0</v>
      </c>
      <c r="AE335" s="530">
        <v>0</v>
      </c>
      <c r="AF335" s="530">
        <v>0</v>
      </c>
    </row>
    <row r="336" spans="1:32" x14ac:dyDescent="0.25">
      <c r="A336" s="513">
        <v>66127</v>
      </c>
      <c r="B336" s="529" t="s">
        <v>686</v>
      </c>
      <c r="C336" s="530">
        <v>0</v>
      </c>
      <c r="D336" s="530">
        <v>0</v>
      </c>
      <c r="E336" s="530">
        <v>103.28999999999999</v>
      </c>
      <c r="F336" s="530">
        <v>0</v>
      </c>
      <c r="G336" s="530">
        <v>0</v>
      </c>
      <c r="H336" s="530">
        <v>0</v>
      </c>
      <c r="I336" s="530">
        <v>9193.74</v>
      </c>
      <c r="J336" s="530">
        <v>0</v>
      </c>
      <c r="K336" s="530">
        <v>0</v>
      </c>
      <c r="L336" s="530">
        <v>0</v>
      </c>
      <c r="M336" s="530">
        <v>0</v>
      </c>
      <c r="N336" s="530">
        <v>0</v>
      </c>
      <c r="O336" s="530">
        <v>0</v>
      </c>
      <c r="P336" s="530">
        <v>670.67</v>
      </c>
      <c r="Q336" s="530">
        <v>0</v>
      </c>
      <c r="R336" s="530">
        <v>0</v>
      </c>
      <c r="S336" s="530">
        <v>0</v>
      </c>
      <c r="T336" s="530">
        <v>0</v>
      </c>
      <c r="U336" s="530">
        <v>0</v>
      </c>
      <c r="V336" s="530">
        <v>0</v>
      </c>
      <c r="W336" s="530">
        <v>0</v>
      </c>
      <c r="X336" s="530">
        <v>0</v>
      </c>
      <c r="Y336" s="530">
        <v>0</v>
      </c>
      <c r="Z336" s="530">
        <v>0</v>
      </c>
      <c r="AA336" s="530">
        <v>0</v>
      </c>
      <c r="AB336" s="530">
        <v>469.18</v>
      </c>
      <c r="AC336" s="530">
        <v>0</v>
      </c>
      <c r="AD336" s="530">
        <v>0</v>
      </c>
      <c r="AE336" s="530">
        <v>0</v>
      </c>
      <c r="AF336" s="530">
        <v>0</v>
      </c>
    </row>
  </sheetData>
  <pageMargins left="0.75" right="0.75" top="1" bottom="1" header="0.5" footer="0.5"/>
  <pageSetup orientation="landscape" r:id="rId1"/>
  <headerFooter alignWithMargins="0">
    <oddHeader>&amp;R&amp;D
akim
Page &amp;P</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336"/>
  <sheetViews>
    <sheetView zoomScale="85" zoomScaleNormal="85" workbookViewId="0">
      <pane xSplit="2" ySplit="9" topLeftCell="C193" activePane="bottomRight" state="frozen"/>
      <selection activeCell="B2" sqref="B2"/>
      <selection pane="topRight" activeCell="B2" sqref="B2"/>
      <selection pane="bottomLeft" activeCell="B2" sqref="B2"/>
      <selection pane="bottomRight" activeCell="C3" sqref="C3"/>
    </sheetView>
  </sheetViews>
  <sheetFormatPr defaultRowHeight="15" x14ac:dyDescent="0.25"/>
  <cols>
    <col min="1" max="1" width="13" style="513" hidden="1" customWidth="1"/>
    <col min="2" max="2" width="40.5703125" style="413" customWidth="1"/>
    <col min="3" max="3" width="15.5703125" style="414" customWidth="1"/>
    <col min="4" max="13" width="13.7109375" style="414" customWidth="1"/>
    <col min="14" max="15" width="14.5703125" style="414" customWidth="1"/>
    <col min="16" max="16" width="13.7109375" style="414" hidden="1" customWidth="1"/>
    <col min="17" max="17" width="16" style="414" customWidth="1"/>
    <col min="18" max="20" width="13.7109375" style="414" customWidth="1"/>
    <col min="21" max="16384" width="9.140625" style="413"/>
  </cols>
  <sheetData>
    <row r="1" spans="1:20" s="511" customFormat="1" ht="12.75" hidden="1" x14ac:dyDescent="0.2">
      <c r="A1" s="510" t="s">
        <v>1090</v>
      </c>
      <c r="C1" s="512"/>
      <c r="D1" s="512"/>
      <c r="E1" s="512"/>
      <c r="F1" s="512"/>
      <c r="G1" s="512"/>
      <c r="H1" s="512"/>
      <c r="I1" s="512"/>
      <c r="J1" s="512"/>
      <c r="K1" s="512"/>
      <c r="L1" s="512"/>
      <c r="M1" s="512"/>
      <c r="N1" s="512"/>
      <c r="O1" s="512"/>
      <c r="P1" s="512" t="s">
        <v>512</v>
      </c>
      <c r="Q1" s="512"/>
      <c r="R1" s="512"/>
      <c r="S1" s="512"/>
      <c r="T1" s="512"/>
    </row>
    <row r="2" spans="1:20" hidden="1" x14ac:dyDescent="0.25">
      <c r="A2" s="513" t="s">
        <v>512</v>
      </c>
      <c r="B2" s="514" t="s">
        <v>513</v>
      </c>
      <c r="S2" s="1179"/>
    </row>
    <row r="3" spans="1:20" s="415" customFormat="1" ht="12.75" x14ac:dyDescent="0.2">
      <c r="A3" s="515"/>
      <c r="B3" s="516" t="s">
        <v>514</v>
      </c>
      <c r="C3" s="517" t="s">
        <v>1156</v>
      </c>
      <c r="D3" s="518"/>
      <c r="E3" s="518"/>
      <c r="F3" s="518"/>
      <c r="G3" s="518"/>
      <c r="H3" s="518"/>
      <c r="I3" s="518"/>
      <c r="J3" s="518"/>
      <c r="K3" s="518"/>
      <c r="L3" s="518"/>
      <c r="M3" s="518"/>
      <c r="N3" s="518"/>
      <c r="O3" s="518"/>
      <c r="P3" s="1180"/>
      <c r="Q3" s="519"/>
      <c r="R3" s="519"/>
      <c r="S3" s="519"/>
      <c r="T3" s="519"/>
    </row>
    <row r="4" spans="1:20" s="415" customFormat="1" ht="12.75" x14ac:dyDescent="0.2">
      <c r="A4" s="515"/>
      <c r="B4" s="516" t="s">
        <v>515</v>
      </c>
      <c r="C4" s="520" t="s">
        <v>516</v>
      </c>
      <c r="D4" s="518"/>
      <c r="E4" s="518"/>
      <c r="F4" s="518"/>
      <c r="G4" s="518"/>
      <c r="H4" s="518"/>
      <c r="I4" s="518"/>
      <c r="J4" s="518"/>
      <c r="K4" s="518"/>
      <c r="L4" s="518"/>
      <c r="M4" s="518"/>
      <c r="N4" s="518"/>
      <c r="O4" s="518"/>
      <c r="P4" s="1181"/>
      <c r="Q4" s="518"/>
      <c r="R4" s="518"/>
      <c r="S4" s="518"/>
      <c r="T4" s="518"/>
    </row>
    <row r="5" spans="1:20" s="415" customFormat="1" ht="12.75" x14ac:dyDescent="0.2">
      <c r="A5" s="515"/>
      <c r="B5" s="516" t="s">
        <v>783</v>
      </c>
      <c r="C5" s="518" t="s">
        <v>784</v>
      </c>
      <c r="D5" s="518"/>
      <c r="E5" s="518"/>
      <c r="F5" s="518"/>
      <c r="G5" s="518"/>
      <c r="H5" s="518"/>
      <c r="I5" s="518"/>
      <c r="J5" s="518"/>
      <c r="K5" s="518"/>
      <c r="L5" s="518"/>
      <c r="M5" s="518"/>
      <c r="N5" s="518"/>
      <c r="O5" s="518"/>
      <c r="P5" s="518"/>
      <c r="Q5" s="518"/>
      <c r="R5" s="518"/>
      <c r="S5" s="518"/>
      <c r="T5" s="518"/>
    </row>
    <row r="6" spans="1:20" s="415" customFormat="1" ht="12.75" x14ac:dyDescent="0.2">
      <c r="A6" s="515"/>
      <c r="B6" s="516" t="s">
        <v>179</v>
      </c>
      <c r="C6" s="522" t="s">
        <v>166</v>
      </c>
      <c r="D6" s="518"/>
      <c r="E6" s="518"/>
      <c r="F6" s="518"/>
      <c r="G6" s="518"/>
      <c r="H6" s="518"/>
      <c r="I6" s="518"/>
      <c r="J6" s="518"/>
      <c r="K6" s="518"/>
      <c r="L6" s="518"/>
      <c r="M6" s="518"/>
      <c r="N6" s="518"/>
      <c r="O6" s="518"/>
      <c r="P6" s="518"/>
      <c r="Q6" s="518"/>
      <c r="R6" s="518"/>
      <c r="S6" s="518"/>
      <c r="T6" s="518"/>
    </row>
    <row r="7" spans="1:20" s="415" customFormat="1" ht="12.75" x14ac:dyDescent="0.2">
      <c r="A7" s="515"/>
      <c r="B7" s="516" t="s">
        <v>518</v>
      </c>
      <c r="C7" s="573" t="s">
        <v>519</v>
      </c>
      <c r="D7" s="573" t="s">
        <v>521</v>
      </c>
      <c r="E7" s="573" t="s">
        <v>522</v>
      </c>
      <c r="F7" s="573" t="s">
        <v>1091</v>
      </c>
      <c r="G7" s="573" t="s">
        <v>1092</v>
      </c>
      <c r="H7" s="573" t="s">
        <v>524</v>
      </c>
      <c r="I7" s="573" t="s">
        <v>1093</v>
      </c>
      <c r="J7" s="573" t="s">
        <v>526</v>
      </c>
      <c r="K7" s="573" t="s">
        <v>531</v>
      </c>
      <c r="L7" s="573" t="s">
        <v>1094</v>
      </c>
      <c r="M7" s="573" t="s">
        <v>533</v>
      </c>
      <c r="N7" s="573" t="s">
        <v>536</v>
      </c>
      <c r="O7" s="573" t="s">
        <v>1095</v>
      </c>
      <c r="P7" s="573" t="s">
        <v>537</v>
      </c>
      <c r="Q7" s="573" t="s">
        <v>785</v>
      </c>
      <c r="R7" s="573" t="s">
        <v>540</v>
      </c>
      <c r="S7" s="528"/>
    </row>
    <row r="8" spans="1:20" s="415" customFormat="1" ht="12.75" x14ac:dyDescent="0.2">
      <c r="A8" s="515"/>
      <c r="B8" s="516" t="s">
        <v>541</v>
      </c>
      <c r="C8" s="573"/>
      <c r="D8" s="573"/>
      <c r="E8" s="573"/>
      <c r="F8" s="573"/>
      <c r="G8" s="573"/>
      <c r="H8" s="573"/>
      <c r="I8" s="573"/>
      <c r="J8" s="573"/>
      <c r="K8" s="573"/>
      <c r="L8" s="573"/>
      <c r="M8" s="573"/>
      <c r="N8" s="573"/>
      <c r="O8" s="573"/>
      <c r="P8" s="573"/>
      <c r="Q8" s="573"/>
      <c r="R8" s="573" t="s">
        <v>542</v>
      </c>
      <c r="S8" s="528"/>
    </row>
    <row r="9" spans="1:20" s="1185" customFormat="1" ht="63.75" x14ac:dyDescent="0.2">
      <c r="A9" s="1182"/>
      <c r="B9" s="1148" t="s">
        <v>1074</v>
      </c>
      <c r="C9" s="1183" t="s">
        <v>237</v>
      </c>
      <c r="D9" s="1183"/>
      <c r="E9" s="1183"/>
      <c r="F9" s="1183" t="s">
        <v>308</v>
      </c>
      <c r="G9" s="1183" t="s">
        <v>323</v>
      </c>
      <c r="H9" s="1183"/>
      <c r="I9" s="1183" t="s">
        <v>321</v>
      </c>
      <c r="J9" s="1183"/>
      <c r="K9" s="1183" t="s">
        <v>238</v>
      </c>
      <c r="L9" s="1183" t="s">
        <v>304</v>
      </c>
      <c r="M9" s="1183" t="s">
        <v>322</v>
      </c>
      <c r="N9" s="1183" t="s">
        <v>239</v>
      </c>
      <c r="O9" s="1183" t="s">
        <v>324</v>
      </c>
      <c r="P9" s="1183"/>
      <c r="Q9" s="1183"/>
      <c r="R9" s="1183"/>
      <c r="S9" s="1184"/>
    </row>
    <row r="10" spans="1:20" ht="12.75" x14ac:dyDescent="0.2">
      <c r="B10" s="516" t="s">
        <v>543</v>
      </c>
      <c r="C10" s="522"/>
      <c r="D10" s="522"/>
      <c r="E10" s="522"/>
      <c r="F10" s="522"/>
      <c r="G10" s="522"/>
      <c r="H10" s="522"/>
      <c r="I10" s="522"/>
      <c r="J10" s="522"/>
      <c r="K10" s="522"/>
      <c r="L10" s="522"/>
      <c r="M10" s="522"/>
      <c r="N10" s="522"/>
      <c r="O10" s="522"/>
      <c r="P10" s="522"/>
      <c r="Q10" s="522"/>
      <c r="R10" s="522"/>
      <c r="S10" s="522"/>
      <c r="T10" s="413"/>
    </row>
    <row r="11" spans="1:20" s="428" customFormat="1" ht="12.75" x14ac:dyDescent="0.2">
      <c r="A11" s="513"/>
      <c r="B11" s="516" t="s">
        <v>544</v>
      </c>
      <c r="C11" s="528"/>
      <c r="D11" s="528"/>
      <c r="E11" s="528"/>
      <c r="F11" s="528"/>
      <c r="G11" s="528"/>
      <c r="H11" s="528"/>
      <c r="I11" s="528"/>
      <c r="J11" s="528"/>
      <c r="K11" s="528"/>
      <c r="L11" s="528"/>
      <c r="M11" s="528"/>
      <c r="N11" s="528"/>
      <c r="O11" s="528"/>
      <c r="P11" s="528"/>
      <c r="Q11" s="528"/>
      <c r="R11" s="528"/>
      <c r="S11" s="528"/>
    </row>
    <row r="12" spans="1:20" s="428" customFormat="1" ht="12.75" x14ac:dyDescent="0.2">
      <c r="A12" s="513">
        <v>42000</v>
      </c>
      <c r="B12" s="529" t="s">
        <v>545</v>
      </c>
      <c r="C12" s="530">
        <v>0</v>
      </c>
      <c r="D12" s="530">
        <v>0</v>
      </c>
      <c r="E12" s="530">
        <v>0</v>
      </c>
      <c r="F12" s="530">
        <v>0</v>
      </c>
      <c r="G12" s="530">
        <v>0</v>
      </c>
      <c r="H12" s="530">
        <v>0</v>
      </c>
      <c r="I12" s="530">
        <v>0</v>
      </c>
      <c r="J12" s="530">
        <v>0</v>
      </c>
      <c r="K12" s="530">
        <v>0</v>
      </c>
      <c r="L12" s="530">
        <v>0</v>
      </c>
      <c r="M12" s="530">
        <v>0</v>
      </c>
      <c r="N12" s="530">
        <v>0</v>
      </c>
      <c r="O12" s="530">
        <v>0</v>
      </c>
      <c r="P12" s="530">
        <v>0</v>
      </c>
      <c r="Q12" s="530">
        <v>0</v>
      </c>
      <c r="R12" s="530">
        <v>0</v>
      </c>
      <c r="S12" s="530">
        <f>SUM(C12:R12)</f>
        <v>0</v>
      </c>
    </row>
    <row r="13" spans="1:20" s="428" customFormat="1" ht="12.75" x14ac:dyDescent="0.2">
      <c r="A13" s="513">
        <v>42099</v>
      </c>
      <c r="B13" s="514" t="s">
        <v>546</v>
      </c>
      <c r="C13" s="531">
        <v>0</v>
      </c>
      <c r="D13" s="531">
        <v>0</v>
      </c>
      <c r="E13" s="531">
        <v>0</v>
      </c>
      <c r="F13" s="531">
        <v>0</v>
      </c>
      <c r="G13" s="531">
        <v>0</v>
      </c>
      <c r="H13" s="531">
        <v>0</v>
      </c>
      <c r="I13" s="531">
        <v>0</v>
      </c>
      <c r="J13" s="531">
        <v>0</v>
      </c>
      <c r="K13" s="531">
        <v>0</v>
      </c>
      <c r="L13" s="531">
        <v>0</v>
      </c>
      <c r="M13" s="531">
        <v>0</v>
      </c>
      <c r="N13" s="531">
        <v>0</v>
      </c>
      <c r="O13" s="531">
        <v>0</v>
      </c>
      <c r="P13" s="531">
        <v>0</v>
      </c>
      <c r="Q13" s="531">
        <v>0</v>
      </c>
      <c r="R13" s="531">
        <v>0</v>
      </c>
      <c r="S13" s="531">
        <f>SUM(C13:R13)</f>
        <v>0</v>
      </c>
    </row>
    <row r="14" spans="1:20" s="521" customFormat="1" ht="12.75" x14ac:dyDescent="0.2">
      <c r="A14" s="513">
        <v>42999</v>
      </c>
      <c r="B14" s="532" t="s">
        <v>547</v>
      </c>
      <c r="C14" s="533">
        <f t="shared" ref="C14:S14" si="0">SUM(C12:C13)</f>
        <v>0</v>
      </c>
      <c r="D14" s="533">
        <f t="shared" si="0"/>
        <v>0</v>
      </c>
      <c r="E14" s="533">
        <f t="shared" si="0"/>
        <v>0</v>
      </c>
      <c r="F14" s="533">
        <f t="shared" si="0"/>
        <v>0</v>
      </c>
      <c r="G14" s="533">
        <f t="shared" si="0"/>
        <v>0</v>
      </c>
      <c r="H14" s="533">
        <f t="shared" si="0"/>
        <v>0</v>
      </c>
      <c r="I14" s="533">
        <f t="shared" si="0"/>
        <v>0</v>
      </c>
      <c r="J14" s="533">
        <f t="shared" si="0"/>
        <v>0</v>
      </c>
      <c r="K14" s="533">
        <f t="shared" si="0"/>
        <v>0</v>
      </c>
      <c r="L14" s="533">
        <f t="shared" si="0"/>
        <v>0</v>
      </c>
      <c r="M14" s="533">
        <f t="shared" si="0"/>
        <v>0</v>
      </c>
      <c r="N14" s="533">
        <f t="shared" si="0"/>
        <v>0</v>
      </c>
      <c r="O14" s="533">
        <f t="shared" si="0"/>
        <v>0</v>
      </c>
      <c r="P14" s="533">
        <f t="shared" si="0"/>
        <v>0</v>
      </c>
      <c r="Q14" s="533">
        <f t="shared" si="0"/>
        <v>0</v>
      </c>
      <c r="R14" s="533">
        <f t="shared" si="0"/>
        <v>0</v>
      </c>
      <c r="S14" s="533">
        <f t="shared" si="0"/>
        <v>0</v>
      </c>
    </row>
    <row r="15" spans="1:20" s="428" customFormat="1" ht="12.75" x14ac:dyDescent="0.2">
      <c r="A15" s="513"/>
      <c r="B15" s="516"/>
      <c r="C15" s="528"/>
      <c r="D15" s="528"/>
      <c r="E15" s="528"/>
      <c r="F15" s="528"/>
      <c r="G15" s="528"/>
      <c r="H15" s="528"/>
      <c r="I15" s="528"/>
      <c r="J15" s="528"/>
      <c r="K15" s="528"/>
      <c r="L15" s="528"/>
      <c r="M15" s="528"/>
      <c r="N15" s="528"/>
      <c r="O15" s="528"/>
      <c r="P15" s="528"/>
      <c r="Q15" s="528"/>
      <c r="R15" s="528"/>
      <c r="S15" s="528"/>
    </row>
    <row r="16" spans="1:20" s="428" customFormat="1" ht="12.75" x14ac:dyDescent="0.2">
      <c r="A16" s="513"/>
      <c r="B16" s="516" t="s">
        <v>548</v>
      </c>
      <c r="C16" s="528"/>
      <c r="D16" s="528"/>
      <c r="E16" s="528"/>
      <c r="F16" s="528"/>
      <c r="G16" s="528"/>
      <c r="H16" s="528"/>
      <c r="I16" s="528"/>
      <c r="J16" s="528"/>
      <c r="K16" s="528"/>
      <c r="L16" s="528"/>
      <c r="M16" s="528"/>
      <c r="N16" s="528"/>
      <c r="O16" s="528"/>
      <c r="P16" s="528"/>
      <c r="Q16" s="528"/>
      <c r="R16" s="528"/>
      <c r="S16" s="528"/>
    </row>
    <row r="17" spans="1:19" s="428" customFormat="1" ht="12.75" x14ac:dyDescent="0.2">
      <c r="A17" s="513">
        <v>48100</v>
      </c>
      <c r="B17" s="529" t="s">
        <v>549</v>
      </c>
      <c r="C17" s="530">
        <v>0</v>
      </c>
      <c r="D17" s="530">
        <v>0</v>
      </c>
      <c r="E17" s="530">
        <v>0</v>
      </c>
      <c r="F17" s="530">
        <v>0</v>
      </c>
      <c r="G17" s="530">
        <v>0</v>
      </c>
      <c r="H17" s="530">
        <v>0</v>
      </c>
      <c r="I17" s="530">
        <v>0</v>
      </c>
      <c r="J17" s="530">
        <v>0</v>
      </c>
      <c r="K17" s="530">
        <v>0</v>
      </c>
      <c r="L17" s="530">
        <v>0</v>
      </c>
      <c r="M17" s="530">
        <v>0</v>
      </c>
      <c r="N17" s="530">
        <v>0</v>
      </c>
      <c r="O17" s="530">
        <v>0</v>
      </c>
      <c r="P17" s="530">
        <v>0</v>
      </c>
      <c r="Q17" s="530">
        <v>0</v>
      </c>
      <c r="R17" s="530">
        <v>0</v>
      </c>
      <c r="S17" s="530">
        <f>SUM(C17:R17)</f>
        <v>0</v>
      </c>
    </row>
    <row r="18" spans="1:19" s="428" customFormat="1" ht="12.75" x14ac:dyDescent="0.2">
      <c r="A18" s="513">
        <v>48095</v>
      </c>
      <c r="B18" s="534" t="s">
        <v>550</v>
      </c>
      <c r="C18" s="530">
        <v>0</v>
      </c>
      <c r="D18" s="530">
        <v>0</v>
      </c>
      <c r="E18" s="530">
        <v>0</v>
      </c>
      <c r="F18" s="530">
        <v>0</v>
      </c>
      <c r="G18" s="530">
        <v>0</v>
      </c>
      <c r="H18" s="530">
        <v>0</v>
      </c>
      <c r="I18" s="530">
        <v>0</v>
      </c>
      <c r="J18" s="530">
        <v>0</v>
      </c>
      <c r="K18" s="530">
        <v>0</v>
      </c>
      <c r="L18" s="530">
        <v>0</v>
      </c>
      <c r="M18" s="530">
        <v>0</v>
      </c>
      <c r="N18" s="530">
        <v>0</v>
      </c>
      <c r="O18" s="530">
        <v>0</v>
      </c>
      <c r="P18" s="530">
        <v>0</v>
      </c>
      <c r="Q18" s="530">
        <v>0</v>
      </c>
      <c r="R18" s="530">
        <v>0</v>
      </c>
      <c r="S18" s="530">
        <f>SUM(C18:R18)</f>
        <v>0</v>
      </c>
    </row>
    <row r="19" spans="1:19" s="428" customFormat="1" ht="12.75" x14ac:dyDescent="0.2">
      <c r="A19" s="513" t="s">
        <v>551</v>
      </c>
      <c r="B19" s="534" t="s">
        <v>552</v>
      </c>
      <c r="C19" s="530">
        <v>0</v>
      </c>
      <c r="D19" s="530">
        <v>0</v>
      </c>
      <c r="E19" s="530">
        <v>0</v>
      </c>
      <c r="F19" s="530">
        <v>0</v>
      </c>
      <c r="G19" s="530">
        <v>0</v>
      </c>
      <c r="H19" s="530">
        <v>0</v>
      </c>
      <c r="I19" s="530">
        <v>0</v>
      </c>
      <c r="J19" s="530">
        <v>0</v>
      </c>
      <c r="K19" s="530">
        <v>0</v>
      </c>
      <c r="L19" s="530">
        <v>0</v>
      </c>
      <c r="M19" s="530">
        <v>0</v>
      </c>
      <c r="N19" s="530">
        <v>0</v>
      </c>
      <c r="O19" s="530">
        <v>0</v>
      </c>
      <c r="P19" s="530">
        <v>0</v>
      </c>
      <c r="Q19" s="530">
        <v>0</v>
      </c>
      <c r="R19" s="530">
        <v>0</v>
      </c>
      <c r="S19" s="530">
        <f>SUM(C19:R19)</f>
        <v>0</v>
      </c>
    </row>
    <row r="20" spans="1:19" s="428" customFormat="1" ht="12.75" x14ac:dyDescent="0.2">
      <c r="A20" s="513">
        <v>48070</v>
      </c>
      <c r="B20" s="535" t="s">
        <v>553</v>
      </c>
      <c r="C20" s="530">
        <v>0</v>
      </c>
      <c r="D20" s="530">
        <v>0</v>
      </c>
      <c r="E20" s="530">
        <v>0</v>
      </c>
      <c r="F20" s="530">
        <v>0</v>
      </c>
      <c r="G20" s="530">
        <v>0</v>
      </c>
      <c r="H20" s="530">
        <v>0</v>
      </c>
      <c r="I20" s="530">
        <v>0</v>
      </c>
      <c r="J20" s="530">
        <v>0</v>
      </c>
      <c r="K20" s="530">
        <v>0</v>
      </c>
      <c r="L20" s="530">
        <v>0</v>
      </c>
      <c r="M20" s="530">
        <v>0</v>
      </c>
      <c r="N20" s="530">
        <v>0</v>
      </c>
      <c r="O20" s="530">
        <v>0</v>
      </c>
      <c r="P20" s="530">
        <v>0</v>
      </c>
      <c r="Q20" s="530">
        <v>0</v>
      </c>
      <c r="R20" s="530">
        <v>0</v>
      </c>
      <c r="S20" s="530">
        <f>SUM(C20:R20)</f>
        <v>0</v>
      </c>
    </row>
    <row r="21" spans="1:19" s="428" customFormat="1" ht="12.75" x14ac:dyDescent="0.2">
      <c r="A21" s="513">
        <v>48300</v>
      </c>
      <c r="B21" s="514" t="s">
        <v>554</v>
      </c>
      <c r="C21" s="531">
        <v>0</v>
      </c>
      <c r="D21" s="531">
        <v>0</v>
      </c>
      <c r="E21" s="531">
        <v>0</v>
      </c>
      <c r="F21" s="531">
        <v>0</v>
      </c>
      <c r="G21" s="531">
        <v>0</v>
      </c>
      <c r="H21" s="531">
        <v>0</v>
      </c>
      <c r="I21" s="531">
        <v>0</v>
      </c>
      <c r="J21" s="531">
        <v>0</v>
      </c>
      <c r="K21" s="531">
        <v>0</v>
      </c>
      <c r="L21" s="531">
        <v>0</v>
      </c>
      <c r="M21" s="531">
        <v>0</v>
      </c>
      <c r="N21" s="531">
        <v>0</v>
      </c>
      <c r="O21" s="531">
        <v>0</v>
      </c>
      <c r="P21" s="531">
        <v>0</v>
      </c>
      <c r="Q21" s="531">
        <v>0</v>
      </c>
      <c r="R21" s="531">
        <v>0</v>
      </c>
      <c r="S21" s="531">
        <f>SUM(C21:R21)</f>
        <v>0</v>
      </c>
    </row>
    <row r="22" spans="1:19" s="521" customFormat="1" ht="12.75" x14ac:dyDescent="0.2">
      <c r="A22" s="513">
        <v>48500</v>
      </c>
      <c r="B22" s="532" t="s">
        <v>555</v>
      </c>
      <c r="C22" s="533">
        <f t="shared" ref="C22:S22" si="1">SUM(C17:C21)</f>
        <v>0</v>
      </c>
      <c r="D22" s="533">
        <f t="shared" si="1"/>
        <v>0</v>
      </c>
      <c r="E22" s="533">
        <f t="shared" si="1"/>
        <v>0</v>
      </c>
      <c r="F22" s="533">
        <f t="shared" si="1"/>
        <v>0</v>
      </c>
      <c r="G22" s="533">
        <f t="shared" si="1"/>
        <v>0</v>
      </c>
      <c r="H22" s="533">
        <f t="shared" si="1"/>
        <v>0</v>
      </c>
      <c r="I22" s="533">
        <f t="shared" si="1"/>
        <v>0</v>
      </c>
      <c r="J22" s="533">
        <f t="shared" si="1"/>
        <v>0</v>
      </c>
      <c r="K22" s="533">
        <f t="shared" si="1"/>
        <v>0</v>
      </c>
      <c r="L22" s="533">
        <f t="shared" si="1"/>
        <v>0</v>
      </c>
      <c r="M22" s="533">
        <f t="shared" si="1"/>
        <v>0</v>
      </c>
      <c r="N22" s="533">
        <f t="shared" si="1"/>
        <v>0</v>
      </c>
      <c r="O22" s="533">
        <f t="shared" si="1"/>
        <v>0</v>
      </c>
      <c r="P22" s="533">
        <f t="shared" si="1"/>
        <v>0</v>
      </c>
      <c r="Q22" s="533">
        <f t="shared" si="1"/>
        <v>0</v>
      </c>
      <c r="R22" s="533">
        <f t="shared" si="1"/>
        <v>0</v>
      </c>
      <c r="S22" s="533">
        <f t="shared" si="1"/>
        <v>0</v>
      </c>
    </row>
    <row r="23" spans="1:19" s="428" customFormat="1" ht="12.75" x14ac:dyDescent="0.2">
      <c r="A23" s="513"/>
      <c r="B23" s="536"/>
      <c r="C23" s="537"/>
      <c r="D23" s="537"/>
      <c r="E23" s="537"/>
      <c r="F23" s="537"/>
      <c r="G23" s="537"/>
      <c r="H23" s="537"/>
      <c r="I23" s="537"/>
      <c r="J23" s="537"/>
      <c r="K23" s="537"/>
      <c r="L23" s="537"/>
      <c r="M23" s="537"/>
      <c r="N23" s="537"/>
      <c r="O23" s="537"/>
      <c r="P23" s="537"/>
      <c r="Q23" s="537"/>
      <c r="R23" s="537"/>
      <c r="S23" s="537"/>
    </row>
    <row r="24" spans="1:19" s="521" customFormat="1" ht="12.75" x14ac:dyDescent="0.2">
      <c r="A24" s="513">
        <v>49900</v>
      </c>
      <c r="B24" s="536" t="s">
        <v>556</v>
      </c>
      <c r="C24" s="537">
        <f t="shared" ref="C24:S24" si="2">C14+C22</f>
        <v>0</v>
      </c>
      <c r="D24" s="537">
        <f t="shared" si="2"/>
        <v>0</v>
      </c>
      <c r="E24" s="537">
        <f t="shared" si="2"/>
        <v>0</v>
      </c>
      <c r="F24" s="537">
        <f t="shared" si="2"/>
        <v>0</v>
      </c>
      <c r="G24" s="537">
        <f t="shared" si="2"/>
        <v>0</v>
      </c>
      <c r="H24" s="537">
        <f t="shared" si="2"/>
        <v>0</v>
      </c>
      <c r="I24" s="537">
        <f t="shared" si="2"/>
        <v>0</v>
      </c>
      <c r="J24" s="537">
        <f t="shared" si="2"/>
        <v>0</v>
      </c>
      <c r="K24" s="537">
        <f t="shared" si="2"/>
        <v>0</v>
      </c>
      <c r="L24" s="537">
        <f t="shared" si="2"/>
        <v>0</v>
      </c>
      <c r="M24" s="537">
        <f t="shared" si="2"/>
        <v>0</v>
      </c>
      <c r="N24" s="537">
        <f t="shared" si="2"/>
        <v>0</v>
      </c>
      <c r="O24" s="537">
        <f t="shared" si="2"/>
        <v>0</v>
      </c>
      <c r="P24" s="537">
        <f t="shared" si="2"/>
        <v>0</v>
      </c>
      <c r="Q24" s="537">
        <f t="shared" si="2"/>
        <v>0</v>
      </c>
      <c r="R24" s="537">
        <f t="shared" si="2"/>
        <v>0</v>
      </c>
      <c r="S24" s="537">
        <f t="shared" si="2"/>
        <v>0</v>
      </c>
    </row>
    <row r="25" spans="1:19" s="428" customFormat="1" ht="12.75" x14ac:dyDescent="0.2">
      <c r="A25" s="513"/>
      <c r="B25" s="516"/>
      <c r="C25" s="528"/>
      <c r="D25" s="528"/>
      <c r="E25" s="528"/>
      <c r="F25" s="528"/>
      <c r="G25" s="528"/>
      <c r="H25" s="528"/>
      <c r="I25" s="528"/>
      <c r="J25" s="528"/>
      <c r="K25" s="528"/>
      <c r="L25" s="528"/>
      <c r="M25" s="528"/>
      <c r="N25" s="528"/>
      <c r="O25" s="528"/>
      <c r="P25" s="528"/>
      <c r="Q25" s="528"/>
      <c r="R25" s="528"/>
      <c r="S25" s="528"/>
    </row>
    <row r="26" spans="1:19" s="428" customFormat="1" ht="12.75" x14ac:dyDescent="0.2">
      <c r="A26" s="513"/>
      <c r="B26" s="516" t="s">
        <v>557</v>
      </c>
      <c r="C26" s="528"/>
      <c r="D26" s="528"/>
      <c r="E26" s="528"/>
      <c r="F26" s="528"/>
      <c r="G26" s="528"/>
      <c r="H26" s="528"/>
      <c r="I26" s="528"/>
      <c r="J26" s="528"/>
      <c r="K26" s="528"/>
      <c r="L26" s="528"/>
      <c r="M26" s="528"/>
      <c r="N26" s="528"/>
      <c r="O26" s="528"/>
      <c r="P26" s="528"/>
      <c r="Q26" s="528"/>
      <c r="R26" s="528"/>
      <c r="S26" s="528"/>
    </row>
    <row r="27" spans="1:19" s="428" customFormat="1" ht="12.75" x14ac:dyDescent="0.2">
      <c r="A27" s="513">
        <v>51000</v>
      </c>
      <c r="B27" s="1186" t="s">
        <v>558</v>
      </c>
      <c r="C27" s="538"/>
      <c r="D27" s="538"/>
      <c r="E27" s="538"/>
      <c r="F27" s="538"/>
      <c r="G27" s="538"/>
      <c r="H27" s="538"/>
      <c r="I27" s="538"/>
      <c r="J27" s="538"/>
      <c r="K27" s="538"/>
      <c r="L27" s="538"/>
      <c r="M27" s="538"/>
      <c r="N27" s="539"/>
      <c r="O27" s="539"/>
      <c r="P27" s="539"/>
      <c r="Q27" s="539"/>
      <c r="R27" s="539"/>
      <c r="S27" s="539"/>
    </row>
    <row r="28" spans="1:19" s="428" customFormat="1" ht="12.75" x14ac:dyDescent="0.2">
      <c r="A28" s="513">
        <v>52000</v>
      </c>
      <c r="B28" s="1187" t="s">
        <v>559</v>
      </c>
      <c r="C28" s="538"/>
      <c r="D28" s="538"/>
      <c r="E28" s="538"/>
      <c r="F28" s="538"/>
      <c r="G28" s="538"/>
      <c r="H28" s="538"/>
      <c r="I28" s="538"/>
      <c r="J28" s="538"/>
      <c r="K28" s="538"/>
      <c r="L28" s="538"/>
      <c r="M28" s="538"/>
      <c r="N28" s="539"/>
      <c r="O28" s="539"/>
      <c r="P28" s="539"/>
      <c r="Q28" s="539"/>
      <c r="R28" s="539"/>
      <c r="S28" s="539"/>
    </row>
    <row r="29" spans="1:19" s="428" customFormat="1" ht="12.75" x14ac:dyDescent="0.2">
      <c r="A29" s="513">
        <v>52010</v>
      </c>
      <c r="B29" s="1187" t="s">
        <v>560</v>
      </c>
      <c r="C29" s="538"/>
      <c r="D29" s="538"/>
      <c r="E29" s="538"/>
      <c r="F29" s="538"/>
      <c r="G29" s="538"/>
      <c r="H29" s="538"/>
      <c r="I29" s="538"/>
      <c r="J29" s="538"/>
      <c r="K29" s="538"/>
      <c r="L29" s="538"/>
      <c r="M29" s="538"/>
      <c r="N29" s="539"/>
      <c r="O29" s="539"/>
      <c r="P29" s="539"/>
      <c r="Q29" s="539"/>
      <c r="R29" s="539"/>
      <c r="S29" s="539"/>
    </row>
    <row r="30" spans="1:19" s="428" customFormat="1" ht="12.75" x14ac:dyDescent="0.2">
      <c r="A30" s="513">
        <v>52015</v>
      </c>
      <c r="B30" s="1187" t="s">
        <v>561</v>
      </c>
      <c r="C30" s="538"/>
      <c r="D30" s="538"/>
      <c r="E30" s="538"/>
      <c r="F30" s="538"/>
      <c r="G30" s="538"/>
      <c r="H30" s="538"/>
      <c r="I30" s="538"/>
      <c r="J30" s="538"/>
      <c r="K30" s="538"/>
      <c r="L30" s="538"/>
      <c r="M30" s="538"/>
      <c r="N30" s="539"/>
      <c r="O30" s="539"/>
      <c r="P30" s="539"/>
      <c r="Q30" s="539"/>
      <c r="R30" s="539"/>
      <c r="S30" s="539"/>
    </row>
    <row r="31" spans="1:19" s="428" customFormat="1" ht="12.75" x14ac:dyDescent="0.2">
      <c r="A31" s="513">
        <v>52020</v>
      </c>
      <c r="B31" s="1187" t="s">
        <v>562</v>
      </c>
      <c r="C31" s="538"/>
      <c r="D31" s="538"/>
      <c r="E31" s="538"/>
      <c r="F31" s="538"/>
      <c r="G31" s="538"/>
      <c r="H31" s="538"/>
      <c r="I31" s="538"/>
      <c r="J31" s="538"/>
      <c r="K31" s="538"/>
      <c r="L31" s="538"/>
      <c r="M31" s="538"/>
      <c r="N31" s="539"/>
      <c r="O31" s="539"/>
      <c r="P31" s="539"/>
      <c r="Q31" s="539"/>
      <c r="R31" s="539"/>
      <c r="S31" s="539"/>
    </row>
    <row r="32" spans="1:19" s="428" customFormat="1" ht="12.75" x14ac:dyDescent="0.2">
      <c r="A32" s="513">
        <v>52030</v>
      </c>
      <c r="B32" s="1187" t="s">
        <v>563</v>
      </c>
      <c r="C32" s="538"/>
      <c r="D32" s="538"/>
      <c r="E32" s="538"/>
      <c r="F32" s="538"/>
      <c r="G32" s="538"/>
      <c r="H32" s="538"/>
      <c r="I32" s="538"/>
      <c r="J32" s="538"/>
      <c r="K32" s="538"/>
      <c r="L32" s="538"/>
      <c r="M32" s="538"/>
      <c r="N32" s="539"/>
      <c r="O32" s="539"/>
      <c r="P32" s="539"/>
      <c r="Q32" s="539"/>
      <c r="R32" s="539"/>
      <c r="S32" s="539"/>
    </row>
    <row r="33" spans="1:19" s="428" customFormat="1" ht="12.75" x14ac:dyDescent="0.2">
      <c r="A33" s="513">
        <v>52031</v>
      </c>
      <c r="B33" s="1187" t="s">
        <v>564</v>
      </c>
      <c r="C33" s="538"/>
      <c r="D33" s="538"/>
      <c r="E33" s="538"/>
      <c r="F33" s="538"/>
      <c r="G33" s="538"/>
      <c r="H33" s="538"/>
      <c r="I33" s="538"/>
      <c r="J33" s="538"/>
      <c r="K33" s="538"/>
      <c r="L33" s="538"/>
      <c r="M33" s="538"/>
      <c r="N33" s="539"/>
      <c r="O33" s="539"/>
      <c r="P33" s="539"/>
      <c r="Q33" s="539"/>
      <c r="R33" s="539"/>
      <c r="S33" s="539"/>
    </row>
    <row r="34" spans="1:19" s="428" customFormat="1" ht="12.75" x14ac:dyDescent="0.2">
      <c r="A34" s="513">
        <v>52035</v>
      </c>
      <c r="B34" s="1187" t="s">
        <v>565</v>
      </c>
      <c r="C34" s="538"/>
      <c r="D34" s="538"/>
      <c r="E34" s="538"/>
      <c r="F34" s="538"/>
      <c r="G34" s="538"/>
      <c r="H34" s="538"/>
      <c r="I34" s="538"/>
      <c r="J34" s="538"/>
      <c r="K34" s="538"/>
      <c r="L34" s="538"/>
      <c r="M34" s="538"/>
      <c r="N34" s="539"/>
      <c r="O34" s="539"/>
      <c r="P34" s="539"/>
      <c r="Q34" s="539"/>
      <c r="R34" s="539"/>
      <c r="S34" s="539"/>
    </row>
    <row r="35" spans="1:19" s="428" customFormat="1" ht="12.75" x14ac:dyDescent="0.2">
      <c r="A35" s="513">
        <v>52040</v>
      </c>
      <c r="B35" s="1187" t="s">
        <v>566</v>
      </c>
      <c r="C35" s="538"/>
      <c r="D35" s="538"/>
      <c r="E35" s="538"/>
      <c r="F35" s="538"/>
      <c r="G35" s="538"/>
      <c r="H35" s="538"/>
      <c r="I35" s="538"/>
      <c r="J35" s="538"/>
      <c r="K35" s="538"/>
      <c r="L35" s="538"/>
      <c r="M35" s="538"/>
      <c r="N35" s="539"/>
      <c r="O35" s="539"/>
      <c r="P35" s="539"/>
      <c r="Q35" s="539"/>
      <c r="R35" s="539"/>
      <c r="S35" s="539"/>
    </row>
    <row r="36" spans="1:19" s="428" customFormat="1" ht="12.75" x14ac:dyDescent="0.2">
      <c r="A36" s="513">
        <v>52525</v>
      </c>
      <c r="B36" s="1187" t="s">
        <v>567</v>
      </c>
      <c r="C36" s="538"/>
      <c r="D36" s="538"/>
      <c r="E36" s="538"/>
      <c r="F36" s="538"/>
      <c r="G36" s="538"/>
      <c r="H36" s="538"/>
      <c r="I36" s="538"/>
      <c r="J36" s="538"/>
      <c r="K36" s="538"/>
      <c r="L36" s="538"/>
      <c r="M36" s="538"/>
      <c r="N36" s="539"/>
      <c r="O36" s="539"/>
      <c r="P36" s="539"/>
      <c r="Q36" s="539"/>
      <c r="R36" s="539"/>
      <c r="S36" s="539"/>
    </row>
    <row r="37" spans="1:19" s="428" customFormat="1" ht="12.75" x14ac:dyDescent="0.2">
      <c r="A37" s="513">
        <v>52601</v>
      </c>
      <c r="B37" s="1187" t="s">
        <v>568</v>
      </c>
      <c r="C37" s="538"/>
      <c r="D37" s="538"/>
      <c r="E37" s="538"/>
      <c r="F37" s="538"/>
      <c r="G37" s="538"/>
      <c r="H37" s="538"/>
      <c r="I37" s="538"/>
      <c r="J37" s="538"/>
      <c r="K37" s="538"/>
      <c r="L37" s="538"/>
      <c r="M37" s="538"/>
      <c r="N37" s="539"/>
      <c r="O37" s="539"/>
      <c r="P37" s="539"/>
      <c r="Q37" s="539"/>
      <c r="R37" s="539"/>
      <c r="S37" s="539"/>
    </row>
    <row r="38" spans="1:19" s="428" customFormat="1" ht="12.75" x14ac:dyDescent="0.2">
      <c r="A38" s="513">
        <v>52602</v>
      </c>
      <c r="B38" s="1187" t="s">
        <v>569</v>
      </c>
      <c r="C38" s="538"/>
      <c r="D38" s="538"/>
      <c r="E38" s="538"/>
      <c r="F38" s="538"/>
      <c r="G38" s="538"/>
      <c r="H38" s="538"/>
      <c r="I38" s="538"/>
      <c r="J38" s="538"/>
      <c r="K38" s="538"/>
      <c r="L38" s="538"/>
      <c r="M38" s="538"/>
      <c r="N38" s="539"/>
      <c r="O38" s="539"/>
      <c r="P38" s="539"/>
      <c r="Q38" s="539"/>
      <c r="R38" s="539"/>
      <c r="S38" s="539"/>
    </row>
    <row r="39" spans="1:19" s="428" customFormat="1" ht="12.75" x14ac:dyDescent="0.2">
      <c r="A39" s="513">
        <v>52613</v>
      </c>
      <c r="B39" s="1187" t="s">
        <v>570</v>
      </c>
      <c r="C39" s="538"/>
      <c r="D39" s="538"/>
      <c r="E39" s="538"/>
      <c r="F39" s="538"/>
      <c r="G39" s="538"/>
      <c r="H39" s="538"/>
      <c r="I39" s="538"/>
      <c r="J39" s="538"/>
      <c r="K39" s="538"/>
      <c r="L39" s="538"/>
      <c r="M39" s="538"/>
      <c r="N39" s="539"/>
      <c r="O39" s="539"/>
      <c r="P39" s="539"/>
      <c r="Q39" s="539"/>
      <c r="R39" s="539"/>
      <c r="S39" s="539"/>
    </row>
    <row r="40" spans="1:19" s="428" customFormat="1" ht="12.75" x14ac:dyDescent="0.2">
      <c r="A40" s="513">
        <v>52090</v>
      </c>
      <c r="B40" s="1187" t="s">
        <v>571</v>
      </c>
      <c r="C40" s="538"/>
      <c r="D40" s="538"/>
      <c r="E40" s="538"/>
      <c r="F40" s="538"/>
      <c r="G40" s="538"/>
      <c r="H40" s="538"/>
      <c r="I40" s="538"/>
      <c r="J40" s="538"/>
      <c r="K40" s="538"/>
      <c r="L40" s="538"/>
      <c r="M40" s="538"/>
      <c r="N40" s="539"/>
      <c r="O40" s="539"/>
      <c r="P40" s="539"/>
      <c r="Q40" s="539"/>
      <c r="R40" s="539"/>
      <c r="S40" s="539"/>
    </row>
    <row r="41" spans="1:19" s="428" customFormat="1" ht="12.75" x14ac:dyDescent="0.2">
      <c r="A41" s="513">
        <v>52099</v>
      </c>
      <c r="B41" s="1188" t="s">
        <v>572</v>
      </c>
      <c r="C41" s="542"/>
      <c r="D41" s="542"/>
      <c r="E41" s="542"/>
      <c r="F41" s="542"/>
      <c r="G41" s="542"/>
      <c r="H41" s="542"/>
      <c r="I41" s="542"/>
      <c r="J41" s="542"/>
      <c r="K41" s="542"/>
      <c r="L41" s="542"/>
      <c r="M41" s="542"/>
      <c r="N41" s="543"/>
      <c r="O41" s="543"/>
      <c r="P41" s="543"/>
      <c r="Q41" s="543"/>
      <c r="R41" s="543"/>
      <c r="S41" s="543"/>
    </row>
    <row r="42" spans="1:19" s="428" customFormat="1" ht="12.75" x14ac:dyDescent="0.2">
      <c r="A42" s="513">
        <v>56900</v>
      </c>
      <c r="B42" s="532" t="s">
        <v>573</v>
      </c>
      <c r="C42" s="533">
        <f t="shared" ref="C42:S42" si="3">SUM(C27:C41)</f>
        <v>0</v>
      </c>
      <c r="D42" s="533">
        <f t="shared" si="3"/>
        <v>0</v>
      </c>
      <c r="E42" s="533">
        <f t="shared" si="3"/>
        <v>0</v>
      </c>
      <c r="F42" s="533">
        <f t="shared" si="3"/>
        <v>0</v>
      </c>
      <c r="G42" s="533">
        <f t="shared" si="3"/>
        <v>0</v>
      </c>
      <c r="H42" s="533">
        <f t="shared" si="3"/>
        <v>0</v>
      </c>
      <c r="I42" s="533">
        <f t="shared" si="3"/>
        <v>0</v>
      </c>
      <c r="J42" s="533">
        <f t="shared" si="3"/>
        <v>0</v>
      </c>
      <c r="K42" s="533">
        <f t="shared" si="3"/>
        <v>0</v>
      </c>
      <c r="L42" s="533">
        <f t="shared" si="3"/>
        <v>0</v>
      </c>
      <c r="M42" s="533">
        <f t="shared" si="3"/>
        <v>0</v>
      </c>
      <c r="N42" s="533">
        <f t="shared" si="3"/>
        <v>0</v>
      </c>
      <c r="O42" s="533">
        <f t="shared" si="3"/>
        <v>0</v>
      </c>
      <c r="P42" s="533">
        <f t="shared" si="3"/>
        <v>0</v>
      </c>
      <c r="Q42" s="533">
        <f t="shared" si="3"/>
        <v>0</v>
      </c>
      <c r="R42" s="533">
        <f t="shared" si="3"/>
        <v>0</v>
      </c>
      <c r="S42" s="533">
        <f t="shared" si="3"/>
        <v>0</v>
      </c>
    </row>
    <row r="43" spans="1:19" s="428" customFormat="1" ht="12.75" x14ac:dyDescent="0.2">
      <c r="A43" s="513"/>
      <c r="B43" s="516"/>
      <c r="C43" s="528"/>
      <c r="D43" s="528"/>
      <c r="E43" s="528"/>
      <c r="F43" s="528"/>
      <c r="G43" s="528"/>
      <c r="H43" s="528"/>
      <c r="I43" s="528"/>
      <c r="J43" s="528"/>
      <c r="K43" s="528"/>
      <c r="L43" s="528"/>
      <c r="M43" s="528"/>
      <c r="N43" s="528"/>
      <c r="O43" s="528"/>
      <c r="P43" s="528"/>
      <c r="Q43" s="528"/>
      <c r="R43" s="528"/>
      <c r="S43" s="528"/>
    </row>
    <row r="44" spans="1:19" s="521" customFormat="1" ht="12.75" x14ac:dyDescent="0.2">
      <c r="A44" s="513">
        <v>57900</v>
      </c>
      <c r="B44" s="532" t="s">
        <v>574</v>
      </c>
      <c r="C44" s="533">
        <f t="shared" ref="C44:S44" si="4">C24-C42</f>
        <v>0</v>
      </c>
      <c r="D44" s="533">
        <f t="shared" si="4"/>
        <v>0</v>
      </c>
      <c r="E44" s="533">
        <f t="shared" si="4"/>
        <v>0</v>
      </c>
      <c r="F44" s="533">
        <f t="shared" si="4"/>
        <v>0</v>
      </c>
      <c r="G44" s="533">
        <f t="shared" si="4"/>
        <v>0</v>
      </c>
      <c r="H44" s="533">
        <f t="shared" si="4"/>
        <v>0</v>
      </c>
      <c r="I44" s="533">
        <f t="shared" si="4"/>
        <v>0</v>
      </c>
      <c r="J44" s="533">
        <f t="shared" si="4"/>
        <v>0</v>
      </c>
      <c r="K44" s="533">
        <f t="shared" si="4"/>
        <v>0</v>
      </c>
      <c r="L44" s="533">
        <f t="shared" si="4"/>
        <v>0</v>
      </c>
      <c r="M44" s="533">
        <f t="shared" si="4"/>
        <v>0</v>
      </c>
      <c r="N44" s="533">
        <f t="shared" si="4"/>
        <v>0</v>
      </c>
      <c r="O44" s="533">
        <f t="shared" si="4"/>
        <v>0</v>
      </c>
      <c r="P44" s="533">
        <f t="shared" si="4"/>
        <v>0</v>
      </c>
      <c r="Q44" s="533">
        <f t="shared" si="4"/>
        <v>0</v>
      </c>
      <c r="R44" s="533">
        <f t="shared" si="4"/>
        <v>0</v>
      </c>
      <c r="S44" s="533">
        <f t="shared" si="4"/>
        <v>0</v>
      </c>
    </row>
    <row r="45" spans="1:19" s="428" customFormat="1" ht="12.75" x14ac:dyDescent="0.2">
      <c r="A45" s="513" t="s">
        <v>575</v>
      </c>
      <c r="B45" s="516" t="s">
        <v>576</v>
      </c>
      <c r="C45" s="544" t="str">
        <f t="shared" ref="C45:S45" si="5">IF(ISERROR(C44/C24),"",(C44/C24))</f>
        <v/>
      </c>
      <c r="D45" s="544" t="str">
        <f t="shared" si="5"/>
        <v/>
      </c>
      <c r="E45" s="544" t="str">
        <f t="shared" si="5"/>
        <v/>
      </c>
      <c r="F45" s="544" t="str">
        <f t="shared" si="5"/>
        <v/>
      </c>
      <c r="G45" s="544" t="str">
        <f t="shared" si="5"/>
        <v/>
      </c>
      <c r="H45" s="544" t="str">
        <f t="shared" si="5"/>
        <v/>
      </c>
      <c r="I45" s="544" t="str">
        <f t="shared" si="5"/>
        <v/>
      </c>
      <c r="J45" s="544" t="str">
        <f t="shared" si="5"/>
        <v/>
      </c>
      <c r="K45" s="544" t="str">
        <f t="shared" si="5"/>
        <v/>
      </c>
      <c r="L45" s="544" t="str">
        <f t="shared" si="5"/>
        <v/>
      </c>
      <c r="M45" s="544" t="str">
        <f t="shared" si="5"/>
        <v/>
      </c>
      <c r="N45" s="544" t="str">
        <f t="shared" si="5"/>
        <v/>
      </c>
      <c r="O45" s="544" t="str">
        <f t="shared" si="5"/>
        <v/>
      </c>
      <c r="P45" s="544" t="str">
        <f t="shared" si="5"/>
        <v/>
      </c>
      <c r="Q45" s="544" t="str">
        <f t="shared" si="5"/>
        <v/>
      </c>
      <c r="R45" s="544" t="str">
        <f t="shared" si="5"/>
        <v/>
      </c>
      <c r="S45" s="544" t="str">
        <f t="shared" si="5"/>
        <v/>
      </c>
    </row>
    <row r="46" spans="1:19" s="428" customFormat="1" ht="12.75" x14ac:dyDescent="0.2">
      <c r="A46" s="513"/>
      <c r="B46" s="516"/>
      <c r="C46" s="528"/>
      <c r="D46" s="528"/>
      <c r="E46" s="528"/>
      <c r="F46" s="528"/>
      <c r="G46" s="528"/>
      <c r="H46" s="528"/>
      <c r="I46" s="528"/>
      <c r="J46" s="528"/>
      <c r="K46" s="528"/>
      <c r="L46" s="528"/>
      <c r="M46" s="528"/>
      <c r="N46" s="528"/>
      <c r="O46" s="528"/>
      <c r="P46" s="528"/>
      <c r="Q46" s="528"/>
      <c r="R46" s="528"/>
      <c r="S46" s="528"/>
    </row>
    <row r="47" spans="1:19" s="428" customFormat="1" ht="12.75" x14ac:dyDescent="0.2">
      <c r="A47" s="513"/>
      <c r="B47" s="516" t="s">
        <v>577</v>
      </c>
      <c r="C47" s="528"/>
      <c r="D47" s="528"/>
      <c r="E47" s="528"/>
      <c r="F47" s="528"/>
      <c r="G47" s="528"/>
      <c r="H47" s="528"/>
      <c r="I47" s="528"/>
      <c r="J47" s="528"/>
      <c r="K47" s="528"/>
      <c r="L47" s="528"/>
      <c r="M47" s="528"/>
      <c r="N47" s="528"/>
      <c r="O47" s="528"/>
      <c r="P47" s="528"/>
      <c r="Q47" s="528"/>
      <c r="R47" s="528"/>
      <c r="S47" s="528"/>
    </row>
    <row r="48" spans="1:19" s="428" customFormat="1" ht="12.75" x14ac:dyDescent="0.2">
      <c r="A48" s="513">
        <v>58001</v>
      </c>
      <c r="B48" s="1186" t="s">
        <v>578</v>
      </c>
      <c r="C48" s="538"/>
      <c r="D48" s="538"/>
      <c r="E48" s="538"/>
      <c r="F48" s="538"/>
      <c r="G48" s="538"/>
      <c r="H48" s="538"/>
      <c r="I48" s="538"/>
      <c r="J48" s="538"/>
      <c r="K48" s="538"/>
      <c r="L48" s="538"/>
      <c r="M48" s="538"/>
      <c r="N48" s="539"/>
      <c r="O48" s="539"/>
      <c r="P48" s="539"/>
      <c r="Q48" s="539"/>
      <c r="R48" s="539"/>
      <c r="S48" s="539"/>
    </row>
    <row r="49" spans="1:19" s="428" customFormat="1" ht="12.75" x14ac:dyDescent="0.2">
      <c r="A49" s="513">
        <v>58002</v>
      </c>
      <c r="B49" s="1187" t="s">
        <v>579</v>
      </c>
      <c r="C49" s="538"/>
      <c r="D49" s="538"/>
      <c r="E49" s="538"/>
      <c r="F49" s="538"/>
      <c r="G49" s="538"/>
      <c r="H49" s="538"/>
      <c r="I49" s="538"/>
      <c r="J49" s="538"/>
      <c r="K49" s="538"/>
      <c r="L49" s="538"/>
      <c r="M49" s="538"/>
      <c r="N49" s="539"/>
      <c r="O49" s="539"/>
      <c r="P49" s="539"/>
      <c r="Q49" s="539"/>
      <c r="R49" s="539"/>
      <c r="S49" s="539"/>
    </row>
    <row r="50" spans="1:19" s="428" customFormat="1" ht="12.75" x14ac:dyDescent="0.2">
      <c r="A50" s="513">
        <v>58003</v>
      </c>
      <c r="B50" s="1187" t="s">
        <v>580</v>
      </c>
      <c r="C50" s="538"/>
      <c r="D50" s="538"/>
      <c r="E50" s="538"/>
      <c r="F50" s="538"/>
      <c r="G50" s="538"/>
      <c r="H50" s="538"/>
      <c r="I50" s="538"/>
      <c r="J50" s="538"/>
      <c r="K50" s="538"/>
      <c r="L50" s="538"/>
      <c r="M50" s="538"/>
      <c r="N50" s="539"/>
      <c r="O50" s="539"/>
      <c r="P50" s="539"/>
      <c r="Q50" s="539"/>
      <c r="R50" s="539"/>
      <c r="S50" s="539"/>
    </row>
    <row r="51" spans="1:19" s="428" customFormat="1" ht="12.75" x14ac:dyDescent="0.2">
      <c r="A51" s="513">
        <v>58004</v>
      </c>
      <c r="B51" s="1187" t="s">
        <v>581</v>
      </c>
      <c r="C51" s="538"/>
      <c r="D51" s="538"/>
      <c r="E51" s="538"/>
      <c r="F51" s="538"/>
      <c r="G51" s="538"/>
      <c r="H51" s="538"/>
      <c r="I51" s="538"/>
      <c r="J51" s="538"/>
      <c r="K51" s="538"/>
      <c r="L51" s="538"/>
      <c r="M51" s="538"/>
      <c r="N51" s="539"/>
      <c r="O51" s="539"/>
      <c r="P51" s="539"/>
      <c r="Q51" s="539"/>
      <c r="R51" s="539"/>
      <c r="S51" s="539"/>
    </row>
    <row r="52" spans="1:19" s="428" customFormat="1" ht="12.75" x14ac:dyDescent="0.2">
      <c r="A52" s="513">
        <v>58100</v>
      </c>
      <c r="B52" s="1187" t="s">
        <v>582</v>
      </c>
      <c r="C52" s="538"/>
      <c r="D52" s="538"/>
      <c r="E52" s="538"/>
      <c r="F52" s="538"/>
      <c r="G52" s="538"/>
      <c r="H52" s="538"/>
      <c r="I52" s="538"/>
      <c r="J52" s="538"/>
      <c r="K52" s="538"/>
      <c r="L52" s="538"/>
      <c r="M52" s="538"/>
      <c r="N52" s="539"/>
      <c r="O52" s="539"/>
      <c r="P52" s="539"/>
      <c r="Q52" s="539"/>
      <c r="R52" s="539"/>
      <c r="S52" s="539"/>
    </row>
    <row r="53" spans="1:19" s="428" customFormat="1" ht="12.75" x14ac:dyDescent="0.2">
      <c r="A53" s="513">
        <v>58380</v>
      </c>
      <c r="B53" s="536" t="s">
        <v>583</v>
      </c>
      <c r="C53" s="537">
        <f t="shared" ref="C53:S53" si="6">SUM(C48:C52)</f>
        <v>0</v>
      </c>
      <c r="D53" s="537">
        <f t="shared" si="6"/>
        <v>0</v>
      </c>
      <c r="E53" s="537">
        <f t="shared" si="6"/>
        <v>0</v>
      </c>
      <c r="F53" s="537">
        <f t="shared" si="6"/>
        <v>0</v>
      </c>
      <c r="G53" s="537">
        <f t="shared" si="6"/>
        <v>0</v>
      </c>
      <c r="H53" s="537">
        <f t="shared" si="6"/>
        <v>0</v>
      </c>
      <c r="I53" s="537">
        <f t="shared" si="6"/>
        <v>0</v>
      </c>
      <c r="J53" s="537">
        <f t="shared" si="6"/>
        <v>0</v>
      </c>
      <c r="K53" s="537">
        <f t="shared" si="6"/>
        <v>0</v>
      </c>
      <c r="L53" s="537">
        <f t="shared" si="6"/>
        <v>0</v>
      </c>
      <c r="M53" s="537">
        <f t="shared" si="6"/>
        <v>0</v>
      </c>
      <c r="N53" s="537">
        <f t="shared" si="6"/>
        <v>0</v>
      </c>
      <c r="O53" s="537">
        <f t="shared" si="6"/>
        <v>0</v>
      </c>
      <c r="P53" s="537">
        <f t="shared" si="6"/>
        <v>0</v>
      </c>
      <c r="Q53" s="537">
        <f t="shared" si="6"/>
        <v>0</v>
      </c>
      <c r="R53" s="537">
        <f t="shared" si="6"/>
        <v>0</v>
      </c>
      <c r="S53" s="537">
        <f t="shared" si="6"/>
        <v>0</v>
      </c>
    </row>
    <row r="54" spans="1:19" s="428" customFormat="1" ht="12.75" x14ac:dyDescent="0.2">
      <c r="A54" s="513"/>
      <c r="B54" s="516"/>
      <c r="C54" s="528"/>
      <c r="D54" s="528"/>
      <c r="E54" s="528"/>
      <c r="F54" s="528"/>
      <c r="G54" s="528"/>
      <c r="H54" s="528"/>
      <c r="I54" s="528"/>
      <c r="J54" s="528"/>
      <c r="K54" s="528"/>
      <c r="L54" s="528"/>
      <c r="M54" s="528"/>
      <c r="N54" s="528"/>
      <c r="O54" s="528"/>
      <c r="P54" s="528"/>
      <c r="Q54" s="528"/>
      <c r="R54" s="528"/>
      <c r="S54" s="528"/>
    </row>
    <row r="55" spans="1:19" s="428" customFormat="1" ht="12.75" x14ac:dyDescent="0.2">
      <c r="A55" s="513"/>
      <c r="B55" s="516" t="s">
        <v>584</v>
      </c>
      <c r="C55" s="528"/>
      <c r="D55" s="528"/>
      <c r="E55" s="528"/>
      <c r="F55" s="528"/>
      <c r="G55" s="528"/>
      <c r="H55" s="528"/>
      <c r="I55" s="528"/>
      <c r="J55" s="528"/>
      <c r="K55" s="528"/>
      <c r="L55" s="528"/>
      <c r="M55" s="528"/>
      <c r="N55" s="528"/>
      <c r="O55" s="528"/>
      <c r="P55" s="528"/>
      <c r="Q55" s="528"/>
      <c r="R55" s="528"/>
      <c r="S55" s="528"/>
    </row>
    <row r="56" spans="1:19" s="428" customFormat="1" ht="12.75" x14ac:dyDescent="0.2">
      <c r="A56" s="513">
        <v>58403</v>
      </c>
      <c r="B56" s="1186" t="s">
        <v>585</v>
      </c>
      <c r="C56" s="538"/>
      <c r="D56" s="538"/>
      <c r="E56" s="538"/>
      <c r="F56" s="538"/>
      <c r="G56" s="538"/>
      <c r="H56" s="538"/>
      <c r="I56" s="538"/>
      <c r="J56" s="538"/>
      <c r="K56" s="538"/>
      <c r="L56" s="538"/>
      <c r="M56" s="538"/>
      <c r="N56" s="538"/>
      <c r="O56" s="538"/>
      <c r="P56" s="538"/>
      <c r="Q56" s="538"/>
      <c r="R56" s="538"/>
      <c r="S56" s="538"/>
    </row>
    <row r="57" spans="1:19" s="428" customFormat="1" ht="12.75" x14ac:dyDescent="0.2">
      <c r="A57" s="513">
        <v>58406</v>
      </c>
      <c r="B57" s="1188" t="s">
        <v>586</v>
      </c>
      <c r="C57" s="538"/>
      <c r="D57" s="538"/>
      <c r="E57" s="538"/>
      <c r="F57" s="538"/>
      <c r="G57" s="538"/>
      <c r="H57" s="538"/>
      <c r="I57" s="538"/>
      <c r="J57" s="538"/>
      <c r="K57" s="538"/>
      <c r="L57" s="538"/>
      <c r="M57" s="538"/>
      <c r="N57" s="538"/>
      <c r="O57" s="538"/>
      <c r="P57" s="538"/>
      <c r="Q57" s="538"/>
      <c r="R57" s="538"/>
      <c r="S57" s="538"/>
    </row>
    <row r="58" spans="1:19" s="428" customFormat="1" ht="12.75" x14ac:dyDescent="0.2">
      <c r="A58" s="513">
        <v>58450</v>
      </c>
      <c r="B58" s="536" t="s">
        <v>587</v>
      </c>
      <c r="C58" s="537">
        <f t="shared" ref="C58:S58" si="7">SUM(C56:C57)</f>
        <v>0</v>
      </c>
      <c r="D58" s="537">
        <f t="shared" si="7"/>
        <v>0</v>
      </c>
      <c r="E58" s="537">
        <f t="shared" si="7"/>
        <v>0</v>
      </c>
      <c r="F58" s="537">
        <f t="shared" si="7"/>
        <v>0</v>
      </c>
      <c r="G58" s="537">
        <f t="shared" si="7"/>
        <v>0</v>
      </c>
      <c r="H58" s="537">
        <f t="shared" si="7"/>
        <v>0</v>
      </c>
      <c r="I58" s="537">
        <f t="shared" si="7"/>
        <v>0</v>
      </c>
      <c r="J58" s="537">
        <f t="shared" si="7"/>
        <v>0</v>
      </c>
      <c r="K58" s="537">
        <f t="shared" si="7"/>
        <v>0</v>
      </c>
      <c r="L58" s="537">
        <f t="shared" si="7"/>
        <v>0</v>
      </c>
      <c r="M58" s="537">
        <f t="shared" si="7"/>
        <v>0</v>
      </c>
      <c r="N58" s="537">
        <f t="shared" si="7"/>
        <v>0</v>
      </c>
      <c r="O58" s="537">
        <f t="shared" si="7"/>
        <v>0</v>
      </c>
      <c r="P58" s="537">
        <f t="shared" si="7"/>
        <v>0</v>
      </c>
      <c r="Q58" s="537">
        <f t="shared" si="7"/>
        <v>0</v>
      </c>
      <c r="R58" s="537">
        <f t="shared" si="7"/>
        <v>0</v>
      </c>
      <c r="S58" s="537">
        <f t="shared" si="7"/>
        <v>0</v>
      </c>
    </row>
    <row r="59" spans="1:19" s="428" customFormat="1" ht="12.75" x14ac:dyDescent="0.2">
      <c r="A59" s="513"/>
      <c r="B59" s="532"/>
      <c r="C59" s="533"/>
      <c r="D59" s="533"/>
      <c r="E59" s="533"/>
      <c r="F59" s="533"/>
      <c r="G59" s="533"/>
      <c r="H59" s="533"/>
      <c r="I59" s="533"/>
      <c r="J59" s="533"/>
      <c r="K59" s="533"/>
      <c r="L59" s="533"/>
      <c r="M59" s="533"/>
      <c r="N59" s="533"/>
      <c r="O59" s="533"/>
      <c r="P59" s="533"/>
      <c r="Q59" s="533"/>
      <c r="R59" s="533"/>
      <c r="S59" s="533"/>
    </row>
    <row r="60" spans="1:19" s="428" customFormat="1" ht="12.75" x14ac:dyDescent="0.2">
      <c r="A60" s="513">
        <v>58580</v>
      </c>
      <c r="B60" s="536" t="s">
        <v>588</v>
      </c>
      <c r="C60" s="537">
        <f t="shared" ref="C60:S60" si="8">C53+C58</f>
        <v>0</v>
      </c>
      <c r="D60" s="537">
        <f t="shared" si="8"/>
        <v>0</v>
      </c>
      <c r="E60" s="537">
        <f t="shared" si="8"/>
        <v>0</v>
      </c>
      <c r="F60" s="537">
        <f t="shared" si="8"/>
        <v>0</v>
      </c>
      <c r="G60" s="537">
        <f t="shared" si="8"/>
        <v>0</v>
      </c>
      <c r="H60" s="537">
        <f t="shared" si="8"/>
        <v>0</v>
      </c>
      <c r="I60" s="537">
        <f t="shared" si="8"/>
        <v>0</v>
      </c>
      <c r="J60" s="537">
        <f t="shared" si="8"/>
        <v>0</v>
      </c>
      <c r="K60" s="537">
        <f t="shared" si="8"/>
        <v>0</v>
      </c>
      <c r="L60" s="537">
        <f t="shared" si="8"/>
        <v>0</v>
      </c>
      <c r="M60" s="537">
        <f t="shared" si="8"/>
        <v>0</v>
      </c>
      <c r="N60" s="537">
        <f t="shared" si="8"/>
        <v>0</v>
      </c>
      <c r="O60" s="537">
        <f t="shared" si="8"/>
        <v>0</v>
      </c>
      <c r="P60" s="537">
        <f t="shared" si="8"/>
        <v>0</v>
      </c>
      <c r="Q60" s="537">
        <f t="shared" si="8"/>
        <v>0</v>
      </c>
      <c r="R60" s="537">
        <f t="shared" si="8"/>
        <v>0</v>
      </c>
      <c r="S60" s="537">
        <f t="shared" si="8"/>
        <v>0</v>
      </c>
    </row>
    <row r="61" spans="1:19" s="428" customFormat="1" ht="12.75" x14ac:dyDescent="0.2">
      <c r="A61" s="513"/>
      <c r="B61" s="536"/>
      <c r="C61" s="537"/>
      <c r="D61" s="537"/>
      <c r="E61" s="537"/>
      <c r="F61" s="537"/>
      <c r="G61" s="537"/>
      <c r="H61" s="537"/>
      <c r="I61" s="537"/>
      <c r="J61" s="537"/>
      <c r="K61" s="537"/>
      <c r="L61" s="537"/>
      <c r="M61" s="537"/>
      <c r="N61" s="537"/>
      <c r="O61" s="537"/>
      <c r="P61" s="537"/>
      <c r="Q61" s="537"/>
      <c r="R61" s="537"/>
      <c r="S61" s="537"/>
    </row>
    <row r="62" spans="1:19" s="428" customFormat="1" ht="12.75" x14ac:dyDescent="0.2">
      <c r="A62" s="513">
        <v>58599</v>
      </c>
      <c r="B62" s="536" t="s">
        <v>589</v>
      </c>
      <c r="C62" s="537">
        <f t="shared" ref="C62:S62" si="9">C44-C60</f>
        <v>0</v>
      </c>
      <c r="D62" s="537">
        <f t="shared" si="9"/>
        <v>0</v>
      </c>
      <c r="E62" s="537">
        <f t="shared" si="9"/>
        <v>0</v>
      </c>
      <c r="F62" s="537">
        <f t="shared" si="9"/>
        <v>0</v>
      </c>
      <c r="G62" s="537">
        <f t="shared" si="9"/>
        <v>0</v>
      </c>
      <c r="H62" s="537">
        <f t="shared" si="9"/>
        <v>0</v>
      </c>
      <c r="I62" s="537">
        <f t="shared" si="9"/>
        <v>0</v>
      </c>
      <c r="J62" s="537">
        <f t="shared" si="9"/>
        <v>0</v>
      </c>
      <c r="K62" s="537">
        <f t="shared" si="9"/>
        <v>0</v>
      </c>
      <c r="L62" s="537">
        <f t="shared" si="9"/>
        <v>0</v>
      </c>
      <c r="M62" s="537">
        <f t="shared" si="9"/>
        <v>0</v>
      </c>
      <c r="N62" s="537">
        <f t="shared" si="9"/>
        <v>0</v>
      </c>
      <c r="O62" s="537">
        <f t="shared" si="9"/>
        <v>0</v>
      </c>
      <c r="P62" s="537">
        <f t="shared" si="9"/>
        <v>0</v>
      </c>
      <c r="Q62" s="537">
        <f t="shared" si="9"/>
        <v>0</v>
      </c>
      <c r="R62" s="537">
        <f t="shared" si="9"/>
        <v>0</v>
      </c>
      <c r="S62" s="537">
        <f t="shared" si="9"/>
        <v>0</v>
      </c>
    </row>
    <row r="63" spans="1:19" s="428" customFormat="1" ht="12.75" x14ac:dyDescent="0.2">
      <c r="A63" s="513"/>
      <c r="B63" s="516"/>
      <c r="C63" s="528"/>
      <c r="D63" s="528"/>
      <c r="E63" s="528"/>
      <c r="F63" s="528"/>
      <c r="G63" s="528"/>
      <c r="H63" s="528"/>
      <c r="I63" s="528"/>
      <c r="J63" s="528"/>
      <c r="K63" s="528"/>
      <c r="L63" s="528"/>
      <c r="M63" s="528"/>
      <c r="N63" s="528"/>
      <c r="O63" s="528"/>
      <c r="P63" s="528"/>
      <c r="Q63" s="528"/>
      <c r="R63" s="528"/>
      <c r="S63" s="528"/>
    </row>
    <row r="64" spans="1:19" s="428" customFormat="1" ht="12.75" x14ac:dyDescent="0.2">
      <c r="A64" s="513"/>
      <c r="B64" s="516" t="s">
        <v>590</v>
      </c>
      <c r="C64" s="528"/>
      <c r="D64" s="528"/>
      <c r="E64" s="528"/>
      <c r="F64" s="528"/>
      <c r="G64" s="528"/>
      <c r="H64" s="528"/>
      <c r="I64" s="528"/>
      <c r="J64" s="528"/>
      <c r="K64" s="528"/>
      <c r="L64" s="528"/>
      <c r="M64" s="528"/>
      <c r="N64" s="528"/>
      <c r="O64" s="528"/>
      <c r="P64" s="528"/>
      <c r="Q64" s="528"/>
      <c r="R64" s="528"/>
      <c r="S64" s="528"/>
    </row>
    <row r="65" spans="1:19" s="428" customFormat="1" ht="12.75" x14ac:dyDescent="0.2">
      <c r="A65" s="513">
        <v>58601</v>
      </c>
      <c r="B65" s="1186" t="s">
        <v>591</v>
      </c>
      <c r="C65" s="538"/>
      <c r="D65" s="538"/>
      <c r="E65" s="538"/>
      <c r="F65" s="538"/>
      <c r="G65" s="538"/>
      <c r="H65" s="538"/>
      <c r="I65" s="538"/>
      <c r="J65" s="538"/>
      <c r="K65" s="538"/>
      <c r="L65" s="538"/>
      <c r="M65" s="538"/>
      <c r="N65" s="538"/>
      <c r="O65" s="538"/>
      <c r="P65" s="538"/>
      <c r="Q65" s="538"/>
      <c r="R65" s="538"/>
      <c r="S65" s="538"/>
    </row>
    <row r="66" spans="1:19" s="428" customFormat="1" ht="12.75" x14ac:dyDescent="0.2">
      <c r="A66" s="513">
        <v>58602</v>
      </c>
      <c r="B66" s="1188" t="s">
        <v>592</v>
      </c>
      <c r="C66" s="538"/>
      <c r="D66" s="538"/>
      <c r="E66" s="538"/>
      <c r="F66" s="538"/>
      <c r="G66" s="538"/>
      <c r="H66" s="538"/>
      <c r="I66" s="538"/>
      <c r="J66" s="538"/>
      <c r="K66" s="538"/>
      <c r="L66" s="538"/>
      <c r="M66" s="538"/>
      <c r="N66" s="538"/>
      <c r="O66" s="538"/>
      <c r="P66" s="538"/>
      <c r="Q66" s="538"/>
      <c r="R66" s="538"/>
      <c r="S66" s="538"/>
    </row>
    <row r="67" spans="1:19" s="428" customFormat="1" ht="12.75" x14ac:dyDescent="0.2">
      <c r="A67" s="513">
        <v>58699</v>
      </c>
      <c r="B67" s="536" t="s">
        <v>593</v>
      </c>
      <c r="C67" s="537">
        <f t="shared" ref="C67:S67" si="10">SUM(C65:C66)</f>
        <v>0</v>
      </c>
      <c r="D67" s="537">
        <f t="shared" si="10"/>
        <v>0</v>
      </c>
      <c r="E67" s="537">
        <f t="shared" si="10"/>
        <v>0</v>
      </c>
      <c r="F67" s="537">
        <f t="shared" si="10"/>
        <v>0</v>
      </c>
      <c r="G67" s="537">
        <f t="shared" si="10"/>
        <v>0</v>
      </c>
      <c r="H67" s="537">
        <f t="shared" si="10"/>
        <v>0</v>
      </c>
      <c r="I67" s="537">
        <f t="shared" si="10"/>
        <v>0</v>
      </c>
      <c r="J67" s="537">
        <f t="shared" si="10"/>
        <v>0</v>
      </c>
      <c r="K67" s="537">
        <f t="shared" si="10"/>
        <v>0</v>
      </c>
      <c r="L67" s="537">
        <f t="shared" si="10"/>
        <v>0</v>
      </c>
      <c r="M67" s="537">
        <f t="shared" si="10"/>
        <v>0</v>
      </c>
      <c r="N67" s="537">
        <f t="shared" si="10"/>
        <v>0</v>
      </c>
      <c r="O67" s="537">
        <f t="shared" si="10"/>
        <v>0</v>
      </c>
      <c r="P67" s="537">
        <f t="shared" si="10"/>
        <v>0</v>
      </c>
      <c r="Q67" s="537">
        <f t="shared" si="10"/>
        <v>0</v>
      </c>
      <c r="R67" s="537">
        <f t="shared" si="10"/>
        <v>0</v>
      </c>
      <c r="S67" s="537">
        <f t="shared" si="10"/>
        <v>0</v>
      </c>
    </row>
    <row r="68" spans="1:19" s="428" customFormat="1" ht="12.75" x14ac:dyDescent="0.2">
      <c r="A68" s="513"/>
      <c r="B68" s="536"/>
      <c r="C68" s="537"/>
      <c r="D68" s="537"/>
      <c r="E68" s="537"/>
      <c r="F68" s="537"/>
      <c r="G68" s="537"/>
      <c r="H68" s="537"/>
      <c r="I68" s="537"/>
      <c r="J68" s="537"/>
      <c r="K68" s="537"/>
      <c r="L68" s="537"/>
      <c r="M68" s="537"/>
      <c r="N68" s="537"/>
      <c r="O68" s="537"/>
      <c r="P68" s="537"/>
      <c r="Q68" s="537"/>
      <c r="R68" s="537"/>
      <c r="S68" s="537"/>
    </row>
    <row r="69" spans="1:19" s="428" customFormat="1" ht="12.75" x14ac:dyDescent="0.2">
      <c r="A69" s="513">
        <v>59999</v>
      </c>
      <c r="B69" s="536" t="s">
        <v>594</v>
      </c>
      <c r="C69" s="537">
        <f t="shared" ref="C69:S69" si="11">C62-C67</f>
        <v>0</v>
      </c>
      <c r="D69" s="537">
        <f t="shared" si="11"/>
        <v>0</v>
      </c>
      <c r="E69" s="537">
        <f t="shared" si="11"/>
        <v>0</v>
      </c>
      <c r="F69" s="537">
        <f t="shared" si="11"/>
        <v>0</v>
      </c>
      <c r="G69" s="537">
        <f t="shared" si="11"/>
        <v>0</v>
      </c>
      <c r="H69" s="537">
        <f t="shared" si="11"/>
        <v>0</v>
      </c>
      <c r="I69" s="537">
        <f t="shared" si="11"/>
        <v>0</v>
      </c>
      <c r="J69" s="537">
        <f t="shared" si="11"/>
        <v>0</v>
      </c>
      <c r="K69" s="537">
        <f t="shared" si="11"/>
        <v>0</v>
      </c>
      <c r="L69" s="537">
        <f t="shared" si="11"/>
        <v>0</v>
      </c>
      <c r="M69" s="537">
        <f t="shared" si="11"/>
        <v>0</v>
      </c>
      <c r="N69" s="537">
        <f t="shared" si="11"/>
        <v>0</v>
      </c>
      <c r="O69" s="537">
        <f t="shared" si="11"/>
        <v>0</v>
      </c>
      <c r="P69" s="537">
        <f t="shared" si="11"/>
        <v>0</v>
      </c>
      <c r="Q69" s="537">
        <f t="shared" si="11"/>
        <v>0</v>
      </c>
      <c r="R69" s="537">
        <f t="shared" si="11"/>
        <v>0</v>
      </c>
      <c r="S69" s="537">
        <f t="shared" si="11"/>
        <v>0</v>
      </c>
    </row>
    <row r="70" spans="1:19" s="428" customFormat="1" ht="12.75" x14ac:dyDescent="0.2">
      <c r="A70" s="513" t="s">
        <v>595</v>
      </c>
      <c r="B70" s="516" t="s">
        <v>596</v>
      </c>
      <c r="C70" s="544" t="str">
        <f t="shared" ref="C70:S70" si="12">IF(ISERROR(C69/C24),"",(C69/C24))</f>
        <v/>
      </c>
      <c r="D70" s="544" t="str">
        <f t="shared" si="12"/>
        <v/>
      </c>
      <c r="E70" s="544" t="str">
        <f t="shared" si="12"/>
        <v/>
      </c>
      <c r="F70" s="544" t="str">
        <f t="shared" si="12"/>
        <v/>
      </c>
      <c r="G70" s="544" t="str">
        <f t="shared" si="12"/>
        <v/>
      </c>
      <c r="H70" s="544" t="str">
        <f t="shared" si="12"/>
        <v/>
      </c>
      <c r="I70" s="544" t="str">
        <f t="shared" si="12"/>
        <v/>
      </c>
      <c r="J70" s="544" t="str">
        <f t="shared" si="12"/>
        <v/>
      </c>
      <c r="K70" s="544" t="str">
        <f t="shared" si="12"/>
        <v/>
      </c>
      <c r="L70" s="544" t="str">
        <f t="shared" si="12"/>
        <v/>
      </c>
      <c r="M70" s="544" t="str">
        <f t="shared" si="12"/>
        <v/>
      </c>
      <c r="N70" s="544" t="str">
        <f t="shared" si="12"/>
        <v/>
      </c>
      <c r="O70" s="544" t="str">
        <f t="shared" si="12"/>
        <v/>
      </c>
      <c r="P70" s="544" t="str">
        <f t="shared" si="12"/>
        <v/>
      </c>
      <c r="Q70" s="544" t="str">
        <f t="shared" si="12"/>
        <v/>
      </c>
      <c r="R70" s="544" t="str">
        <f t="shared" si="12"/>
        <v/>
      </c>
      <c r="S70" s="544" t="str">
        <f t="shared" si="12"/>
        <v/>
      </c>
    </row>
    <row r="71" spans="1:19" s="428" customFormat="1" ht="12.75" x14ac:dyDescent="0.2">
      <c r="A71" s="513"/>
      <c r="B71" s="516"/>
      <c r="C71" s="528"/>
      <c r="D71" s="528"/>
      <c r="E71" s="528"/>
      <c r="F71" s="528"/>
      <c r="G71" s="528"/>
      <c r="H71" s="528"/>
      <c r="I71" s="528"/>
      <c r="J71" s="528"/>
      <c r="K71" s="528"/>
      <c r="L71" s="528"/>
      <c r="M71" s="528"/>
      <c r="N71" s="528"/>
      <c r="O71" s="528"/>
      <c r="P71" s="528"/>
      <c r="Q71" s="528"/>
      <c r="R71" s="528"/>
      <c r="S71" s="528"/>
    </row>
    <row r="72" spans="1:19" s="428" customFormat="1" ht="12.75" x14ac:dyDescent="0.2">
      <c r="A72" s="513"/>
      <c r="B72" s="516" t="s">
        <v>597</v>
      </c>
      <c r="C72" s="528"/>
      <c r="D72" s="528"/>
      <c r="E72" s="528"/>
      <c r="F72" s="528"/>
      <c r="G72" s="528"/>
      <c r="H72" s="528"/>
      <c r="I72" s="528"/>
      <c r="J72" s="528"/>
      <c r="K72" s="528"/>
      <c r="L72" s="528"/>
      <c r="M72" s="528"/>
      <c r="N72" s="528"/>
      <c r="O72" s="528"/>
      <c r="P72" s="528"/>
      <c r="Q72" s="528"/>
      <c r="R72" s="528"/>
      <c r="S72" s="528"/>
    </row>
    <row r="73" spans="1:19" s="428" customFormat="1" ht="12.75" x14ac:dyDescent="0.2">
      <c r="A73" s="513"/>
      <c r="B73" s="516" t="s">
        <v>1076</v>
      </c>
      <c r="C73" s="528"/>
      <c r="D73" s="528"/>
      <c r="E73" s="528"/>
      <c r="F73" s="528"/>
      <c r="G73" s="528"/>
      <c r="H73" s="528"/>
      <c r="I73" s="528"/>
      <c r="J73" s="528"/>
      <c r="K73" s="528"/>
      <c r="L73" s="528"/>
      <c r="M73" s="528"/>
      <c r="N73" s="528"/>
      <c r="O73" s="528"/>
      <c r="P73" s="528"/>
      <c r="Q73" s="528"/>
      <c r="R73" s="528"/>
      <c r="S73" s="528"/>
    </row>
    <row r="74" spans="1:19" s="545" customFormat="1" ht="12.75" x14ac:dyDescent="0.2">
      <c r="A74" s="513">
        <v>61100</v>
      </c>
      <c r="B74" s="529" t="s">
        <v>599</v>
      </c>
      <c r="C74" s="530">
        <v>7.5</v>
      </c>
      <c r="D74" s="530">
        <v>0</v>
      </c>
      <c r="E74" s="530">
        <v>0</v>
      </c>
      <c r="F74" s="530">
        <v>0</v>
      </c>
      <c r="G74" s="530">
        <v>0</v>
      </c>
      <c r="H74" s="530">
        <v>0</v>
      </c>
      <c r="I74" s="530">
        <v>0</v>
      </c>
      <c r="J74" s="530">
        <v>0</v>
      </c>
      <c r="K74" s="530">
        <v>0</v>
      </c>
      <c r="L74" s="530">
        <v>0</v>
      </c>
      <c r="M74" s="530">
        <v>0</v>
      </c>
      <c r="N74" s="530">
        <v>0</v>
      </c>
      <c r="O74" s="530">
        <v>0</v>
      </c>
      <c r="P74" s="530">
        <v>0</v>
      </c>
      <c r="Q74" s="530">
        <v>0</v>
      </c>
      <c r="R74" s="530">
        <v>0</v>
      </c>
      <c r="S74" s="530">
        <f>SUM(C74:R74)</f>
        <v>7.5</v>
      </c>
    </row>
    <row r="75" spans="1:19" s="545" customFormat="1" ht="12.75" x14ac:dyDescent="0.2">
      <c r="A75" s="513" t="s">
        <v>600</v>
      </c>
      <c r="B75" s="529" t="s">
        <v>1077</v>
      </c>
      <c r="C75" s="530">
        <v>0</v>
      </c>
      <c r="D75" s="530">
        <v>0</v>
      </c>
      <c r="E75" s="530">
        <v>0</v>
      </c>
      <c r="F75" s="530">
        <v>0</v>
      </c>
      <c r="G75" s="530">
        <v>0</v>
      </c>
      <c r="H75" s="530">
        <v>0</v>
      </c>
      <c r="I75" s="530">
        <v>0</v>
      </c>
      <c r="J75" s="530">
        <v>0</v>
      </c>
      <c r="K75" s="530">
        <v>0</v>
      </c>
      <c r="L75" s="530">
        <v>0</v>
      </c>
      <c r="M75" s="530">
        <v>0</v>
      </c>
      <c r="N75" s="530">
        <v>0</v>
      </c>
      <c r="O75" s="530">
        <v>0</v>
      </c>
      <c r="P75" s="530">
        <v>0</v>
      </c>
      <c r="Q75" s="530">
        <v>0</v>
      </c>
      <c r="R75" s="530">
        <v>0</v>
      </c>
      <c r="S75" s="530">
        <f>SUM(C75:R75)</f>
        <v>0</v>
      </c>
    </row>
    <row r="76" spans="1:19" s="545" customFormat="1" ht="12.75" x14ac:dyDescent="0.2">
      <c r="A76" s="513">
        <v>61300</v>
      </c>
      <c r="B76" s="553" t="s">
        <v>602</v>
      </c>
      <c r="C76" s="530">
        <v>0</v>
      </c>
      <c r="D76" s="530">
        <v>0</v>
      </c>
      <c r="E76" s="530">
        <v>0</v>
      </c>
      <c r="F76" s="530">
        <v>0</v>
      </c>
      <c r="G76" s="530">
        <v>0</v>
      </c>
      <c r="H76" s="530">
        <v>0</v>
      </c>
      <c r="I76" s="530">
        <v>0</v>
      </c>
      <c r="J76" s="530">
        <v>0</v>
      </c>
      <c r="K76" s="530">
        <v>0</v>
      </c>
      <c r="L76" s="530">
        <v>0</v>
      </c>
      <c r="M76" s="530">
        <v>0</v>
      </c>
      <c r="N76" s="530">
        <v>0</v>
      </c>
      <c r="O76" s="530">
        <v>0</v>
      </c>
      <c r="P76" s="530">
        <v>0</v>
      </c>
      <c r="Q76" s="530">
        <v>0</v>
      </c>
      <c r="R76" s="530">
        <v>0</v>
      </c>
      <c r="S76" s="530">
        <f>SUM(C76:R76)</f>
        <v>0</v>
      </c>
    </row>
    <row r="77" spans="1:19" s="428" customFormat="1" ht="12.75" x14ac:dyDescent="0.2">
      <c r="A77" s="513">
        <v>61400</v>
      </c>
      <c r="B77" s="536" t="s">
        <v>1078</v>
      </c>
      <c r="C77" s="537">
        <f t="shared" ref="C77:S77" si="13">SUM(C74:C76)</f>
        <v>7.5</v>
      </c>
      <c r="D77" s="537">
        <f t="shared" si="13"/>
        <v>0</v>
      </c>
      <c r="E77" s="537">
        <f t="shared" si="13"/>
        <v>0</v>
      </c>
      <c r="F77" s="537">
        <f t="shared" si="13"/>
        <v>0</v>
      </c>
      <c r="G77" s="537">
        <f t="shared" si="13"/>
        <v>0</v>
      </c>
      <c r="H77" s="537">
        <f t="shared" si="13"/>
        <v>0</v>
      </c>
      <c r="I77" s="537">
        <f t="shared" si="13"/>
        <v>0</v>
      </c>
      <c r="J77" s="537">
        <f t="shared" si="13"/>
        <v>0</v>
      </c>
      <c r="K77" s="537">
        <f t="shared" si="13"/>
        <v>0</v>
      </c>
      <c r="L77" s="537">
        <f t="shared" si="13"/>
        <v>0</v>
      </c>
      <c r="M77" s="537">
        <f t="shared" si="13"/>
        <v>0</v>
      </c>
      <c r="N77" s="537">
        <f t="shared" si="13"/>
        <v>0</v>
      </c>
      <c r="O77" s="537">
        <f t="shared" si="13"/>
        <v>0</v>
      </c>
      <c r="P77" s="537">
        <f t="shared" si="13"/>
        <v>0</v>
      </c>
      <c r="Q77" s="537">
        <f t="shared" si="13"/>
        <v>0</v>
      </c>
      <c r="R77" s="537">
        <f t="shared" si="13"/>
        <v>0</v>
      </c>
      <c r="S77" s="537">
        <f t="shared" si="13"/>
        <v>7.5</v>
      </c>
    </row>
    <row r="78" spans="1:19" s="428" customFormat="1" ht="12.75" x14ac:dyDescent="0.2">
      <c r="A78" s="513"/>
      <c r="B78" s="516"/>
      <c r="C78" s="528"/>
      <c r="D78" s="528"/>
      <c r="E78" s="528"/>
      <c r="F78" s="528"/>
      <c r="G78" s="528"/>
      <c r="H78" s="528"/>
      <c r="I78" s="528"/>
      <c r="J78" s="528"/>
      <c r="K78" s="528"/>
      <c r="L78" s="528"/>
      <c r="M78" s="528"/>
      <c r="N78" s="528"/>
      <c r="O78" s="528"/>
      <c r="P78" s="528"/>
      <c r="Q78" s="528"/>
      <c r="R78" s="528"/>
      <c r="S78" s="528"/>
    </row>
    <row r="79" spans="1:19" s="428" customFormat="1" ht="12.75" x14ac:dyDescent="0.2">
      <c r="A79" s="513"/>
      <c r="B79" s="516" t="s">
        <v>604</v>
      </c>
      <c r="C79" s="528"/>
      <c r="D79" s="528"/>
      <c r="E79" s="528"/>
      <c r="F79" s="528"/>
      <c r="G79" s="528"/>
      <c r="H79" s="528"/>
      <c r="I79" s="528"/>
      <c r="J79" s="528"/>
      <c r="K79" s="528"/>
      <c r="L79" s="528"/>
      <c r="M79" s="528"/>
      <c r="N79" s="528"/>
      <c r="O79" s="528"/>
      <c r="P79" s="528"/>
      <c r="Q79" s="528"/>
      <c r="R79" s="528"/>
      <c r="S79" s="528"/>
    </row>
    <row r="80" spans="1:19" s="545" customFormat="1" ht="12.75" x14ac:dyDescent="0.2">
      <c r="A80" s="513">
        <v>62100</v>
      </c>
      <c r="B80" s="529" t="s">
        <v>605</v>
      </c>
      <c r="C80" s="530">
        <v>53222.609999999993</v>
      </c>
      <c r="D80" s="530">
        <v>0</v>
      </c>
      <c r="E80" s="530">
        <v>0</v>
      </c>
      <c r="F80" s="530">
        <v>124375.02</v>
      </c>
      <c r="G80" s="530">
        <v>34969.43</v>
      </c>
      <c r="H80" s="530">
        <v>48801.43</v>
      </c>
      <c r="I80" s="530">
        <v>57624.63</v>
      </c>
      <c r="J80" s="530">
        <v>0</v>
      </c>
      <c r="K80" s="530">
        <v>13750.02</v>
      </c>
      <c r="L80" s="530">
        <v>0</v>
      </c>
      <c r="M80" s="530">
        <v>11301.480000000001</v>
      </c>
      <c r="N80" s="530">
        <v>42446.829999999994</v>
      </c>
      <c r="O80" s="530">
        <v>34773.17</v>
      </c>
      <c r="P80" s="530">
        <v>0</v>
      </c>
      <c r="Q80" s="530">
        <v>0</v>
      </c>
      <c r="R80" s="530">
        <v>0</v>
      </c>
      <c r="S80" s="530">
        <f t="shared" ref="S80:S105" si="14">SUM(C80:R80)</f>
        <v>421264.62</v>
      </c>
    </row>
    <row r="81" spans="1:19" s="545" customFormat="1" ht="12.75" x14ac:dyDescent="0.2">
      <c r="A81" s="513">
        <v>62110</v>
      </c>
      <c r="B81" s="428" t="s">
        <v>606</v>
      </c>
      <c r="C81" s="530">
        <v>0</v>
      </c>
      <c r="D81" s="530">
        <v>0</v>
      </c>
      <c r="E81" s="530">
        <v>0</v>
      </c>
      <c r="F81" s="530">
        <v>0</v>
      </c>
      <c r="G81" s="530">
        <v>0</v>
      </c>
      <c r="H81" s="530">
        <v>0</v>
      </c>
      <c r="I81" s="530">
        <v>0</v>
      </c>
      <c r="J81" s="530">
        <v>0</v>
      </c>
      <c r="K81" s="530">
        <v>0</v>
      </c>
      <c r="L81" s="530">
        <v>0</v>
      </c>
      <c r="M81" s="530">
        <v>0</v>
      </c>
      <c r="N81" s="530">
        <v>0</v>
      </c>
      <c r="O81" s="530">
        <v>0</v>
      </c>
      <c r="P81" s="530">
        <v>0</v>
      </c>
      <c r="Q81" s="530">
        <v>0</v>
      </c>
      <c r="R81" s="530">
        <v>0</v>
      </c>
      <c r="S81" s="530">
        <f t="shared" si="14"/>
        <v>0</v>
      </c>
    </row>
    <row r="82" spans="1:19" s="545" customFormat="1" ht="12.75" x14ac:dyDescent="0.2">
      <c r="A82" s="513" t="s">
        <v>607</v>
      </c>
      <c r="B82" s="428" t="s">
        <v>608</v>
      </c>
      <c r="C82" s="530">
        <v>0</v>
      </c>
      <c r="D82" s="530">
        <v>0</v>
      </c>
      <c r="E82" s="530">
        <v>0</v>
      </c>
      <c r="F82" s="530">
        <v>0</v>
      </c>
      <c r="G82" s="530">
        <v>0</v>
      </c>
      <c r="H82" s="530">
        <v>0</v>
      </c>
      <c r="I82" s="530">
        <v>0</v>
      </c>
      <c r="J82" s="530">
        <v>0</v>
      </c>
      <c r="K82" s="530">
        <v>0</v>
      </c>
      <c r="L82" s="530">
        <v>0</v>
      </c>
      <c r="M82" s="530">
        <v>0</v>
      </c>
      <c r="N82" s="530">
        <v>0</v>
      </c>
      <c r="O82" s="530">
        <v>0</v>
      </c>
      <c r="P82" s="530">
        <v>0</v>
      </c>
      <c r="Q82" s="530">
        <v>0</v>
      </c>
      <c r="R82" s="530">
        <v>0</v>
      </c>
      <c r="S82" s="530">
        <f t="shared" si="14"/>
        <v>0</v>
      </c>
    </row>
    <row r="83" spans="1:19" s="545" customFormat="1" ht="12.75" x14ac:dyDescent="0.2">
      <c r="A83" s="513">
        <v>62120</v>
      </c>
      <c r="B83" s="529" t="s">
        <v>609</v>
      </c>
      <c r="C83" s="530">
        <v>0</v>
      </c>
      <c r="D83" s="530">
        <v>0</v>
      </c>
      <c r="E83" s="530">
        <v>0</v>
      </c>
      <c r="F83" s="530">
        <v>0</v>
      </c>
      <c r="G83" s="530">
        <v>0</v>
      </c>
      <c r="H83" s="530">
        <v>0</v>
      </c>
      <c r="I83" s="530">
        <v>0</v>
      </c>
      <c r="J83" s="530">
        <v>0</v>
      </c>
      <c r="K83" s="530">
        <v>0</v>
      </c>
      <c r="L83" s="530">
        <v>0</v>
      </c>
      <c r="M83" s="530">
        <v>0</v>
      </c>
      <c r="N83" s="530">
        <v>0</v>
      </c>
      <c r="O83" s="530">
        <v>0</v>
      </c>
      <c r="P83" s="530">
        <v>0</v>
      </c>
      <c r="Q83" s="530">
        <v>0</v>
      </c>
      <c r="R83" s="530">
        <v>0</v>
      </c>
      <c r="S83" s="530">
        <f t="shared" si="14"/>
        <v>0</v>
      </c>
    </row>
    <row r="84" spans="1:19" s="545" customFormat="1" ht="12.75" x14ac:dyDescent="0.2">
      <c r="A84" s="513">
        <v>62122</v>
      </c>
      <c r="B84" s="529" t="s">
        <v>610</v>
      </c>
      <c r="C84" s="530">
        <v>0</v>
      </c>
      <c r="D84" s="530">
        <v>0</v>
      </c>
      <c r="E84" s="530">
        <v>0</v>
      </c>
      <c r="F84" s="530">
        <v>0</v>
      </c>
      <c r="G84" s="530">
        <v>0</v>
      </c>
      <c r="H84" s="530">
        <v>0</v>
      </c>
      <c r="I84" s="530">
        <v>0</v>
      </c>
      <c r="J84" s="530">
        <v>0</v>
      </c>
      <c r="K84" s="530">
        <v>0</v>
      </c>
      <c r="L84" s="530">
        <v>0</v>
      </c>
      <c r="M84" s="530">
        <v>0</v>
      </c>
      <c r="N84" s="530">
        <v>0</v>
      </c>
      <c r="O84" s="530">
        <v>0</v>
      </c>
      <c r="P84" s="530">
        <v>0</v>
      </c>
      <c r="Q84" s="530">
        <v>0</v>
      </c>
      <c r="R84" s="530">
        <v>0</v>
      </c>
      <c r="S84" s="530">
        <f t="shared" si="14"/>
        <v>0</v>
      </c>
    </row>
    <row r="85" spans="1:19" s="545" customFormat="1" ht="12.75" x14ac:dyDescent="0.2">
      <c r="A85" s="513">
        <v>62130</v>
      </c>
      <c r="B85" s="529" t="s">
        <v>611</v>
      </c>
      <c r="C85" s="530">
        <v>0</v>
      </c>
      <c r="D85" s="530">
        <v>0</v>
      </c>
      <c r="E85" s="530">
        <v>0</v>
      </c>
      <c r="F85" s="530">
        <v>0</v>
      </c>
      <c r="G85" s="530">
        <v>0</v>
      </c>
      <c r="H85" s="530">
        <v>0</v>
      </c>
      <c r="I85" s="530">
        <v>0</v>
      </c>
      <c r="J85" s="530">
        <v>0</v>
      </c>
      <c r="K85" s="530">
        <v>0</v>
      </c>
      <c r="L85" s="530">
        <v>0</v>
      </c>
      <c r="M85" s="530">
        <v>0</v>
      </c>
      <c r="N85" s="530">
        <v>0</v>
      </c>
      <c r="O85" s="530">
        <v>0</v>
      </c>
      <c r="P85" s="530">
        <v>0</v>
      </c>
      <c r="Q85" s="530">
        <v>0</v>
      </c>
      <c r="R85" s="530">
        <v>0</v>
      </c>
      <c r="S85" s="530">
        <f t="shared" si="14"/>
        <v>0</v>
      </c>
    </row>
    <row r="86" spans="1:19" s="545" customFormat="1" ht="12.75" x14ac:dyDescent="0.2">
      <c r="A86" s="513">
        <v>62131</v>
      </c>
      <c r="B86" s="529" t="s">
        <v>612</v>
      </c>
      <c r="C86" s="530">
        <v>0</v>
      </c>
      <c r="D86" s="530">
        <v>0</v>
      </c>
      <c r="E86" s="530">
        <v>0</v>
      </c>
      <c r="F86" s="530">
        <v>0</v>
      </c>
      <c r="G86" s="530">
        <v>0</v>
      </c>
      <c r="H86" s="530">
        <v>0</v>
      </c>
      <c r="I86" s="530">
        <v>0</v>
      </c>
      <c r="J86" s="530">
        <v>0</v>
      </c>
      <c r="K86" s="530">
        <v>0</v>
      </c>
      <c r="L86" s="530">
        <v>0</v>
      </c>
      <c r="M86" s="530">
        <v>0</v>
      </c>
      <c r="N86" s="530">
        <v>0</v>
      </c>
      <c r="O86" s="530">
        <v>0</v>
      </c>
      <c r="P86" s="530">
        <v>0</v>
      </c>
      <c r="Q86" s="530">
        <v>0</v>
      </c>
      <c r="R86" s="530">
        <v>0</v>
      </c>
      <c r="S86" s="530">
        <f t="shared" si="14"/>
        <v>0</v>
      </c>
    </row>
    <row r="87" spans="1:19" s="545" customFormat="1" ht="12.75" x14ac:dyDescent="0.2">
      <c r="A87" s="513">
        <v>62132</v>
      </c>
      <c r="B87" s="529" t="s">
        <v>613</v>
      </c>
      <c r="C87" s="530">
        <v>0</v>
      </c>
      <c r="D87" s="530">
        <v>0</v>
      </c>
      <c r="E87" s="530">
        <v>0</v>
      </c>
      <c r="F87" s="530">
        <v>0</v>
      </c>
      <c r="G87" s="530">
        <v>0</v>
      </c>
      <c r="H87" s="530">
        <v>0</v>
      </c>
      <c r="I87" s="530">
        <v>0</v>
      </c>
      <c r="J87" s="530">
        <v>0</v>
      </c>
      <c r="K87" s="530">
        <v>0</v>
      </c>
      <c r="L87" s="530">
        <v>0</v>
      </c>
      <c r="M87" s="530">
        <v>0</v>
      </c>
      <c r="N87" s="530">
        <v>0</v>
      </c>
      <c r="O87" s="530">
        <v>0</v>
      </c>
      <c r="P87" s="530">
        <v>0</v>
      </c>
      <c r="Q87" s="530">
        <v>0</v>
      </c>
      <c r="R87" s="530">
        <v>0</v>
      </c>
      <c r="S87" s="530">
        <f t="shared" si="14"/>
        <v>0</v>
      </c>
    </row>
    <row r="88" spans="1:19" s="545" customFormat="1" ht="12.75" x14ac:dyDescent="0.2">
      <c r="A88" s="513">
        <v>62133</v>
      </c>
      <c r="B88" s="529" t="s">
        <v>614</v>
      </c>
      <c r="C88" s="530">
        <v>0</v>
      </c>
      <c r="D88" s="530">
        <v>0</v>
      </c>
      <c r="E88" s="530">
        <v>0</v>
      </c>
      <c r="F88" s="530">
        <v>0</v>
      </c>
      <c r="G88" s="530">
        <v>0</v>
      </c>
      <c r="H88" s="530">
        <v>0</v>
      </c>
      <c r="I88" s="530">
        <v>0</v>
      </c>
      <c r="J88" s="530">
        <v>0</v>
      </c>
      <c r="K88" s="530">
        <v>0</v>
      </c>
      <c r="L88" s="530">
        <v>0</v>
      </c>
      <c r="M88" s="530">
        <v>0</v>
      </c>
      <c r="N88" s="530">
        <v>0</v>
      </c>
      <c r="O88" s="530">
        <v>0</v>
      </c>
      <c r="P88" s="530">
        <v>0</v>
      </c>
      <c r="Q88" s="530">
        <v>0</v>
      </c>
      <c r="R88" s="530">
        <v>0</v>
      </c>
      <c r="S88" s="530">
        <f t="shared" si="14"/>
        <v>0</v>
      </c>
    </row>
    <row r="89" spans="1:19" s="545" customFormat="1" ht="12.75" x14ac:dyDescent="0.2">
      <c r="A89" s="513" t="s">
        <v>615</v>
      </c>
      <c r="B89" s="529" t="s">
        <v>616</v>
      </c>
      <c r="C89" s="530">
        <v>0</v>
      </c>
      <c r="D89" s="530">
        <v>0</v>
      </c>
      <c r="E89" s="530">
        <v>0</v>
      </c>
      <c r="F89" s="530">
        <v>0</v>
      </c>
      <c r="G89" s="530">
        <v>0</v>
      </c>
      <c r="H89" s="530">
        <v>0</v>
      </c>
      <c r="I89" s="530">
        <v>0</v>
      </c>
      <c r="J89" s="530">
        <v>0</v>
      </c>
      <c r="K89" s="530">
        <v>0</v>
      </c>
      <c r="L89" s="530">
        <v>0</v>
      </c>
      <c r="M89" s="530">
        <v>0</v>
      </c>
      <c r="N89" s="530">
        <v>0</v>
      </c>
      <c r="O89" s="530">
        <v>0</v>
      </c>
      <c r="P89" s="530">
        <v>0</v>
      </c>
      <c r="Q89" s="530">
        <v>0</v>
      </c>
      <c r="R89" s="530">
        <v>0</v>
      </c>
      <c r="S89" s="530">
        <f t="shared" si="14"/>
        <v>0</v>
      </c>
    </row>
    <row r="90" spans="1:19" s="545" customFormat="1" ht="12.75" x14ac:dyDescent="0.2">
      <c r="A90" s="513">
        <v>62151</v>
      </c>
      <c r="B90" s="529" t="s">
        <v>617</v>
      </c>
      <c r="C90" s="530">
        <v>0</v>
      </c>
      <c r="D90" s="530">
        <v>0</v>
      </c>
      <c r="E90" s="530">
        <v>0</v>
      </c>
      <c r="F90" s="530">
        <v>0</v>
      </c>
      <c r="G90" s="530">
        <v>0</v>
      </c>
      <c r="H90" s="530">
        <v>0</v>
      </c>
      <c r="I90" s="530">
        <v>0</v>
      </c>
      <c r="J90" s="530">
        <v>0</v>
      </c>
      <c r="K90" s="530">
        <v>0</v>
      </c>
      <c r="L90" s="530">
        <v>0</v>
      </c>
      <c r="M90" s="530">
        <v>0</v>
      </c>
      <c r="N90" s="530">
        <v>0</v>
      </c>
      <c r="O90" s="530">
        <v>0</v>
      </c>
      <c r="P90" s="530">
        <v>0</v>
      </c>
      <c r="Q90" s="530">
        <v>0</v>
      </c>
      <c r="R90" s="530">
        <v>0</v>
      </c>
      <c r="S90" s="530">
        <f t="shared" si="14"/>
        <v>0</v>
      </c>
    </row>
    <row r="91" spans="1:19" s="545" customFormat="1" ht="12.75" x14ac:dyDescent="0.2">
      <c r="A91" s="513">
        <v>62151.1</v>
      </c>
      <c r="B91" s="529" t="s">
        <v>618</v>
      </c>
      <c r="C91" s="530">
        <v>0</v>
      </c>
      <c r="D91" s="530">
        <v>0</v>
      </c>
      <c r="E91" s="530">
        <v>0</v>
      </c>
      <c r="F91" s="530">
        <v>0</v>
      </c>
      <c r="G91" s="530">
        <v>0</v>
      </c>
      <c r="H91" s="530">
        <v>0</v>
      </c>
      <c r="I91" s="530">
        <v>0</v>
      </c>
      <c r="J91" s="530">
        <v>0</v>
      </c>
      <c r="K91" s="530">
        <v>0</v>
      </c>
      <c r="L91" s="530">
        <v>0</v>
      </c>
      <c r="M91" s="530">
        <v>0</v>
      </c>
      <c r="N91" s="530">
        <v>0</v>
      </c>
      <c r="O91" s="530">
        <v>0</v>
      </c>
      <c r="P91" s="530">
        <v>0</v>
      </c>
      <c r="Q91" s="530">
        <v>0</v>
      </c>
      <c r="R91" s="530">
        <v>0</v>
      </c>
      <c r="S91" s="530">
        <f t="shared" si="14"/>
        <v>0</v>
      </c>
    </row>
    <row r="92" spans="1:19" s="545" customFormat="1" ht="12.75" x14ac:dyDescent="0.2">
      <c r="A92" s="513">
        <v>62200</v>
      </c>
      <c r="B92" s="529" t="s">
        <v>619</v>
      </c>
      <c r="C92" s="530">
        <v>0</v>
      </c>
      <c r="D92" s="530">
        <v>0</v>
      </c>
      <c r="E92" s="530">
        <v>0</v>
      </c>
      <c r="F92" s="530">
        <v>0</v>
      </c>
      <c r="G92" s="530">
        <v>0</v>
      </c>
      <c r="H92" s="530">
        <v>0</v>
      </c>
      <c r="I92" s="530">
        <v>0</v>
      </c>
      <c r="J92" s="530">
        <v>0</v>
      </c>
      <c r="K92" s="530">
        <v>0</v>
      </c>
      <c r="L92" s="530">
        <v>0</v>
      </c>
      <c r="M92" s="530">
        <v>0</v>
      </c>
      <c r="N92" s="530">
        <v>0</v>
      </c>
      <c r="O92" s="530">
        <v>0</v>
      </c>
      <c r="P92" s="530">
        <v>0</v>
      </c>
      <c r="Q92" s="530">
        <v>0</v>
      </c>
      <c r="R92" s="530">
        <v>0</v>
      </c>
      <c r="S92" s="530">
        <f t="shared" si="14"/>
        <v>0</v>
      </c>
    </row>
    <row r="93" spans="1:19" s="545" customFormat="1" ht="12.75" x14ac:dyDescent="0.2">
      <c r="A93" s="513">
        <v>62201</v>
      </c>
      <c r="B93" s="529" t="s">
        <v>620</v>
      </c>
      <c r="C93" s="530">
        <v>0</v>
      </c>
      <c r="D93" s="530">
        <v>0</v>
      </c>
      <c r="E93" s="530">
        <v>0</v>
      </c>
      <c r="F93" s="530">
        <v>0</v>
      </c>
      <c r="G93" s="530">
        <v>0</v>
      </c>
      <c r="H93" s="530">
        <v>0</v>
      </c>
      <c r="I93" s="530">
        <v>0</v>
      </c>
      <c r="J93" s="530">
        <v>0</v>
      </c>
      <c r="K93" s="530">
        <v>0</v>
      </c>
      <c r="L93" s="530">
        <v>0</v>
      </c>
      <c r="M93" s="530">
        <v>0</v>
      </c>
      <c r="N93" s="530">
        <v>0</v>
      </c>
      <c r="O93" s="530">
        <v>0</v>
      </c>
      <c r="P93" s="530">
        <v>0</v>
      </c>
      <c r="Q93" s="530">
        <v>0</v>
      </c>
      <c r="R93" s="530">
        <v>0</v>
      </c>
      <c r="S93" s="530">
        <f t="shared" si="14"/>
        <v>0</v>
      </c>
    </row>
    <row r="94" spans="1:19" s="545" customFormat="1" ht="12.75" x14ac:dyDescent="0.2">
      <c r="A94" s="513">
        <v>62202</v>
      </c>
      <c r="B94" s="529" t="s">
        <v>621</v>
      </c>
      <c r="C94" s="530">
        <v>0</v>
      </c>
      <c r="D94" s="530">
        <v>0</v>
      </c>
      <c r="E94" s="530">
        <v>0</v>
      </c>
      <c r="F94" s="530">
        <v>0</v>
      </c>
      <c r="G94" s="530">
        <v>0</v>
      </c>
      <c r="H94" s="530">
        <v>0</v>
      </c>
      <c r="I94" s="530">
        <v>0</v>
      </c>
      <c r="J94" s="530">
        <v>0</v>
      </c>
      <c r="K94" s="530">
        <v>0</v>
      </c>
      <c r="L94" s="530">
        <v>0</v>
      </c>
      <c r="M94" s="530">
        <v>0</v>
      </c>
      <c r="N94" s="530">
        <v>0</v>
      </c>
      <c r="O94" s="530">
        <v>0</v>
      </c>
      <c r="P94" s="530">
        <v>0</v>
      </c>
      <c r="Q94" s="530">
        <v>0</v>
      </c>
      <c r="R94" s="530">
        <v>0</v>
      </c>
      <c r="S94" s="530">
        <f t="shared" si="14"/>
        <v>0</v>
      </c>
    </row>
    <row r="95" spans="1:19" s="545" customFormat="1" ht="12.75" x14ac:dyDescent="0.2">
      <c r="A95" s="513">
        <v>62205</v>
      </c>
      <c r="B95" s="529" t="s">
        <v>622</v>
      </c>
      <c r="C95" s="530">
        <v>0</v>
      </c>
      <c r="D95" s="530">
        <v>0</v>
      </c>
      <c r="E95" s="530">
        <v>0</v>
      </c>
      <c r="F95" s="530">
        <v>0</v>
      </c>
      <c r="G95" s="530">
        <v>0</v>
      </c>
      <c r="H95" s="530">
        <v>0</v>
      </c>
      <c r="I95" s="530">
        <v>0</v>
      </c>
      <c r="J95" s="530">
        <v>0</v>
      </c>
      <c r="K95" s="530">
        <v>0</v>
      </c>
      <c r="L95" s="530">
        <v>0</v>
      </c>
      <c r="M95" s="530">
        <v>0</v>
      </c>
      <c r="N95" s="530">
        <v>0</v>
      </c>
      <c r="O95" s="530">
        <v>0</v>
      </c>
      <c r="P95" s="530">
        <v>0</v>
      </c>
      <c r="Q95" s="530">
        <v>0</v>
      </c>
      <c r="R95" s="530">
        <v>0</v>
      </c>
      <c r="S95" s="530">
        <f t="shared" si="14"/>
        <v>0</v>
      </c>
    </row>
    <row r="96" spans="1:19" s="545" customFormat="1" ht="12.75" x14ac:dyDescent="0.2">
      <c r="A96" s="513">
        <v>62300</v>
      </c>
      <c r="B96" s="529" t="s">
        <v>623</v>
      </c>
      <c r="C96" s="530">
        <v>3574.63</v>
      </c>
      <c r="D96" s="530">
        <v>0</v>
      </c>
      <c r="E96" s="530">
        <v>0</v>
      </c>
      <c r="F96" s="530">
        <v>14340.060000000001</v>
      </c>
      <c r="G96" s="530">
        <v>0</v>
      </c>
      <c r="H96" s="530">
        <v>3912.36</v>
      </c>
      <c r="I96" s="530">
        <v>0</v>
      </c>
      <c r="J96" s="530">
        <v>0</v>
      </c>
      <c r="K96" s="530">
        <v>1801.2</v>
      </c>
      <c r="L96" s="530">
        <v>0</v>
      </c>
      <c r="M96" s="530">
        <v>0</v>
      </c>
      <c r="N96" s="530">
        <v>2915.73</v>
      </c>
      <c r="O96" s="530">
        <v>0</v>
      </c>
      <c r="P96" s="530">
        <v>0</v>
      </c>
      <c r="Q96" s="530">
        <v>0</v>
      </c>
      <c r="R96" s="530">
        <v>0</v>
      </c>
      <c r="S96" s="530">
        <f t="shared" si="14"/>
        <v>26543.980000000003</v>
      </c>
    </row>
    <row r="97" spans="1:19" s="545" customFormat="1" ht="12.75" x14ac:dyDescent="0.2">
      <c r="A97" s="513">
        <v>62301</v>
      </c>
      <c r="B97" s="529" t="s">
        <v>624</v>
      </c>
      <c r="C97" s="530">
        <v>0</v>
      </c>
      <c r="D97" s="530">
        <v>0</v>
      </c>
      <c r="E97" s="530">
        <v>0</v>
      </c>
      <c r="F97" s="530">
        <v>0</v>
      </c>
      <c r="G97" s="530">
        <v>0</v>
      </c>
      <c r="H97" s="530">
        <v>0</v>
      </c>
      <c r="I97" s="530">
        <v>0</v>
      </c>
      <c r="J97" s="530">
        <v>0</v>
      </c>
      <c r="K97" s="530">
        <v>0</v>
      </c>
      <c r="L97" s="530">
        <v>0</v>
      </c>
      <c r="M97" s="530">
        <v>0</v>
      </c>
      <c r="N97" s="530">
        <v>0</v>
      </c>
      <c r="O97" s="530">
        <v>0</v>
      </c>
      <c r="P97" s="530">
        <v>0</v>
      </c>
      <c r="Q97" s="530">
        <v>0</v>
      </c>
      <c r="R97" s="530">
        <v>0</v>
      </c>
      <c r="S97" s="530">
        <f t="shared" si="14"/>
        <v>0</v>
      </c>
    </row>
    <row r="98" spans="1:19" s="545" customFormat="1" ht="12.75" x14ac:dyDescent="0.2">
      <c r="A98" s="513">
        <v>62302</v>
      </c>
      <c r="B98" s="529" t="s">
        <v>625</v>
      </c>
      <c r="C98" s="530">
        <v>0</v>
      </c>
      <c r="D98" s="530">
        <v>0</v>
      </c>
      <c r="E98" s="530">
        <v>0</v>
      </c>
      <c r="F98" s="530">
        <v>0</v>
      </c>
      <c r="G98" s="530">
        <v>0</v>
      </c>
      <c r="H98" s="530">
        <v>0</v>
      </c>
      <c r="I98" s="530">
        <v>0</v>
      </c>
      <c r="J98" s="530">
        <v>0</v>
      </c>
      <c r="K98" s="530">
        <v>0</v>
      </c>
      <c r="L98" s="530">
        <v>0</v>
      </c>
      <c r="M98" s="530">
        <v>0</v>
      </c>
      <c r="N98" s="530">
        <v>0</v>
      </c>
      <c r="O98" s="530">
        <v>0</v>
      </c>
      <c r="P98" s="530">
        <v>0</v>
      </c>
      <c r="Q98" s="530">
        <v>0</v>
      </c>
      <c r="R98" s="530">
        <v>0</v>
      </c>
      <c r="S98" s="530">
        <f t="shared" si="14"/>
        <v>0</v>
      </c>
    </row>
    <row r="99" spans="1:19" s="545" customFormat="1" ht="12.75" x14ac:dyDescent="0.2">
      <c r="A99" s="513">
        <v>62303</v>
      </c>
      <c r="B99" s="529" t="s">
        <v>626</v>
      </c>
      <c r="C99" s="530">
        <v>0</v>
      </c>
      <c r="D99" s="530">
        <v>0</v>
      </c>
      <c r="E99" s="530">
        <v>0</v>
      </c>
      <c r="F99" s="530">
        <v>0</v>
      </c>
      <c r="G99" s="530">
        <v>0</v>
      </c>
      <c r="H99" s="530">
        <v>0</v>
      </c>
      <c r="I99" s="530">
        <v>0</v>
      </c>
      <c r="J99" s="530">
        <v>0</v>
      </c>
      <c r="K99" s="530">
        <v>0</v>
      </c>
      <c r="L99" s="530">
        <v>0</v>
      </c>
      <c r="M99" s="530">
        <v>0</v>
      </c>
      <c r="N99" s="530">
        <v>0</v>
      </c>
      <c r="O99" s="530">
        <v>0</v>
      </c>
      <c r="P99" s="530">
        <v>0</v>
      </c>
      <c r="Q99" s="530">
        <v>0</v>
      </c>
      <c r="R99" s="530">
        <v>0</v>
      </c>
      <c r="S99" s="530">
        <f t="shared" si="14"/>
        <v>0</v>
      </c>
    </row>
    <row r="100" spans="1:19" s="545" customFormat="1" ht="12.75" x14ac:dyDescent="0.2">
      <c r="A100" s="513">
        <v>62304</v>
      </c>
      <c r="B100" s="529" t="s">
        <v>627</v>
      </c>
      <c r="C100" s="530">
        <v>6321.39</v>
      </c>
      <c r="D100" s="530">
        <v>0</v>
      </c>
      <c r="E100" s="530">
        <v>0</v>
      </c>
      <c r="F100" s="530">
        <v>6934.08</v>
      </c>
      <c r="G100" s="530">
        <v>1382.74</v>
      </c>
      <c r="H100" s="530">
        <v>2490.15</v>
      </c>
      <c r="I100" s="530">
        <v>3896.7599999999998</v>
      </c>
      <c r="J100" s="530">
        <v>0</v>
      </c>
      <c r="K100" s="530">
        <v>2458.98</v>
      </c>
      <c r="L100" s="530">
        <v>0</v>
      </c>
      <c r="M100" s="530">
        <v>1299.6000000000001</v>
      </c>
      <c r="N100" s="530">
        <v>3253.2099999999996</v>
      </c>
      <c r="O100" s="530">
        <v>1299.6000000000001</v>
      </c>
      <c r="P100" s="530">
        <v>0</v>
      </c>
      <c r="Q100" s="530">
        <v>0</v>
      </c>
      <c r="R100" s="530">
        <v>0</v>
      </c>
      <c r="S100" s="530">
        <f t="shared" si="14"/>
        <v>29336.509999999995</v>
      </c>
    </row>
    <row r="101" spans="1:19" s="545" customFormat="1" ht="12.75" x14ac:dyDescent="0.2">
      <c r="A101" s="513">
        <v>62305</v>
      </c>
      <c r="B101" s="529" t="s">
        <v>628</v>
      </c>
      <c r="C101" s="530">
        <v>2923.42</v>
      </c>
      <c r="D101" s="530">
        <v>0</v>
      </c>
      <c r="E101" s="530">
        <v>0</v>
      </c>
      <c r="F101" s="530">
        <v>8400</v>
      </c>
      <c r="G101" s="530">
        <v>0</v>
      </c>
      <c r="H101" s="530">
        <v>1988.21</v>
      </c>
      <c r="I101" s="530">
        <v>0</v>
      </c>
      <c r="J101" s="530">
        <v>0</v>
      </c>
      <c r="K101" s="530">
        <v>1100.04</v>
      </c>
      <c r="L101" s="530">
        <v>0</v>
      </c>
      <c r="M101" s="530">
        <v>0</v>
      </c>
      <c r="N101" s="530">
        <v>1513.0700000000002</v>
      </c>
      <c r="O101" s="530">
        <v>0</v>
      </c>
      <c r="P101" s="530">
        <v>0</v>
      </c>
      <c r="Q101" s="530">
        <v>0</v>
      </c>
      <c r="R101" s="530">
        <v>0</v>
      </c>
      <c r="S101" s="530">
        <f t="shared" si="14"/>
        <v>15924.740000000002</v>
      </c>
    </row>
    <row r="102" spans="1:19" s="545" customFormat="1" ht="12.75" x14ac:dyDescent="0.2">
      <c r="A102" s="513">
        <v>62306</v>
      </c>
      <c r="B102" s="529" t="s">
        <v>629</v>
      </c>
      <c r="C102" s="530">
        <v>537.49</v>
      </c>
      <c r="D102" s="530">
        <v>0</v>
      </c>
      <c r="E102" s="530">
        <v>0</v>
      </c>
      <c r="F102" s="530">
        <v>0</v>
      </c>
      <c r="G102" s="530">
        <v>0</v>
      </c>
      <c r="H102" s="530">
        <v>616.5</v>
      </c>
      <c r="I102" s="530">
        <v>0</v>
      </c>
      <c r="J102" s="530">
        <v>0</v>
      </c>
      <c r="K102" s="530">
        <v>0</v>
      </c>
      <c r="L102" s="530">
        <v>0</v>
      </c>
      <c r="M102" s="530">
        <v>0</v>
      </c>
      <c r="N102" s="530">
        <v>426.81000000000006</v>
      </c>
      <c r="O102" s="530">
        <v>0</v>
      </c>
      <c r="P102" s="530">
        <v>0</v>
      </c>
      <c r="Q102" s="530">
        <v>0</v>
      </c>
      <c r="R102" s="530">
        <v>0</v>
      </c>
      <c r="S102" s="530">
        <f t="shared" si="14"/>
        <v>1580.8000000000002</v>
      </c>
    </row>
    <row r="103" spans="1:19" s="545" customFormat="1" ht="12.75" x14ac:dyDescent="0.2">
      <c r="A103" s="513">
        <v>62600</v>
      </c>
      <c r="B103" s="529" t="s">
        <v>630</v>
      </c>
      <c r="C103" s="530">
        <v>9184.1400000000012</v>
      </c>
      <c r="D103" s="530">
        <v>0</v>
      </c>
      <c r="E103" s="530">
        <v>0</v>
      </c>
      <c r="F103" s="530">
        <v>15685.999999999998</v>
      </c>
      <c r="G103" s="530">
        <v>18327.329999999998</v>
      </c>
      <c r="H103" s="530">
        <v>3972.42</v>
      </c>
      <c r="I103" s="530">
        <v>1834.11</v>
      </c>
      <c r="J103" s="530">
        <v>0</v>
      </c>
      <c r="K103" s="530">
        <v>0</v>
      </c>
      <c r="L103" s="530">
        <v>0</v>
      </c>
      <c r="M103" s="530">
        <v>0</v>
      </c>
      <c r="N103" s="530">
        <v>6201.2900000000009</v>
      </c>
      <c r="O103" s="530">
        <v>25429.79</v>
      </c>
      <c r="P103" s="530">
        <v>0</v>
      </c>
      <c r="Q103" s="530">
        <v>0</v>
      </c>
      <c r="R103" s="530">
        <v>0</v>
      </c>
      <c r="S103" s="530">
        <f t="shared" si="14"/>
        <v>80635.08</v>
      </c>
    </row>
    <row r="104" spans="1:19" s="545" customFormat="1" ht="12.75" x14ac:dyDescent="0.2">
      <c r="A104" s="513">
        <v>62601</v>
      </c>
      <c r="B104" s="529" t="s">
        <v>631</v>
      </c>
      <c r="C104" s="530">
        <v>0</v>
      </c>
      <c r="D104" s="530">
        <v>0</v>
      </c>
      <c r="E104" s="1189">
        <v>0</v>
      </c>
      <c r="F104" s="530">
        <v>0</v>
      </c>
      <c r="G104" s="530">
        <v>0</v>
      </c>
      <c r="H104" s="530">
        <v>0</v>
      </c>
      <c r="I104" s="530">
        <v>0</v>
      </c>
      <c r="J104" s="530">
        <v>0</v>
      </c>
      <c r="K104" s="530">
        <v>0</v>
      </c>
      <c r="L104" s="530">
        <v>0</v>
      </c>
      <c r="M104" s="530">
        <v>0</v>
      </c>
      <c r="N104" s="530">
        <v>0</v>
      </c>
      <c r="O104" s="530">
        <v>0</v>
      </c>
      <c r="P104" s="530">
        <v>0</v>
      </c>
      <c r="Q104" s="530">
        <v>0</v>
      </c>
      <c r="R104" s="530">
        <v>0</v>
      </c>
      <c r="S104" s="530">
        <f t="shared" si="14"/>
        <v>0</v>
      </c>
    </row>
    <row r="105" spans="1:19" s="545" customFormat="1" ht="12.75" x14ac:dyDescent="0.2">
      <c r="A105" s="513">
        <v>62400</v>
      </c>
      <c r="B105" s="553" t="s">
        <v>632</v>
      </c>
      <c r="C105" s="531">
        <v>0</v>
      </c>
      <c r="D105" s="531">
        <v>0</v>
      </c>
      <c r="E105" s="531">
        <v>0</v>
      </c>
      <c r="F105" s="531">
        <v>0</v>
      </c>
      <c r="G105" s="531">
        <v>0</v>
      </c>
      <c r="H105" s="531">
        <v>0</v>
      </c>
      <c r="I105" s="531">
        <v>0</v>
      </c>
      <c r="J105" s="531">
        <v>0</v>
      </c>
      <c r="K105" s="531">
        <v>0</v>
      </c>
      <c r="L105" s="531">
        <v>0</v>
      </c>
      <c r="M105" s="531">
        <v>0</v>
      </c>
      <c r="N105" s="531">
        <v>0</v>
      </c>
      <c r="O105" s="531">
        <v>0</v>
      </c>
      <c r="P105" s="531">
        <v>0</v>
      </c>
      <c r="Q105" s="531">
        <v>0</v>
      </c>
      <c r="R105" s="531">
        <v>0</v>
      </c>
      <c r="S105" s="531">
        <f t="shared" si="14"/>
        <v>0</v>
      </c>
    </row>
    <row r="106" spans="1:19" s="428" customFormat="1" ht="12.75" x14ac:dyDescent="0.2">
      <c r="A106" s="513">
        <v>62950</v>
      </c>
      <c r="B106" s="532" t="s">
        <v>633</v>
      </c>
      <c r="C106" s="533">
        <f t="shared" ref="C106:S106" si="15">SUM(C80:C105)</f>
        <v>75763.679999999993</v>
      </c>
      <c r="D106" s="533">
        <f t="shared" si="15"/>
        <v>0</v>
      </c>
      <c r="E106" s="533">
        <f t="shared" si="15"/>
        <v>0</v>
      </c>
      <c r="F106" s="533">
        <f t="shared" si="15"/>
        <v>169735.16</v>
      </c>
      <c r="G106" s="533">
        <f t="shared" si="15"/>
        <v>54679.5</v>
      </c>
      <c r="H106" s="533">
        <f t="shared" si="15"/>
        <v>61781.07</v>
      </c>
      <c r="I106" s="533">
        <f t="shared" si="15"/>
        <v>63355.5</v>
      </c>
      <c r="J106" s="533">
        <f t="shared" si="15"/>
        <v>0</v>
      </c>
      <c r="K106" s="533">
        <f t="shared" si="15"/>
        <v>19110.240000000002</v>
      </c>
      <c r="L106" s="533">
        <f t="shared" si="15"/>
        <v>0</v>
      </c>
      <c r="M106" s="533">
        <f t="shared" si="15"/>
        <v>12601.080000000002</v>
      </c>
      <c r="N106" s="533">
        <f t="shared" si="15"/>
        <v>56756.939999999995</v>
      </c>
      <c r="O106" s="533">
        <f t="shared" si="15"/>
        <v>61502.559999999998</v>
      </c>
      <c r="P106" s="533">
        <f t="shared" si="15"/>
        <v>0</v>
      </c>
      <c r="Q106" s="533">
        <f t="shared" si="15"/>
        <v>0</v>
      </c>
      <c r="R106" s="533">
        <f t="shared" si="15"/>
        <v>0</v>
      </c>
      <c r="S106" s="533">
        <f t="shared" si="15"/>
        <v>575285.73</v>
      </c>
    </row>
    <row r="107" spans="1:19" s="428" customFormat="1" ht="12.75" x14ac:dyDescent="0.2">
      <c r="A107" s="513"/>
      <c r="B107" s="516"/>
      <c r="C107" s="528"/>
      <c r="D107" s="528"/>
      <c r="E107" s="528"/>
      <c r="F107" s="528"/>
      <c r="G107" s="528"/>
      <c r="H107" s="528"/>
      <c r="I107" s="528"/>
      <c r="J107" s="528"/>
      <c r="K107" s="528"/>
      <c r="L107" s="528"/>
      <c r="M107" s="528"/>
      <c r="N107" s="528"/>
      <c r="O107" s="528"/>
      <c r="P107" s="528"/>
      <c r="Q107" s="528"/>
      <c r="R107" s="528"/>
      <c r="S107" s="528"/>
    </row>
    <row r="108" spans="1:19" s="428" customFormat="1" ht="12.75" x14ac:dyDescent="0.2">
      <c r="A108" s="513"/>
      <c r="B108" s="516" t="s">
        <v>634</v>
      </c>
      <c r="C108" s="528"/>
      <c r="D108" s="528"/>
      <c r="E108" s="528"/>
      <c r="F108" s="528"/>
      <c r="G108" s="528"/>
      <c r="H108" s="528"/>
      <c r="I108" s="528"/>
      <c r="J108" s="528"/>
      <c r="K108" s="528"/>
      <c r="L108" s="528"/>
      <c r="M108" s="528"/>
      <c r="N108" s="528"/>
      <c r="O108" s="528"/>
      <c r="P108" s="528"/>
      <c r="Q108" s="528"/>
      <c r="R108" s="528"/>
      <c r="S108" s="528"/>
    </row>
    <row r="109" spans="1:19" s="545" customFormat="1" ht="12.75" x14ac:dyDescent="0.2">
      <c r="A109" s="513">
        <v>63100</v>
      </c>
      <c r="B109" s="529" t="s">
        <v>635</v>
      </c>
      <c r="C109" s="530">
        <v>-5750.53</v>
      </c>
      <c r="D109" s="530">
        <v>0</v>
      </c>
      <c r="E109" s="530">
        <v>0</v>
      </c>
      <c r="F109" s="530">
        <v>0</v>
      </c>
      <c r="G109" s="530">
        <v>0</v>
      </c>
      <c r="H109" s="530">
        <v>0</v>
      </c>
      <c r="I109" s="530">
        <v>0</v>
      </c>
      <c r="J109" s="530">
        <v>0</v>
      </c>
      <c r="K109" s="530">
        <v>0</v>
      </c>
      <c r="L109" s="530">
        <v>0</v>
      </c>
      <c r="M109" s="530">
        <v>0</v>
      </c>
      <c r="N109" s="530">
        <v>0</v>
      </c>
      <c r="O109" s="530">
        <v>0</v>
      </c>
      <c r="P109" s="530">
        <v>0</v>
      </c>
      <c r="Q109" s="530">
        <v>0</v>
      </c>
      <c r="R109" s="530">
        <v>0</v>
      </c>
      <c r="S109" s="530">
        <f t="shared" ref="S109:S116" si="16">SUM(C109:R109)</f>
        <v>-5750.53</v>
      </c>
    </row>
    <row r="110" spans="1:19" s="545" customFormat="1" ht="12.75" x14ac:dyDescent="0.2">
      <c r="A110" s="513">
        <v>63200</v>
      </c>
      <c r="B110" s="529" t="s">
        <v>636</v>
      </c>
      <c r="C110" s="530">
        <v>0</v>
      </c>
      <c r="D110" s="530">
        <v>0</v>
      </c>
      <c r="E110" s="530">
        <v>0</v>
      </c>
      <c r="F110" s="530">
        <v>0</v>
      </c>
      <c r="G110" s="530">
        <v>0</v>
      </c>
      <c r="H110" s="530">
        <v>0</v>
      </c>
      <c r="I110" s="530">
        <v>0</v>
      </c>
      <c r="J110" s="530">
        <v>0</v>
      </c>
      <c r="K110" s="530">
        <v>0</v>
      </c>
      <c r="L110" s="530">
        <v>0</v>
      </c>
      <c r="M110" s="530">
        <v>0</v>
      </c>
      <c r="N110" s="530">
        <v>0</v>
      </c>
      <c r="O110" s="530">
        <v>0</v>
      </c>
      <c r="P110" s="530">
        <v>0</v>
      </c>
      <c r="Q110" s="530">
        <v>0</v>
      </c>
      <c r="R110" s="530">
        <v>0</v>
      </c>
      <c r="S110" s="530">
        <f t="shared" si="16"/>
        <v>0</v>
      </c>
    </row>
    <row r="111" spans="1:19" s="545" customFormat="1" ht="12.75" x14ac:dyDescent="0.2">
      <c r="A111" s="513">
        <v>63250</v>
      </c>
      <c r="B111" s="529" t="s">
        <v>637</v>
      </c>
      <c r="C111" s="530">
        <v>747.11</v>
      </c>
      <c r="D111" s="530">
        <v>0</v>
      </c>
      <c r="E111" s="530">
        <v>0</v>
      </c>
      <c r="F111" s="530">
        <v>0</v>
      </c>
      <c r="G111" s="530">
        <v>0</v>
      </c>
      <c r="H111" s="530">
        <v>0</v>
      </c>
      <c r="I111" s="530">
        <v>0</v>
      </c>
      <c r="J111" s="530">
        <v>0</v>
      </c>
      <c r="K111" s="530">
        <v>0</v>
      </c>
      <c r="L111" s="530">
        <v>0</v>
      </c>
      <c r="M111" s="530">
        <v>0</v>
      </c>
      <c r="N111" s="530">
        <v>0</v>
      </c>
      <c r="O111" s="530">
        <v>0</v>
      </c>
      <c r="P111" s="530">
        <v>0</v>
      </c>
      <c r="Q111" s="530">
        <v>0</v>
      </c>
      <c r="R111" s="530">
        <v>0</v>
      </c>
      <c r="S111" s="530">
        <f t="shared" si="16"/>
        <v>747.11</v>
      </c>
    </row>
    <row r="112" spans="1:19" s="545" customFormat="1" ht="12.75" x14ac:dyDescent="0.2">
      <c r="A112" s="513">
        <v>63300</v>
      </c>
      <c r="B112" s="529" t="s">
        <v>638</v>
      </c>
      <c r="C112" s="530">
        <v>12</v>
      </c>
      <c r="D112" s="530">
        <v>0</v>
      </c>
      <c r="E112" s="530">
        <v>0</v>
      </c>
      <c r="F112" s="530">
        <v>0</v>
      </c>
      <c r="G112" s="530">
        <v>0</v>
      </c>
      <c r="H112" s="530">
        <v>0</v>
      </c>
      <c r="I112" s="530">
        <v>0</v>
      </c>
      <c r="J112" s="530">
        <v>0</v>
      </c>
      <c r="K112" s="530">
        <v>0</v>
      </c>
      <c r="L112" s="530">
        <v>0</v>
      </c>
      <c r="M112" s="530">
        <v>0</v>
      </c>
      <c r="N112" s="530">
        <v>0</v>
      </c>
      <c r="O112" s="530">
        <v>0</v>
      </c>
      <c r="P112" s="530">
        <v>0</v>
      </c>
      <c r="Q112" s="530">
        <v>0</v>
      </c>
      <c r="R112" s="530">
        <v>0</v>
      </c>
      <c r="S112" s="530">
        <f t="shared" si="16"/>
        <v>12</v>
      </c>
    </row>
    <row r="113" spans="1:19" s="545" customFormat="1" ht="12.75" x14ac:dyDescent="0.2">
      <c r="A113" s="513">
        <v>63400</v>
      </c>
      <c r="B113" s="529" t="s">
        <v>639</v>
      </c>
      <c r="C113" s="530">
        <v>0</v>
      </c>
      <c r="D113" s="530">
        <v>0</v>
      </c>
      <c r="E113" s="530">
        <v>0</v>
      </c>
      <c r="F113" s="530">
        <v>0</v>
      </c>
      <c r="G113" s="530">
        <v>0</v>
      </c>
      <c r="H113" s="530">
        <v>0</v>
      </c>
      <c r="I113" s="530">
        <v>0</v>
      </c>
      <c r="J113" s="530">
        <v>0</v>
      </c>
      <c r="K113" s="530">
        <v>0</v>
      </c>
      <c r="L113" s="530">
        <v>0</v>
      </c>
      <c r="M113" s="530">
        <v>0</v>
      </c>
      <c r="N113" s="530">
        <v>0</v>
      </c>
      <c r="O113" s="530">
        <v>0</v>
      </c>
      <c r="P113" s="530">
        <v>0</v>
      </c>
      <c r="Q113" s="530">
        <v>0</v>
      </c>
      <c r="R113" s="530">
        <v>0</v>
      </c>
      <c r="S113" s="530">
        <f t="shared" si="16"/>
        <v>0</v>
      </c>
    </row>
    <row r="114" spans="1:19" s="545" customFormat="1" ht="12.75" x14ac:dyDescent="0.2">
      <c r="A114" s="513">
        <v>63450</v>
      </c>
      <c r="B114" s="529" t="s">
        <v>640</v>
      </c>
      <c r="C114" s="530">
        <v>94.23</v>
      </c>
      <c r="D114" s="530">
        <v>0</v>
      </c>
      <c r="E114" s="530">
        <v>0</v>
      </c>
      <c r="F114" s="530">
        <v>9.64</v>
      </c>
      <c r="G114" s="530">
        <v>0</v>
      </c>
      <c r="H114" s="530">
        <v>0</v>
      </c>
      <c r="I114" s="530">
        <v>0</v>
      </c>
      <c r="J114" s="530">
        <v>0</v>
      </c>
      <c r="K114" s="530">
        <v>0</v>
      </c>
      <c r="L114" s="530">
        <v>0</v>
      </c>
      <c r="M114" s="530">
        <v>0</v>
      </c>
      <c r="N114" s="530">
        <v>0</v>
      </c>
      <c r="O114" s="530">
        <v>0</v>
      </c>
      <c r="P114" s="530">
        <v>0</v>
      </c>
      <c r="Q114" s="530">
        <v>0</v>
      </c>
      <c r="R114" s="530">
        <v>0</v>
      </c>
      <c r="S114" s="530">
        <f t="shared" si="16"/>
        <v>103.87</v>
      </c>
    </row>
    <row r="115" spans="1:19" s="545" customFormat="1" ht="12.75" x14ac:dyDescent="0.2">
      <c r="A115" s="513">
        <v>63460</v>
      </c>
      <c r="B115" s="529" t="s">
        <v>641</v>
      </c>
      <c r="C115" s="530">
        <v>251.3</v>
      </c>
      <c r="D115" s="530">
        <v>0</v>
      </c>
      <c r="E115" s="530">
        <v>0</v>
      </c>
      <c r="F115" s="530">
        <v>0</v>
      </c>
      <c r="G115" s="530">
        <v>0</v>
      </c>
      <c r="H115" s="530">
        <v>0</v>
      </c>
      <c r="I115" s="530">
        <v>0</v>
      </c>
      <c r="J115" s="530">
        <v>0</v>
      </c>
      <c r="K115" s="530">
        <v>0</v>
      </c>
      <c r="L115" s="530">
        <v>0</v>
      </c>
      <c r="M115" s="530">
        <v>0</v>
      </c>
      <c r="N115" s="530">
        <v>0</v>
      </c>
      <c r="O115" s="530">
        <v>0</v>
      </c>
      <c r="P115" s="530">
        <v>0</v>
      </c>
      <c r="Q115" s="530">
        <v>0</v>
      </c>
      <c r="R115" s="530">
        <v>0</v>
      </c>
      <c r="S115" s="530">
        <f t="shared" si="16"/>
        <v>251.3</v>
      </c>
    </row>
    <row r="116" spans="1:19" s="545" customFormat="1" ht="12.75" x14ac:dyDescent="0.2">
      <c r="A116" s="513">
        <v>63470</v>
      </c>
      <c r="B116" s="553" t="s">
        <v>642</v>
      </c>
      <c r="C116" s="530">
        <v>0</v>
      </c>
      <c r="D116" s="530">
        <v>0</v>
      </c>
      <c r="E116" s="530">
        <v>0</v>
      </c>
      <c r="F116" s="530">
        <v>0</v>
      </c>
      <c r="G116" s="530">
        <v>0</v>
      </c>
      <c r="H116" s="530">
        <v>0</v>
      </c>
      <c r="I116" s="530">
        <v>0</v>
      </c>
      <c r="J116" s="530">
        <v>0</v>
      </c>
      <c r="K116" s="530">
        <v>0</v>
      </c>
      <c r="L116" s="530">
        <v>0</v>
      </c>
      <c r="M116" s="530">
        <v>0</v>
      </c>
      <c r="N116" s="530">
        <v>0</v>
      </c>
      <c r="O116" s="530">
        <v>0</v>
      </c>
      <c r="P116" s="530">
        <v>0</v>
      </c>
      <c r="Q116" s="530">
        <v>0</v>
      </c>
      <c r="R116" s="530">
        <v>0</v>
      </c>
      <c r="S116" s="530">
        <f t="shared" si="16"/>
        <v>0</v>
      </c>
    </row>
    <row r="117" spans="1:19" s="428" customFormat="1" ht="12.75" x14ac:dyDescent="0.2">
      <c r="A117" s="513">
        <v>63500</v>
      </c>
      <c r="B117" s="536" t="s">
        <v>643</v>
      </c>
      <c r="C117" s="537">
        <f t="shared" ref="C117:S117" si="17">SUM(C109:C116)</f>
        <v>-4645.8900000000003</v>
      </c>
      <c r="D117" s="537">
        <f t="shared" si="17"/>
        <v>0</v>
      </c>
      <c r="E117" s="537">
        <f t="shared" si="17"/>
        <v>0</v>
      </c>
      <c r="F117" s="537">
        <f t="shared" si="17"/>
        <v>9.64</v>
      </c>
      <c r="G117" s="537">
        <f t="shared" si="17"/>
        <v>0</v>
      </c>
      <c r="H117" s="1190">
        <f t="shared" si="17"/>
        <v>0</v>
      </c>
      <c r="I117" s="1190">
        <f t="shared" si="17"/>
        <v>0</v>
      </c>
      <c r="J117" s="537">
        <f t="shared" si="17"/>
        <v>0</v>
      </c>
      <c r="K117" s="537">
        <f t="shared" si="17"/>
        <v>0</v>
      </c>
      <c r="L117" s="537">
        <f t="shared" si="17"/>
        <v>0</v>
      </c>
      <c r="M117" s="537">
        <f t="shared" si="17"/>
        <v>0</v>
      </c>
      <c r="N117" s="537">
        <f t="shared" si="17"/>
        <v>0</v>
      </c>
      <c r="O117" s="537">
        <f t="shared" si="17"/>
        <v>0</v>
      </c>
      <c r="P117" s="537">
        <f t="shared" si="17"/>
        <v>0</v>
      </c>
      <c r="Q117" s="537">
        <f t="shared" si="17"/>
        <v>0</v>
      </c>
      <c r="R117" s="537">
        <f t="shared" si="17"/>
        <v>0</v>
      </c>
      <c r="S117" s="537">
        <f t="shared" si="17"/>
        <v>-4636.25</v>
      </c>
    </row>
    <row r="118" spans="1:19" s="428" customFormat="1" ht="12.75" x14ac:dyDescent="0.2">
      <c r="A118" s="513"/>
      <c r="B118" s="516"/>
      <c r="C118" s="528"/>
      <c r="D118" s="528"/>
      <c r="E118" s="528"/>
      <c r="F118" s="528"/>
      <c r="G118" s="528"/>
      <c r="H118" s="528"/>
      <c r="I118" s="528"/>
      <c r="J118" s="528"/>
      <c r="K118" s="528"/>
      <c r="L118" s="528"/>
      <c r="M118" s="528"/>
      <c r="N118" s="528"/>
      <c r="O118" s="528"/>
      <c r="P118" s="528"/>
      <c r="Q118" s="528"/>
      <c r="R118" s="528"/>
      <c r="S118" s="528"/>
    </row>
    <row r="119" spans="1:19" s="428" customFormat="1" ht="12.75" x14ac:dyDescent="0.2">
      <c r="A119" s="513"/>
      <c r="B119" s="516" t="s">
        <v>644</v>
      </c>
      <c r="C119" s="528"/>
      <c r="D119" s="528"/>
      <c r="E119" s="528"/>
      <c r="F119" s="528"/>
      <c r="G119" s="528"/>
      <c r="H119" s="528"/>
      <c r="I119" s="528"/>
      <c r="J119" s="528"/>
      <c r="K119" s="528"/>
      <c r="L119" s="528"/>
      <c r="M119" s="528"/>
      <c r="N119" s="528"/>
      <c r="O119" s="528"/>
      <c r="P119" s="528"/>
      <c r="Q119" s="528"/>
      <c r="R119" s="528"/>
      <c r="S119" s="528"/>
    </row>
    <row r="120" spans="1:19" s="545" customFormat="1" ht="12.75" x14ac:dyDescent="0.2">
      <c r="A120" s="513">
        <v>64100</v>
      </c>
      <c r="B120" s="529" t="s">
        <v>645</v>
      </c>
      <c r="C120" s="530">
        <v>150.98999999999998</v>
      </c>
      <c r="D120" s="530">
        <v>0</v>
      </c>
      <c r="E120" s="530">
        <v>0</v>
      </c>
      <c r="F120" s="530">
        <v>0</v>
      </c>
      <c r="G120" s="530">
        <v>0</v>
      </c>
      <c r="H120" s="530">
        <v>329.13</v>
      </c>
      <c r="I120" s="530">
        <v>0</v>
      </c>
      <c r="J120" s="530">
        <v>0</v>
      </c>
      <c r="K120" s="530">
        <v>0</v>
      </c>
      <c r="L120" s="530">
        <v>0</v>
      </c>
      <c r="M120" s="530">
        <v>0</v>
      </c>
      <c r="N120" s="530">
        <v>75.48</v>
      </c>
      <c r="O120" s="530">
        <v>0</v>
      </c>
      <c r="P120" s="530">
        <v>0</v>
      </c>
      <c r="Q120" s="530">
        <v>0</v>
      </c>
      <c r="R120" s="530">
        <v>0</v>
      </c>
      <c r="S120" s="530">
        <f t="shared" ref="S120:S125" si="18">SUM(C120:R120)</f>
        <v>555.6</v>
      </c>
    </row>
    <row r="121" spans="1:19" s="545" customFormat="1" ht="12.75" x14ac:dyDescent="0.2">
      <c r="A121" s="513">
        <v>64150</v>
      </c>
      <c r="B121" s="529" t="s">
        <v>646</v>
      </c>
      <c r="C121" s="530">
        <v>0</v>
      </c>
      <c r="D121" s="530">
        <v>0</v>
      </c>
      <c r="E121" s="530">
        <v>0</v>
      </c>
      <c r="F121" s="530">
        <v>0</v>
      </c>
      <c r="G121" s="530">
        <v>0</v>
      </c>
      <c r="H121" s="530">
        <v>0</v>
      </c>
      <c r="I121" s="530">
        <v>0</v>
      </c>
      <c r="J121" s="530">
        <v>0</v>
      </c>
      <c r="K121" s="530">
        <v>0</v>
      </c>
      <c r="L121" s="530">
        <v>0</v>
      </c>
      <c r="M121" s="530">
        <v>0</v>
      </c>
      <c r="N121" s="530">
        <v>0</v>
      </c>
      <c r="O121" s="530">
        <v>0</v>
      </c>
      <c r="P121" s="530">
        <v>0</v>
      </c>
      <c r="Q121" s="530">
        <v>0</v>
      </c>
      <c r="R121" s="530">
        <v>0</v>
      </c>
      <c r="S121" s="530">
        <f t="shared" si="18"/>
        <v>0</v>
      </c>
    </row>
    <row r="122" spans="1:19" s="545" customFormat="1" ht="12.75" x14ac:dyDescent="0.2">
      <c r="A122" s="513">
        <v>64200</v>
      </c>
      <c r="B122" s="529" t="s">
        <v>647</v>
      </c>
      <c r="C122" s="530">
        <v>0</v>
      </c>
      <c r="D122" s="530">
        <v>0</v>
      </c>
      <c r="E122" s="530">
        <v>0</v>
      </c>
      <c r="F122" s="530">
        <v>0</v>
      </c>
      <c r="G122" s="530">
        <v>0</v>
      </c>
      <c r="H122" s="530">
        <v>0</v>
      </c>
      <c r="I122" s="530">
        <v>0</v>
      </c>
      <c r="J122" s="530">
        <v>0</v>
      </c>
      <c r="K122" s="530">
        <v>0</v>
      </c>
      <c r="L122" s="530">
        <v>0</v>
      </c>
      <c r="M122" s="530">
        <v>0</v>
      </c>
      <c r="N122" s="530">
        <v>0</v>
      </c>
      <c r="O122" s="530">
        <v>0</v>
      </c>
      <c r="P122" s="530">
        <v>0</v>
      </c>
      <c r="Q122" s="530">
        <v>0</v>
      </c>
      <c r="R122" s="530">
        <v>0</v>
      </c>
      <c r="S122" s="530">
        <f t="shared" si="18"/>
        <v>0</v>
      </c>
    </row>
    <row r="123" spans="1:19" s="545" customFormat="1" ht="12.75" x14ac:dyDescent="0.2">
      <c r="A123" s="513">
        <v>64248</v>
      </c>
      <c r="B123" s="529" t="s">
        <v>648</v>
      </c>
      <c r="C123" s="530">
        <v>0</v>
      </c>
      <c r="D123" s="530">
        <v>0</v>
      </c>
      <c r="E123" s="530">
        <v>0</v>
      </c>
      <c r="F123" s="530">
        <v>0</v>
      </c>
      <c r="G123" s="530">
        <v>0</v>
      </c>
      <c r="H123" s="530">
        <v>0</v>
      </c>
      <c r="I123" s="530">
        <v>0</v>
      </c>
      <c r="J123" s="530">
        <v>0</v>
      </c>
      <c r="K123" s="530">
        <v>0</v>
      </c>
      <c r="L123" s="530">
        <v>0</v>
      </c>
      <c r="M123" s="530">
        <v>0</v>
      </c>
      <c r="N123" s="530">
        <v>0</v>
      </c>
      <c r="O123" s="530">
        <v>0</v>
      </c>
      <c r="P123" s="530">
        <v>0</v>
      </c>
      <c r="Q123" s="530">
        <v>0</v>
      </c>
      <c r="R123" s="530">
        <v>0</v>
      </c>
      <c r="S123" s="530">
        <f t="shared" si="18"/>
        <v>0</v>
      </c>
    </row>
    <row r="124" spans="1:19" s="545" customFormat="1" ht="12.75" x14ac:dyDescent="0.2">
      <c r="A124" s="513">
        <v>64250</v>
      </c>
      <c r="B124" s="529" t="s">
        <v>649</v>
      </c>
      <c r="C124" s="530">
        <v>0</v>
      </c>
      <c r="D124" s="530">
        <v>0</v>
      </c>
      <c r="E124" s="530">
        <v>0</v>
      </c>
      <c r="F124" s="530">
        <v>0</v>
      </c>
      <c r="G124" s="530">
        <v>0</v>
      </c>
      <c r="H124" s="530">
        <v>0</v>
      </c>
      <c r="I124" s="530">
        <v>0</v>
      </c>
      <c r="J124" s="530">
        <v>0</v>
      </c>
      <c r="K124" s="530">
        <v>0</v>
      </c>
      <c r="L124" s="530">
        <v>0</v>
      </c>
      <c r="M124" s="530">
        <v>0</v>
      </c>
      <c r="N124" s="530">
        <v>0</v>
      </c>
      <c r="O124" s="530">
        <v>0</v>
      </c>
      <c r="P124" s="530">
        <v>0</v>
      </c>
      <c r="Q124" s="530">
        <v>0</v>
      </c>
      <c r="R124" s="530">
        <v>0</v>
      </c>
      <c r="S124" s="530">
        <f t="shared" si="18"/>
        <v>0</v>
      </c>
    </row>
    <row r="125" spans="1:19" s="545" customFormat="1" ht="12.75" x14ac:dyDescent="0.2">
      <c r="A125" s="513">
        <v>64300</v>
      </c>
      <c r="B125" s="553" t="s">
        <v>650</v>
      </c>
      <c r="C125" s="530">
        <v>0</v>
      </c>
      <c r="D125" s="530">
        <v>0</v>
      </c>
      <c r="E125" s="530">
        <v>0</v>
      </c>
      <c r="F125" s="530">
        <v>0</v>
      </c>
      <c r="G125" s="530">
        <v>0</v>
      </c>
      <c r="H125" s="530">
        <v>0</v>
      </c>
      <c r="I125" s="530">
        <v>0</v>
      </c>
      <c r="J125" s="530">
        <v>0</v>
      </c>
      <c r="K125" s="530">
        <v>0</v>
      </c>
      <c r="L125" s="530">
        <v>0</v>
      </c>
      <c r="M125" s="530">
        <v>0</v>
      </c>
      <c r="N125" s="530">
        <v>0</v>
      </c>
      <c r="O125" s="530">
        <v>0</v>
      </c>
      <c r="P125" s="530">
        <v>0</v>
      </c>
      <c r="Q125" s="530">
        <v>0</v>
      </c>
      <c r="R125" s="530">
        <v>0</v>
      </c>
      <c r="S125" s="530">
        <f t="shared" si="18"/>
        <v>0</v>
      </c>
    </row>
    <row r="126" spans="1:19" s="428" customFormat="1" ht="12.75" x14ac:dyDescent="0.2">
      <c r="A126" s="513">
        <v>64400</v>
      </c>
      <c r="B126" s="536" t="s">
        <v>651</v>
      </c>
      <c r="C126" s="537">
        <f t="shared" ref="C126:S126" si="19">SUM(C120:C125)</f>
        <v>150.98999999999998</v>
      </c>
      <c r="D126" s="537">
        <f t="shared" si="19"/>
        <v>0</v>
      </c>
      <c r="E126" s="537">
        <f t="shared" si="19"/>
        <v>0</v>
      </c>
      <c r="F126" s="537">
        <f t="shared" si="19"/>
        <v>0</v>
      </c>
      <c r="G126" s="537">
        <f t="shared" si="19"/>
        <v>0</v>
      </c>
      <c r="H126" s="1190">
        <f t="shared" si="19"/>
        <v>329.13</v>
      </c>
      <c r="I126" s="1190">
        <f t="shared" si="19"/>
        <v>0</v>
      </c>
      <c r="J126" s="537">
        <f t="shared" si="19"/>
        <v>0</v>
      </c>
      <c r="K126" s="537">
        <f t="shared" si="19"/>
        <v>0</v>
      </c>
      <c r="L126" s="537">
        <f t="shared" si="19"/>
        <v>0</v>
      </c>
      <c r="M126" s="537">
        <f t="shared" si="19"/>
        <v>0</v>
      </c>
      <c r="N126" s="537">
        <f t="shared" si="19"/>
        <v>75.48</v>
      </c>
      <c r="O126" s="537">
        <f t="shared" si="19"/>
        <v>0</v>
      </c>
      <c r="P126" s="537">
        <f t="shared" si="19"/>
        <v>0</v>
      </c>
      <c r="Q126" s="537">
        <f t="shared" si="19"/>
        <v>0</v>
      </c>
      <c r="R126" s="537">
        <f t="shared" si="19"/>
        <v>0</v>
      </c>
      <c r="S126" s="537">
        <f t="shared" si="19"/>
        <v>555.6</v>
      </c>
    </row>
    <row r="127" spans="1:19" s="428" customFormat="1" ht="12.75" x14ac:dyDescent="0.2">
      <c r="A127" s="513"/>
      <c r="B127" s="516"/>
      <c r="C127" s="528"/>
      <c r="D127" s="528"/>
      <c r="E127" s="528"/>
      <c r="F127" s="528"/>
      <c r="G127" s="528"/>
      <c r="H127" s="528"/>
      <c r="I127" s="528"/>
      <c r="J127" s="528"/>
      <c r="K127" s="528"/>
      <c r="L127" s="528"/>
      <c r="M127" s="528"/>
      <c r="N127" s="528"/>
      <c r="O127" s="528"/>
      <c r="P127" s="528"/>
      <c r="Q127" s="528"/>
      <c r="R127" s="528"/>
      <c r="S127" s="528"/>
    </row>
    <row r="128" spans="1:19" s="428" customFormat="1" ht="12.75" x14ac:dyDescent="0.2">
      <c r="A128" s="513"/>
      <c r="B128" s="516" t="s">
        <v>652</v>
      </c>
      <c r="C128" s="528"/>
      <c r="D128" s="528"/>
      <c r="E128" s="528"/>
      <c r="F128" s="528"/>
      <c r="G128" s="528"/>
      <c r="H128" s="528"/>
      <c r="I128" s="528"/>
      <c r="J128" s="528"/>
      <c r="K128" s="528"/>
      <c r="L128" s="528"/>
      <c r="M128" s="528"/>
      <c r="N128" s="528"/>
      <c r="O128" s="528"/>
      <c r="P128" s="528"/>
      <c r="Q128" s="528"/>
      <c r="R128" s="528"/>
      <c r="S128" s="528"/>
    </row>
    <row r="129" spans="1:19" s="545" customFormat="1" ht="12.75" x14ac:dyDescent="0.2">
      <c r="A129" s="513">
        <v>65100</v>
      </c>
      <c r="B129" s="529" t="s">
        <v>653</v>
      </c>
      <c r="C129" s="530">
        <v>0</v>
      </c>
      <c r="D129" s="530">
        <v>0</v>
      </c>
      <c r="E129" s="530">
        <v>0</v>
      </c>
      <c r="F129" s="530">
        <v>0</v>
      </c>
      <c r="G129" s="530">
        <v>0</v>
      </c>
      <c r="H129" s="530">
        <v>10629.48</v>
      </c>
      <c r="I129" s="530">
        <v>0</v>
      </c>
      <c r="J129" s="530">
        <v>0</v>
      </c>
      <c r="K129" s="530">
        <v>0</v>
      </c>
      <c r="L129" s="530">
        <v>0</v>
      </c>
      <c r="M129" s="530">
        <v>0</v>
      </c>
      <c r="N129" s="530">
        <v>0</v>
      </c>
      <c r="O129" s="530">
        <v>0</v>
      </c>
      <c r="P129" s="530">
        <v>0</v>
      </c>
      <c r="Q129" s="530">
        <v>0</v>
      </c>
      <c r="R129" s="530">
        <v>0</v>
      </c>
      <c r="S129" s="530">
        <f t="shared" ref="S129:S137" si="20">SUM(C129:R129)</f>
        <v>10629.48</v>
      </c>
    </row>
    <row r="130" spans="1:19" s="545" customFormat="1" ht="12.75" x14ac:dyDescent="0.2">
      <c r="A130" s="513">
        <v>65100.1</v>
      </c>
      <c r="B130" s="529" t="s">
        <v>654</v>
      </c>
      <c r="C130" s="530">
        <v>0</v>
      </c>
      <c r="D130" s="530">
        <v>0</v>
      </c>
      <c r="E130" s="530">
        <v>0</v>
      </c>
      <c r="F130" s="530">
        <v>0</v>
      </c>
      <c r="G130" s="530">
        <v>0</v>
      </c>
      <c r="H130" s="530">
        <v>0</v>
      </c>
      <c r="I130" s="530">
        <v>0</v>
      </c>
      <c r="J130" s="530">
        <v>0</v>
      </c>
      <c r="K130" s="530">
        <v>0</v>
      </c>
      <c r="L130" s="530">
        <v>0</v>
      </c>
      <c r="M130" s="530">
        <v>0</v>
      </c>
      <c r="N130" s="530">
        <v>0</v>
      </c>
      <c r="O130" s="530">
        <v>0</v>
      </c>
      <c r="P130" s="530">
        <v>0</v>
      </c>
      <c r="Q130" s="530">
        <v>0</v>
      </c>
      <c r="R130" s="530">
        <v>0</v>
      </c>
      <c r="S130" s="530">
        <f t="shared" si="20"/>
        <v>0</v>
      </c>
    </row>
    <row r="131" spans="1:19" s="545" customFormat="1" ht="12.75" x14ac:dyDescent="0.2">
      <c r="A131" s="513">
        <v>65100.2</v>
      </c>
      <c r="B131" s="529" t="s">
        <v>655</v>
      </c>
      <c r="C131" s="530">
        <v>0</v>
      </c>
      <c r="D131" s="530">
        <v>0</v>
      </c>
      <c r="E131" s="530">
        <v>0</v>
      </c>
      <c r="F131" s="530">
        <v>0</v>
      </c>
      <c r="G131" s="530">
        <v>0</v>
      </c>
      <c r="H131" s="530">
        <v>0</v>
      </c>
      <c r="I131" s="530">
        <v>0</v>
      </c>
      <c r="J131" s="530">
        <v>0</v>
      </c>
      <c r="K131" s="530">
        <v>0</v>
      </c>
      <c r="L131" s="530">
        <v>0</v>
      </c>
      <c r="M131" s="530">
        <v>0</v>
      </c>
      <c r="N131" s="530">
        <v>0</v>
      </c>
      <c r="O131" s="530">
        <v>0</v>
      </c>
      <c r="P131" s="530">
        <v>0</v>
      </c>
      <c r="Q131" s="530">
        <v>0</v>
      </c>
      <c r="R131" s="530">
        <v>0</v>
      </c>
      <c r="S131" s="530">
        <f t="shared" si="20"/>
        <v>0</v>
      </c>
    </row>
    <row r="132" spans="1:19" s="545" customFormat="1" ht="12.75" x14ac:dyDescent="0.2">
      <c r="A132" s="513">
        <v>65101</v>
      </c>
      <c r="B132" s="529" t="s">
        <v>656</v>
      </c>
      <c r="C132" s="530">
        <v>0</v>
      </c>
      <c r="D132" s="530">
        <v>0</v>
      </c>
      <c r="E132" s="530">
        <v>0</v>
      </c>
      <c r="F132" s="530">
        <v>0</v>
      </c>
      <c r="G132" s="530">
        <v>0</v>
      </c>
      <c r="H132" s="530">
        <v>0</v>
      </c>
      <c r="I132" s="530">
        <v>0</v>
      </c>
      <c r="J132" s="530">
        <v>0</v>
      </c>
      <c r="K132" s="530">
        <v>0</v>
      </c>
      <c r="L132" s="530">
        <v>0</v>
      </c>
      <c r="M132" s="530">
        <v>0</v>
      </c>
      <c r="N132" s="530">
        <v>0</v>
      </c>
      <c r="O132" s="530">
        <v>0</v>
      </c>
      <c r="P132" s="530">
        <v>0</v>
      </c>
      <c r="Q132" s="530">
        <v>0</v>
      </c>
      <c r="R132" s="530">
        <v>0</v>
      </c>
      <c r="S132" s="530">
        <f t="shared" si="20"/>
        <v>0</v>
      </c>
    </row>
    <row r="133" spans="1:19" s="545" customFormat="1" ht="12.75" x14ac:dyDescent="0.2">
      <c r="A133" s="513">
        <v>65103</v>
      </c>
      <c r="B133" s="529" t="s">
        <v>657</v>
      </c>
      <c r="C133" s="530">
        <v>0</v>
      </c>
      <c r="D133" s="530">
        <v>0</v>
      </c>
      <c r="E133" s="530">
        <v>0</v>
      </c>
      <c r="F133" s="530">
        <v>0</v>
      </c>
      <c r="G133" s="530">
        <v>0</v>
      </c>
      <c r="H133" s="530">
        <v>0</v>
      </c>
      <c r="I133" s="530">
        <v>0</v>
      </c>
      <c r="J133" s="530">
        <v>0</v>
      </c>
      <c r="K133" s="530">
        <v>0</v>
      </c>
      <c r="L133" s="530">
        <v>0</v>
      </c>
      <c r="M133" s="530">
        <v>0</v>
      </c>
      <c r="N133" s="530">
        <v>0</v>
      </c>
      <c r="O133" s="530">
        <v>0</v>
      </c>
      <c r="P133" s="530">
        <v>0</v>
      </c>
      <c r="Q133" s="530">
        <v>0</v>
      </c>
      <c r="R133" s="530">
        <v>0</v>
      </c>
      <c r="S133" s="530">
        <f t="shared" si="20"/>
        <v>0</v>
      </c>
    </row>
    <row r="134" spans="1:19" s="545" customFormat="1" ht="12.75" x14ac:dyDescent="0.2">
      <c r="A134" s="540">
        <v>65105</v>
      </c>
      <c r="B134" s="555" t="s">
        <v>658</v>
      </c>
      <c r="C134" s="530">
        <v>0</v>
      </c>
      <c r="D134" s="530">
        <v>0</v>
      </c>
      <c r="E134" s="530">
        <v>0</v>
      </c>
      <c r="F134" s="530">
        <v>0</v>
      </c>
      <c r="G134" s="530">
        <v>0</v>
      </c>
      <c r="H134" s="530">
        <v>0</v>
      </c>
      <c r="I134" s="530">
        <v>0</v>
      </c>
      <c r="J134" s="530">
        <v>0</v>
      </c>
      <c r="K134" s="530">
        <v>0</v>
      </c>
      <c r="L134" s="530">
        <v>0</v>
      </c>
      <c r="M134" s="530">
        <v>0</v>
      </c>
      <c r="N134" s="530">
        <v>0</v>
      </c>
      <c r="O134" s="530">
        <v>0</v>
      </c>
      <c r="P134" s="530">
        <v>0</v>
      </c>
      <c r="Q134" s="530">
        <v>0</v>
      </c>
      <c r="R134" s="530">
        <v>0</v>
      </c>
      <c r="S134" s="530">
        <f t="shared" si="20"/>
        <v>0</v>
      </c>
    </row>
    <row r="135" spans="1:19" s="545" customFormat="1" ht="12.75" x14ac:dyDescent="0.2">
      <c r="A135" s="513">
        <v>65200</v>
      </c>
      <c r="B135" s="529" t="s">
        <v>659</v>
      </c>
      <c r="C135" s="530">
        <v>0</v>
      </c>
      <c r="D135" s="530">
        <v>0</v>
      </c>
      <c r="E135" s="530">
        <v>0</v>
      </c>
      <c r="F135" s="530">
        <v>0</v>
      </c>
      <c r="G135" s="530">
        <v>0</v>
      </c>
      <c r="H135" s="530">
        <v>0</v>
      </c>
      <c r="I135" s="530">
        <v>0</v>
      </c>
      <c r="J135" s="530">
        <v>0</v>
      </c>
      <c r="K135" s="530">
        <v>0</v>
      </c>
      <c r="L135" s="530">
        <v>0</v>
      </c>
      <c r="M135" s="530">
        <v>0</v>
      </c>
      <c r="N135" s="530">
        <v>0</v>
      </c>
      <c r="O135" s="530">
        <v>0</v>
      </c>
      <c r="P135" s="530">
        <v>0</v>
      </c>
      <c r="Q135" s="530">
        <v>0</v>
      </c>
      <c r="R135" s="530">
        <v>0</v>
      </c>
      <c r="S135" s="530">
        <f t="shared" si="20"/>
        <v>0</v>
      </c>
    </row>
    <row r="136" spans="1:19" s="545" customFormat="1" ht="12.75" x14ac:dyDescent="0.2">
      <c r="A136" s="513">
        <v>65250</v>
      </c>
      <c r="B136" s="529" t="s">
        <v>660</v>
      </c>
      <c r="C136" s="530">
        <v>0</v>
      </c>
      <c r="D136" s="530">
        <v>0</v>
      </c>
      <c r="E136" s="530">
        <v>0</v>
      </c>
      <c r="F136" s="530">
        <v>0</v>
      </c>
      <c r="G136" s="530">
        <v>0</v>
      </c>
      <c r="H136" s="530">
        <v>104.66999999999999</v>
      </c>
      <c r="I136" s="530">
        <v>0</v>
      </c>
      <c r="J136" s="530">
        <v>0</v>
      </c>
      <c r="K136" s="530">
        <v>0</v>
      </c>
      <c r="L136" s="530">
        <v>0</v>
      </c>
      <c r="M136" s="530">
        <v>0</v>
      </c>
      <c r="N136" s="530">
        <v>0</v>
      </c>
      <c r="O136" s="530">
        <v>0</v>
      </c>
      <c r="P136" s="530">
        <v>0</v>
      </c>
      <c r="Q136" s="530">
        <v>0</v>
      </c>
      <c r="R136" s="530">
        <v>0</v>
      </c>
      <c r="S136" s="530">
        <f t="shared" si="20"/>
        <v>104.66999999999999</v>
      </c>
    </row>
    <row r="137" spans="1:19" s="545" customFormat="1" ht="12.75" x14ac:dyDescent="0.2">
      <c r="A137" s="513">
        <v>65300</v>
      </c>
      <c r="B137" s="553" t="s">
        <v>661</v>
      </c>
      <c r="C137" s="530">
        <v>0</v>
      </c>
      <c r="D137" s="530">
        <v>0</v>
      </c>
      <c r="E137" s="530">
        <v>0</v>
      </c>
      <c r="F137" s="530">
        <v>0</v>
      </c>
      <c r="G137" s="530">
        <v>0</v>
      </c>
      <c r="H137" s="530">
        <v>0</v>
      </c>
      <c r="I137" s="530">
        <v>0</v>
      </c>
      <c r="J137" s="530">
        <v>0</v>
      </c>
      <c r="K137" s="530">
        <v>0</v>
      </c>
      <c r="L137" s="530">
        <v>0</v>
      </c>
      <c r="M137" s="530">
        <v>0</v>
      </c>
      <c r="N137" s="530">
        <v>0</v>
      </c>
      <c r="O137" s="530">
        <v>0</v>
      </c>
      <c r="P137" s="530">
        <v>0</v>
      </c>
      <c r="Q137" s="530">
        <v>0</v>
      </c>
      <c r="R137" s="530">
        <v>0</v>
      </c>
      <c r="S137" s="530">
        <f t="shared" si="20"/>
        <v>0</v>
      </c>
    </row>
    <row r="138" spans="1:19" s="428" customFormat="1" ht="12.75" x14ac:dyDescent="0.2">
      <c r="A138" s="513">
        <v>65400</v>
      </c>
      <c r="B138" s="536" t="s">
        <v>662</v>
      </c>
      <c r="C138" s="537">
        <f t="shared" ref="C138:S138" si="21">SUM(C129:C137)</f>
        <v>0</v>
      </c>
      <c r="D138" s="537">
        <f t="shared" si="21"/>
        <v>0</v>
      </c>
      <c r="E138" s="537">
        <f t="shared" si="21"/>
        <v>0</v>
      </c>
      <c r="F138" s="537">
        <f t="shared" si="21"/>
        <v>0</v>
      </c>
      <c r="G138" s="537">
        <f t="shared" si="21"/>
        <v>0</v>
      </c>
      <c r="H138" s="537">
        <f t="shared" si="21"/>
        <v>10734.15</v>
      </c>
      <c r="I138" s="537">
        <f t="shared" si="21"/>
        <v>0</v>
      </c>
      <c r="J138" s="537">
        <f t="shared" si="21"/>
        <v>0</v>
      </c>
      <c r="K138" s="537">
        <f t="shared" si="21"/>
        <v>0</v>
      </c>
      <c r="L138" s="537">
        <f t="shared" si="21"/>
        <v>0</v>
      </c>
      <c r="M138" s="537">
        <f t="shared" si="21"/>
        <v>0</v>
      </c>
      <c r="N138" s="537">
        <f t="shared" si="21"/>
        <v>0</v>
      </c>
      <c r="O138" s="537">
        <f t="shared" si="21"/>
        <v>0</v>
      </c>
      <c r="P138" s="537">
        <f t="shared" si="21"/>
        <v>0</v>
      </c>
      <c r="Q138" s="537">
        <f t="shared" si="21"/>
        <v>0</v>
      </c>
      <c r="R138" s="537">
        <f t="shared" si="21"/>
        <v>0</v>
      </c>
      <c r="S138" s="537">
        <f t="shared" si="21"/>
        <v>10734.15</v>
      </c>
    </row>
    <row r="139" spans="1:19" s="428" customFormat="1" ht="12.75" x14ac:dyDescent="0.2">
      <c r="A139" s="513"/>
      <c r="B139" s="516"/>
      <c r="C139" s="528"/>
      <c r="D139" s="528"/>
      <c r="E139" s="528"/>
      <c r="F139" s="528"/>
      <c r="G139" s="528"/>
      <c r="H139" s="528"/>
      <c r="I139" s="528"/>
      <c r="J139" s="528"/>
      <c r="K139" s="528"/>
      <c r="L139" s="528"/>
      <c r="M139" s="528"/>
      <c r="N139" s="528"/>
      <c r="O139" s="528"/>
      <c r="P139" s="528"/>
      <c r="Q139" s="528"/>
      <c r="R139" s="528"/>
      <c r="S139" s="528"/>
    </row>
    <row r="140" spans="1:19" s="428" customFormat="1" ht="12.75" x14ac:dyDescent="0.2">
      <c r="A140" s="513"/>
      <c r="B140" s="516" t="s">
        <v>663</v>
      </c>
      <c r="C140" s="528"/>
      <c r="D140" s="528"/>
      <c r="E140" s="528"/>
      <c r="F140" s="528"/>
      <c r="G140" s="528"/>
      <c r="H140" s="528"/>
      <c r="I140" s="528"/>
      <c r="J140" s="528"/>
      <c r="K140" s="528"/>
      <c r="L140" s="528"/>
      <c r="M140" s="528"/>
      <c r="N140" s="528"/>
      <c r="O140" s="528"/>
      <c r="P140" s="528"/>
      <c r="Q140" s="528"/>
      <c r="R140" s="528"/>
      <c r="S140" s="528"/>
    </row>
    <row r="141" spans="1:19" s="545" customFormat="1" ht="12.75" x14ac:dyDescent="0.2">
      <c r="A141" s="513">
        <v>65501</v>
      </c>
      <c r="B141" s="529" t="s">
        <v>664</v>
      </c>
      <c r="C141" s="530">
        <v>148.26</v>
      </c>
      <c r="D141" s="530">
        <v>0</v>
      </c>
      <c r="E141" s="530">
        <v>0</v>
      </c>
      <c r="F141" s="530">
        <v>0</v>
      </c>
      <c r="G141" s="530">
        <v>0</v>
      </c>
      <c r="H141" s="530">
        <v>110.58</v>
      </c>
      <c r="I141" s="530">
        <v>0</v>
      </c>
      <c r="J141" s="530">
        <v>0</v>
      </c>
      <c r="K141" s="530">
        <v>0</v>
      </c>
      <c r="L141" s="530">
        <v>0</v>
      </c>
      <c r="M141" s="530">
        <v>0</v>
      </c>
      <c r="N141" s="530">
        <v>0</v>
      </c>
      <c r="O141" s="530">
        <v>0</v>
      </c>
      <c r="P141" s="530">
        <v>0</v>
      </c>
      <c r="Q141" s="530">
        <v>0</v>
      </c>
      <c r="R141" s="530">
        <v>0</v>
      </c>
      <c r="S141" s="530">
        <f t="shared" ref="S141:S148" si="22">SUM(C141:R141)</f>
        <v>258.83999999999997</v>
      </c>
    </row>
    <row r="142" spans="1:19" s="545" customFormat="1" ht="12.75" x14ac:dyDescent="0.2">
      <c r="A142" s="513">
        <v>65502</v>
      </c>
      <c r="B142" s="529" t="s">
        <v>665</v>
      </c>
      <c r="C142" s="530">
        <v>0</v>
      </c>
      <c r="D142" s="530">
        <v>0</v>
      </c>
      <c r="E142" s="530">
        <v>0</v>
      </c>
      <c r="F142" s="530">
        <v>0</v>
      </c>
      <c r="G142" s="530">
        <v>0</v>
      </c>
      <c r="H142" s="530">
        <v>0</v>
      </c>
      <c r="I142" s="530">
        <v>0</v>
      </c>
      <c r="J142" s="530">
        <v>0</v>
      </c>
      <c r="K142" s="530">
        <v>0</v>
      </c>
      <c r="L142" s="530">
        <v>0</v>
      </c>
      <c r="M142" s="530">
        <v>0</v>
      </c>
      <c r="N142" s="530">
        <v>0</v>
      </c>
      <c r="O142" s="530">
        <v>0</v>
      </c>
      <c r="P142" s="530">
        <v>0</v>
      </c>
      <c r="Q142" s="530">
        <v>0</v>
      </c>
      <c r="R142" s="530">
        <v>0</v>
      </c>
      <c r="S142" s="530">
        <f t="shared" si="22"/>
        <v>0</v>
      </c>
    </row>
    <row r="143" spans="1:19" s="545" customFormat="1" ht="12.75" x14ac:dyDescent="0.2">
      <c r="A143" s="513">
        <v>65503</v>
      </c>
      <c r="B143" s="529" t="s">
        <v>666</v>
      </c>
      <c r="C143" s="530">
        <v>0</v>
      </c>
      <c r="D143" s="530">
        <v>0</v>
      </c>
      <c r="E143" s="530">
        <v>0</v>
      </c>
      <c r="F143" s="530">
        <v>0</v>
      </c>
      <c r="G143" s="530">
        <v>0</v>
      </c>
      <c r="H143" s="530">
        <v>0</v>
      </c>
      <c r="I143" s="530">
        <v>0</v>
      </c>
      <c r="J143" s="530">
        <v>0</v>
      </c>
      <c r="K143" s="530">
        <v>0</v>
      </c>
      <c r="L143" s="530">
        <v>0</v>
      </c>
      <c r="M143" s="530">
        <v>0</v>
      </c>
      <c r="N143" s="530">
        <v>0</v>
      </c>
      <c r="O143" s="530">
        <v>0</v>
      </c>
      <c r="P143" s="530">
        <v>0</v>
      </c>
      <c r="Q143" s="530">
        <v>0</v>
      </c>
      <c r="R143" s="530">
        <v>0</v>
      </c>
      <c r="S143" s="530">
        <f t="shared" si="22"/>
        <v>0</v>
      </c>
    </row>
    <row r="144" spans="1:19" s="545" customFormat="1" ht="12.75" x14ac:dyDescent="0.2">
      <c r="A144" s="513">
        <v>65600</v>
      </c>
      <c r="B144" s="529" t="s">
        <v>667</v>
      </c>
      <c r="C144" s="530">
        <v>0</v>
      </c>
      <c r="D144" s="530">
        <v>0</v>
      </c>
      <c r="E144" s="530">
        <v>0</v>
      </c>
      <c r="F144" s="530">
        <v>0</v>
      </c>
      <c r="G144" s="530">
        <v>0</v>
      </c>
      <c r="H144" s="530">
        <v>0</v>
      </c>
      <c r="I144" s="530">
        <v>0</v>
      </c>
      <c r="J144" s="530">
        <v>0</v>
      </c>
      <c r="K144" s="530">
        <v>0</v>
      </c>
      <c r="L144" s="530">
        <v>0</v>
      </c>
      <c r="M144" s="530">
        <v>0</v>
      </c>
      <c r="N144" s="530">
        <v>0</v>
      </c>
      <c r="O144" s="530">
        <v>0</v>
      </c>
      <c r="P144" s="530">
        <v>0</v>
      </c>
      <c r="Q144" s="530">
        <v>0</v>
      </c>
      <c r="R144" s="530">
        <v>0</v>
      </c>
      <c r="S144" s="530">
        <f t="shared" si="22"/>
        <v>0</v>
      </c>
    </row>
    <row r="145" spans="1:19" s="545" customFormat="1" ht="12.75" x14ac:dyDescent="0.2">
      <c r="A145" s="513">
        <v>65602</v>
      </c>
      <c r="B145" s="529" t="s">
        <v>668</v>
      </c>
      <c r="C145" s="530">
        <v>0</v>
      </c>
      <c r="D145" s="530">
        <v>0</v>
      </c>
      <c r="E145" s="530">
        <v>0</v>
      </c>
      <c r="F145" s="530">
        <v>0</v>
      </c>
      <c r="G145" s="530">
        <v>0</v>
      </c>
      <c r="H145" s="530">
        <v>0</v>
      </c>
      <c r="I145" s="530">
        <v>0</v>
      </c>
      <c r="J145" s="530">
        <v>0</v>
      </c>
      <c r="K145" s="530">
        <v>0</v>
      </c>
      <c r="L145" s="530">
        <v>0</v>
      </c>
      <c r="M145" s="530">
        <v>0</v>
      </c>
      <c r="N145" s="530">
        <v>0</v>
      </c>
      <c r="O145" s="530">
        <v>0</v>
      </c>
      <c r="P145" s="530">
        <v>0</v>
      </c>
      <c r="Q145" s="530">
        <v>0</v>
      </c>
      <c r="R145" s="530">
        <v>0</v>
      </c>
      <c r="S145" s="530">
        <f t="shared" si="22"/>
        <v>0</v>
      </c>
    </row>
    <row r="146" spans="1:19" s="545" customFormat="1" ht="12.75" x14ac:dyDescent="0.2">
      <c r="A146" s="513">
        <v>65608</v>
      </c>
      <c r="B146" s="529" t="s">
        <v>669</v>
      </c>
      <c r="C146" s="530">
        <v>0</v>
      </c>
      <c r="D146" s="530">
        <v>0</v>
      </c>
      <c r="E146" s="530">
        <v>0</v>
      </c>
      <c r="F146" s="530">
        <v>0</v>
      </c>
      <c r="G146" s="530">
        <v>0</v>
      </c>
      <c r="H146" s="530">
        <v>0</v>
      </c>
      <c r="I146" s="530">
        <v>0</v>
      </c>
      <c r="J146" s="530">
        <v>0</v>
      </c>
      <c r="K146" s="530">
        <v>0</v>
      </c>
      <c r="L146" s="530">
        <v>0</v>
      </c>
      <c r="M146" s="530">
        <v>0</v>
      </c>
      <c r="N146" s="530">
        <v>0</v>
      </c>
      <c r="O146" s="530">
        <v>0</v>
      </c>
      <c r="P146" s="530">
        <v>0</v>
      </c>
      <c r="Q146" s="530">
        <v>0</v>
      </c>
      <c r="R146" s="530">
        <v>0</v>
      </c>
      <c r="S146" s="530">
        <f t="shared" si="22"/>
        <v>0</v>
      </c>
    </row>
    <row r="147" spans="1:19" s="545" customFormat="1" ht="12.75" x14ac:dyDescent="0.2">
      <c r="A147" s="513">
        <v>65700</v>
      </c>
      <c r="B147" s="529" t="s">
        <v>670</v>
      </c>
      <c r="C147" s="530">
        <v>0</v>
      </c>
      <c r="D147" s="530">
        <v>0</v>
      </c>
      <c r="E147" s="530">
        <v>0</v>
      </c>
      <c r="F147" s="530">
        <v>0</v>
      </c>
      <c r="G147" s="530">
        <v>0</v>
      </c>
      <c r="H147" s="530">
        <v>322.01</v>
      </c>
      <c r="I147" s="530">
        <v>0</v>
      </c>
      <c r="J147" s="530">
        <v>0</v>
      </c>
      <c r="K147" s="530">
        <v>0</v>
      </c>
      <c r="L147" s="530">
        <v>0</v>
      </c>
      <c r="M147" s="530">
        <v>0</v>
      </c>
      <c r="N147" s="530">
        <v>0</v>
      </c>
      <c r="O147" s="530">
        <v>0</v>
      </c>
      <c r="P147" s="530">
        <v>0</v>
      </c>
      <c r="Q147" s="530">
        <v>0</v>
      </c>
      <c r="R147" s="530">
        <v>0</v>
      </c>
      <c r="S147" s="530">
        <f t="shared" si="22"/>
        <v>322.01</v>
      </c>
    </row>
    <row r="148" spans="1:19" s="545" customFormat="1" ht="12.75" x14ac:dyDescent="0.2">
      <c r="A148" s="513">
        <v>65800</v>
      </c>
      <c r="B148" s="553" t="s">
        <v>671</v>
      </c>
      <c r="C148" s="530">
        <v>708.13</v>
      </c>
      <c r="D148" s="530">
        <v>0</v>
      </c>
      <c r="E148" s="530">
        <v>0</v>
      </c>
      <c r="F148" s="530">
        <v>0</v>
      </c>
      <c r="G148" s="530">
        <v>0</v>
      </c>
      <c r="H148" s="530">
        <v>0</v>
      </c>
      <c r="I148" s="530">
        <v>0</v>
      </c>
      <c r="J148" s="530">
        <v>0</v>
      </c>
      <c r="K148" s="530">
        <v>0</v>
      </c>
      <c r="L148" s="530">
        <v>0</v>
      </c>
      <c r="M148" s="530">
        <v>0</v>
      </c>
      <c r="N148" s="530">
        <v>0</v>
      </c>
      <c r="O148" s="530">
        <v>0</v>
      </c>
      <c r="P148" s="530">
        <v>0</v>
      </c>
      <c r="Q148" s="530">
        <v>0</v>
      </c>
      <c r="R148" s="530">
        <v>0</v>
      </c>
      <c r="S148" s="530">
        <f t="shared" si="22"/>
        <v>708.13</v>
      </c>
    </row>
    <row r="149" spans="1:19" s="428" customFormat="1" ht="12.75" x14ac:dyDescent="0.2">
      <c r="A149" s="513">
        <v>65900</v>
      </c>
      <c r="B149" s="536" t="s">
        <v>672</v>
      </c>
      <c r="C149" s="537">
        <f t="shared" ref="C149:S149" si="23">SUM(C141:C148)</f>
        <v>856.39</v>
      </c>
      <c r="D149" s="537">
        <f t="shared" si="23"/>
        <v>0</v>
      </c>
      <c r="E149" s="537">
        <f t="shared" si="23"/>
        <v>0</v>
      </c>
      <c r="F149" s="537">
        <f t="shared" si="23"/>
        <v>0</v>
      </c>
      <c r="G149" s="537">
        <f t="shared" si="23"/>
        <v>0</v>
      </c>
      <c r="H149" s="1190">
        <f t="shared" si="23"/>
        <v>432.59</v>
      </c>
      <c r="I149" s="1190">
        <f t="shared" si="23"/>
        <v>0</v>
      </c>
      <c r="J149" s="537">
        <f t="shared" si="23"/>
        <v>0</v>
      </c>
      <c r="K149" s="537">
        <f t="shared" si="23"/>
        <v>0</v>
      </c>
      <c r="L149" s="537">
        <f t="shared" si="23"/>
        <v>0</v>
      </c>
      <c r="M149" s="537">
        <f t="shared" si="23"/>
        <v>0</v>
      </c>
      <c r="N149" s="537">
        <f t="shared" si="23"/>
        <v>0</v>
      </c>
      <c r="O149" s="537">
        <f t="shared" si="23"/>
        <v>0</v>
      </c>
      <c r="P149" s="537">
        <f t="shared" si="23"/>
        <v>0</v>
      </c>
      <c r="Q149" s="537">
        <f t="shared" si="23"/>
        <v>0</v>
      </c>
      <c r="R149" s="537">
        <f t="shared" si="23"/>
        <v>0</v>
      </c>
      <c r="S149" s="537">
        <f t="shared" si="23"/>
        <v>1288.98</v>
      </c>
    </row>
    <row r="150" spans="1:19" s="428" customFormat="1" ht="12.75" x14ac:dyDescent="0.2">
      <c r="A150" s="513"/>
      <c r="B150" s="516"/>
      <c r="C150" s="528"/>
      <c r="D150" s="528"/>
      <c r="E150" s="528"/>
      <c r="F150" s="528"/>
      <c r="G150" s="528"/>
      <c r="H150" s="528"/>
      <c r="I150" s="528"/>
      <c r="J150" s="528"/>
      <c r="K150" s="528"/>
      <c r="L150" s="528"/>
      <c r="M150" s="528"/>
      <c r="N150" s="528"/>
      <c r="O150" s="528"/>
      <c r="P150" s="528"/>
      <c r="Q150" s="528"/>
      <c r="R150" s="528"/>
      <c r="S150" s="528"/>
    </row>
    <row r="151" spans="1:19" s="428" customFormat="1" ht="12.75" x14ac:dyDescent="0.2">
      <c r="A151" s="513"/>
      <c r="B151" s="516" t="s">
        <v>673</v>
      </c>
      <c r="C151" s="528"/>
      <c r="D151" s="528"/>
      <c r="E151" s="528"/>
      <c r="F151" s="528"/>
      <c r="G151" s="528"/>
      <c r="H151" s="528"/>
      <c r="I151" s="528"/>
      <c r="J151" s="528"/>
      <c r="K151" s="528"/>
      <c r="L151" s="528"/>
      <c r="M151" s="528"/>
      <c r="N151" s="528"/>
      <c r="O151" s="528"/>
      <c r="P151" s="528"/>
      <c r="Q151" s="528"/>
      <c r="R151" s="528"/>
      <c r="S151" s="528"/>
    </row>
    <row r="152" spans="1:19" s="545" customFormat="1" ht="12.75" x14ac:dyDescent="0.2">
      <c r="A152" s="513">
        <v>66100</v>
      </c>
      <c r="B152" s="529" t="s">
        <v>674</v>
      </c>
      <c r="C152" s="530">
        <v>0</v>
      </c>
      <c r="D152" s="530">
        <v>0</v>
      </c>
      <c r="E152" s="530">
        <v>0</v>
      </c>
      <c r="F152" s="530">
        <v>0</v>
      </c>
      <c r="G152" s="530">
        <v>0</v>
      </c>
      <c r="H152" s="530">
        <v>0</v>
      </c>
      <c r="I152" s="530">
        <v>0</v>
      </c>
      <c r="J152" s="530">
        <v>0</v>
      </c>
      <c r="K152" s="530">
        <v>0</v>
      </c>
      <c r="L152" s="530">
        <v>0</v>
      </c>
      <c r="M152" s="530">
        <v>0</v>
      </c>
      <c r="N152" s="530">
        <v>0</v>
      </c>
      <c r="O152" s="530">
        <v>0</v>
      </c>
      <c r="P152" s="530">
        <v>0</v>
      </c>
      <c r="Q152" s="530">
        <v>0</v>
      </c>
      <c r="R152" s="530">
        <v>0</v>
      </c>
      <c r="S152" s="530">
        <f t="shared" ref="S152:S202" si="24">SUM(C152:R152)</f>
        <v>0</v>
      </c>
    </row>
    <row r="153" spans="1:19" s="545" customFormat="1" ht="12.75" x14ac:dyDescent="0.2">
      <c r="A153" s="513">
        <v>66101</v>
      </c>
      <c r="B153" s="529" t="s">
        <v>675</v>
      </c>
      <c r="C153" s="530">
        <v>0</v>
      </c>
      <c r="D153" s="530">
        <v>0</v>
      </c>
      <c r="E153" s="530">
        <v>0</v>
      </c>
      <c r="F153" s="530">
        <v>0</v>
      </c>
      <c r="G153" s="530">
        <v>0</v>
      </c>
      <c r="H153" s="530">
        <v>0</v>
      </c>
      <c r="I153" s="530">
        <v>0</v>
      </c>
      <c r="J153" s="530">
        <v>0</v>
      </c>
      <c r="K153" s="530">
        <v>0</v>
      </c>
      <c r="L153" s="530">
        <v>0</v>
      </c>
      <c r="M153" s="530">
        <v>0</v>
      </c>
      <c r="N153" s="530">
        <v>0</v>
      </c>
      <c r="O153" s="530">
        <v>0</v>
      </c>
      <c r="P153" s="530">
        <v>0</v>
      </c>
      <c r="Q153" s="530">
        <v>0</v>
      </c>
      <c r="R153" s="530">
        <v>0</v>
      </c>
      <c r="S153" s="530">
        <f t="shared" si="24"/>
        <v>0</v>
      </c>
    </row>
    <row r="154" spans="1:19" s="545" customFormat="1" ht="12.75" x14ac:dyDescent="0.2">
      <c r="A154" s="513">
        <v>66102</v>
      </c>
      <c r="B154" s="529" t="s">
        <v>676</v>
      </c>
      <c r="C154" s="530">
        <v>0</v>
      </c>
      <c r="D154" s="530">
        <v>0</v>
      </c>
      <c r="E154" s="530">
        <v>0</v>
      </c>
      <c r="F154" s="530">
        <v>0</v>
      </c>
      <c r="G154" s="530">
        <v>0</v>
      </c>
      <c r="H154" s="530">
        <v>0</v>
      </c>
      <c r="I154" s="530">
        <v>0</v>
      </c>
      <c r="J154" s="530">
        <v>0</v>
      </c>
      <c r="K154" s="530">
        <v>0</v>
      </c>
      <c r="L154" s="530">
        <v>3039.52</v>
      </c>
      <c r="M154" s="530">
        <v>0</v>
      </c>
      <c r="N154" s="530">
        <v>0</v>
      </c>
      <c r="O154" s="530">
        <v>0</v>
      </c>
      <c r="P154" s="530">
        <v>0</v>
      </c>
      <c r="Q154" s="530">
        <v>0</v>
      </c>
      <c r="R154" s="530">
        <v>0</v>
      </c>
      <c r="S154" s="530">
        <f t="shared" si="24"/>
        <v>3039.52</v>
      </c>
    </row>
    <row r="155" spans="1:19" s="545" customFormat="1" ht="12.75" x14ac:dyDescent="0.2">
      <c r="A155" s="513">
        <v>66104</v>
      </c>
      <c r="B155" s="529" t="s">
        <v>677</v>
      </c>
      <c r="C155" s="530">
        <v>0</v>
      </c>
      <c r="D155" s="530">
        <v>0</v>
      </c>
      <c r="E155" s="530">
        <v>0</v>
      </c>
      <c r="F155" s="530">
        <v>0</v>
      </c>
      <c r="G155" s="530">
        <v>0</v>
      </c>
      <c r="H155" s="530">
        <v>0</v>
      </c>
      <c r="I155" s="530">
        <v>0</v>
      </c>
      <c r="J155" s="530">
        <v>0</v>
      </c>
      <c r="K155" s="530">
        <v>0</v>
      </c>
      <c r="L155" s="530">
        <v>0</v>
      </c>
      <c r="M155" s="530">
        <v>0</v>
      </c>
      <c r="N155" s="530">
        <v>0</v>
      </c>
      <c r="O155" s="530">
        <v>0</v>
      </c>
      <c r="P155" s="530">
        <v>0</v>
      </c>
      <c r="Q155" s="530">
        <v>0</v>
      </c>
      <c r="R155" s="530">
        <v>0</v>
      </c>
      <c r="S155" s="530">
        <f t="shared" si="24"/>
        <v>0</v>
      </c>
    </row>
    <row r="156" spans="1:19" s="545" customFormat="1" ht="12.75" x14ac:dyDescent="0.2">
      <c r="A156" s="513">
        <v>66106</v>
      </c>
      <c r="B156" s="529" t="s">
        <v>678</v>
      </c>
      <c r="C156" s="530">
        <v>0</v>
      </c>
      <c r="D156" s="530">
        <v>0</v>
      </c>
      <c r="E156" s="530">
        <v>0</v>
      </c>
      <c r="F156" s="530">
        <v>0</v>
      </c>
      <c r="G156" s="530">
        <v>0</v>
      </c>
      <c r="H156" s="530">
        <v>0</v>
      </c>
      <c r="I156" s="530">
        <v>0</v>
      </c>
      <c r="J156" s="530">
        <v>0</v>
      </c>
      <c r="K156" s="530">
        <v>0</v>
      </c>
      <c r="L156" s="530">
        <v>0</v>
      </c>
      <c r="M156" s="530">
        <v>0</v>
      </c>
      <c r="N156" s="530">
        <v>0</v>
      </c>
      <c r="O156" s="530">
        <v>0</v>
      </c>
      <c r="P156" s="530">
        <v>0</v>
      </c>
      <c r="Q156" s="530">
        <v>0</v>
      </c>
      <c r="R156" s="530">
        <v>0</v>
      </c>
      <c r="S156" s="530">
        <f t="shared" si="24"/>
        <v>0</v>
      </c>
    </row>
    <row r="157" spans="1:19" s="545" customFormat="1" ht="12.75" x14ac:dyDescent="0.2">
      <c r="A157" s="513">
        <v>66108</v>
      </c>
      <c r="B157" s="529" t="s">
        <v>679</v>
      </c>
      <c r="C157" s="530">
        <v>0</v>
      </c>
      <c r="D157" s="530">
        <v>0</v>
      </c>
      <c r="E157" s="530">
        <v>0</v>
      </c>
      <c r="F157" s="530">
        <v>0</v>
      </c>
      <c r="G157" s="530">
        <v>0</v>
      </c>
      <c r="H157" s="530">
        <v>0</v>
      </c>
      <c r="I157" s="530">
        <v>0</v>
      </c>
      <c r="J157" s="530">
        <v>0</v>
      </c>
      <c r="K157" s="530">
        <v>0</v>
      </c>
      <c r="L157" s="530">
        <v>0</v>
      </c>
      <c r="M157" s="530">
        <v>0</v>
      </c>
      <c r="N157" s="530">
        <v>0</v>
      </c>
      <c r="O157" s="530">
        <v>0</v>
      </c>
      <c r="P157" s="530">
        <v>0</v>
      </c>
      <c r="Q157" s="530">
        <v>0</v>
      </c>
      <c r="R157" s="530">
        <v>0</v>
      </c>
      <c r="S157" s="530">
        <f t="shared" si="24"/>
        <v>0</v>
      </c>
    </row>
    <row r="158" spans="1:19" s="545" customFormat="1" ht="12.75" x14ac:dyDescent="0.2">
      <c r="A158" s="513">
        <v>66110</v>
      </c>
      <c r="B158" s="529" t="s">
        <v>680</v>
      </c>
      <c r="C158" s="530">
        <v>0</v>
      </c>
      <c r="D158" s="530">
        <v>0</v>
      </c>
      <c r="E158" s="530">
        <v>0</v>
      </c>
      <c r="F158" s="530">
        <v>0</v>
      </c>
      <c r="G158" s="530">
        <v>0</v>
      </c>
      <c r="H158" s="530">
        <v>0</v>
      </c>
      <c r="I158" s="530">
        <v>0</v>
      </c>
      <c r="J158" s="530">
        <v>0</v>
      </c>
      <c r="K158" s="530">
        <v>0</v>
      </c>
      <c r="L158" s="530">
        <v>0</v>
      </c>
      <c r="M158" s="530">
        <v>0</v>
      </c>
      <c r="N158" s="530">
        <v>0</v>
      </c>
      <c r="O158" s="530">
        <v>0</v>
      </c>
      <c r="P158" s="530">
        <v>0</v>
      </c>
      <c r="Q158" s="530">
        <v>0</v>
      </c>
      <c r="R158" s="530">
        <v>0</v>
      </c>
      <c r="S158" s="530">
        <f t="shared" si="24"/>
        <v>0</v>
      </c>
    </row>
    <row r="159" spans="1:19" s="545" customFormat="1" ht="12.75" x14ac:dyDescent="0.2">
      <c r="A159" s="513">
        <v>66112</v>
      </c>
      <c r="B159" s="529" t="s">
        <v>681</v>
      </c>
      <c r="C159" s="530">
        <v>1020</v>
      </c>
      <c r="D159" s="530">
        <v>0</v>
      </c>
      <c r="E159" s="530">
        <v>0</v>
      </c>
      <c r="F159" s="530">
        <v>0</v>
      </c>
      <c r="G159" s="530">
        <v>0</v>
      </c>
      <c r="H159" s="530">
        <v>44516.66</v>
      </c>
      <c r="I159" s="530">
        <v>0</v>
      </c>
      <c r="J159" s="530">
        <v>1125.1299999999999</v>
      </c>
      <c r="K159" s="530">
        <v>6800.67</v>
      </c>
      <c r="L159" s="530">
        <v>-3145</v>
      </c>
      <c r="M159" s="530">
        <v>0</v>
      </c>
      <c r="N159" s="530">
        <v>0</v>
      </c>
      <c r="O159" s="530">
        <v>0</v>
      </c>
      <c r="P159" s="530">
        <v>0</v>
      </c>
      <c r="Q159" s="530">
        <v>0</v>
      </c>
      <c r="R159" s="530">
        <v>0</v>
      </c>
      <c r="S159" s="530">
        <f t="shared" si="24"/>
        <v>50317.46</v>
      </c>
    </row>
    <row r="160" spans="1:19" s="545" customFormat="1" ht="12.75" x14ac:dyDescent="0.2">
      <c r="A160" s="513">
        <v>66114</v>
      </c>
      <c r="B160" s="529" t="s">
        <v>682</v>
      </c>
      <c r="C160" s="530">
        <v>0</v>
      </c>
      <c r="D160" s="530">
        <v>0</v>
      </c>
      <c r="E160" s="530">
        <v>0</v>
      </c>
      <c r="F160" s="530">
        <v>0</v>
      </c>
      <c r="G160" s="530">
        <v>0</v>
      </c>
      <c r="H160" s="530">
        <v>0</v>
      </c>
      <c r="I160" s="530">
        <v>0</v>
      </c>
      <c r="J160" s="530">
        <v>0</v>
      </c>
      <c r="K160" s="530">
        <v>0</v>
      </c>
      <c r="L160" s="530">
        <v>0</v>
      </c>
      <c r="M160" s="530">
        <v>0</v>
      </c>
      <c r="N160" s="530">
        <v>0</v>
      </c>
      <c r="O160" s="530">
        <v>0</v>
      </c>
      <c r="P160" s="530">
        <v>0</v>
      </c>
      <c r="Q160" s="530">
        <v>0</v>
      </c>
      <c r="R160" s="530">
        <v>0</v>
      </c>
      <c r="S160" s="530">
        <f t="shared" si="24"/>
        <v>0</v>
      </c>
    </row>
    <row r="161" spans="1:19" s="545" customFormat="1" ht="12.75" x14ac:dyDescent="0.2">
      <c r="A161" s="513">
        <v>66118</v>
      </c>
      <c r="B161" s="529" t="s">
        <v>683</v>
      </c>
      <c r="C161" s="530">
        <v>0</v>
      </c>
      <c r="D161" s="530">
        <v>0</v>
      </c>
      <c r="E161" s="530">
        <v>0</v>
      </c>
      <c r="F161" s="530">
        <v>0</v>
      </c>
      <c r="G161" s="530">
        <v>0</v>
      </c>
      <c r="H161" s="530">
        <v>0</v>
      </c>
      <c r="I161" s="530">
        <v>0</v>
      </c>
      <c r="J161" s="530">
        <v>0</v>
      </c>
      <c r="K161" s="530">
        <v>0</v>
      </c>
      <c r="L161" s="530">
        <v>0</v>
      </c>
      <c r="M161" s="530">
        <v>0</v>
      </c>
      <c r="N161" s="530">
        <v>0</v>
      </c>
      <c r="O161" s="530">
        <v>0</v>
      </c>
      <c r="P161" s="530">
        <v>0</v>
      </c>
      <c r="Q161" s="530">
        <v>0</v>
      </c>
      <c r="R161" s="530">
        <v>0</v>
      </c>
      <c r="S161" s="530">
        <f t="shared" si="24"/>
        <v>0</v>
      </c>
    </row>
    <row r="162" spans="1:19" s="545" customFormat="1" ht="12.75" x14ac:dyDescent="0.2">
      <c r="A162" s="513">
        <v>66122</v>
      </c>
      <c r="B162" s="529" t="s">
        <v>684</v>
      </c>
      <c r="C162" s="530">
        <v>983.34</v>
      </c>
      <c r="D162" s="530">
        <v>0</v>
      </c>
      <c r="E162" s="530">
        <v>0</v>
      </c>
      <c r="F162" s="530">
        <v>0</v>
      </c>
      <c r="G162" s="530">
        <v>0</v>
      </c>
      <c r="H162" s="530">
        <v>0</v>
      </c>
      <c r="I162" s="530">
        <v>0</v>
      </c>
      <c r="J162" s="530">
        <v>0</v>
      </c>
      <c r="K162" s="530">
        <v>0</v>
      </c>
      <c r="L162" s="530">
        <v>0</v>
      </c>
      <c r="M162" s="530">
        <v>0</v>
      </c>
      <c r="N162" s="530">
        <v>0</v>
      </c>
      <c r="O162" s="530">
        <v>0</v>
      </c>
      <c r="P162" s="530">
        <v>0</v>
      </c>
      <c r="Q162" s="530">
        <v>0</v>
      </c>
      <c r="R162" s="530">
        <v>0</v>
      </c>
      <c r="S162" s="530">
        <f t="shared" si="24"/>
        <v>983.34</v>
      </c>
    </row>
    <row r="163" spans="1:19" s="545" customFormat="1" ht="12.75" x14ac:dyDescent="0.2">
      <c r="A163" s="513">
        <v>66126</v>
      </c>
      <c r="B163" s="529" t="s">
        <v>685</v>
      </c>
      <c r="C163" s="530">
        <v>0</v>
      </c>
      <c r="D163" s="530">
        <v>0</v>
      </c>
      <c r="E163" s="530">
        <v>0</v>
      </c>
      <c r="F163" s="530">
        <v>0</v>
      </c>
      <c r="G163" s="530">
        <v>0</v>
      </c>
      <c r="H163" s="530">
        <v>0</v>
      </c>
      <c r="I163" s="530">
        <v>0</v>
      </c>
      <c r="J163" s="530">
        <v>0</v>
      </c>
      <c r="K163" s="530">
        <v>0</v>
      </c>
      <c r="L163" s="530">
        <v>0</v>
      </c>
      <c r="M163" s="530">
        <v>0</v>
      </c>
      <c r="N163" s="530">
        <v>0</v>
      </c>
      <c r="O163" s="530">
        <v>0</v>
      </c>
      <c r="P163" s="530">
        <v>0</v>
      </c>
      <c r="Q163" s="530">
        <v>0</v>
      </c>
      <c r="R163" s="530">
        <v>0</v>
      </c>
      <c r="S163" s="530">
        <f t="shared" si="24"/>
        <v>0</v>
      </c>
    </row>
    <row r="164" spans="1:19" s="545" customFormat="1" ht="12.75" x14ac:dyDescent="0.2">
      <c r="A164" s="513">
        <v>66127</v>
      </c>
      <c r="B164" s="529" t="s">
        <v>686</v>
      </c>
      <c r="C164" s="530">
        <v>34</v>
      </c>
      <c r="D164" s="530">
        <v>0</v>
      </c>
      <c r="E164" s="530">
        <v>0</v>
      </c>
      <c r="F164" s="530">
        <v>0</v>
      </c>
      <c r="G164" s="530">
        <v>0</v>
      </c>
      <c r="H164" s="530">
        <v>0</v>
      </c>
      <c r="I164" s="530">
        <v>0</v>
      </c>
      <c r="J164" s="530">
        <v>0</v>
      </c>
      <c r="K164" s="530">
        <v>0</v>
      </c>
      <c r="L164" s="530">
        <v>0</v>
      </c>
      <c r="M164" s="530">
        <v>0</v>
      </c>
      <c r="N164" s="530">
        <v>0</v>
      </c>
      <c r="O164" s="530">
        <v>0</v>
      </c>
      <c r="P164" s="530">
        <v>0</v>
      </c>
      <c r="Q164" s="530">
        <v>0</v>
      </c>
      <c r="R164" s="530">
        <v>0</v>
      </c>
      <c r="S164" s="530">
        <f t="shared" si="24"/>
        <v>34</v>
      </c>
    </row>
    <row r="165" spans="1:19" s="545" customFormat="1" ht="12.75" x14ac:dyDescent="0.2">
      <c r="A165" s="513">
        <v>66130</v>
      </c>
      <c r="B165" s="529" t="s">
        <v>687</v>
      </c>
      <c r="C165" s="530">
        <v>289.67</v>
      </c>
      <c r="D165" s="530">
        <v>0</v>
      </c>
      <c r="E165" s="530">
        <v>0</v>
      </c>
      <c r="F165" s="530">
        <v>200</v>
      </c>
      <c r="G165" s="530">
        <v>0</v>
      </c>
      <c r="H165" s="530">
        <v>289.67</v>
      </c>
      <c r="I165" s="530">
        <v>0</v>
      </c>
      <c r="J165" s="530">
        <v>0</v>
      </c>
      <c r="K165" s="530">
        <v>0</v>
      </c>
      <c r="L165" s="530">
        <v>0</v>
      </c>
      <c r="M165" s="530">
        <v>0</v>
      </c>
      <c r="N165" s="530">
        <v>203.06</v>
      </c>
      <c r="O165" s="530">
        <v>0</v>
      </c>
      <c r="P165" s="530">
        <v>0</v>
      </c>
      <c r="Q165" s="530">
        <v>0</v>
      </c>
      <c r="R165" s="530">
        <v>0</v>
      </c>
      <c r="S165" s="530">
        <f t="shared" si="24"/>
        <v>982.40000000000009</v>
      </c>
    </row>
    <row r="166" spans="1:19" s="545" customFormat="1" ht="12.75" x14ac:dyDescent="0.2">
      <c r="A166" s="513">
        <v>66134</v>
      </c>
      <c r="B166" s="529" t="s">
        <v>688</v>
      </c>
      <c r="C166" s="530">
        <v>0</v>
      </c>
      <c r="D166" s="530">
        <v>0</v>
      </c>
      <c r="E166" s="530">
        <v>0</v>
      </c>
      <c r="F166" s="530">
        <v>0</v>
      </c>
      <c r="G166" s="530">
        <v>0</v>
      </c>
      <c r="H166" s="530">
        <v>0</v>
      </c>
      <c r="I166" s="530">
        <v>0</v>
      </c>
      <c r="J166" s="530">
        <v>0</v>
      </c>
      <c r="K166" s="530">
        <v>0</v>
      </c>
      <c r="L166" s="530">
        <v>0</v>
      </c>
      <c r="M166" s="530">
        <v>0</v>
      </c>
      <c r="N166" s="530">
        <v>0</v>
      </c>
      <c r="O166" s="530">
        <v>0</v>
      </c>
      <c r="P166" s="530">
        <v>0</v>
      </c>
      <c r="Q166" s="530">
        <v>0</v>
      </c>
      <c r="R166" s="530">
        <v>0</v>
      </c>
      <c r="S166" s="530">
        <f t="shared" si="24"/>
        <v>0</v>
      </c>
    </row>
    <row r="167" spans="1:19" s="545" customFormat="1" ht="12.75" x14ac:dyDescent="0.2">
      <c r="A167" s="513">
        <v>66138</v>
      </c>
      <c r="B167" s="529" t="s">
        <v>689</v>
      </c>
      <c r="C167" s="530">
        <v>26746.820000000003</v>
      </c>
      <c r="D167" s="530">
        <v>0</v>
      </c>
      <c r="E167" s="530">
        <v>0</v>
      </c>
      <c r="F167" s="530">
        <v>8067.5199999999995</v>
      </c>
      <c r="G167" s="530">
        <v>0</v>
      </c>
      <c r="H167" s="530">
        <v>0</v>
      </c>
      <c r="I167" s="530">
        <v>0</v>
      </c>
      <c r="J167" s="530">
        <v>0</v>
      </c>
      <c r="K167" s="530">
        <v>0</v>
      </c>
      <c r="L167" s="530">
        <v>0</v>
      </c>
      <c r="M167" s="530">
        <v>0</v>
      </c>
      <c r="N167" s="530">
        <v>0</v>
      </c>
      <c r="O167" s="530">
        <v>0</v>
      </c>
      <c r="P167" s="530">
        <v>0</v>
      </c>
      <c r="Q167" s="530">
        <v>0</v>
      </c>
      <c r="R167" s="530">
        <v>0</v>
      </c>
      <c r="S167" s="530">
        <f t="shared" si="24"/>
        <v>34814.340000000004</v>
      </c>
    </row>
    <row r="168" spans="1:19" s="545" customFormat="1" ht="12.75" x14ac:dyDescent="0.2">
      <c r="A168" s="513">
        <v>66140</v>
      </c>
      <c r="B168" s="529" t="s">
        <v>690</v>
      </c>
      <c r="C168" s="530">
        <v>-30476.37</v>
      </c>
      <c r="D168" s="530">
        <v>0</v>
      </c>
      <c r="E168" s="530">
        <v>0</v>
      </c>
      <c r="F168" s="530">
        <v>0</v>
      </c>
      <c r="G168" s="530">
        <v>446.62</v>
      </c>
      <c r="H168" s="530">
        <v>156.5</v>
      </c>
      <c r="I168" s="530">
        <v>0</v>
      </c>
      <c r="J168" s="530">
        <v>0</v>
      </c>
      <c r="K168" s="530">
        <v>0</v>
      </c>
      <c r="L168" s="530">
        <v>0</v>
      </c>
      <c r="M168" s="530">
        <v>1795.1200000000001</v>
      </c>
      <c r="N168" s="530">
        <v>2396.5099999999998</v>
      </c>
      <c r="O168" s="530">
        <v>0</v>
      </c>
      <c r="P168" s="530">
        <v>0</v>
      </c>
      <c r="Q168" s="530">
        <v>0</v>
      </c>
      <c r="R168" s="530">
        <v>0</v>
      </c>
      <c r="S168" s="530">
        <f t="shared" si="24"/>
        <v>-25681.620000000003</v>
      </c>
    </row>
    <row r="169" spans="1:19" s="545" customFormat="1" ht="12.75" x14ac:dyDescent="0.2">
      <c r="A169" s="513" t="s">
        <v>691</v>
      </c>
      <c r="B169" s="529" t="s">
        <v>692</v>
      </c>
      <c r="C169" s="530">
        <v>2161.7199999999998</v>
      </c>
      <c r="D169" s="530">
        <v>0</v>
      </c>
      <c r="E169" s="530">
        <v>0</v>
      </c>
      <c r="F169" s="530">
        <v>1101.99</v>
      </c>
      <c r="G169" s="530">
        <v>1416.74</v>
      </c>
      <c r="H169" s="530">
        <v>0</v>
      </c>
      <c r="I169" s="530">
        <v>0</v>
      </c>
      <c r="J169" s="530">
        <v>0</v>
      </c>
      <c r="K169" s="530">
        <v>0</v>
      </c>
      <c r="L169" s="530">
        <v>0</v>
      </c>
      <c r="M169" s="530">
        <v>0</v>
      </c>
      <c r="N169" s="530">
        <v>0</v>
      </c>
      <c r="O169" s="530">
        <v>0</v>
      </c>
      <c r="P169" s="530">
        <v>0</v>
      </c>
      <c r="Q169" s="530">
        <v>0</v>
      </c>
      <c r="R169" s="530">
        <v>0</v>
      </c>
      <c r="S169" s="530">
        <f t="shared" si="24"/>
        <v>4680.45</v>
      </c>
    </row>
    <row r="170" spans="1:19" s="545" customFormat="1" ht="12.75" x14ac:dyDescent="0.2">
      <c r="A170" s="513">
        <v>66154</v>
      </c>
      <c r="B170" s="529" t="s">
        <v>693</v>
      </c>
      <c r="C170" s="530">
        <v>0</v>
      </c>
      <c r="D170" s="530">
        <v>0</v>
      </c>
      <c r="E170" s="530">
        <v>0</v>
      </c>
      <c r="F170" s="530">
        <v>0</v>
      </c>
      <c r="G170" s="530">
        <v>0</v>
      </c>
      <c r="H170" s="530">
        <v>0</v>
      </c>
      <c r="I170" s="530">
        <v>0</v>
      </c>
      <c r="J170" s="530">
        <v>0</v>
      </c>
      <c r="K170" s="530">
        <v>0</v>
      </c>
      <c r="L170" s="530">
        <v>0</v>
      </c>
      <c r="M170" s="530">
        <v>0</v>
      </c>
      <c r="N170" s="530">
        <v>0</v>
      </c>
      <c r="O170" s="530">
        <v>0</v>
      </c>
      <c r="P170" s="530">
        <v>0</v>
      </c>
      <c r="Q170" s="530">
        <v>0</v>
      </c>
      <c r="R170" s="530">
        <v>0</v>
      </c>
      <c r="S170" s="530">
        <f t="shared" si="24"/>
        <v>0</v>
      </c>
    </row>
    <row r="171" spans="1:19" s="545" customFormat="1" ht="12.75" x14ac:dyDescent="0.2">
      <c r="A171" s="513">
        <v>66156</v>
      </c>
      <c r="B171" s="529" t="s">
        <v>694</v>
      </c>
      <c r="C171" s="530">
        <v>0</v>
      </c>
      <c r="D171" s="530">
        <v>0</v>
      </c>
      <c r="E171" s="530">
        <v>0</v>
      </c>
      <c r="F171" s="530">
        <v>0</v>
      </c>
      <c r="G171" s="530">
        <v>0</v>
      </c>
      <c r="H171" s="530">
        <v>0</v>
      </c>
      <c r="I171" s="530">
        <v>0</v>
      </c>
      <c r="J171" s="530">
        <v>0</v>
      </c>
      <c r="K171" s="530">
        <v>0</v>
      </c>
      <c r="L171" s="530">
        <v>0</v>
      </c>
      <c r="M171" s="530">
        <v>0</v>
      </c>
      <c r="N171" s="530">
        <v>0</v>
      </c>
      <c r="O171" s="530">
        <v>0</v>
      </c>
      <c r="P171" s="530">
        <v>0</v>
      </c>
      <c r="Q171" s="530">
        <v>0</v>
      </c>
      <c r="R171" s="530">
        <v>0</v>
      </c>
      <c r="S171" s="530">
        <f t="shared" si="24"/>
        <v>0</v>
      </c>
    </row>
    <row r="172" spans="1:19" s="545" customFormat="1" ht="12.75" x14ac:dyDescent="0.2">
      <c r="A172" s="513">
        <v>66157</v>
      </c>
      <c r="B172" s="529" t="s">
        <v>695</v>
      </c>
      <c r="C172" s="530">
        <v>0</v>
      </c>
      <c r="D172" s="530">
        <v>0</v>
      </c>
      <c r="E172" s="530">
        <v>0</v>
      </c>
      <c r="F172" s="530">
        <v>0</v>
      </c>
      <c r="G172" s="530">
        <v>0</v>
      </c>
      <c r="H172" s="530">
        <v>0</v>
      </c>
      <c r="I172" s="530">
        <v>0</v>
      </c>
      <c r="J172" s="530">
        <v>0</v>
      </c>
      <c r="K172" s="530">
        <v>0</v>
      </c>
      <c r="L172" s="530">
        <v>0</v>
      </c>
      <c r="M172" s="530">
        <v>0</v>
      </c>
      <c r="N172" s="530">
        <v>0</v>
      </c>
      <c r="O172" s="530">
        <v>0</v>
      </c>
      <c r="P172" s="530">
        <v>0</v>
      </c>
      <c r="Q172" s="530">
        <v>0</v>
      </c>
      <c r="R172" s="530">
        <v>0</v>
      </c>
      <c r="S172" s="530">
        <f t="shared" si="24"/>
        <v>0</v>
      </c>
    </row>
    <row r="173" spans="1:19" s="545" customFormat="1" ht="12.75" x14ac:dyDescent="0.2">
      <c r="A173" s="513">
        <v>66158</v>
      </c>
      <c r="B173" s="529" t="s">
        <v>696</v>
      </c>
      <c r="C173" s="530">
        <v>0</v>
      </c>
      <c r="D173" s="530">
        <v>0</v>
      </c>
      <c r="E173" s="530">
        <v>0</v>
      </c>
      <c r="F173" s="530">
        <v>0</v>
      </c>
      <c r="G173" s="530">
        <v>0</v>
      </c>
      <c r="H173" s="530">
        <v>0</v>
      </c>
      <c r="I173" s="530">
        <v>0</v>
      </c>
      <c r="J173" s="530">
        <v>0</v>
      </c>
      <c r="K173" s="530">
        <v>0</v>
      </c>
      <c r="L173" s="530">
        <v>0</v>
      </c>
      <c r="M173" s="530">
        <v>0</v>
      </c>
      <c r="N173" s="530">
        <v>0</v>
      </c>
      <c r="O173" s="530">
        <v>0</v>
      </c>
      <c r="P173" s="530">
        <v>0</v>
      </c>
      <c r="Q173" s="530">
        <v>0</v>
      </c>
      <c r="R173" s="530">
        <v>0</v>
      </c>
      <c r="S173" s="530">
        <f t="shared" si="24"/>
        <v>0</v>
      </c>
    </row>
    <row r="174" spans="1:19" s="545" customFormat="1" ht="12.75" x14ac:dyDescent="0.2">
      <c r="A174" s="513">
        <v>66159</v>
      </c>
      <c r="B174" s="529" t="s">
        <v>697</v>
      </c>
      <c r="C174" s="530">
        <v>0</v>
      </c>
      <c r="D174" s="530">
        <v>0</v>
      </c>
      <c r="E174" s="530">
        <v>0</v>
      </c>
      <c r="F174" s="530">
        <v>0</v>
      </c>
      <c r="G174" s="530">
        <v>0</v>
      </c>
      <c r="H174" s="530">
        <v>0</v>
      </c>
      <c r="I174" s="530">
        <v>0</v>
      </c>
      <c r="J174" s="530">
        <v>0</v>
      </c>
      <c r="K174" s="530">
        <v>0</v>
      </c>
      <c r="L174" s="530">
        <v>0</v>
      </c>
      <c r="M174" s="530">
        <v>0</v>
      </c>
      <c r="N174" s="530">
        <v>0</v>
      </c>
      <c r="O174" s="530">
        <v>0</v>
      </c>
      <c r="P174" s="530">
        <v>0</v>
      </c>
      <c r="Q174" s="530">
        <v>0</v>
      </c>
      <c r="R174" s="530">
        <v>0</v>
      </c>
      <c r="S174" s="530">
        <f t="shared" si="24"/>
        <v>0</v>
      </c>
    </row>
    <row r="175" spans="1:19" s="545" customFormat="1" ht="12.75" x14ac:dyDescent="0.2">
      <c r="A175" s="513">
        <v>66160</v>
      </c>
      <c r="B175" s="529" t="s">
        <v>698</v>
      </c>
      <c r="C175" s="530">
        <v>0</v>
      </c>
      <c r="D175" s="530">
        <v>0</v>
      </c>
      <c r="E175" s="530">
        <v>0</v>
      </c>
      <c r="F175" s="530">
        <v>0</v>
      </c>
      <c r="G175" s="530">
        <v>0</v>
      </c>
      <c r="H175" s="530">
        <v>0</v>
      </c>
      <c r="I175" s="530">
        <v>0</v>
      </c>
      <c r="J175" s="530">
        <v>0</v>
      </c>
      <c r="K175" s="530">
        <v>0</v>
      </c>
      <c r="L175" s="530">
        <v>0</v>
      </c>
      <c r="M175" s="530">
        <v>0</v>
      </c>
      <c r="N175" s="530">
        <v>0</v>
      </c>
      <c r="O175" s="530">
        <v>0</v>
      </c>
      <c r="P175" s="530">
        <v>0</v>
      </c>
      <c r="Q175" s="530">
        <v>0</v>
      </c>
      <c r="R175" s="530">
        <v>0</v>
      </c>
      <c r="S175" s="530">
        <f t="shared" si="24"/>
        <v>0</v>
      </c>
    </row>
    <row r="176" spans="1:19" s="545" customFormat="1" ht="12.75" x14ac:dyDescent="0.2">
      <c r="A176" s="513">
        <v>66162</v>
      </c>
      <c r="B176" s="529" t="s">
        <v>699</v>
      </c>
      <c r="C176" s="530">
        <v>0</v>
      </c>
      <c r="D176" s="530">
        <v>0</v>
      </c>
      <c r="E176" s="530">
        <v>0</v>
      </c>
      <c r="F176" s="530">
        <v>0</v>
      </c>
      <c r="G176" s="530">
        <v>0</v>
      </c>
      <c r="H176" s="530">
        <v>0</v>
      </c>
      <c r="I176" s="530">
        <v>0</v>
      </c>
      <c r="J176" s="530">
        <v>0</v>
      </c>
      <c r="K176" s="530">
        <v>0</v>
      </c>
      <c r="L176" s="530">
        <v>0</v>
      </c>
      <c r="M176" s="530">
        <v>0</v>
      </c>
      <c r="N176" s="530">
        <v>0</v>
      </c>
      <c r="O176" s="530">
        <v>0</v>
      </c>
      <c r="P176" s="530">
        <v>0</v>
      </c>
      <c r="Q176" s="530">
        <v>0</v>
      </c>
      <c r="R176" s="530">
        <v>0</v>
      </c>
      <c r="S176" s="530">
        <f t="shared" si="24"/>
        <v>0</v>
      </c>
    </row>
    <row r="177" spans="1:19" s="545" customFormat="1" ht="12.75" x14ac:dyDescent="0.2">
      <c r="A177" s="513">
        <v>66164</v>
      </c>
      <c r="B177" s="529" t="s">
        <v>700</v>
      </c>
      <c r="C177" s="530">
        <v>0</v>
      </c>
      <c r="D177" s="530">
        <v>0</v>
      </c>
      <c r="E177" s="530">
        <v>0</v>
      </c>
      <c r="F177" s="530">
        <v>0</v>
      </c>
      <c r="G177" s="530">
        <v>0</v>
      </c>
      <c r="H177" s="530">
        <v>0</v>
      </c>
      <c r="I177" s="530">
        <v>0</v>
      </c>
      <c r="J177" s="530">
        <v>0</v>
      </c>
      <c r="K177" s="530">
        <v>0</v>
      </c>
      <c r="L177" s="530">
        <v>0</v>
      </c>
      <c r="M177" s="530">
        <v>0</v>
      </c>
      <c r="N177" s="530">
        <v>0</v>
      </c>
      <c r="O177" s="530">
        <v>0</v>
      </c>
      <c r="P177" s="530">
        <v>0</v>
      </c>
      <c r="Q177" s="530">
        <v>0</v>
      </c>
      <c r="R177" s="530">
        <v>0</v>
      </c>
      <c r="S177" s="530">
        <f t="shared" si="24"/>
        <v>0</v>
      </c>
    </row>
    <row r="178" spans="1:19" s="545" customFormat="1" ht="12.75" x14ac:dyDescent="0.2">
      <c r="A178" s="513">
        <v>66166</v>
      </c>
      <c r="B178" s="529" t="s">
        <v>701</v>
      </c>
      <c r="C178" s="530">
        <v>0</v>
      </c>
      <c r="D178" s="530">
        <v>0</v>
      </c>
      <c r="E178" s="530">
        <v>0</v>
      </c>
      <c r="F178" s="530">
        <v>0</v>
      </c>
      <c r="G178" s="530">
        <v>0</v>
      </c>
      <c r="H178" s="530">
        <v>0</v>
      </c>
      <c r="I178" s="530">
        <v>0</v>
      </c>
      <c r="J178" s="530">
        <v>0</v>
      </c>
      <c r="K178" s="530">
        <v>0</v>
      </c>
      <c r="L178" s="530">
        <v>0</v>
      </c>
      <c r="M178" s="530">
        <v>0</v>
      </c>
      <c r="N178" s="530">
        <v>0</v>
      </c>
      <c r="O178" s="530">
        <v>0</v>
      </c>
      <c r="P178" s="530">
        <v>0</v>
      </c>
      <c r="Q178" s="530">
        <v>0</v>
      </c>
      <c r="R178" s="530">
        <v>0</v>
      </c>
      <c r="S178" s="530">
        <f t="shared" si="24"/>
        <v>0</v>
      </c>
    </row>
    <row r="179" spans="1:19" s="545" customFormat="1" ht="12.75" x14ac:dyDescent="0.2">
      <c r="A179" s="513">
        <v>66168</v>
      </c>
      <c r="B179" s="529" t="s">
        <v>702</v>
      </c>
      <c r="C179" s="530">
        <v>0</v>
      </c>
      <c r="D179" s="530">
        <v>0</v>
      </c>
      <c r="E179" s="530">
        <v>0</v>
      </c>
      <c r="F179" s="530">
        <v>0</v>
      </c>
      <c r="G179" s="530">
        <v>0</v>
      </c>
      <c r="H179" s="530">
        <v>0</v>
      </c>
      <c r="I179" s="530">
        <v>0</v>
      </c>
      <c r="J179" s="530">
        <v>0</v>
      </c>
      <c r="K179" s="530">
        <v>0</v>
      </c>
      <c r="L179" s="530">
        <v>0</v>
      </c>
      <c r="M179" s="530">
        <v>0</v>
      </c>
      <c r="N179" s="530">
        <v>0</v>
      </c>
      <c r="O179" s="530">
        <v>0</v>
      </c>
      <c r="P179" s="530">
        <v>0</v>
      </c>
      <c r="Q179" s="530">
        <v>0</v>
      </c>
      <c r="R179" s="530">
        <v>0</v>
      </c>
      <c r="S179" s="530">
        <f t="shared" si="24"/>
        <v>0</v>
      </c>
    </row>
    <row r="180" spans="1:19" s="545" customFormat="1" ht="12.75" x14ac:dyDescent="0.2">
      <c r="A180" s="513" t="s">
        <v>703</v>
      </c>
      <c r="B180" s="529" t="s">
        <v>704</v>
      </c>
      <c r="C180" s="530">
        <v>0</v>
      </c>
      <c r="D180" s="530">
        <v>0</v>
      </c>
      <c r="E180" s="530">
        <v>0</v>
      </c>
      <c r="F180" s="530">
        <v>0</v>
      </c>
      <c r="G180" s="530">
        <v>0</v>
      </c>
      <c r="H180" s="530">
        <v>37.5</v>
      </c>
      <c r="I180" s="530">
        <v>0</v>
      </c>
      <c r="J180" s="530">
        <v>0</v>
      </c>
      <c r="K180" s="530">
        <v>0</v>
      </c>
      <c r="L180" s="530">
        <v>0</v>
      </c>
      <c r="M180" s="530">
        <v>0</v>
      </c>
      <c r="N180" s="530">
        <v>0</v>
      </c>
      <c r="O180" s="530">
        <v>0</v>
      </c>
      <c r="P180" s="530">
        <v>0</v>
      </c>
      <c r="Q180" s="530">
        <v>0</v>
      </c>
      <c r="R180" s="530">
        <v>0</v>
      </c>
      <c r="S180" s="530">
        <f t="shared" si="24"/>
        <v>37.5</v>
      </c>
    </row>
    <row r="181" spans="1:19" s="545" customFormat="1" ht="12.75" x14ac:dyDescent="0.2">
      <c r="A181" s="513">
        <v>66172</v>
      </c>
      <c r="B181" s="529" t="s">
        <v>705</v>
      </c>
      <c r="C181" s="530">
        <v>0</v>
      </c>
      <c r="D181" s="530">
        <v>0</v>
      </c>
      <c r="E181" s="530">
        <v>0</v>
      </c>
      <c r="F181" s="530">
        <v>0</v>
      </c>
      <c r="G181" s="530">
        <v>0</v>
      </c>
      <c r="H181" s="530">
        <v>7.77</v>
      </c>
      <c r="I181" s="530">
        <v>0</v>
      </c>
      <c r="J181" s="530">
        <v>0</v>
      </c>
      <c r="K181" s="530">
        <v>0</v>
      </c>
      <c r="L181" s="530">
        <v>0</v>
      </c>
      <c r="M181" s="530">
        <v>0</v>
      </c>
      <c r="N181" s="530">
        <v>0</v>
      </c>
      <c r="O181" s="530">
        <v>0</v>
      </c>
      <c r="P181" s="530">
        <v>0</v>
      </c>
      <c r="Q181" s="530">
        <v>0</v>
      </c>
      <c r="R181" s="530">
        <v>0</v>
      </c>
      <c r="S181" s="530">
        <f t="shared" si="24"/>
        <v>7.77</v>
      </c>
    </row>
    <row r="182" spans="1:19" s="545" customFormat="1" ht="12.75" x14ac:dyDescent="0.2">
      <c r="A182" s="513">
        <v>66176</v>
      </c>
      <c r="B182" s="529" t="s">
        <v>706</v>
      </c>
      <c r="C182" s="530">
        <v>0</v>
      </c>
      <c r="D182" s="530">
        <v>0</v>
      </c>
      <c r="E182" s="530">
        <v>0</v>
      </c>
      <c r="F182" s="530">
        <v>0</v>
      </c>
      <c r="G182" s="530">
        <v>0</v>
      </c>
      <c r="H182" s="530">
        <v>0</v>
      </c>
      <c r="I182" s="530">
        <v>0</v>
      </c>
      <c r="J182" s="530">
        <v>0</v>
      </c>
      <c r="K182" s="530">
        <v>0</v>
      </c>
      <c r="L182" s="530">
        <v>0</v>
      </c>
      <c r="M182" s="530">
        <v>0</v>
      </c>
      <c r="N182" s="530">
        <v>0</v>
      </c>
      <c r="O182" s="530">
        <v>0</v>
      </c>
      <c r="P182" s="530">
        <v>0</v>
      </c>
      <c r="Q182" s="530">
        <v>0</v>
      </c>
      <c r="R182" s="530">
        <v>0</v>
      </c>
      <c r="S182" s="530">
        <f t="shared" si="24"/>
        <v>0</v>
      </c>
    </row>
    <row r="183" spans="1:19" s="545" customFormat="1" ht="12.75" x14ac:dyDescent="0.2">
      <c r="A183" s="513">
        <v>66180</v>
      </c>
      <c r="B183" s="529" t="s">
        <v>707</v>
      </c>
      <c r="C183" s="530">
        <v>280.24</v>
      </c>
      <c r="D183" s="530">
        <v>0</v>
      </c>
      <c r="E183" s="530">
        <v>0</v>
      </c>
      <c r="F183" s="530">
        <v>0</v>
      </c>
      <c r="G183" s="530">
        <v>0</v>
      </c>
      <c r="H183" s="530">
        <v>585.04</v>
      </c>
      <c r="I183" s="530">
        <v>0</v>
      </c>
      <c r="J183" s="530">
        <v>0</v>
      </c>
      <c r="K183" s="530">
        <v>651.31000000000006</v>
      </c>
      <c r="L183" s="530">
        <v>0</v>
      </c>
      <c r="M183" s="530">
        <v>0</v>
      </c>
      <c r="N183" s="530">
        <v>280.24</v>
      </c>
      <c r="O183" s="530">
        <v>13.73</v>
      </c>
      <c r="P183" s="530">
        <v>0</v>
      </c>
      <c r="Q183" s="530">
        <v>0</v>
      </c>
      <c r="R183" s="530">
        <v>0</v>
      </c>
      <c r="S183" s="530">
        <f t="shared" si="24"/>
        <v>1810.5600000000002</v>
      </c>
    </row>
    <row r="184" spans="1:19" s="545" customFormat="1" ht="12.75" x14ac:dyDescent="0.2">
      <c r="A184" s="513">
        <v>66220</v>
      </c>
      <c r="B184" s="529" t="s">
        <v>708</v>
      </c>
      <c r="C184" s="530">
        <v>0</v>
      </c>
      <c r="D184" s="530">
        <v>0</v>
      </c>
      <c r="E184" s="530">
        <v>0</v>
      </c>
      <c r="F184" s="530">
        <v>0</v>
      </c>
      <c r="G184" s="530">
        <v>0</v>
      </c>
      <c r="H184" s="530">
        <v>0</v>
      </c>
      <c r="I184" s="530">
        <v>0</v>
      </c>
      <c r="J184" s="530">
        <v>0</v>
      </c>
      <c r="K184" s="530">
        <v>0</v>
      </c>
      <c r="L184" s="530">
        <v>0</v>
      </c>
      <c r="M184" s="530">
        <v>0</v>
      </c>
      <c r="N184" s="530">
        <v>0</v>
      </c>
      <c r="O184" s="530">
        <v>0</v>
      </c>
      <c r="P184" s="530">
        <v>0</v>
      </c>
      <c r="Q184" s="530">
        <v>0</v>
      </c>
      <c r="R184" s="530">
        <v>0</v>
      </c>
      <c r="S184" s="530">
        <f t="shared" si="24"/>
        <v>0</v>
      </c>
    </row>
    <row r="185" spans="1:19" s="545" customFormat="1" ht="12.75" x14ac:dyDescent="0.2">
      <c r="A185" s="513">
        <v>66230</v>
      </c>
      <c r="B185" s="529" t="s">
        <v>709</v>
      </c>
      <c r="C185" s="530">
        <v>0</v>
      </c>
      <c r="D185" s="530">
        <v>0</v>
      </c>
      <c r="E185" s="530">
        <v>0</v>
      </c>
      <c r="F185" s="530">
        <v>0</v>
      </c>
      <c r="G185" s="530">
        <v>0</v>
      </c>
      <c r="H185" s="530">
        <v>0</v>
      </c>
      <c r="I185" s="530">
        <v>0</v>
      </c>
      <c r="J185" s="530">
        <v>0</v>
      </c>
      <c r="K185" s="530">
        <v>0</v>
      </c>
      <c r="L185" s="530">
        <v>0</v>
      </c>
      <c r="M185" s="530">
        <v>0</v>
      </c>
      <c r="N185" s="530">
        <v>0</v>
      </c>
      <c r="O185" s="530">
        <v>0</v>
      </c>
      <c r="P185" s="530">
        <v>0</v>
      </c>
      <c r="Q185" s="530">
        <v>0</v>
      </c>
      <c r="R185" s="530">
        <v>0</v>
      </c>
      <c r="S185" s="530">
        <f t="shared" si="24"/>
        <v>0</v>
      </c>
    </row>
    <row r="186" spans="1:19" s="545" customFormat="1" ht="12.75" x14ac:dyDescent="0.2">
      <c r="A186" s="513">
        <v>66240</v>
      </c>
      <c r="B186" s="529" t="s">
        <v>710</v>
      </c>
      <c r="C186" s="530">
        <v>0</v>
      </c>
      <c r="D186" s="530">
        <v>0</v>
      </c>
      <c r="E186" s="530">
        <v>0</v>
      </c>
      <c r="F186" s="530">
        <v>0</v>
      </c>
      <c r="G186" s="530">
        <v>0</v>
      </c>
      <c r="H186" s="530">
        <v>0</v>
      </c>
      <c r="I186" s="530">
        <v>0</v>
      </c>
      <c r="J186" s="530">
        <v>0</v>
      </c>
      <c r="K186" s="530">
        <v>0</v>
      </c>
      <c r="L186" s="530">
        <v>0</v>
      </c>
      <c r="M186" s="530">
        <v>0</v>
      </c>
      <c r="N186" s="530">
        <v>0</v>
      </c>
      <c r="O186" s="530">
        <v>0</v>
      </c>
      <c r="P186" s="530">
        <v>0</v>
      </c>
      <c r="Q186" s="530">
        <v>0</v>
      </c>
      <c r="R186" s="530">
        <v>0</v>
      </c>
      <c r="S186" s="530">
        <f t="shared" si="24"/>
        <v>0</v>
      </c>
    </row>
    <row r="187" spans="1:19" s="545" customFormat="1" ht="12.75" x14ac:dyDescent="0.2">
      <c r="A187" s="513">
        <v>66250</v>
      </c>
      <c r="B187" s="529" t="s">
        <v>711</v>
      </c>
      <c r="C187" s="530">
        <v>0</v>
      </c>
      <c r="D187" s="530">
        <v>0</v>
      </c>
      <c r="E187" s="530">
        <v>0</v>
      </c>
      <c r="F187" s="530">
        <v>0</v>
      </c>
      <c r="G187" s="530">
        <v>0</v>
      </c>
      <c r="H187" s="530">
        <v>0</v>
      </c>
      <c r="I187" s="530">
        <v>0</v>
      </c>
      <c r="J187" s="530">
        <v>0</v>
      </c>
      <c r="K187" s="530">
        <v>0</v>
      </c>
      <c r="L187" s="530">
        <v>0</v>
      </c>
      <c r="M187" s="530">
        <v>0</v>
      </c>
      <c r="N187" s="530">
        <v>0</v>
      </c>
      <c r="O187" s="530">
        <v>0</v>
      </c>
      <c r="P187" s="530">
        <v>0</v>
      </c>
      <c r="Q187" s="530">
        <v>0</v>
      </c>
      <c r="R187" s="530">
        <v>0</v>
      </c>
      <c r="S187" s="530">
        <f t="shared" si="24"/>
        <v>0</v>
      </c>
    </row>
    <row r="188" spans="1:19" s="545" customFormat="1" ht="12.75" x14ac:dyDescent="0.2">
      <c r="A188" s="513">
        <v>66260</v>
      </c>
      <c r="B188" s="529" t="s">
        <v>712</v>
      </c>
      <c r="C188" s="530">
        <v>0</v>
      </c>
      <c r="D188" s="530">
        <v>0</v>
      </c>
      <c r="E188" s="530">
        <v>0</v>
      </c>
      <c r="F188" s="530">
        <v>0</v>
      </c>
      <c r="G188" s="530">
        <v>0</v>
      </c>
      <c r="H188" s="530">
        <v>0</v>
      </c>
      <c r="I188" s="530">
        <v>0</v>
      </c>
      <c r="J188" s="530">
        <v>0</v>
      </c>
      <c r="K188" s="530">
        <v>0</v>
      </c>
      <c r="L188" s="530">
        <v>0</v>
      </c>
      <c r="M188" s="530">
        <v>0</v>
      </c>
      <c r="N188" s="530">
        <v>0</v>
      </c>
      <c r="O188" s="530">
        <v>0</v>
      </c>
      <c r="P188" s="530">
        <v>0</v>
      </c>
      <c r="Q188" s="530">
        <v>0</v>
      </c>
      <c r="R188" s="530">
        <v>0</v>
      </c>
      <c r="S188" s="530">
        <f t="shared" si="24"/>
        <v>0</v>
      </c>
    </row>
    <row r="189" spans="1:19" s="545" customFormat="1" ht="12.75" x14ac:dyDescent="0.2">
      <c r="A189" s="513">
        <v>66270</v>
      </c>
      <c r="B189" s="529" t="s">
        <v>713</v>
      </c>
      <c r="C189" s="530">
        <v>0</v>
      </c>
      <c r="D189" s="530">
        <v>0</v>
      </c>
      <c r="E189" s="530">
        <v>0</v>
      </c>
      <c r="F189" s="530">
        <v>0</v>
      </c>
      <c r="G189" s="530">
        <v>0</v>
      </c>
      <c r="H189" s="530">
        <v>0</v>
      </c>
      <c r="I189" s="530">
        <v>0</v>
      </c>
      <c r="J189" s="530">
        <v>0</v>
      </c>
      <c r="K189" s="530">
        <v>0</v>
      </c>
      <c r="L189" s="530">
        <v>0</v>
      </c>
      <c r="M189" s="530">
        <v>0</v>
      </c>
      <c r="N189" s="530">
        <v>0</v>
      </c>
      <c r="O189" s="530">
        <v>0</v>
      </c>
      <c r="P189" s="530">
        <v>0</v>
      </c>
      <c r="Q189" s="530">
        <v>0</v>
      </c>
      <c r="R189" s="530">
        <v>0</v>
      </c>
      <c r="S189" s="530">
        <f t="shared" si="24"/>
        <v>0</v>
      </c>
    </row>
    <row r="190" spans="1:19" s="545" customFormat="1" ht="12.75" x14ac:dyDescent="0.2">
      <c r="A190" s="513">
        <v>66275</v>
      </c>
      <c r="B190" s="529" t="s">
        <v>714</v>
      </c>
      <c r="C190" s="530">
        <v>0</v>
      </c>
      <c r="D190" s="530">
        <v>0</v>
      </c>
      <c r="E190" s="530">
        <v>0</v>
      </c>
      <c r="F190" s="530">
        <v>0</v>
      </c>
      <c r="G190" s="530">
        <v>0</v>
      </c>
      <c r="H190" s="530">
        <v>0</v>
      </c>
      <c r="I190" s="530">
        <v>0</v>
      </c>
      <c r="J190" s="530">
        <v>0</v>
      </c>
      <c r="K190" s="530">
        <v>0</v>
      </c>
      <c r="L190" s="530">
        <v>0</v>
      </c>
      <c r="M190" s="530">
        <v>0</v>
      </c>
      <c r="N190" s="530">
        <v>0</v>
      </c>
      <c r="O190" s="530">
        <v>0</v>
      </c>
      <c r="P190" s="530">
        <v>0</v>
      </c>
      <c r="Q190" s="530">
        <v>0</v>
      </c>
      <c r="R190" s="530">
        <v>0</v>
      </c>
      <c r="S190" s="530">
        <f t="shared" si="24"/>
        <v>0</v>
      </c>
    </row>
    <row r="191" spans="1:19" s="545" customFormat="1" ht="12.75" x14ac:dyDescent="0.2">
      <c r="A191" s="513">
        <v>66278</v>
      </c>
      <c r="B191" s="529" t="s">
        <v>715</v>
      </c>
      <c r="C191" s="530">
        <v>0</v>
      </c>
      <c r="D191" s="530">
        <v>0</v>
      </c>
      <c r="E191" s="530">
        <v>0</v>
      </c>
      <c r="F191" s="530">
        <v>0</v>
      </c>
      <c r="G191" s="530">
        <v>0</v>
      </c>
      <c r="H191" s="530">
        <v>0</v>
      </c>
      <c r="I191" s="530">
        <v>0</v>
      </c>
      <c r="J191" s="530">
        <v>0</v>
      </c>
      <c r="K191" s="530">
        <v>0</v>
      </c>
      <c r="L191" s="530">
        <v>0</v>
      </c>
      <c r="M191" s="530">
        <v>0</v>
      </c>
      <c r="N191" s="530">
        <v>0</v>
      </c>
      <c r="O191" s="530">
        <v>0</v>
      </c>
      <c r="P191" s="530">
        <v>0</v>
      </c>
      <c r="Q191" s="530">
        <v>0</v>
      </c>
      <c r="R191" s="530">
        <v>0</v>
      </c>
      <c r="S191" s="530">
        <f t="shared" si="24"/>
        <v>0</v>
      </c>
    </row>
    <row r="192" spans="1:19" s="545" customFormat="1" ht="12.75" x14ac:dyDescent="0.2">
      <c r="A192" s="513">
        <v>66280</v>
      </c>
      <c r="B192" s="529" t="s">
        <v>716</v>
      </c>
      <c r="C192" s="530">
        <v>0</v>
      </c>
      <c r="D192" s="530">
        <v>0</v>
      </c>
      <c r="E192" s="530">
        <v>0</v>
      </c>
      <c r="F192" s="530">
        <v>0</v>
      </c>
      <c r="G192" s="530">
        <v>0</v>
      </c>
      <c r="H192" s="530">
        <v>0</v>
      </c>
      <c r="I192" s="530">
        <v>0</v>
      </c>
      <c r="J192" s="530">
        <v>0</v>
      </c>
      <c r="K192" s="530">
        <v>0</v>
      </c>
      <c r="L192" s="530">
        <v>0</v>
      </c>
      <c r="M192" s="530">
        <v>0</v>
      </c>
      <c r="N192" s="530">
        <v>0</v>
      </c>
      <c r="O192" s="530">
        <v>0</v>
      </c>
      <c r="P192" s="530">
        <v>0</v>
      </c>
      <c r="Q192" s="530">
        <v>0</v>
      </c>
      <c r="R192" s="530">
        <v>0</v>
      </c>
      <c r="S192" s="530">
        <f t="shared" si="24"/>
        <v>0</v>
      </c>
    </row>
    <row r="193" spans="1:19" s="545" customFormat="1" ht="12.75" x14ac:dyDescent="0.2">
      <c r="A193" s="513">
        <v>66282</v>
      </c>
      <c r="B193" s="529" t="s">
        <v>717</v>
      </c>
      <c r="C193" s="530">
        <v>0</v>
      </c>
      <c r="D193" s="530">
        <v>0</v>
      </c>
      <c r="E193" s="530">
        <v>0</v>
      </c>
      <c r="F193" s="530">
        <v>0</v>
      </c>
      <c r="G193" s="530">
        <v>0</v>
      </c>
      <c r="H193" s="530">
        <v>0</v>
      </c>
      <c r="I193" s="530">
        <v>0</v>
      </c>
      <c r="J193" s="530">
        <v>0</v>
      </c>
      <c r="K193" s="530">
        <v>0</v>
      </c>
      <c r="L193" s="530">
        <v>0</v>
      </c>
      <c r="M193" s="530">
        <v>0</v>
      </c>
      <c r="N193" s="530">
        <v>0</v>
      </c>
      <c r="O193" s="530">
        <v>0</v>
      </c>
      <c r="P193" s="530">
        <v>0</v>
      </c>
      <c r="Q193" s="530">
        <v>0</v>
      </c>
      <c r="R193" s="530">
        <v>0</v>
      </c>
      <c r="S193" s="530">
        <f t="shared" si="24"/>
        <v>0</v>
      </c>
    </row>
    <row r="194" spans="1:19" s="545" customFormat="1" ht="12.75" x14ac:dyDescent="0.2">
      <c r="A194" s="513">
        <v>66284</v>
      </c>
      <c r="B194" s="529" t="s">
        <v>718</v>
      </c>
      <c r="C194" s="530">
        <v>0</v>
      </c>
      <c r="D194" s="530">
        <v>0</v>
      </c>
      <c r="E194" s="530">
        <v>0</v>
      </c>
      <c r="F194" s="530">
        <v>0</v>
      </c>
      <c r="G194" s="530">
        <v>0</v>
      </c>
      <c r="H194" s="530">
        <v>0</v>
      </c>
      <c r="I194" s="530">
        <v>0</v>
      </c>
      <c r="J194" s="530">
        <v>0</v>
      </c>
      <c r="K194" s="530">
        <v>0</v>
      </c>
      <c r="L194" s="530">
        <v>0</v>
      </c>
      <c r="M194" s="530">
        <v>0</v>
      </c>
      <c r="N194" s="530">
        <v>0</v>
      </c>
      <c r="O194" s="530">
        <v>0</v>
      </c>
      <c r="P194" s="530">
        <v>0</v>
      </c>
      <c r="Q194" s="530">
        <v>0</v>
      </c>
      <c r="R194" s="530">
        <v>0</v>
      </c>
      <c r="S194" s="530">
        <f t="shared" si="24"/>
        <v>0</v>
      </c>
    </row>
    <row r="195" spans="1:19" s="545" customFormat="1" ht="12.75" x14ac:dyDescent="0.2">
      <c r="A195" s="513">
        <v>66400</v>
      </c>
      <c r="B195" s="529" t="s">
        <v>719</v>
      </c>
      <c r="C195" s="530">
        <v>0</v>
      </c>
      <c r="D195" s="530">
        <v>0</v>
      </c>
      <c r="E195" s="530">
        <v>0</v>
      </c>
      <c r="F195" s="530">
        <v>0</v>
      </c>
      <c r="G195" s="530">
        <v>0</v>
      </c>
      <c r="H195" s="530">
        <v>0</v>
      </c>
      <c r="I195" s="530">
        <v>0</v>
      </c>
      <c r="J195" s="530">
        <v>0</v>
      </c>
      <c r="K195" s="530">
        <v>0</v>
      </c>
      <c r="L195" s="530">
        <v>0</v>
      </c>
      <c r="M195" s="530">
        <v>0</v>
      </c>
      <c r="N195" s="530">
        <v>0</v>
      </c>
      <c r="O195" s="530">
        <v>0</v>
      </c>
      <c r="P195" s="530">
        <v>0</v>
      </c>
      <c r="Q195" s="530">
        <v>0</v>
      </c>
      <c r="R195" s="530">
        <v>0</v>
      </c>
      <c r="S195" s="530">
        <f t="shared" si="24"/>
        <v>0</v>
      </c>
    </row>
    <row r="196" spans="1:19" s="545" customFormat="1" ht="12.75" x14ac:dyDescent="0.2">
      <c r="A196" s="513">
        <v>66450</v>
      </c>
      <c r="B196" s="529" t="s">
        <v>720</v>
      </c>
      <c r="C196" s="530">
        <v>0</v>
      </c>
      <c r="D196" s="530">
        <v>0</v>
      </c>
      <c r="E196" s="530">
        <v>0</v>
      </c>
      <c r="F196" s="530">
        <v>0</v>
      </c>
      <c r="G196" s="530">
        <v>0</v>
      </c>
      <c r="H196" s="530">
        <v>0</v>
      </c>
      <c r="I196" s="530">
        <v>0</v>
      </c>
      <c r="J196" s="530">
        <v>0</v>
      </c>
      <c r="K196" s="530">
        <v>0</v>
      </c>
      <c r="L196" s="530">
        <v>0</v>
      </c>
      <c r="M196" s="530">
        <v>0</v>
      </c>
      <c r="N196" s="530">
        <v>0</v>
      </c>
      <c r="O196" s="530">
        <v>0</v>
      </c>
      <c r="P196" s="530">
        <v>0</v>
      </c>
      <c r="Q196" s="530">
        <v>0</v>
      </c>
      <c r="R196" s="530">
        <v>0</v>
      </c>
      <c r="S196" s="530">
        <f t="shared" si="24"/>
        <v>0</v>
      </c>
    </row>
    <row r="197" spans="1:19" s="545" customFormat="1" ht="12.75" x14ac:dyDescent="0.2">
      <c r="A197" s="513">
        <v>66500</v>
      </c>
      <c r="B197" s="529" t="s">
        <v>721</v>
      </c>
      <c r="C197" s="530">
        <v>0</v>
      </c>
      <c r="D197" s="530">
        <v>0</v>
      </c>
      <c r="E197" s="530">
        <v>-1.25</v>
      </c>
      <c r="F197" s="530">
        <v>0</v>
      </c>
      <c r="G197" s="530">
        <v>81</v>
      </c>
      <c r="H197" s="530">
        <v>0.36</v>
      </c>
      <c r="I197" s="530">
        <v>0</v>
      </c>
      <c r="J197" s="530">
        <v>0</v>
      </c>
      <c r="K197" s="530">
        <v>0</v>
      </c>
      <c r="L197" s="530">
        <v>0</v>
      </c>
      <c r="M197" s="530">
        <v>0</v>
      </c>
      <c r="N197" s="530">
        <v>0</v>
      </c>
      <c r="O197" s="530">
        <v>0</v>
      </c>
      <c r="P197" s="530">
        <v>0</v>
      </c>
      <c r="Q197" s="530">
        <v>0</v>
      </c>
      <c r="R197" s="530">
        <v>0</v>
      </c>
      <c r="S197" s="530">
        <f t="shared" si="24"/>
        <v>80.11</v>
      </c>
    </row>
    <row r="198" spans="1:19" s="545" customFormat="1" ht="12.75" x14ac:dyDescent="0.2">
      <c r="A198" s="513">
        <v>66501</v>
      </c>
      <c r="B198" s="529" t="s">
        <v>722</v>
      </c>
      <c r="C198" s="530">
        <v>0</v>
      </c>
      <c r="D198" s="530">
        <v>0</v>
      </c>
      <c r="E198" s="530">
        <v>0</v>
      </c>
      <c r="F198" s="530">
        <v>0</v>
      </c>
      <c r="G198" s="530">
        <v>0</v>
      </c>
      <c r="H198" s="530">
        <v>0</v>
      </c>
      <c r="I198" s="530">
        <v>0</v>
      </c>
      <c r="J198" s="530">
        <v>0</v>
      </c>
      <c r="K198" s="530">
        <v>0</v>
      </c>
      <c r="L198" s="530">
        <v>0</v>
      </c>
      <c r="M198" s="530">
        <v>0</v>
      </c>
      <c r="N198" s="530">
        <v>0</v>
      </c>
      <c r="O198" s="530">
        <v>0</v>
      </c>
      <c r="P198" s="530">
        <v>0</v>
      </c>
      <c r="Q198" s="530">
        <v>0</v>
      </c>
      <c r="R198" s="530">
        <v>0</v>
      </c>
      <c r="S198" s="530">
        <f t="shared" si="24"/>
        <v>0</v>
      </c>
    </row>
    <row r="199" spans="1:19" s="545" customFormat="1" ht="12.75" x14ac:dyDescent="0.2">
      <c r="A199" s="513">
        <v>66580</v>
      </c>
      <c r="B199" s="529" t="s">
        <v>723</v>
      </c>
      <c r="C199" s="530">
        <v>0</v>
      </c>
      <c r="D199" s="530">
        <v>0</v>
      </c>
      <c r="E199" s="530">
        <v>0</v>
      </c>
      <c r="F199" s="530">
        <v>0</v>
      </c>
      <c r="G199" s="530">
        <v>314</v>
      </c>
      <c r="H199" s="1189">
        <v>0</v>
      </c>
      <c r="I199" s="1168">
        <v>0</v>
      </c>
      <c r="J199" s="530">
        <v>0</v>
      </c>
      <c r="K199" s="530">
        <v>0</v>
      </c>
      <c r="L199" s="530">
        <v>0</v>
      </c>
      <c r="M199" s="530">
        <v>0</v>
      </c>
      <c r="N199" s="530">
        <v>0</v>
      </c>
      <c r="O199" s="530">
        <v>0</v>
      </c>
      <c r="P199" s="530">
        <v>0</v>
      </c>
      <c r="Q199" s="530">
        <v>0</v>
      </c>
      <c r="R199" s="530">
        <v>0</v>
      </c>
      <c r="S199" s="530">
        <f t="shared" si="24"/>
        <v>314</v>
      </c>
    </row>
    <row r="200" spans="1:19" s="545" customFormat="1" ht="12.75" x14ac:dyDescent="0.2">
      <c r="A200" s="513">
        <v>66582</v>
      </c>
      <c r="B200" s="529" t="s">
        <v>724</v>
      </c>
      <c r="C200" s="530">
        <v>0</v>
      </c>
      <c r="D200" s="530">
        <v>0</v>
      </c>
      <c r="E200" s="530">
        <v>0</v>
      </c>
      <c r="F200" s="530">
        <v>0</v>
      </c>
      <c r="G200" s="530">
        <v>0</v>
      </c>
      <c r="H200" s="530">
        <v>0</v>
      </c>
      <c r="I200" s="530">
        <v>0</v>
      </c>
      <c r="J200" s="530">
        <v>0</v>
      </c>
      <c r="K200" s="530">
        <v>0</v>
      </c>
      <c r="L200" s="530">
        <v>0</v>
      </c>
      <c r="M200" s="530">
        <v>0</v>
      </c>
      <c r="N200" s="530">
        <v>0</v>
      </c>
      <c r="O200" s="530">
        <v>0</v>
      </c>
      <c r="P200" s="530">
        <v>0</v>
      </c>
      <c r="Q200" s="530">
        <v>0</v>
      </c>
      <c r="R200" s="530">
        <v>0</v>
      </c>
      <c r="S200" s="530">
        <f t="shared" si="24"/>
        <v>0</v>
      </c>
    </row>
    <row r="201" spans="1:19" s="545" customFormat="1" ht="12.75" x14ac:dyDescent="0.2">
      <c r="A201" s="513">
        <v>66583</v>
      </c>
      <c r="B201" s="529" t="s">
        <v>725</v>
      </c>
      <c r="C201" s="530">
        <v>0</v>
      </c>
      <c r="D201" s="530">
        <v>0</v>
      </c>
      <c r="E201" s="530">
        <v>0</v>
      </c>
      <c r="F201" s="530">
        <v>0</v>
      </c>
      <c r="G201" s="530">
        <v>0</v>
      </c>
      <c r="H201" s="530">
        <v>0</v>
      </c>
      <c r="I201" s="530">
        <v>0</v>
      </c>
      <c r="J201" s="530">
        <v>0</v>
      </c>
      <c r="K201" s="530">
        <v>0</v>
      </c>
      <c r="L201" s="530">
        <v>0</v>
      </c>
      <c r="M201" s="530">
        <v>0</v>
      </c>
      <c r="N201" s="530">
        <v>0</v>
      </c>
      <c r="O201" s="530">
        <v>0</v>
      </c>
      <c r="P201" s="530">
        <v>0</v>
      </c>
      <c r="Q201" s="530">
        <v>0</v>
      </c>
      <c r="R201" s="530">
        <v>0</v>
      </c>
      <c r="S201" s="530">
        <f t="shared" si="24"/>
        <v>0</v>
      </c>
    </row>
    <row r="202" spans="1:19" s="545" customFormat="1" ht="12.75" x14ac:dyDescent="0.2">
      <c r="A202" s="513">
        <v>66585</v>
      </c>
      <c r="B202" s="553" t="s">
        <v>726</v>
      </c>
      <c r="C202" s="531">
        <v>0</v>
      </c>
      <c r="D202" s="531">
        <v>0</v>
      </c>
      <c r="E202" s="531">
        <v>0</v>
      </c>
      <c r="F202" s="531">
        <v>0</v>
      </c>
      <c r="G202" s="531">
        <v>0</v>
      </c>
      <c r="H202" s="531">
        <v>0</v>
      </c>
      <c r="I202" s="531">
        <v>0</v>
      </c>
      <c r="J202" s="531">
        <v>0</v>
      </c>
      <c r="K202" s="531">
        <v>0</v>
      </c>
      <c r="L202" s="531">
        <v>0</v>
      </c>
      <c r="M202" s="531">
        <v>0</v>
      </c>
      <c r="N202" s="531">
        <v>0</v>
      </c>
      <c r="O202" s="531">
        <v>0</v>
      </c>
      <c r="P202" s="531">
        <v>0</v>
      </c>
      <c r="Q202" s="531">
        <v>0</v>
      </c>
      <c r="R202" s="531">
        <v>0</v>
      </c>
      <c r="S202" s="531">
        <f t="shared" si="24"/>
        <v>0</v>
      </c>
    </row>
    <row r="203" spans="1:19" s="428" customFormat="1" ht="12.75" x14ac:dyDescent="0.2">
      <c r="A203" s="513">
        <v>66600</v>
      </c>
      <c r="B203" s="532" t="s">
        <v>727</v>
      </c>
      <c r="C203" s="533">
        <f t="shared" ref="C203:S203" si="25">SUM(C152:C202)</f>
        <v>1039.4200000000026</v>
      </c>
      <c r="D203" s="533">
        <f t="shared" si="25"/>
        <v>0</v>
      </c>
      <c r="E203" s="533">
        <f t="shared" si="25"/>
        <v>-1.25</v>
      </c>
      <c r="F203" s="533">
        <f t="shared" si="25"/>
        <v>9369.51</v>
      </c>
      <c r="G203" s="533">
        <f t="shared" si="25"/>
        <v>2258.36</v>
      </c>
      <c r="H203" s="533">
        <f t="shared" si="25"/>
        <v>45593.5</v>
      </c>
      <c r="I203" s="533">
        <f t="shared" si="25"/>
        <v>0</v>
      </c>
      <c r="J203" s="533">
        <f t="shared" si="25"/>
        <v>1125.1299999999999</v>
      </c>
      <c r="K203" s="533">
        <f t="shared" si="25"/>
        <v>7451.9800000000005</v>
      </c>
      <c r="L203" s="533">
        <f t="shared" si="25"/>
        <v>-105.48000000000002</v>
      </c>
      <c r="M203" s="533">
        <f t="shared" si="25"/>
        <v>1795.1200000000001</v>
      </c>
      <c r="N203" s="533">
        <f t="shared" si="25"/>
        <v>2879.8099999999995</v>
      </c>
      <c r="O203" s="533">
        <f t="shared" si="25"/>
        <v>13.73</v>
      </c>
      <c r="P203" s="533">
        <f t="shared" si="25"/>
        <v>0</v>
      </c>
      <c r="Q203" s="533">
        <f t="shared" si="25"/>
        <v>0</v>
      </c>
      <c r="R203" s="533">
        <f t="shared" si="25"/>
        <v>0</v>
      </c>
      <c r="S203" s="533">
        <f t="shared" si="25"/>
        <v>71419.83</v>
      </c>
    </row>
    <row r="204" spans="1:19" s="428" customFormat="1" ht="12.75" x14ac:dyDescent="0.2">
      <c r="A204" s="513"/>
      <c r="B204" s="536"/>
      <c r="C204" s="537"/>
      <c r="D204" s="537"/>
      <c r="E204" s="537"/>
      <c r="F204" s="537"/>
      <c r="G204" s="537"/>
      <c r="H204" s="537"/>
      <c r="I204" s="537"/>
      <c r="J204" s="537"/>
      <c r="K204" s="537"/>
      <c r="L204" s="537"/>
      <c r="M204" s="537"/>
      <c r="N204" s="537"/>
      <c r="O204" s="537"/>
      <c r="P204" s="537"/>
      <c r="Q204" s="537"/>
      <c r="R204" s="537"/>
      <c r="S204" s="537"/>
    </row>
    <row r="205" spans="1:19" s="428" customFormat="1" ht="12.75" x14ac:dyDescent="0.2">
      <c r="A205" s="513">
        <v>66690</v>
      </c>
      <c r="B205" s="536" t="s">
        <v>728</v>
      </c>
      <c r="C205" s="537">
        <f t="shared" ref="C205:S205" si="26">C203+C149+C138+C126+C117+C106+C77</f>
        <v>73172.09</v>
      </c>
      <c r="D205" s="537">
        <f t="shared" si="26"/>
        <v>0</v>
      </c>
      <c r="E205" s="537">
        <f t="shared" si="26"/>
        <v>-1.25</v>
      </c>
      <c r="F205" s="537">
        <f t="shared" si="26"/>
        <v>179114.31</v>
      </c>
      <c r="G205" s="537">
        <f t="shared" si="26"/>
        <v>56937.86</v>
      </c>
      <c r="H205" s="537">
        <f t="shared" si="26"/>
        <v>118870.44</v>
      </c>
      <c r="I205" s="537">
        <f t="shared" si="26"/>
        <v>63355.5</v>
      </c>
      <c r="J205" s="537">
        <f t="shared" si="26"/>
        <v>1125.1299999999999</v>
      </c>
      <c r="K205" s="537">
        <f t="shared" si="26"/>
        <v>26562.22</v>
      </c>
      <c r="L205" s="537">
        <f t="shared" si="26"/>
        <v>-105.48000000000002</v>
      </c>
      <c r="M205" s="537">
        <f t="shared" si="26"/>
        <v>14396.200000000003</v>
      </c>
      <c r="N205" s="537">
        <f t="shared" si="26"/>
        <v>59712.229999999996</v>
      </c>
      <c r="O205" s="537">
        <f t="shared" si="26"/>
        <v>61516.29</v>
      </c>
      <c r="P205" s="537">
        <f t="shared" si="26"/>
        <v>0</v>
      </c>
      <c r="Q205" s="537">
        <f t="shared" si="26"/>
        <v>0</v>
      </c>
      <c r="R205" s="537">
        <f t="shared" si="26"/>
        <v>0</v>
      </c>
      <c r="S205" s="537">
        <f t="shared" si="26"/>
        <v>654655.54</v>
      </c>
    </row>
    <row r="206" spans="1:19" s="428" customFormat="1" ht="12.75" x14ac:dyDescent="0.2">
      <c r="A206" s="513" t="s">
        <v>729</v>
      </c>
      <c r="B206" s="516" t="s">
        <v>128</v>
      </c>
      <c r="C206" s="544" t="str">
        <f t="shared" ref="C206:S206" si="27">IF(ISERROR(C205/C24),"",(C205/C24))</f>
        <v/>
      </c>
      <c r="D206" s="544" t="str">
        <f t="shared" si="27"/>
        <v/>
      </c>
      <c r="E206" s="544" t="str">
        <f t="shared" si="27"/>
        <v/>
      </c>
      <c r="F206" s="544" t="str">
        <f t="shared" si="27"/>
        <v/>
      </c>
      <c r="G206" s="544" t="str">
        <f t="shared" si="27"/>
        <v/>
      </c>
      <c r="H206" s="544" t="str">
        <f t="shared" si="27"/>
        <v/>
      </c>
      <c r="I206" s="544" t="str">
        <f t="shared" si="27"/>
        <v/>
      </c>
      <c r="J206" s="544" t="str">
        <f t="shared" si="27"/>
        <v/>
      </c>
      <c r="K206" s="544" t="str">
        <f t="shared" si="27"/>
        <v/>
      </c>
      <c r="L206" s="544" t="str">
        <f t="shared" si="27"/>
        <v/>
      </c>
      <c r="M206" s="544" t="str">
        <f t="shared" si="27"/>
        <v/>
      </c>
      <c r="N206" s="544" t="str">
        <f t="shared" si="27"/>
        <v/>
      </c>
      <c r="O206" s="544" t="str">
        <f t="shared" si="27"/>
        <v/>
      </c>
      <c r="P206" s="544" t="str">
        <f t="shared" si="27"/>
        <v/>
      </c>
      <c r="Q206" s="544" t="str">
        <f t="shared" si="27"/>
        <v/>
      </c>
      <c r="R206" s="544" t="str">
        <f t="shared" si="27"/>
        <v/>
      </c>
      <c r="S206" s="544" t="str">
        <f t="shared" si="27"/>
        <v/>
      </c>
    </row>
    <row r="207" spans="1:19" s="428" customFormat="1" x14ac:dyDescent="0.25">
      <c r="A207" s="513"/>
      <c r="B207" s="514"/>
      <c r="C207" s="561"/>
      <c r="D207" s="561"/>
      <c r="E207" s="561"/>
      <c r="F207" s="561"/>
      <c r="G207" s="561"/>
      <c r="H207" s="561"/>
      <c r="I207" s="561"/>
      <c r="J207" s="561"/>
      <c r="K207" s="561"/>
      <c r="L207" s="561"/>
      <c r="M207" s="561"/>
      <c r="N207" s="561"/>
      <c r="O207" s="561"/>
      <c r="P207" s="561"/>
      <c r="Q207" s="561"/>
      <c r="R207" s="561"/>
      <c r="S207" s="561"/>
    </row>
    <row r="208" spans="1:19" s="428" customFormat="1" ht="12.75" x14ac:dyDescent="0.2">
      <c r="A208" s="513">
        <v>66695</v>
      </c>
      <c r="B208" s="536" t="s">
        <v>730</v>
      </c>
      <c r="C208" s="1191">
        <f t="shared" ref="C208:S208" si="28">C69-C205+C196</f>
        <v>-73172.09</v>
      </c>
      <c r="D208" s="1191">
        <f t="shared" si="28"/>
        <v>0</v>
      </c>
      <c r="E208" s="1191">
        <f t="shared" si="28"/>
        <v>1.25</v>
      </c>
      <c r="F208" s="1191">
        <f t="shared" si="28"/>
        <v>-179114.31</v>
      </c>
      <c r="G208" s="1191">
        <f t="shared" si="28"/>
        <v>-56937.86</v>
      </c>
      <c r="H208" s="537">
        <f t="shared" si="28"/>
        <v>-118870.44</v>
      </c>
      <c r="I208" s="537">
        <f t="shared" si="28"/>
        <v>-63355.5</v>
      </c>
      <c r="J208" s="537">
        <f t="shared" si="28"/>
        <v>-1125.1299999999999</v>
      </c>
      <c r="K208" s="537">
        <f t="shared" si="28"/>
        <v>-26562.22</v>
      </c>
      <c r="L208" s="537">
        <f t="shared" si="28"/>
        <v>105.48000000000002</v>
      </c>
      <c r="M208" s="537">
        <f t="shared" si="28"/>
        <v>-14396.200000000003</v>
      </c>
      <c r="N208" s="537">
        <f t="shared" si="28"/>
        <v>-59712.229999999996</v>
      </c>
      <c r="O208" s="537">
        <f t="shared" si="28"/>
        <v>-61516.29</v>
      </c>
      <c r="P208" s="537">
        <f t="shared" si="28"/>
        <v>0</v>
      </c>
      <c r="Q208" s="537">
        <f t="shared" si="28"/>
        <v>0</v>
      </c>
      <c r="R208" s="537">
        <f t="shared" si="28"/>
        <v>0</v>
      </c>
      <c r="S208" s="537">
        <f t="shared" si="28"/>
        <v>-654655.54</v>
      </c>
    </row>
    <row r="209" spans="1:20" s="428" customFormat="1" ht="12.75" x14ac:dyDescent="0.2">
      <c r="A209" s="513"/>
      <c r="B209" s="516"/>
      <c r="C209" s="528"/>
      <c r="D209" s="528"/>
      <c r="E209" s="528"/>
      <c r="F209" s="528"/>
      <c r="G209" s="528"/>
      <c r="H209" s="528"/>
      <c r="I209" s="528"/>
      <c r="J209" s="528"/>
      <c r="K209" s="528"/>
      <c r="L209" s="528"/>
      <c r="M209" s="528"/>
      <c r="N209" s="528"/>
      <c r="O209" s="528"/>
      <c r="P209" s="528"/>
      <c r="Q209" s="528"/>
      <c r="R209" s="528"/>
      <c r="S209" s="528"/>
    </row>
    <row r="210" spans="1:20" s="428" customFormat="1" ht="12.75" x14ac:dyDescent="0.2">
      <c r="A210" s="513"/>
      <c r="B210" s="516" t="s">
        <v>98</v>
      </c>
      <c r="C210" s="528"/>
      <c r="D210" s="528"/>
      <c r="E210" s="528"/>
      <c r="F210" s="528"/>
      <c r="G210" s="528"/>
      <c r="H210" s="528"/>
      <c r="I210" s="528"/>
      <c r="J210" s="528"/>
      <c r="K210" s="528"/>
      <c r="L210" s="528"/>
      <c r="M210" s="528"/>
      <c r="N210" s="528"/>
      <c r="O210" s="528"/>
      <c r="P210" s="528"/>
      <c r="Q210" s="528"/>
      <c r="R210" s="528"/>
      <c r="S210" s="528"/>
    </row>
    <row r="211" spans="1:20" s="545" customFormat="1" ht="12.75" x14ac:dyDescent="0.2">
      <c r="A211" s="540" t="s">
        <v>731</v>
      </c>
      <c r="B211" s="529" t="s">
        <v>732</v>
      </c>
      <c r="C211" s="530">
        <v>0</v>
      </c>
      <c r="D211" s="530">
        <v>0</v>
      </c>
      <c r="E211" s="530">
        <v>-869625.75</v>
      </c>
      <c r="F211" s="530">
        <v>0</v>
      </c>
      <c r="G211" s="530">
        <v>0</v>
      </c>
      <c r="H211" s="530">
        <v>0</v>
      </c>
      <c r="I211" s="530">
        <v>0</v>
      </c>
      <c r="J211" s="530">
        <v>0</v>
      </c>
      <c r="K211" s="530">
        <v>0</v>
      </c>
      <c r="L211" s="530">
        <v>0</v>
      </c>
      <c r="M211" s="530">
        <v>0</v>
      </c>
      <c r="N211" s="530">
        <v>0</v>
      </c>
      <c r="O211" s="530">
        <v>0</v>
      </c>
      <c r="P211" s="530">
        <v>0</v>
      </c>
      <c r="Q211" s="530">
        <v>0</v>
      </c>
      <c r="R211" s="530">
        <v>0</v>
      </c>
      <c r="S211" s="530">
        <f>SUM(C211:R211)</f>
        <v>-869625.75</v>
      </c>
    </row>
    <row r="212" spans="1:20" s="545" customFormat="1" ht="12.75" x14ac:dyDescent="0.2">
      <c r="A212" s="513">
        <v>70003</v>
      </c>
      <c r="B212" s="529" t="s">
        <v>733</v>
      </c>
      <c r="C212" s="530">
        <v>0</v>
      </c>
      <c r="D212" s="530">
        <v>0</v>
      </c>
      <c r="E212" s="530">
        <v>0</v>
      </c>
      <c r="F212" s="530">
        <v>0</v>
      </c>
      <c r="G212" s="530">
        <v>0</v>
      </c>
      <c r="H212" s="530">
        <v>0</v>
      </c>
      <c r="I212" s="530">
        <v>0</v>
      </c>
      <c r="J212" s="530">
        <v>0</v>
      </c>
      <c r="K212" s="530">
        <v>0</v>
      </c>
      <c r="L212" s="530">
        <v>0</v>
      </c>
      <c r="M212" s="530">
        <v>0</v>
      </c>
      <c r="N212" s="530">
        <v>0</v>
      </c>
      <c r="O212" s="530">
        <v>0</v>
      </c>
      <c r="P212" s="530">
        <v>0</v>
      </c>
      <c r="Q212" s="530">
        <v>0</v>
      </c>
      <c r="R212" s="530">
        <v>0</v>
      </c>
      <c r="S212" s="530">
        <f>SUM(C212:R212)</f>
        <v>0</v>
      </c>
    </row>
    <row r="213" spans="1:20" s="545" customFormat="1" ht="12.75" x14ac:dyDescent="0.2">
      <c r="A213" s="513">
        <v>70004</v>
      </c>
      <c r="B213" s="529" t="s">
        <v>734</v>
      </c>
      <c r="C213" s="530">
        <v>-2352</v>
      </c>
      <c r="D213" s="530">
        <v>0</v>
      </c>
      <c r="E213" s="530">
        <v>0</v>
      </c>
      <c r="F213" s="530">
        <v>0</v>
      </c>
      <c r="G213" s="530">
        <v>0</v>
      </c>
      <c r="H213" s="530">
        <v>-120193.1</v>
      </c>
      <c r="I213" s="530">
        <v>0</v>
      </c>
      <c r="J213" s="530">
        <v>0</v>
      </c>
      <c r="K213" s="530">
        <v>0</v>
      </c>
      <c r="L213" s="530">
        <v>0</v>
      </c>
      <c r="M213" s="530">
        <v>0</v>
      </c>
      <c r="N213" s="530">
        <v>0</v>
      </c>
      <c r="O213" s="530">
        <v>0</v>
      </c>
      <c r="P213" s="530">
        <v>0</v>
      </c>
      <c r="Q213" s="530">
        <v>0</v>
      </c>
      <c r="R213" s="530">
        <v>0</v>
      </c>
      <c r="S213" s="530">
        <f>SUM(C213:R213)</f>
        <v>-122545.1</v>
      </c>
      <c r="T213" s="580"/>
    </row>
    <row r="214" spans="1:20" s="545" customFormat="1" ht="12.75" x14ac:dyDescent="0.2">
      <c r="A214" s="513" t="s">
        <v>735</v>
      </c>
      <c r="B214" s="529" t="s">
        <v>736</v>
      </c>
      <c r="C214" s="530">
        <v>0</v>
      </c>
      <c r="D214" s="530">
        <v>0</v>
      </c>
      <c r="E214" s="530">
        <v>1718.3300000000002</v>
      </c>
      <c r="F214" s="530">
        <v>0</v>
      </c>
      <c r="G214" s="530">
        <v>0</v>
      </c>
      <c r="H214" s="530">
        <v>0</v>
      </c>
      <c r="I214" s="530">
        <v>0</v>
      </c>
      <c r="J214" s="530">
        <v>0</v>
      </c>
      <c r="K214" s="530">
        <v>0</v>
      </c>
      <c r="L214" s="530">
        <v>0</v>
      </c>
      <c r="M214" s="530">
        <v>0</v>
      </c>
      <c r="N214" s="530">
        <v>0</v>
      </c>
      <c r="O214" s="530">
        <v>0</v>
      </c>
      <c r="P214" s="530">
        <v>0</v>
      </c>
      <c r="Q214" s="530">
        <v>0</v>
      </c>
      <c r="R214" s="530">
        <v>0</v>
      </c>
      <c r="S214" s="530">
        <f>SUM(C214:R214)</f>
        <v>1718.3300000000002</v>
      </c>
    </row>
    <row r="215" spans="1:20" s="428" customFormat="1" ht="12.75" x14ac:dyDescent="0.2">
      <c r="A215" s="513">
        <v>72000</v>
      </c>
      <c r="B215" s="536" t="s">
        <v>737</v>
      </c>
      <c r="C215" s="537">
        <f t="shared" ref="C215:S215" si="29">SUM(C211:C214)</f>
        <v>-2352</v>
      </c>
      <c r="D215" s="537">
        <f t="shared" si="29"/>
        <v>0</v>
      </c>
      <c r="E215" s="537">
        <f t="shared" si="29"/>
        <v>-867907.42</v>
      </c>
      <c r="F215" s="537">
        <f t="shared" si="29"/>
        <v>0</v>
      </c>
      <c r="G215" s="537">
        <f t="shared" si="29"/>
        <v>0</v>
      </c>
      <c r="H215" s="1191">
        <f t="shared" si="29"/>
        <v>-120193.1</v>
      </c>
      <c r="I215" s="1191">
        <f t="shared" si="29"/>
        <v>0</v>
      </c>
      <c r="J215" s="1191">
        <f t="shared" si="29"/>
        <v>0</v>
      </c>
      <c r="K215" s="1191">
        <f t="shared" si="29"/>
        <v>0</v>
      </c>
      <c r="L215" s="1191">
        <f t="shared" si="29"/>
        <v>0</v>
      </c>
      <c r="M215" s="1191">
        <f t="shared" si="29"/>
        <v>0</v>
      </c>
      <c r="N215" s="1191">
        <f t="shared" si="29"/>
        <v>0</v>
      </c>
      <c r="O215" s="1191">
        <f t="shared" si="29"/>
        <v>0</v>
      </c>
      <c r="P215" s="537">
        <f t="shared" si="29"/>
        <v>0</v>
      </c>
      <c r="Q215" s="537">
        <f t="shared" si="29"/>
        <v>0</v>
      </c>
      <c r="R215" s="537">
        <f t="shared" si="29"/>
        <v>0</v>
      </c>
      <c r="S215" s="537">
        <f t="shared" si="29"/>
        <v>-990452.52</v>
      </c>
    </row>
    <row r="216" spans="1:20" s="428" customFormat="1" ht="12.75" x14ac:dyDescent="0.2">
      <c r="A216" s="513"/>
      <c r="B216" s="536"/>
      <c r="C216" s="537"/>
      <c r="D216" s="537"/>
      <c r="E216" s="537"/>
      <c r="F216" s="537"/>
      <c r="G216" s="537"/>
      <c r="H216" s="537"/>
      <c r="I216" s="537"/>
      <c r="J216" s="537"/>
      <c r="K216" s="537"/>
      <c r="L216" s="537"/>
      <c r="M216" s="537"/>
      <c r="N216" s="537"/>
      <c r="O216" s="537"/>
      <c r="P216" s="537"/>
      <c r="Q216" s="537"/>
      <c r="R216" s="537"/>
      <c r="S216" s="537"/>
    </row>
    <row r="217" spans="1:20" s="428" customFormat="1" ht="12.75" x14ac:dyDescent="0.2">
      <c r="A217" s="513">
        <v>72999</v>
      </c>
      <c r="B217" s="536" t="s">
        <v>738</v>
      </c>
      <c r="C217" s="537">
        <f t="shared" ref="C217:S217" si="30">C205+C215</f>
        <v>70820.09</v>
      </c>
      <c r="D217" s="537">
        <f t="shared" si="30"/>
        <v>0</v>
      </c>
      <c r="E217" s="537">
        <f t="shared" si="30"/>
        <v>-867908.67</v>
      </c>
      <c r="F217" s="537">
        <f t="shared" si="30"/>
        <v>179114.31</v>
      </c>
      <c r="G217" s="537">
        <f t="shared" si="30"/>
        <v>56937.86</v>
      </c>
      <c r="H217" s="537">
        <f t="shared" si="30"/>
        <v>-1322.6600000000035</v>
      </c>
      <c r="I217" s="537">
        <f t="shared" si="30"/>
        <v>63355.5</v>
      </c>
      <c r="J217" s="537">
        <f t="shared" si="30"/>
        <v>1125.1299999999999</v>
      </c>
      <c r="K217" s="537">
        <f t="shared" si="30"/>
        <v>26562.22</v>
      </c>
      <c r="L217" s="537">
        <f t="shared" si="30"/>
        <v>-105.48000000000002</v>
      </c>
      <c r="M217" s="537">
        <f t="shared" si="30"/>
        <v>14396.200000000003</v>
      </c>
      <c r="N217" s="537">
        <f t="shared" si="30"/>
        <v>59712.229999999996</v>
      </c>
      <c r="O217" s="537">
        <f t="shared" si="30"/>
        <v>61516.29</v>
      </c>
      <c r="P217" s="537">
        <f t="shared" si="30"/>
        <v>0</v>
      </c>
      <c r="Q217" s="537">
        <f t="shared" si="30"/>
        <v>0</v>
      </c>
      <c r="R217" s="537">
        <f t="shared" si="30"/>
        <v>0</v>
      </c>
      <c r="S217" s="537">
        <f t="shared" si="30"/>
        <v>-335796.98</v>
      </c>
    </row>
    <row r="218" spans="1:20" s="428" customFormat="1" ht="12.75" x14ac:dyDescent="0.2">
      <c r="A218" s="513" t="s">
        <v>739</v>
      </c>
      <c r="B218" s="562" t="s">
        <v>128</v>
      </c>
      <c r="C218" s="544" t="str">
        <f t="shared" ref="C218:S218" si="31">IF(ISERROR(C217/C24),"",(C217/C24))</f>
        <v/>
      </c>
      <c r="D218" s="544" t="str">
        <f t="shared" si="31"/>
        <v/>
      </c>
      <c r="E218" s="544" t="str">
        <f t="shared" si="31"/>
        <v/>
      </c>
      <c r="F218" s="544" t="str">
        <f t="shared" si="31"/>
        <v/>
      </c>
      <c r="G218" s="544" t="str">
        <f t="shared" si="31"/>
        <v/>
      </c>
      <c r="H218" s="544" t="str">
        <f t="shared" si="31"/>
        <v/>
      </c>
      <c r="I218" s="544" t="str">
        <f t="shared" si="31"/>
        <v/>
      </c>
      <c r="J218" s="544" t="str">
        <f t="shared" si="31"/>
        <v/>
      </c>
      <c r="K218" s="544" t="str">
        <f t="shared" si="31"/>
        <v/>
      </c>
      <c r="L218" s="544" t="str">
        <f t="shared" si="31"/>
        <v/>
      </c>
      <c r="M218" s="544" t="str">
        <f t="shared" si="31"/>
        <v/>
      </c>
      <c r="N218" s="544" t="str">
        <f t="shared" si="31"/>
        <v/>
      </c>
      <c r="O218" s="544" t="str">
        <f t="shared" si="31"/>
        <v/>
      </c>
      <c r="P218" s="544" t="str">
        <f t="shared" si="31"/>
        <v/>
      </c>
      <c r="Q218" s="544" t="str">
        <f t="shared" si="31"/>
        <v/>
      </c>
      <c r="R218" s="544" t="str">
        <f t="shared" si="31"/>
        <v/>
      </c>
      <c r="S218" s="544" t="str">
        <f t="shared" si="31"/>
        <v/>
      </c>
    </row>
    <row r="219" spans="1:20" s="428" customFormat="1" x14ac:dyDescent="0.25">
      <c r="A219" s="513"/>
      <c r="B219" s="534"/>
      <c r="C219" s="563"/>
      <c r="D219" s="563"/>
      <c r="E219" s="563"/>
      <c r="F219" s="563"/>
      <c r="G219" s="563"/>
      <c r="H219" s="563"/>
      <c r="I219" s="563"/>
      <c r="J219" s="563"/>
      <c r="K219" s="563"/>
      <c r="L219" s="563"/>
      <c r="M219" s="563"/>
      <c r="N219" s="563"/>
      <c r="O219" s="563"/>
      <c r="P219" s="563"/>
      <c r="Q219" s="563"/>
      <c r="R219" s="563"/>
      <c r="S219" s="563"/>
    </row>
    <row r="220" spans="1:20" s="428" customFormat="1" ht="12.75" x14ac:dyDescent="0.2">
      <c r="A220" s="513">
        <v>75999</v>
      </c>
      <c r="B220" s="532" t="s">
        <v>740</v>
      </c>
      <c r="C220" s="533">
        <f t="shared" ref="C220:S220" si="32">C208-C215</f>
        <v>-70820.09</v>
      </c>
      <c r="D220" s="533">
        <f t="shared" si="32"/>
        <v>0</v>
      </c>
      <c r="E220" s="533">
        <f t="shared" si="32"/>
        <v>867908.67</v>
      </c>
      <c r="F220" s="533">
        <f t="shared" si="32"/>
        <v>-179114.31</v>
      </c>
      <c r="G220" s="533">
        <f t="shared" si="32"/>
        <v>-56937.86</v>
      </c>
      <c r="H220" s="533">
        <f t="shared" si="32"/>
        <v>1322.6600000000035</v>
      </c>
      <c r="I220" s="533">
        <f t="shared" si="32"/>
        <v>-63355.5</v>
      </c>
      <c r="J220" s="533">
        <f t="shared" si="32"/>
        <v>-1125.1299999999999</v>
      </c>
      <c r="K220" s="533">
        <f t="shared" si="32"/>
        <v>-26562.22</v>
      </c>
      <c r="L220" s="533">
        <f t="shared" si="32"/>
        <v>105.48000000000002</v>
      </c>
      <c r="M220" s="533">
        <f t="shared" si="32"/>
        <v>-14396.200000000003</v>
      </c>
      <c r="N220" s="533">
        <f t="shared" si="32"/>
        <v>-59712.229999999996</v>
      </c>
      <c r="O220" s="533">
        <f t="shared" si="32"/>
        <v>-61516.29</v>
      </c>
      <c r="P220" s="533">
        <f t="shared" si="32"/>
        <v>0</v>
      </c>
      <c r="Q220" s="533">
        <f t="shared" si="32"/>
        <v>0</v>
      </c>
      <c r="R220" s="533">
        <f t="shared" si="32"/>
        <v>0</v>
      </c>
      <c r="S220" s="533">
        <f t="shared" si="32"/>
        <v>335796.98</v>
      </c>
    </row>
    <row r="221" spans="1:20" s="428" customFormat="1" ht="12.75" x14ac:dyDescent="0.2">
      <c r="A221" s="513" t="s">
        <v>741</v>
      </c>
      <c r="B221" s="516" t="s">
        <v>128</v>
      </c>
      <c r="C221" s="544" t="str">
        <f t="shared" ref="C221:S221" si="33">IF(ISERROR(C220/C24),"",(C220/C24))</f>
        <v/>
      </c>
      <c r="D221" s="544" t="str">
        <f t="shared" si="33"/>
        <v/>
      </c>
      <c r="E221" s="544" t="str">
        <f t="shared" si="33"/>
        <v/>
      </c>
      <c r="F221" s="544" t="str">
        <f t="shared" si="33"/>
        <v/>
      </c>
      <c r="G221" s="544" t="str">
        <f t="shared" si="33"/>
        <v/>
      </c>
      <c r="H221" s="544" t="str">
        <f t="shared" si="33"/>
        <v/>
      </c>
      <c r="I221" s="544" t="str">
        <f t="shared" si="33"/>
        <v/>
      </c>
      <c r="J221" s="544" t="str">
        <f t="shared" si="33"/>
        <v/>
      </c>
      <c r="K221" s="544" t="str">
        <f t="shared" si="33"/>
        <v/>
      </c>
      <c r="L221" s="544" t="str">
        <f t="shared" si="33"/>
        <v/>
      </c>
      <c r="M221" s="544" t="str">
        <f t="shared" si="33"/>
        <v/>
      </c>
      <c r="N221" s="544" t="str">
        <f t="shared" si="33"/>
        <v/>
      </c>
      <c r="O221" s="544" t="str">
        <f t="shared" si="33"/>
        <v/>
      </c>
      <c r="P221" s="544" t="str">
        <f t="shared" si="33"/>
        <v/>
      </c>
      <c r="Q221" s="544" t="str">
        <f t="shared" si="33"/>
        <v/>
      </c>
      <c r="R221" s="544" t="str">
        <f t="shared" si="33"/>
        <v/>
      </c>
      <c r="S221" s="544" t="str">
        <f t="shared" si="33"/>
        <v/>
      </c>
    </row>
    <row r="222" spans="1:20" s="428" customFormat="1" x14ac:dyDescent="0.25">
      <c r="A222" s="513"/>
      <c r="B222" s="534"/>
      <c r="C222" s="563"/>
      <c r="D222" s="563"/>
      <c r="E222" s="563"/>
      <c r="F222" s="563"/>
      <c r="G222" s="563"/>
      <c r="H222" s="563"/>
      <c r="I222" s="563"/>
      <c r="J222" s="563"/>
      <c r="K222" s="563"/>
      <c r="L222" s="563"/>
      <c r="M222" s="563"/>
      <c r="N222" s="563"/>
      <c r="O222" s="563"/>
      <c r="P222" s="563"/>
      <c r="Q222" s="563"/>
      <c r="R222" s="563"/>
      <c r="S222" s="563"/>
    </row>
    <row r="223" spans="1:20" s="428" customFormat="1" ht="12.75" x14ac:dyDescent="0.2">
      <c r="A223" s="513"/>
      <c r="B223" s="516" t="s">
        <v>462</v>
      </c>
      <c r="C223" s="528"/>
      <c r="D223" s="528"/>
      <c r="E223" s="528"/>
      <c r="F223" s="528"/>
      <c r="G223" s="528"/>
      <c r="H223" s="528"/>
      <c r="I223" s="528"/>
      <c r="J223" s="528"/>
      <c r="K223" s="528"/>
      <c r="L223" s="528"/>
      <c r="M223" s="528"/>
      <c r="N223" s="528"/>
      <c r="O223" s="528"/>
      <c r="P223" s="528"/>
      <c r="Q223" s="528"/>
      <c r="R223" s="528"/>
      <c r="S223" s="528"/>
    </row>
    <row r="224" spans="1:20" s="545" customFormat="1" ht="12.75" x14ac:dyDescent="0.2">
      <c r="A224" s="513">
        <v>81100</v>
      </c>
      <c r="B224" s="529" t="s">
        <v>742</v>
      </c>
      <c r="C224" s="530">
        <v>0</v>
      </c>
      <c r="D224" s="530">
        <v>0</v>
      </c>
      <c r="E224" s="530">
        <v>0</v>
      </c>
      <c r="F224" s="530">
        <v>0</v>
      </c>
      <c r="G224" s="530">
        <v>0</v>
      </c>
      <c r="H224" s="530">
        <v>0</v>
      </c>
      <c r="I224" s="530">
        <v>0</v>
      </c>
      <c r="J224" s="530">
        <v>0</v>
      </c>
      <c r="K224" s="530">
        <v>0</v>
      </c>
      <c r="L224" s="530">
        <v>0</v>
      </c>
      <c r="M224" s="530">
        <v>0</v>
      </c>
      <c r="N224" s="530">
        <v>0</v>
      </c>
      <c r="O224" s="530">
        <v>0</v>
      </c>
      <c r="P224" s="530">
        <v>0</v>
      </c>
      <c r="Q224" s="530">
        <v>0</v>
      </c>
      <c r="R224" s="530">
        <v>0</v>
      </c>
      <c r="S224" s="530">
        <f t="shared" ref="S224:S234" si="34">SUM(C224:R224)</f>
        <v>0</v>
      </c>
    </row>
    <row r="225" spans="1:19" s="545" customFormat="1" ht="12.75" x14ac:dyDescent="0.2">
      <c r="A225" s="513">
        <v>81200</v>
      </c>
      <c r="B225" s="529" t="s">
        <v>743</v>
      </c>
      <c r="C225" s="530">
        <v>0</v>
      </c>
      <c r="D225" s="530">
        <v>0</v>
      </c>
      <c r="E225" s="530">
        <v>0</v>
      </c>
      <c r="F225" s="530">
        <v>0</v>
      </c>
      <c r="G225" s="530">
        <v>0</v>
      </c>
      <c r="H225" s="530">
        <v>0</v>
      </c>
      <c r="I225" s="530">
        <v>0</v>
      </c>
      <c r="J225" s="530">
        <v>0</v>
      </c>
      <c r="K225" s="530">
        <v>0</v>
      </c>
      <c r="L225" s="530">
        <v>0</v>
      </c>
      <c r="M225" s="530">
        <v>0</v>
      </c>
      <c r="N225" s="530">
        <v>0</v>
      </c>
      <c r="O225" s="530">
        <v>0</v>
      </c>
      <c r="P225" s="530">
        <v>0</v>
      </c>
      <c r="Q225" s="530">
        <v>0</v>
      </c>
      <c r="R225" s="530">
        <v>0</v>
      </c>
      <c r="S225" s="530">
        <f t="shared" si="34"/>
        <v>0</v>
      </c>
    </row>
    <row r="226" spans="1:19" s="545" customFormat="1" ht="12.75" x14ac:dyDescent="0.2">
      <c r="A226" s="513">
        <v>81201</v>
      </c>
      <c r="B226" s="529" t="s">
        <v>744</v>
      </c>
      <c r="C226" s="530">
        <v>0</v>
      </c>
      <c r="D226" s="530">
        <v>0</v>
      </c>
      <c r="E226" s="530">
        <v>0</v>
      </c>
      <c r="F226" s="530">
        <v>0</v>
      </c>
      <c r="G226" s="530">
        <v>0</v>
      </c>
      <c r="H226" s="530">
        <v>0</v>
      </c>
      <c r="I226" s="530">
        <v>0</v>
      </c>
      <c r="J226" s="530">
        <v>0</v>
      </c>
      <c r="K226" s="530">
        <v>0</v>
      </c>
      <c r="L226" s="530">
        <v>0</v>
      </c>
      <c r="M226" s="530">
        <v>0</v>
      </c>
      <c r="N226" s="530">
        <v>0</v>
      </c>
      <c r="O226" s="530">
        <v>0</v>
      </c>
      <c r="P226" s="530">
        <v>0</v>
      </c>
      <c r="Q226" s="530">
        <v>0</v>
      </c>
      <c r="R226" s="530">
        <v>0</v>
      </c>
      <c r="S226" s="530">
        <f t="shared" si="34"/>
        <v>0</v>
      </c>
    </row>
    <row r="227" spans="1:19" s="545" customFormat="1" ht="12.75" x14ac:dyDescent="0.2">
      <c r="A227" s="513">
        <v>81250</v>
      </c>
      <c r="B227" s="529" t="s">
        <v>745</v>
      </c>
      <c r="C227" s="530">
        <v>0</v>
      </c>
      <c r="D227" s="530">
        <v>0</v>
      </c>
      <c r="E227" s="530">
        <v>447.64</v>
      </c>
      <c r="F227" s="530">
        <v>0</v>
      </c>
      <c r="G227" s="530">
        <v>0</v>
      </c>
      <c r="H227" s="530">
        <v>0</v>
      </c>
      <c r="I227" s="530">
        <v>0</v>
      </c>
      <c r="J227" s="530">
        <v>0</v>
      </c>
      <c r="K227" s="530">
        <v>0</v>
      </c>
      <c r="L227" s="530">
        <v>0</v>
      </c>
      <c r="M227" s="530">
        <v>0</v>
      </c>
      <c r="N227" s="530">
        <v>0</v>
      </c>
      <c r="O227" s="530">
        <v>0</v>
      </c>
      <c r="P227" s="530">
        <v>0</v>
      </c>
      <c r="Q227" s="530">
        <v>0</v>
      </c>
      <c r="R227" s="530">
        <v>0</v>
      </c>
      <c r="S227" s="530">
        <f t="shared" si="34"/>
        <v>447.64</v>
      </c>
    </row>
    <row r="228" spans="1:19" s="545" customFormat="1" ht="12.75" x14ac:dyDescent="0.2">
      <c r="A228" s="513">
        <v>81252</v>
      </c>
      <c r="B228" s="529" t="s">
        <v>746</v>
      </c>
      <c r="C228" s="530">
        <v>0</v>
      </c>
      <c r="D228" s="530">
        <v>0</v>
      </c>
      <c r="E228" s="530">
        <v>0</v>
      </c>
      <c r="F228" s="530">
        <v>0</v>
      </c>
      <c r="G228" s="530">
        <v>0</v>
      </c>
      <c r="H228" s="530">
        <v>0</v>
      </c>
      <c r="I228" s="530">
        <v>0</v>
      </c>
      <c r="J228" s="530">
        <v>0</v>
      </c>
      <c r="K228" s="530">
        <v>0</v>
      </c>
      <c r="L228" s="530">
        <v>0</v>
      </c>
      <c r="M228" s="530">
        <v>0</v>
      </c>
      <c r="N228" s="530">
        <v>0</v>
      </c>
      <c r="O228" s="530">
        <v>0</v>
      </c>
      <c r="P228" s="530">
        <v>0</v>
      </c>
      <c r="Q228" s="530">
        <v>0</v>
      </c>
      <c r="R228" s="530">
        <v>0</v>
      </c>
      <c r="S228" s="530">
        <f t="shared" si="34"/>
        <v>0</v>
      </c>
    </row>
    <row r="229" spans="1:19" s="545" customFormat="1" ht="12.75" x14ac:dyDescent="0.2">
      <c r="A229" s="513">
        <v>81300</v>
      </c>
      <c r="B229" s="529" t="s">
        <v>747</v>
      </c>
      <c r="C229" s="530">
        <v>134.42999999999998</v>
      </c>
      <c r="D229" s="530">
        <v>0</v>
      </c>
      <c r="E229" s="530">
        <v>0</v>
      </c>
      <c r="F229" s="530">
        <v>0</v>
      </c>
      <c r="G229" s="530">
        <v>0</v>
      </c>
      <c r="H229" s="530">
        <v>669.42</v>
      </c>
      <c r="I229" s="530">
        <v>0</v>
      </c>
      <c r="J229" s="530">
        <v>0</v>
      </c>
      <c r="K229" s="530">
        <v>0</v>
      </c>
      <c r="L229" s="530">
        <v>0</v>
      </c>
      <c r="M229" s="530">
        <v>0</v>
      </c>
      <c r="N229" s="530">
        <v>0</v>
      </c>
      <c r="O229" s="530">
        <v>0</v>
      </c>
      <c r="P229" s="530">
        <v>0</v>
      </c>
      <c r="Q229" s="530">
        <v>0</v>
      </c>
      <c r="R229" s="530">
        <v>0</v>
      </c>
      <c r="S229" s="530">
        <f t="shared" si="34"/>
        <v>803.84999999999991</v>
      </c>
    </row>
    <row r="230" spans="1:19" s="545" customFormat="1" ht="12.75" x14ac:dyDescent="0.2">
      <c r="A230" s="513">
        <v>81301</v>
      </c>
      <c r="B230" s="529" t="s">
        <v>748</v>
      </c>
      <c r="C230" s="530">
        <v>0</v>
      </c>
      <c r="D230" s="530">
        <v>0</v>
      </c>
      <c r="E230" s="530">
        <v>0</v>
      </c>
      <c r="F230" s="530">
        <v>0</v>
      </c>
      <c r="G230" s="530">
        <v>0</v>
      </c>
      <c r="H230" s="530">
        <v>0</v>
      </c>
      <c r="I230" s="530">
        <v>0</v>
      </c>
      <c r="J230" s="530">
        <v>1278.74</v>
      </c>
      <c r="K230" s="530">
        <v>0</v>
      </c>
      <c r="L230" s="530">
        <v>0</v>
      </c>
      <c r="M230" s="530">
        <v>0</v>
      </c>
      <c r="N230" s="530">
        <v>0</v>
      </c>
      <c r="O230" s="530">
        <v>0</v>
      </c>
      <c r="P230" s="530">
        <v>0</v>
      </c>
      <c r="Q230" s="530">
        <v>0</v>
      </c>
      <c r="R230" s="530">
        <v>0</v>
      </c>
      <c r="S230" s="530">
        <f t="shared" si="34"/>
        <v>1278.74</v>
      </c>
    </row>
    <row r="231" spans="1:19" s="545" customFormat="1" ht="12.75" x14ac:dyDescent="0.2">
      <c r="A231" s="513">
        <v>81302</v>
      </c>
      <c r="B231" s="529" t="s">
        <v>749</v>
      </c>
      <c r="C231" s="530">
        <v>0</v>
      </c>
      <c r="D231" s="530">
        <v>0</v>
      </c>
      <c r="E231" s="530">
        <v>0</v>
      </c>
      <c r="F231" s="530">
        <v>0</v>
      </c>
      <c r="G231" s="530">
        <v>0</v>
      </c>
      <c r="H231" s="530">
        <v>0</v>
      </c>
      <c r="I231" s="530">
        <v>0</v>
      </c>
      <c r="J231" s="530">
        <v>0</v>
      </c>
      <c r="K231" s="530">
        <v>0</v>
      </c>
      <c r="L231" s="530">
        <v>0</v>
      </c>
      <c r="M231" s="530">
        <v>0</v>
      </c>
      <c r="N231" s="530">
        <v>0</v>
      </c>
      <c r="O231" s="530">
        <v>0</v>
      </c>
      <c r="P231" s="530">
        <v>0</v>
      </c>
      <c r="Q231" s="530">
        <v>0</v>
      </c>
      <c r="R231" s="530">
        <v>0</v>
      </c>
      <c r="S231" s="530">
        <f t="shared" si="34"/>
        <v>0</v>
      </c>
    </row>
    <row r="232" spans="1:19" s="545" customFormat="1" ht="12.75" x14ac:dyDescent="0.2">
      <c r="A232" s="513">
        <v>81303</v>
      </c>
      <c r="B232" s="529" t="s">
        <v>750</v>
      </c>
      <c r="C232" s="530">
        <v>0</v>
      </c>
      <c r="D232" s="530">
        <v>0</v>
      </c>
      <c r="E232" s="530">
        <v>0</v>
      </c>
      <c r="F232" s="530">
        <v>0</v>
      </c>
      <c r="G232" s="530">
        <v>0</v>
      </c>
      <c r="H232" s="530">
        <v>0</v>
      </c>
      <c r="I232" s="530">
        <v>0</v>
      </c>
      <c r="J232" s="530">
        <v>0</v>
      </c>
      <c r="K232" s="530">
        <v>0</v>
      </c>
      <c r="L232" s="530">
        <v>0</v>
      </c>
      <c r="M232" s="530">
        <v>0</v>
      </c>
      <c r="N232" s="530">
        <v>0</v>
      </c>
      <c r="O232" s="530">
        <v>0</v>
      </c>
      <c r="P232" s="530">
        <v>0</v>
      </c>
      <c r="Q232" s="530">
        <v>0</v>
      </c>
      <c r="R232" s="530">
        <v>0</v>
      </c>
      <c r="S232" s="530">
        <f t="shared" si="34"/>
        <v>0</v>
      </c>
    </row>
    <row r="233" spans="1:19" s="545" customFormat="1" ht="12.75" x14ac:dyDescent="0.2">
      <c r="A233" s="513">
        <v>81401</v>
      </c>
      <c r="B233" s="529" t="s">
        <v>751</v>
      </c>
      <c r="C233" s="530">
        <v>0</v>
      </c>
      <c r="D233" s="530">
        <v>0</v>
      </c>
      <c r="E233" s="530">
        <v>0.11</v>
      </c>
      <c r="F233" s="530">
        <v>0</v>
      </c>
      <c r="G233" s="530">
        <v>0</v>
      </c>
      <c r="H233" s="530">
        <v>0</v>
      </c>
      <c r="I233" s="530">
        <v>0</v>
      </c>
      <c r="J233" s="530">
        <v>0</v>
      </c>
      <c r="K233" s="530">
        <v>0</v>
      </c>
      <c r="L233" s="530">
        <v>0</v>
      </c>
      <c r="M233" s="530">
        <v>0</v>
      </c>
      <c r="N233" s="530">
        <v>0</v>
      </c>
      <c r="O233" s="530">
        <v>0</v>
      </c>
      <c r="P233" s="530">
        <v>0</v>
      </c>
      <c r="Q233" s="530">
        <v>0</v>
      </c>
      <c r="R233" s="530">
        <v>0</v>
      </c>
      <c r="S233" s="530">
        <f t="shared" si="34"/>
        <v>0.11</v>
      </c>
    </row>
    <row r="234" spans="1:19" s="545" customFormat="1" ht="12.75" x14ac:dyDescent="0.2">
      <c r="A234" s="513">
        <v>81610</v>
      </c>
      <c r="B234" s="529" t="s">
        <v>752</v>
      </c>
      <c r="C234" s="530">
        <v>0</v>
      </c>
      <c r="D234" s="530">
        <v>0</v>
      </c>
      <c r="E234" s="530">
        <v>0</v>
      </c>
      <c r="F234" s="530">
        <v>0</v>
      </c>
      <c r="G234" s="530">
        <v>0</v>
      </c>
      <c r="H234" s="530">
        <v>0</v>
      </c>
      <c r="I234" s="530">
        <v>0</v>
      </c>
      <c r="J234" s="530">
        <v>0</v>
      </c>
      <c r="K234" s="530">
        <v>0</v>
      </c>
      <c r="L234" s="530">
        <v>0</v>
      </c>
      <c r="M234" s="530">
        <v>0</v>
      </c>
      <c r="N234" s="530">
        <v>0</v>
      </c>
      <c r="O234" s="530">
        <v>0</v>
      </c>
      <c r="P234" s="530">
        <v>0</v>
      </c>
      <c r="Q234" s="530">
        <v>0</v>
      </c>
      <c r="R234" s="530">
        <v>0</v>
      </c>
      <c r="S234" s="530">
        <f t="shared" si="34"/>
        <v>0</v>
      </c>
    </row>
    <row r="235" spans="1:19" s="428" customFormat="1" ht="12.75" x14ac:dyDescent="0.2">
      <c r="A235" s="513">
        <v>82950</v>
      </c>
      <c r="B235" s="536" t="s">
        <v>753</v>
      </c>
      <c r="C235" s="537">
        <f t="shared" ref="C235:S235" si="35">SUM(C224:C234)</f>
        <v>134.42999999999998</v>
      </c>
      <c r="D235" s="537">
        <f t="shared" si="35"/>
        <v>0</v>
      </c>
      <c r="E235" s="537">
        <f t="shared" si="35"/>
        <v>447.75</v>
      </c>
      <c r="F235" s="537">
        <f t="shared" si="35"/>
        <v>0</v>
      </c>
      <c r="G235" s="537">
        <f t="shared" si="35"/>
        <v>0</v>
      </c>
      <c r="H235" s="1190">
        <f t="shared" si="35"/>
        <v>669.42</v>
      </c>
      <c r="I235" s="1190">
        <f t="shared" si="35"/>
        <v>0</v>
      </c>
      <c r="J235" s="537">
        <f t="shared" si="35"/>
        <v>1278.74</v>
      </c>
      <c r="K235" s="537">
        <f t="shared" si="35"/>
        <v>0</v>
      </c>
      <c r="L235" s="537">
        <f t="shared" si="35"/>
        <v>0</v>
      </c>
      <c r="M235" s="537">
        <f t="shared" si="35"/>
        <v>0</v>
      </c>
      <c r="N235" s="537">
        <f t="shared" si="35"/>
        <v>0</v>
      </c>
      <c r="O235" s="537">
        <f t="shared" si="35"/>
        <v>0</v>
      </c>
      <c r="P235" s="537">
        <f t="shared" si="35"/>
        <v>0</v>
      </c>
      <c r="Q235" s="537">
        <f t="shared" si="35"/>
        <v>0</v>
      </c>
      <c r="R235" s="537">
        <f t="shared" si="35"/>
        <v>0</v>
      </c>
      <c r="S235" s="537">
        <f t="shared" si="35"/>
        <v>2530.3399999999997</v>
      </c>
    </row>
    <row r="236" spans="1:19" s="428" customFormat="1" ht="12.75" x14ac:dyDescent="0.2">
      <c r="A236" s="513"/>
      <c r="B236" s="516"/>
      <c r="C236" s="528"/>
      <c r="D236" s="528"/>
      <c r="E236" s="528"/>
      <c r="F236" s="528"/>
      <c r="G236" s="528"/>
      <c r="H236" s="528"/>
      <c r="I236" s="528"/>
      <c r="J236" s="528"/>
      <c r="K236" s="528"/>
      <c r="L236" s="528"/>
      <c r="M236" s="528"/>
      <c r="N236" s="528"/>
      <c r="O236" s="528"/>
      <c r="P236" s="528"/>
      <c r="Q236" s="528"/>
      <c r="R236" s="528"/>
      <c r="S236" s="528"/>
    </row>
    <row r="237" spans="1:19" s="428" customFormat="1" ht="12.75" x14ac:dyDescent="0.2">
      <c r="A237" s="513"/>
      <c r="B237" s="516" t="s">
        <v>754</v>
      </c>
      <c r="C237" s="528"/>
      <c r="D237" s="528"/>
      <c r="E237" s="528"/>
      <c r="F237" s="528"/>
      <c r="G237" s="528"/>
      <c r="H237" s="528"/>
      <c r="I237" s="528"/>
      <c r="J237" s="528"/>
      <c r="K237" s="528"/>
      <c r="L237" s="528"/>
      <c r="M237" s="528"/>
      <c r="N237" s="528"/>
      <c r="O237" s="528"/>
      <c r="P237" s="528"/>
      <c r="Q237" s="528"/>
      <c r="R237" s="528"/>
      <c r="S237" s="528"/>
    </row>
    <row r="238" spans="1:19" s="545" customFormat="1" ht="12.75" x14ac:dyDescent="0.2">
      <c r="A238" s="513">
        <v>83200</v>
      </c>
      <c r="B238" s="553" t="s">
        <v>755</v>
      </c>
      <c r="C238" s="530">
        <v>0</v>
      </c>
      <c r="D238" s="530">
        <v>0</v>
      </c>
      <c r="E238" s="530">
        <v>0</v>
      </c>
      <c r="F238" s="530">
        <v>0</v>
      </c>
      <c r="G238" s="530">
        <v>0</v>
      </c>
      <c r="H238" s="530">
        <v>0</v>
      </c>
      <c r="I238" s="530">
        <v>0</v>
      </c>
      <c r="J238" s="530">
        <v>0</v>
      </c>
      <c r="K238" s="530">
        <v>0</v>
      </c>
      <c r="L238" s="530">
        <v>0</v>
      </c>
      <c r="M238" s="530">
        <v>0</v>
      </c>
      <c r="N238" s="530">
        <v>0</v>
      </c>
      <c r="O238" s="530">
        <v>0</v>
      </c>
      <c r="P238" s="530">
        <v>0</v>
      </c>
      <c r="Q238" s="530">
        <v>0</v>
      </c>
      <c r="R238" s="530">
        <v>0</v>
      </c>
      <c r="S238" s="530">
        <f>SUM(C238:R238)</f>
        <v>0</v>
      </c>
    </row>
    <row r="239" spans="1:19" s="428" customFormat="1" ht="12.75" x14ac:dyDescent="0.2">
      <c r="A239" s="513">
        <v>83799</v>
      </c>
      <c r="B239" s="536" t="s">
        <v>756</v>
      </c>
      <c r="C239" s="537">
        <f t="shared" ref="C239:S239" si="36">SUM(C238)</f>
        <v>0</v>
      </c>
      <c r="D239" s="537">
        <f t="shared" si="36"/>
        <v>0</v>
      </c>
      <c r="E239" s="537">
        <f t="shared" si="36"/>
        <v>0</v>
      </c>
      <c r="F239" s="537">
        <f t="shared" si="36"/>
        <v>0</v>
      </c>
      <c r="G239" s="537">
        <f t="shared" si="36"/>
        <v>0</v>
      </c>
      <c r="H239" s="537">
        <f t="shared" si="36"/>
        <v>0</v>
      </c>
      <c r="I239" s="537">
        <f t="shared" si="36"/>
        <v>0</v>
      </c>
      <c r="J239" s="537">
        <f t="shared" si="36"/>
        <v>0</v>
      </c>
      <c r="K239" s="537">
        <f t="shared" si="36"/>
        <v>0</v>
      </c>
      <c r="L239" s="537">
        <f t="shared" si="36"/>
        <v>0</v>
      </c>
      <c r="M239" s="537">
        <f t="shared" si="36"/>
        <v>0</v>
      </c>
      <c r="N239" s="537">
        <f t="shared" si="36"/>
        <v>0</v>
      </c>
      <c r="O239" s="537">
        <f t="shared" si="36"/>
        <v>0</v>
      </c>
      <c r="P239" s="537">
        <f t="shared" si="36"/>
        <v>0</v>
      </c>
      <c r="Q239" s="537">
        <f t="shared" si="36"/>
        <v>0</v>
      </c>
      <c r="R239" s="537">
        <f t="shared" si="36"/>
        <v>0</v>
      </c>
      <c r="S239" s="537">
        <f t="shared" si="36"/>
        <v>0</v>
      </c>
    </row>
    <row r="240" spans="1:19" s="428" customFormat="1" ht="12.75" x14ac:dyDescent="0.2">
      <c r="A240" s="513"/>
      <c r="B240" s="516"/>
      <c r="C240" s="528"/>
      <c r="D240" s="528"/>
      <c r="E240" s="528"/>
      <c r="F240" s="528"/>
      <c r="G240" s="528"/>
      <c r="H240" s="528"/>
      <c r="I240" s="528"/>
      <c r="J240" s="528"/>
      <c r="K240" s="528"/>
      <c r="L240" s="528"/>
      <c r="M240" s="528"/>
      <c r="N240" s="528"/>
      <c r="O240" s="528"/>
      <c r="P240" s="528"/>
      <c r="Q240" s="528"/>
      <c r="R240" s="528"/>
      <c r="S240" s="528"/>
    </row>
    <row r="241" spans="1:19" s="428" customFormat="1" ht="12.75" x14ac:dyDescent="0.2">
      <c r="A241" s="513"/>
      <c r="B241" s="516" t="s">
        <v>757</v>
      </c>
      <c r="C241" s="528"/>
      <c r="D241" s="528"/>
      <c r="E241" s="528"/>
      <c r="F241" s="528"/>
      <c r="G241" s="528"/>
      <c r="H241" s="528"/>
      <c r="I241" s="528"/>
      <c r="J241" s="528"/>
      <c r="K241" s="528"/>
      <c r="L241" s="528"/>
      <c r="M241" s="528"/>
      <c r="N241" s="528"/>
      <c r="O241" s="528"/>
      <c r="P241" s="528"/>
      <c r="Q241" s="528"/>
      <c r="R241" s="528"/>
      <c r="S241" s="528"/>
    </row>
    <row r="242" spans="1:19" s="545" customFormat="1" ht="12.75" x14ac:dyDescent="0.2">
      <c r="A242" s="513">
        <v>83905</v>
      </c>
      <c r="B242" s="529" t="s">
        <v>758</v>
      </c>
      <c r="C242" s="530">
        <v>0</v>
      </c>
      <c r="D242" s="530">
        <v>0</v>
      </c>
      <c r="E242" s="530">
        <v>0</v>
      </c>
      <c r="F242" s="530">
        <v>0</v>
      </c>
      <c r="G242" s="530">
        <v>0</v>
      </c>
      <c r="H242" s="530">
        <v>0</v>
      </c>
      <c r="I242" s="530">
        <v>0</v>
      </c>
      <c r="J242" s="530">
        <v>0</v>
      </c>
      <c r="K242" s="530">
        <v>0</v>
      </c>
      <c r="L242" s="530">
        <v>0</v>
      </c>
      <c r="M242" s="530">
        <v>0</v>
      </c>
      <c r="N242" s="530">
        <v>0</v>
      </c>
      <c r="O242" s="530">
        <v>0</v>
      </c>
      <c r="P242" s="530">
        <v>0</v>
      </c>
      <c r="Q242" s="530">
        <v>0</v>
      </c>
      <c r="R242" s="530">
        <v>0</v>
      </c>
      <c r="S242" s="530">
        <f>SUM(C242:R242)</f>
        <v>0</v>
      </c>
    </row>
    <row r="243" spans="1:19" s="545" customFormat="1" ht="12.75" x14ac:dyDescent="0.2">
      <c r="A243" s="513">
        <v>83929</v>
      </c>
      <c r="B243" s="529" t="s">
        <v>759</v>
      </c>
      <c r="C243" s="530">
        <v>0</v>
      </c>
      <c r="D243" s="530">
        <v>0</v>
      </c>
      <c r="E243" s="530">
        <v>0</v>
      </c>
      <c r="F243" s="530">
        <v>0</v>
      </c>
      <c r="G243" s="530">
        <v>0</v>
      </c>
      <c r="H243" s="530">
        <v>0</v>
      </c>
      <c r="I243" s="530">
        <v>0</v>
      </c>
      <c r="J243" s="530">
        <v>0</v>
      </c>
      <c r="K243" s="530">
        <v>0</v>
      </c>
      <c r="L243" s="530">
        <v>0</v>
      </c>
      <c r="M243" s="530">
        <v>0</v>
      </c>
      <c r="N243" s="530">
        <v>0</v>
      </c>
      <c r="O243" s="530">
        <v>0</v>
      </c>
      <c r="P243" s="530">
        <v>0</v>
      </c>
      <c r="Q243" s="530">
        <v>0</v>
      </c>
      <c r="R243" s="530">
        <v>0</v>
      </c>
      <c r="S243" s="530">
        <f>SUM(C243:R243)</f>
        <v>0</v>
      </c>
    </row>
    <row r="244" spans="1:19" s="428" customFormat="1" ht="12.75" x14ac:dyDescent="0.2">
      <c r="A244" s="513"/>
      <c r="B244" s="516"/>
      <c r="C244" s="528"/>
      <c r="D244" s="528"/>
      <c r="E244" s="528"/>
      <c r="F244" s="528"/>
      <c r="G244" s="528"/>
      <c r="H244" s="528"/>
      <c r="I244" s="528"/>
      <c r="J244" s="528"/>
      <c r="K244" s="528"/>
      <c r="L244" s="528"/>
      <c r="M244" s="528"/>
      <c r="N244" s="528"/>
      <c r="O244" s="528"/>
      <c r="P244" s="528"/>
      <c r="Q244" s="528"/>
      <c r="R244" s="528"/>
      <c r="S244" s="528"/>
    </row>
    <row r="245" spans="1:19" s="428" customFormat="1" ht="12.75" x14ac:dyDescent="0.2">
      <c r="A245" s="513">
        <v>84000</v>
      </c>
      <c r="B245" s="536" t="s">
        <v>760</v>
      </c>
      <c r="C245" s="537">
        <f t="shared" ref="C245:S245" si="37">C235+C239+C242+C243</f>
        <v>134.42999999999998</v>
      </c>
      <c r="D245" s="537">
        <f t="shared" si="37"/>
        <v>0</v>
      </c>
      <c r="E245" s="537">
        <f t="shared" si="37"/>
        <v>447.75</v>
      </c>
      <c r="F245" s="537">
        <f t="shared" si="37"/>
        <v>0</v>
      </c>
      <c r="G245" s="537">
        <f t="shared" si="37"/>
        <v>0</v>
      </c>
      <c r="H245" s="537">
        <f t="shared" si="37"/>
        <v>669.42</v>
      </c>
      <c r="I245" s="537">
        <f t="shared" si="37"/>
        <v>0</v>
      </c>
      <c r="J245" s="537">
        <f t="shared" si="37"/>
        <v>1278.74</v>
      </c>
      <c r="K245" s="537">
        <f t="shared" si="37"/>
        <v>0</v>
      </c>
      <c r="L245" s="537">
        <f t="shared" si="37"/>
        <v>0</v>
      </c>
      <c r="M245" s="537">
        <f t="shared" si="37"/>
        <v>0</v>
      </c>
      <c r="N245" s="537">
        <f t="shared" si="37"/>
        <v>0</v>
      </c>
      <c r="O245" s="537">
        <f t="shared" si="37"/>
        <v>0</v>
      </c>
      <c r="P245" s="537">
        <f t="shared" si="37"/>
        <v>0</v>
      </c>
      <c r="Q245" s="537">
        <f t="shared" si="37"/>
        <v>0</v>
      </c>
      <c r="R245" s="537">
        <f t="shared" si="37"/>
        <v>0</v>
      </c>
      <c r="S245" s="537">
        <f t="shared" si="37"/>
        <v>2530.3399999999997</v>
      </c>
    </row>
    <row r="246" spans="1:19" s="428" customFormat="1" ht="12.75" x14ac:dyDescent="0.2">
      <c r="A246" s="513"/>
      <c r="B246" s="536"/>
      <c r="C246" s="537"/>
      <c r="D246" s="537"/>
      <c r="E246" s="537"/>
      <c r="F246" s="537"/>
      <c r="G246" s="537"/>
      <c r="H246" s="537"/>
      <c r="I246" s="537"/>
      <c r="J246" s="537"/>
      <c r="K246" s="537"/>
      <c r="L246" s="537"/>
      <c r="M246" s="537"/>
      <c r="N246" s="537"/>
      <c r="O246" s="537"/>
      <c r="P246" s="537"/>
      <c r="Q246" s="537"/>
      <c r="R246" s="537"/>
      <c r="S246" s="537"/>
    </row>
    <row r="247" spans="1:19" s="428" customFormat="1" ht="12.75" x14ac:dyDescent="0.2">
      <c r="A247" s="513">
        <v>85000</v>
      </c>
      <c r="B247" s="536" t="s">
        <v>761</v>
      </c>
      <c r="C247" s="537">
        <f t="shared" ref="C247:S247" si="38">C220-C235-C239-C196</f>
        <v>-70954.51999999999</v>
      </c>
      <c r="D247" s="537">
        <f t="shared" si="38"/>
        <v>0</v>
      </c>
      <c r="E247" s="537">
        <f t="shared" si="38"/>
        <v>867460.92</v>
      </c>
      <c r="F247" s="537">
        <f t="shared" si="38"/>
        <v>-179114.31</v>
      </c>
      <c r="G247" s="537">
        <f t="shared" si="38"/>
        <v>-56937.86</v>
      </c>
      <c r="H247" s="537">
        <f t="shared" si="38"/>
        <v>653.24000000000353</v>
      </c>
      <c r="I247" s="537">
        <f t="shared" si="38"/>
        <v>-63355.5</v>
      </c>
      <c r="J247" s="537">
        <f t="shared" si="38"/>
        <v>-2403.87</v>
      </c>
      <c r="K247" s="537">
        <f t="shared" si="38"/>
        <v>-26562.22</v>
      </c>
      <c r="L247" s="537">
        <f t="shared" si="38"/>
        <v>105.48000000000002</v>
      </c>
      <c r="M247" s="537">
        <f t="shared" si="38"/>
        <v>-14396.200000000003</v>
      </c>
      <c r="N247" s="537">
        <f t="shared" si="38"/>
        <v>-59712.229999999996</v>
      </c>
      <c r="O247" s="537">
        <f t="shared" si="38"/>
        <v>-61516.29</v>
      </c>
      <c r="P247" s="537">
        <f t="shared" si="38"/>
        <v>0</v>
      </c>
      <c r="Q247" s="537">
        <f t="shared" si="38"/>
        <v>0</v>
      </c>
      <c r="R247" s="537">
        <f t="shared" si="38"/>
        <v>0</v>
      </c>
      <c r="S247" s="537">
        <f t="shared" si="38"/>
        <v>333266.63999999996</v>
      </c>
    </row>
    <row r="248" spans="1:19" s="428" customFormat="1" ht="12.75" x14ac:dyDescent="0.2">
      <c r="A248" s="513" t="s">
        <v>762</v>
      </c>
      <c r="B248" s="516" t="s">
        <v>128</v>
      </c>
      <c r="C248" s="544" t="str">
        <f t="shared" ref="C248:S248" si="39">IF(ISERROR(C247/C24),"",(C247/C24))</f>
        <v/>
      </c>
      <c r="D248" s="544" t="str">
        <f t="shared" si="39"/>
        <v/>
      </c>
      <c r="E248" s="544" t="str">
        <f t="shared" si="39"/>
        <v/>
      </c>
      <c r="F248" s="544" t="str">
        <f t="shared" si="39"/>
        <v/>
      </c>
      <c r="G248" s="544" t="str">
        <f t="shared" si="39"/>
        <v/>
      </c>
      <c r="H248" s="544" t="str">
        <f t="shared" si="39"/>
        <v/>
      </c>
      <c r="I248" s="544" t="str">
        <f t="shared" si="39"/>
        <v/>
      </c>
      <c r="J248" s="544" t="str">
        <f t="shared" si="39"/>
        <v/>
      </c>
      <c r="K248" s="544" t="str">
        <f t="shared" si="39"/>
        <v/>
      </c>
      <c r="L248" s="544" t="str">
        <f t="shared" si="39"/>
        <v/>
      </c>
      <c r="M248" s="544" t="str">
        <f t="shared" si="39"/>
        <v/>
      </c>
      <c r="N248" s="544" t="str">
        <f t="shared" si="39"/>
        <v/>
      </c>
      <c r="O248" s="544" t="str">
        <f t="shared" si="39"/>
        <v/>
      </c>
      <c r="P248" s="544" t="str">
        <f t="shared" si="39"/>
        <v/>
      </c>
      <c r="Q248" s="544" t="str">
        <f t="shared" si="39"/>
        <v/>
      </c>
      <c r="R248" s="544" t="str">
        <f t="shared" si="39"/>
        <v/>
      </c>
      <c r="S248" s="544" t="str">
        <f t="shared" si="39"/>
        <v/>
      </c>
    </row>
    <row r="249" spans="1:19" s="428" customFormat="1" x14ac:dyDescent="0.25">
      <c r="A249" s="513"/>
      <c r="B249" s="534"/>
      <c r="C249" s="563"/>
      <c r="D249" s="563"/>
      <c r="E249" s="563"/>
      <c r="F249" s="563"/>
      <c r="G249" s="563"/>
      <c r="H249" s="563"/>
      <c r="I249" s="563"/>
      <c r="J249" s="563"/>
      <c r="K249" s="563"/>
      <c r="L249" s="563"/>
      <c r="M249" s="563"/>
      <c r="N249" s="563"/>
      <c r="O249" s="563"/>
      <c r="P249" s="563"/>
      <c r="Q249" s="563"/>
      <c r="R249" s="563"/>
      <c r="S249" s="563"/>
    </row>
    <row r="250" spans="1:19" s="428" customFormat="1" ht="12.75" x14ac:dyDescent="0.2">
      <c r="A250" s="513"/>
      <c r="B250" s="516" t="s">
        <v>763</v>
      </c>
      <c r="C250" s="528"/>
      <c r="D250" s="528"/>
      <c r="E250" s="528"/>
      <c r="F250" s="528"/>
      <c r="G250" s="528"/>
      <c r="H250" s="528"/>
      <c r="I250" s="528"/>
      <c r="J250" s="528"/>
      <c r="K250" s="528"/>
      <c r="L250" s="528"/>
      <c r="M250" s="528"/>
      <c r="N250" s="528"/>
      <c r="O250" s="528"/>
      <c r="P250" s="528"/>
      <c r="Q250" s="528"/>
      <c r="R250" s="528"/>
      <c r="S250" s="528"/>
    </row>
    <row r="251" spans="1:19" s="545" customFormat="1" ht="12.75" x14ac:dyDescent="0.2">
      <c r="A251" s="513">
        <v>85505</v>
      </c>
      <c r="B251" s="529" t="s">
        <v>764</v>
      </c>
      <c r="C251" s="530">
        <v>0</v>
      </c>
      <c r="D251" s="530">
        <v>0</v>
      </c>
      <c r="E251" s="530">
        <v>0</v>
      </c>
      <c r="F251" s="530">
        <v>0</v>
      </c>
      <c r="G251" s="530">
        <v>0</v>
      </c>
      <c r="H251" s="530">
        <v>0</v>
      </c>
      <c r="I251" s="530">
        <v>0</v>
      </c>
      <c r="J251" s="530">
        <v>0</v>
      </c>
      <c r="K251" s="530">
        <v>0</v>
      </c>
      <c r="L251" s="530">
        <v>0</v>
      </c>
      <c r="M251" s="530">
        <v>0</v>
      </c>
      <c r="N251" s="530">
        <v>0</v>
      </c>
      <c r="O251" s="530">
        <v>0</v>
      </c>
      <c r="P251" s="530">
        <v>0</v>
      </c>
      <c r="Q251" s="530">
        <v>0</v>
      </c>
      <c r="R251" s="530">
        <v>0</v>
      </c>
      <c r="S251" s="530">
        <f t="shared" ref="S251:S261" si="40">SUM(C251:R251)</f>
        <v>0</v>
      </c>
    </row>
    <row r="252" spans="1:19" s="545" customFormat="1" ht="12.75" x14ac:dyDescent="0.2">
      <c r="A252" s="513">
        <v>85506</v>
      </c>
      <c r="B252" s="529" t="s">
        <v>765</v>
      </c>
      <c r="C252" s="530">
        <v>0</v>
      </c>
      <c r="D252" s="530">
        <v>0</v>
      </c>
      <c r="E252" s="530">
        <v>0</v>
      </c>
      <c r="F252" s="530">
        <v>0</v>
      </c>
      <c r="G252" s="530">
        <v>0</v>
      </c>
      <c r="H252" s="530">
        <v>0</v>
      </c>
      <c r="I252" s="530">
        <v>0</v>
      </c>
      <c r="J252" s="530">
        <v>0</v>
      </c>
      <c r="K252" s="530">
        <v>0</v>
      </c>
      <c r="L252" s="530">
        <v>0</v>
      </c>
      <c r="M252" s="530">
        <v>0</v>
      </c>
      <c r="N252" s="530">
        <v>0</v>
      </c>
      <c r="O252" s="530">
        <v>0</v>
      </c>
      <c r="P252" s="530">
        <v>0</v>
      </c>
      <c r="Q252" s="530">
        <v>0</v>
      </c>
      <c r="R252" s="530">
        <v>0</v>
      </c>
      <c r="S252" s="530">
        <f t="shared" si="40"/>
        <v>0</v>
      </c>
    </row>
    <row r="253" spans="1:19" s="545" customFormat="1" ht="12.75" x14ac:dyDescent="0.2">
      <c r="A253" s="513">
        <v>85510</v>
      </c>
      <c r="B253" s="529" t="s">
        <v>766</v>
      </c>
      <c r="C253" s="530">
        <v>0</v>
      </c>
      <c r="D253" s="530">
        <v>0</v>
      </c>
      <c r="E253" s="530">
        <v>0</v>
      </c>
      <c r="F253" s="530">
        <v>0</v>
      </c>
      <c r="G253" s="530">
        <v>0</v>
      </c>
      <c r="H253" s="530">
        <v>0</v>
      </c>
      <c r="I253" s="530">
        <v>0</v>
      </c>
      <c r="J253" s="530">
        <v>0</v>
      </c>
      <c r="K253" s="530">
        <v>0</v>
      </c>
      <c r="L253" s="530">
        <v>0</v>
      </c>
      <c r="M253" s="530">
        <v>0</v>
      </c>
      <c r="N253" s="530">
        <v>0</v>
      </c>
      <c r="O253" s="530">
        <v>0</v>
      </c>
      <c r="P253" s="530">
        <v>0</v>
      </c>
      <c r="Q253" s="530">
        <v>0</v>
      </c>
      <c r="R253" s="530">
        <v>0</v>
      </c>
      <c r="S253" s="530">
        <f t="shared" si="40"/>
        <v>0</v>
      </c>
    </row>
    <row r="254" spans="1:19" s="545" customFormat="1" ht="12.75" x14ac:dyDescent="0.2">
      <c r="A254" s="513">
        <v>85520</v>
      </c>
      <c r="B254" s="529" t="s">
        <v>767</v>
      </c>
      <c r="C254" s="530">
        <v>0</v>
      </c>
      <c r="D254" s="530">
        <v>0</v>
      </c>
      <c r="E254" s="530">
        <v>0</v>
      </c>
      <c r="F254" s="530">
        <v>0</v>
      </c>
      <c r="G254" s="530">
        <v>0</v>
      </c>
      <c r="H254" s="530">
        <v>0</v>
      </c>
      <c r="I254" s="530">
        <v>0</v>
      </c>
      <c r="J254" s="530">
        <v>0</v>
      </c>
      <c r="K254" s="530">
        <v>0</v>
      </c>
      <c r="L254" s="530">
        <v>0</v>
      </c>
      <c r="M254" s="530">
        <v>0</v>
      </c>
      <c r="N254" s="530">
        <v>0</v>
      </c>
      <c r="O254" s="530">
        <v>0</v>
      </c>
      <c r="P254" s="530">
        <v>0</v>
      </c>
      <c r="Q254" s="530">
        <v>0</v>
      </c>
      <c r="R254" s="530">
        <v>0</v>
      </c>
      <c r="S254" s="530">
        <f t="shared" si="40"/>
        <v>0</v>
      </c>
    </row>
    <row r="255" spans="1:19" s="545" customFormat="1" ht="12.75" x14ac:dyDescent="0.2">
      <c r="A255" s="513">
        <v>85530</v>
      </c>
      <c r="B255" s="529" t="s">
        <v>768</v>
      </c>
      <c r="C255" s="530">
        <v>0</v>
      </c>
      <c r="D255" s="530">
        <v>0</v>
      </c>
      <c r="E255" s="530">
        <v>0</v>
      </c>
      <c r="F255" s="530">
        <v>0</v>
      </c>
      <c r="G255" s="530">
        <v>0</v>
      </c>
      <c r="H255" s="530">
        <v>0</v>
      </c>
      <c r="I255" s="530">
        <v>0</v>
      </c>
      <c r="J255" s="530">
        <v>0</v>
      </c>
      <c r="K255" s="530">
        <v>0</v>
      </c>
      <c r="L255" s="530">
        <v>0</v>
      </c>
      <c r="M255" s="530">
        <v>0</v>
      </c>
      <c r="N255" s="530">
        <v>0</v>
      </c>
      <c r="O255" s="530">
        <v>0</v>
      </c>
      <c r="P255" s="530">
        <v>0</v>
      </c>
      <c r="Q255" s="530">
        <v>0</v>
      </c>
      <c r="R255" s="530">
        <v>0</v>
      </c>
      <c r="S255" s="530">
        <f t="shared" si="40"/>
        <v>0</v>
      </c>
    </row>
    <row r="256" spans="1:19" s="545" customFormat="1" ht="12.75" x14ac:dyDescent="0.2">
      <c r="A256" s="513">
        <v>85540</v>
      </c>
      <c r="B256" s="529" t="s">
        <v>769</v>
      </c>
      <c r="C256" s="530">
        <v>0</v>
      </c>
      <c r="D256" s="530">
        <v>0</v>
      </c>
      <c r="E256" s="530">
        <v>0</v>
      </c>
      <c r="F256" s="530">
        <v>0</v>
      </c>
      <c r="G256" s="530">
        <v>0</v>
      </c>
      <c r="H256" s="530">
        <v>0</v>
      </c>
      <c r="I256" s="530">
        <v>0</v>
      </c>
      <c r="J256" s="530">
        <v>0</v>
      </c>
      <c r="K256" s="530">
        <v>0</v>
      </c>
      <c r="L256" s="530">
        <v>0</v>
      </c>
      <c r="M256" s="530">
        <v>0</v>
      </c>
      <c r="N256" s="530">
        <v>0</v>
      </c>
      <c r="O256" s="530">
        <v>0</v>
      </c>
      <c r="P256" s="530">
        <v>0</v>
      </c>
      <c r="Q256" s="530">
        <v>0</v>
      </c>
      <c r="R256" s="530">
        <v>0</v>
      </c>
      <c r="S256" s="530">
        <f t="shared" si="40"/>
        <v>0</v>
      </c>
    </row>
    <row r="257" spans="1:19" s="545" customFormat="1" ht="12.75" x14ac:dyDescent="0.2">
      <c r="A257" s="513">
        <v>85545</v>
      </c>
      <c r="B257" s="529" t="s">
        <v>770</v>
      </c>
      <c r="C257" s="530">
        <v>0</v>
      </c>
      <c r="D257" s="530">
        <v>0</v>
      </c>
      <c r="E257" s="530">
        <v>0</v>
      </c>
      <c r="F257" s="530">
        <v>0</v>
      </c>
      <c r="G257" s="530">
        <v>0</v>
      </c>
      <c r="H257" s="530">
        <v>0</v>
      </c>
      <c r="I257" s="530">
        <v>0</v>
      </c>
      <c r="J257" s="530">
        <v>0</v>
      </c>
      <c r="K257" s="530">
        <v>0</v>
      </c>
      <c r="L257" s="530">
        <v>0</v>
      </c>
      <c r="M257" s="530">
        <v>0</v>
      </c>
      <c r="N257" s="530">
        <v>0</v>
      </c>
      <c r="O257" s="530">
        <v>0</v>
      </c>
      <c r="P257" s="530">
        <v>0</v>
      </c>
      <c r="Q257" s="530">
        <v>0</v>
      </c>
      <c r="R257" s="530">
        <v>0</v>
      </c>
      <c r="S257" s="530">
        <f t="shared" si="40"/>
        <v>0</v>
      </c>
    </row>
    <row r="258" spans="1:19" s="545" customFormat="1" ht="12.75" x14ac:dyDescent="0.2">
      <c r="A258" s="513">
        <v>85546</v>
      </c>
      <c r="B258" s="529" t="s">
        <v>771</v>
      </c>
      <c r="C258" s="530">
        <v>0</v>
      </c>
      <c r="D258" s="530">
        <v>0</v>
      </c>
      <c r="E258" s="530">
        <v>0</v>
      </c>
      <c r="F258" s="530">
        <v>0</v>
      </c>
      <c r="G258" s="530">
        <v>0</v>
      </c>
      <c r="H258" s="530">
        <v>0</v>
      </c>
      <c r="I258" s="530">
        <v>0</v>
      </c>
      <c r="J258" s="530">
        <v>0</v>
      </c>
      <c r="K258" s="530">
        <v>0</v>
      </c>
      <c r="L258" s="530">
        <v>0</v>
      </c>
      <c r="M258" s="530">
        <v>0</v>
      </c>
      <c r="N258" s="530">
        <v>0</v>
      </c>
      <c r="O258" s="530">
        <v>0</v>
      </c>
      <c r="P258" s="530">
        <v>0</v>
      </c>
      <c r="Q258" s="530">
        <v>0</v>
      </c>
      <c r="R258" s="530">
        <v>0</v>
      </c>
      <c r="S258" s="530">
        <f t="shared" si="40"/>
        <v>0</v>
      </c>
    </row>
    <row r="259" spans="1:19" s="545" customFormat="1" ht="12.75" x14ac:dyDescent="0.2">
      <c r="A259" s="513">
        <v>85550</v>
      </c>
      <c r="B259" s="529" t="s">
        <v>772</v>
      </c>
      <c r="C259" s="530">
        <v>0</v>
      </c>
      <c r="D259" s="530">
        <v>0</v>
      </c>
      <c r="E259" s="530">
        <v>0</v>
      </c>
      <c r="F259" s="530">
        <v>0</v>
      </c>
      <c r="G259" s="530">
        <v>0</v>
      </c>
      <c r="H259" s="530">
        <v>0</v>
      </c>
      <c r="I259" s="530">
        <v>0</v>
      </c>
      <c r="J259" s="530">
        <v>0</v>
      </c>
      <c r="K259" s="530">
        <v>0</v>
      </c>
      <c r="L259" s="530">
        <v>0</v>
      </c>
      <c r="M259" s="530">
        <v>0</v>
      </c>
      <c r="N259" s="530">
        <v>0</v>
      </c>
      <c r="O259" s="530">
        <v>0</v>
      </c>
      <c r="P259" s="530">
        <v>0</v>
      </c>
      <c r="Q259" s="530">
        <v>0</v>
      </c>
      <c r="R259" s="530">
        <v>0</v>
      </c>
      <c r="S259" s="530">
        <f t="shared" si="40"/>
        <v>0</v>
      </c>
    </row>
    <row r="260" spans="1:19" s="545" customFormat="1" ht="12.75" x14ac:dyDescent="0.2">
      <c r="A260" s="513">
        <v>85554</v>
      </c>
      <c r="B260" s="529" t="s">
        <v>773</v>
      </c>
      <c r="C260" s="530">
        <v>0</v>
      </c>
      <c r="D260" s="530">
        <v>0</v>
      </c>
      <c r="E260" s="530">
        <v>0</v>
      </c>
      <c r="F260" s="530">
        <v>0</v>
      </c>
      <c r="G260" s="530">
        <v>0</v>
      </c>
      <c r="H260" s="530">
        <v>0</v>
      </c>
      <c r="I260" s="530">
        <v>0</v>
      </c>
      <c r="J260" s="530">
        <v>0</v>
      </c>
      <c r="K260" s="530">
        <v>0</v>
      </c>
      <c r="L260" s="530">
        <v>0</v>
      </c>
      <c r="M260" s="530">
        <v>0</v>
      </c>
      <c r="N260" s="530">
        <v>0</v>
      </c>
      <c r="O260" s="530">
        <v>0</v>
      </c>
      <c r="P260" s="530">
        <v>0</v>
      </c>
      <c r="Q260" s="530">
        <v>0</v>
      </c>
      <c r="R260" s="530">
        <v>0</v>
      </c>
      <c r="S260" s="530">
        <f t="shared" si="40"/>
        <v>0</v>
      </c>
    </row>
    <row r="261" spans="1:19" s="545" customFormat="1" ht="12.75" x14ac:dyDescent="0.2">
      <c r="A261" s="513">
        <v>85560</v>
      </c>
      <c r="B261" s="529" t="s">
        <v>774</v>
      </c>
      <c r="C261" s="530">
        <v>0</v>
      </c>
      <c r="D261" s="530">
        <v>0</v>
      </c>
      <c r="E261" s="530">
        <v>0</v>
      </c>
      <c r="F261" s="530">
        <v>0</v>
      </c>
      <c r="G261" s="530">
        <v>0</v>
      </c>
      <c r="H261" s="530">
        <v>0</v>
      </c>
      <c r="I261" s="530">
        <v>0</v>
      </c>
      <c r="J261" s="530">
        <v>0</v>
      </c>
      <c r="K261" s="530">
        <v>0</v>
      </c>
      <c r="L261" s="530">
        <v>0</v>
      </c>
      <c r="M261" s="530">
        <v>0</v>
      </c>
      <c r="N261" s="530">
        <v>0</v>
      </c>
      <c r="O261" s="530">
        <v>0</v>
      </c>
      <c r="P261" s="530">
        <v>0</v>
      </c>
      <c r="Q261" s="530">
        <v>0</v>
      </c>
      <c r="R261" s="530">
        <v>0</v>
      </c>
      <c r="S261" s="530">
        <f t="shared" si="40"/>
        <v>0</v>
      </c>
    </row>
    <row r="262" spans="1:19" s="428" customFormat="1" ht="12.75" x14ac:dyDescent="0.2">
      <c r="A262" s="513">
        <v>85950</v>
      </c>
      <c r="B262" s="536" t="s">
        <v>775</v>
      </c>
      <c r="C262" s="537">
        <f t="shared" ref="C262:S262" si="41">SUM(C251:C261)</f>
        <v>0</v>
      </c>
      <c r="D262" s="537">
        <f t="shared" si="41"/>
        <v>0</v>
      </c>
      <c r="E262" s="537">
        <f t="shared" si="41"/>
        <v>0</v>
      </c>
      <c r="F262" s="537">
        <f t="shared" si="41"/>
        <v>0</v>
      </c>
      <c r="G262" s="537">
        <f t="shared" si="41"/>
        <v>0</v>
      </c>
      <c r="H262" s="537">
        <f t="shared" si="41"/>
        <v>0</v>
      </c>
      <c r="I262" s="537">
        <f t="shared" si="41"/>
        <v>0</v>
      </c>
      <c r="J262" s="537">
        <f t="shared" si="41"/>
        <v>0</v>
      </c>
      <c r="K262" s="537">
        <f t="shared" si="41"/>
        <v>0</v>
      </c>
      <c r="L262" s="537">
        <f t="shared" si="41"/>
        <v>0</v>
      </c>
      <c r="M262" s="537">
        <f t="shared" si="41"/>
        <v>0</v>
      </c>
      <c r="N262" s="537">
        <f t="shared" si="41"/>
        <v>0</v>
      </c>
      <c r="O262" s="537">
        <f t="shared" si="41"/>
        <v>0</v>
      </c>
      <c r="P262" s="537">
        <f t="shared" si="41"/>
        <v>0</v>
      </c>
      <c r="Q262" s="537">
        <f t="shared" si="41"/>
        <v>0</v>
      </c>
      <c r="R262" s="537">
        <f t="shared" si="41"/>
        <v>0</v>
      </c>
      <c r="S262" s="537">
        <f t="shared" si="41"/>
        <v>0</v>
      </c>
    </row>
    <row r="263" spans="1:19" s="428" customFormat="1" ht="12.75" x14ac:dyDescent="0.2">
      <c r="A263" s="513"/>
      <c r="B263" s="516"/>
      <c r="C263" s="528"/>
      <c r="D263" s="528"/>
      <c r="E263" s="528"/>
      <c r="F263" s="528"/>
      <c r="G263" s="528"/>
      <c r="H263" s="528"/>
      <c r="I263" s="528"/>
      <c r="J263" s="528"/>
      <c r="K263" s="528"/>
      <c r="L263" s="528"/>
      <c r="M263" s="528"/>
      <c r="N263" s="528"/>
      <c r="O263" s="528"/>
      <c r="P263" s="528"/>
      <c r="Q263" s="528"/>
      <c r="R263" s="528"/>
      <c r="S263" s="528"/>
    </row>
    <row r="264" spans="1:19" s="428" customFormat="1" ht="12.75" x14ac:dyDescent="0.2">
      <c r="A264" s="513"/>
      <c r="B264" s="516" t="s">
        <v>776</v>
      </c>
      <c r="C264" s="528"/>
      <c r="D264" s="528"/>
      <c r="E264" s="528"/>
      <c r="F264" s="528"/>
      <c r="G264" s="528"/>
      <c r="H264" s="528"/>
      <c r="I264" s="528"/>
      <c r="J264" s="528"/>
      <c r="K264" s="528"/>
      <c r="L264" s="528"/>
      <c r="M264" s="528"/>
      <c r="N264" s="528"/>
      <c r="O264" s="528"/>
      <c r="P264" s="528"/>
      <c r="Q264" s="528"/>
      <c r="R264" s="528"/>
      <c r="S264" s="528"/>
    </row>
    <row r="265" spans="1:19" s="428" customFormat="1" ht="12.75" x14ac:dyDescent="0.2">
      <c r="A265" s="513">
        <v>86100</v>
      </c>
      <c r="B265" s="516" t="s">
        <v>777</v>
      </c>
      <c r="C265" s="528"/>
      <c r="D265" s="528"/>
      <c r="E265" s="528"/>
      <c r="F265" s="528"/>
      <c r="G265" s="528"/>
      <c r="H265" s="528"/>
      <c r="I265" s="528"/>
      <c r="J265" s="528"/>
      <c r="K265" s="528"/>
      <c r="L265" s="528"/>
      <c r="M265" s="528"/>
      <c r="N265" s="528"/>
      <c r="O265" s="528"/>
      <c r="P265" s="528"/>
      <c r="Q265" s="528"/>
      <c r="R265" s="528"/>
      <c r="S265" s="528"/>
    </row>
    <row r="266" spans="1:19" s="545" customFormat="1" ht="12.75" x14ac:dyDescent="0.2">
      <c r="A266" s="513" t="s">
        <v>778</v>
      </c>
      <c r="B266" s="553" t="s">
        <v>779</v>
      </c>
      <c r="C266" s="530">
        <v>0</v>
      </c>
      <c r="D266" s="530">
        <v>0</v>
      </c>
      <c r="E266" s="530">
        <v>93458</v>
      </c>
      <c r="F266" s="530">
        <v>0</v>
      </c>
      <c r="G266" s="530">
        <v>0</v>
      </c>
      <c r="H266" s="530">
        <v>0</v>
      </c>
      <c r="I266" s="530">
        <v>0</v>
      </c>
      <c r="J266" s="530">
        <v>0</v>
      </c>
      <c r="K266" s="530">
        <v>0</v>
      </c>
      <c r="L266" s="530">
        <v>0</v>
      </c>
      <c r="M266" s="530">
        <v>0</v>
      </c>
      <c r="N266" s="530">
        <v>0</v>
      </c>
      <c r="O266" s="530">
        <v>0</v>
      </c>
      <c r="P266" s="530">
        <v>0</v>
      </c>
      <c r="Q266" s="530">
        <v>0</v>
      </c>
      <c r="R266" s="530">
        <v>0</v>
      </c>
      <c r="S266" s="530">
        <f>SUM(C266:R266)</f>
        <v>93458</v>
      </c>
    </row>
    <row r="267" spans="1:19" s="427" customFormat="1" x14ac:dyDescent="0.25">
      <c r="A267" s="513">
        <v>86300</v>
      </c>
      <c r="B267" s="537" t="s">
        <v>780</v>
      </c>
      <c r="C267" s="537">
        <f t="shared" ref="C267:S267" si="42">SUM(C266)</f>
        <v>0</v>
      </c>
      <c r="D267" s="537">
        <f t="shared" si="42"/>
        <v>0</v>
      </c>
      <c r="E267" s="537">
        <f t="shared" si="42"/>
        <v>93458</v>
      </c>
      <c r="F267" s="537">
        <f t="shared" si="42"/>
        <v>0</v>
      </c>
      <c r="G267" s="537">
        <f t="shared" si="42"/>
        <v>0</v>
      </c>
      <c r="H267" s="537">
        <f t="shared" si="42"/>
        <v>0</v>
      </c>
      <c r="I267" s="537">
        <f t="shared" si="42"/>
        <v>0</v>
      </c>
      <c r="J267" s="537">
        <f t="shared" si="42"/>
        <v>0</v>
      </c>
      <c r="K267" s="537">
        <f t="shared" si="42"/>
        <v>0</v>
      </c>
      <c r="L267" s="537">
        <f t="shared" si="42"/>
        <v>0</v>
      </c>
      <c r="M267" s="537">
        <f t="shared" si="42"/>
        <v>0</v>
      </c>
      <c r="N267" s="537">
        <f t="shared" si="42"/>
        <v>0</v>
      </c>
      <c r="O267" s="537">
        <f t="shared" si="42"/>
        <v>0</v>
      </c>
      <c r="P267" s="537">
        <f t="shared" si="42"/>
        <v>0</v>
      </c>
      <c r="Q267" s="537">
        <f t="shared" si="42"/>
        <v>0</v>
      </c>
      <c r="R267" s="537">
        <f t="shared" si="42"/>
        <v>0</v>
      </c>
      <c r="S267" s="537">
        <f t="shared" si="42"/>
        <v>93458</v>
      </c>
    </row>
    <row r="268" spans="1:19" s="428" customFormat="1" ht="12.75" x14ac:dyDescent="0.2">
      <c r="A268" s="513"/>
      <c r="B268" s="565"/>
      <c r="C268" s="537"/>
      <c r="D268" s="537"/>
      <c r="E268" s="537"/>
      <c r="F268" s="537"/>
      <c r="G268" s="537"/>
      <c r="H268" s="537"/>
      <c r="I268" s="537"/>
      <c r="J268" s="537"/>
      <c r="K268" s="537"/>
      <c r="L268" s="537"/>
      <c r="M268" s="537"/>
      <c r="N268" s="537"/>
      <c r="O268" s="537"/>
      <c r="P268" s="537"/>
      <c r="Q268" s="537"/>
      <c r="R268" s="537"/>
      <c r="S268" s="537"/>
    </row>
    <row r="269" spans="1:19" s="428" customFormat="1" ht="12.75" x14ac:dyDescent="0.2">
      <c r="A269" s="513">
        <v>99999</v>
      </c>
      <c r="B269" s="565" t="s">
        <v>781</v>
      </c>
      <c r="C269" s="537">
        <f t="shared" ref="C269:S269" si="43">-C262+C247-C267</f>
        <v>-70954.51999999999</v>
      </c>
      <c r="D269" s="537">
        <f t="shared" si="43"/>
        <v>0</v>
      </c>
      <c r="E269" s="537">
        <f t="shared" si="43"/>
        <v>774002.92</v>
      </c>
      <c r="F269" s="537">
        <f t="shared" si="43"/>
        <v>-179114.31</v>
      </c>
      <c r="G269" s="537">
        <f t="shared" si="43"/>
        <v>-56937.86</v>
      </c>
      <c r="H269" s="537">
        <f t="shared" si="43"/>
        <v>653.24000000000353</v>
      </c>
      <c r="I269" s="537">
        <f t="shared" si="43"/>
        <v>-63355.5</v>
      </c>
      <c r="J269" s="537">
        <f t="shared" si="43"/>
        <v>-2403.87</v>
      </c>
      <c r="K269" s="537">
        <f t="shared" si="43"/>
        <v>-26562.22</v>
      </c>
      <c r="L269" s="537">
        <f t="shared" si="43"/>
        <v>105.48000000000002</v>
      </c>
      <c r="M269" s="537">
        <f t="shared" si="43"/>
        <v>-14396.200000000003</v>
      </c>
      <c r="N269" s="537">
        <f t="shared" si="43"/>
        <v>-59712.229999999996</v>
      </c>
      <c r="O269" s="537">
        <f t="shared" si="43"/>
        <v>-61516.29</v>
      </c>
      <c r="P269" s="537">
        <f t="shared" si="43"/>
        <v>0</v>
      </c>
      <c r="Q269" s="537">
        <f t="shared" si="43"/>
        <v>0</v>
      </c>
      <c r="R269" s="537">
        <f t="shared" si="43"/>
        <v>0</v>
      </c>
      <c r="S269" s="537">
        <f t="shared" si="43"/>
        <v>239808.63999999996</v>
      </c>
    </row>
    <row r="270" spans="1:19" s="428" customFormat="1" ht="12.75" x14ac:dyDescent="0.2">
      <c r="A270" s="513"/>
      <c r="B270" s="566" t="s">
        <v>128</v>
      </c>
      <c r="C270" s="544" t="str">
        <f t="shared" ref="C270:S270" si="44">IF(ISERROR(C269/C24),"",(C269/C24))</f>
        <v/>
      </c>
      <c r="D270" s="544" t="str">
        <f t="shared" si="44"/>
        <v/>
      </c>
      <c r="E270" s="544" t="str">
        <f t="shared" si="44"/>
        <v/>
      </c>
      <c r="F270" s="544" t="str">
        <f t="shared" si="44"/>
        <v/>
      </c>
      <c r="G270" s="544" t="str">
        <f t="shared" si="44"/>
        <v/>
      </c>
      <c r="H270" s="544" t="str">
        <f t="shared" si="44"/>
        <v/>
      </c>
      <c r="I270" s="544" t="str">
        <f t="shared" si="44"/>
        <v/>
      </c>
      <c r="J270" s="544" t="str">
        <f t="shared" si="44"/>
        <v/>
      </c>
      <c r="K270" s="544" t="str">
        <f t="shared" si="44"/>
        <v/>
      </c>
      <c r="L270" s="544" t="str">
        <f t="shared" si="44"/>
        <v/>
      </c>
      <c r="M270" s="544" t="str">
        <f t="shared" si="44"/>
        <v/>
      </c>
      <c r="N270" s="544" t="str">
        <f t="shared" si="44"/>
        <v/>
      </c>
      <c r="O270" s="544" t="str">
        <f t="shared" si="44"/>
        <v/>
      </c>
      <c r="P270" s="544" t="str">
        <f t="shared" si="44"/>
        <v/>
      </c>
      <c r="Q270" s="544" t="str">
        <f t="shared" si="44"/>
        <v/>
      </c>
      <c r="R270" s="544" t="str">
        <f t="shared" si="44"/>
        <v/>
      </c>
      <c r="S270" s="544" t="str">
        <f t="shared" si="44"/>
        <v/>
      </c>
    </row>
    <row r="271" spans="1:19" s="428" customFormat="1" ht="12.75" x14ac:dyDescent="0.2">
      <c r="A271" s="513">
        <v>99999</v>
      </c>
      <c r="B271" s="581" t="s">
        <v>96</v>
      </c>
      <c r="C271" s="568">
        <v>0</v>
      </c>
      <c r="D271" s="568">
        <v>0</v>
      </c>
      <c r="E271" s="568">
        <v>0</v>
      </c>
      <c r="F271" s="568">
        <v>0</v>
      </c>
      <c r="G271" s="568">
        <v>0</v>
      </c>
      <c r="H271" s="568">
        <v>-3.5242919693700969E-12</v>
      </c>
      <c r="I271" s="568">
        <v>0</v>
      </c>
      <c r="J271" s="568">
        <v>0</v>
      </c>
      <c r="K271" s="568">
        <v>0</v>
      </c>
      <c r="L271" s="568">
        <v>0</v>
      </c>
      <c r="M271" s="568">
        <v>0</v>
      </c>
      <c r="N271" s="568">
        <v>0</v>
      </c>
      <c r="O271" s="568">
        <v>0</v>
      </c>
      <c r="P271" s="568">
        <v>0</v>
      </c>
      <c r="Q271" s="568">
        <v>0</v>
      </c>
      <c r="R271" s="568">
        <v>0</v>
      </c>
      <c r="S271" s="568">
        <v>0</v>
      </c>
    </row>
    <row r="272" spans="1:19" s="428" customFormat="1" x14ac:dyDescent="0.25">
      <c r="A272" s="513"/>
      <c r="B272" s="569"/>
      <c r="C272" s="563"/>
      <c r="D272" s="563"/>
      <c r="E272" s="563"/>
      <c r="F272" s="563"/>
      <c r="G272" s="563"/>
      <c r="H272" s="563"/>
      <c r="I272" s="563"/>
      <c r="J272" s="563"/>
      <c r="K272" s="563"/>
      <c r="L272" s="563"/>
      <c r="M272" s="563"/>
      <c r="N272" s="563"/>
      <c r="O272" s="563"/>
      <c r="P272" s="563"/>
      <c r="Q272" s="563"/>
      <c r="R272" s="563"/>
      <c r="S272" s="563"/>
    </row>
    <row r="273" spans="1:20" s="428" customFormat="1" x14ac:dyDescent="0.25">
      <c r="A273" s="513"/>
      <c r="B273" s="516" t="s">
        <v>786</v>
      </c>
      <c r="C273" s="427"/>
      <c r="D273" s="427"/>
      <c r="E273" s="427">
        <f>69885.31-E104</f>
        <v>69885.31</v>
      </c>
      <c r="F273" s="427">
        <f>-F269</f>
        <v>179114.31</v>
      </c>
      <c r="G273" s="427">
        <f>-G269</f>
        <v>56937.86</v>
      </c>
      <c r="H273" s="427">
        <f>124619.16-H199</f>
        <v>124619.16</v>
      </c>
      <c r="I273" s="427">
        <f>-I269</f>
        <v>63355.5</v>
      </c>
      <c r="J273" s="427"/>
      <c r="K273" s="427"/>
      <c r="L273" s="427">
        <f>-L269</f>
        <v>-105.48000000000002</v>
      </c>
      <c r="M273" s="427">
        <f>-M269</f>
        <v>14396.200000000003</v>
      </c>
      <c r="N273" s="427"/>
      <c r="O273" s="427">
        <f>-O269</f>
        <v>61516.29</v>
      </c>
      <c r="P273" s="427"/>
      <c r="Q273" s="427"/>
      <c r="R273" s="427"/>
      <c r="S273" s="427">
        <f>SUM(C273:R273)</f>
        <v>569719.15</v>
      </c>
      <c r="T273" s="560"/>
    </row>
    <row r="274" spans="1:20" s="428" customFormat="1" ht="15.75" thickBot="1" x14ac:dyDescent="0.3">
      <c r="A274" s="513"/>
      <c r="B274" s="516" t="s">
        <v>787</v>
      </c>
      <c r="C274" s="427"/>
      <c r="D274" s="427"/>
      <c r="E274" s="427"/>
      <c r="F274" s="427"/>
      <c r="G274" s="427"/>
      <c r="H274" s="427"/>
      <c r="I274" s="427"/>
      <c r="J274" s="427"/>
      <c r="K274" s="427"/>
      <c r="L274" s="427"/>
      <c r="M274" s="427"/>
      <c r="N274" s="427"/>
      <c r="O274" s="427"/>
      <c r="P274" s="427"/>
      <c r="Q274" s="427"/>
      <c r="R274" s="427"/>
      <c r="S274" s="427">
        <f>SUM(C274:R274)</f>
        <v>0</v>
      </c>
    </row>
    <row r="275" spans="1:20" s="428" customFormat="1" ht="15.75" thickBot="1" x14ac:dyDescent="0.3">
      <c r="A275" s="513"/>
      <c r="B275" s="582" t="s">
        <v>788</v>
      </c>
      <c r="C275" s="571">
        <f t="shared" ref="C275:S275" si="45">C247+C211+C196+C273+C274</f>
        <v>-70954.51999999999</v>
      </c>
      <c r="D275" s="571">
        <f t="shared" si="45"/>
        <v>0</v>
      </c>
      <c r="E275" s="571">
        <f t="shared" si="45"/>
        <v>67720.48000000004</v>
      </c>
      <c r="F275" s="571">
        <f t="shared" si="45"/>
        <v>0</v>
      </c>
      <c r="G275" s="571">
        <f t="shared" si="45"/>
        <v>0</v>
      </c>
      <c r="H275" s="571">
        <f t="shared" si="45"/>
        <v>125272.40000000001</v>
      </c>
      <c r="I275" s="571">
        <f t="shared" si="45"/>
        <v>0</v>
      </c>
      <c r="J275" s="571">
        <f t="shared" si="45"/>
        <v>-2403.87</v>
      </c>
      <c r="K275" s="571">
        <f t="shared" si="45"/>
        <v>-26562.22</v>
      </c>
      <c r="L275" s="571">
        <f t="shared" si="45"/>
        <v>0</v>
      </c>
      <c r="M275" s="571">
        <f t="shared" si="45"/>
        <v>0</v>
      </c>
      <c r="N275" s="571">
        <f t="shared" si="45"/>
        <v>-59712.229999999996</v>
      </c>
      <c r="O275" s="571">
        <f t="shared" si="45"/>
        <v>0</v>
      </c>
      <c r="P275" s="571">
        <f t="shared" si="45"/>
        <v>0</v>
      </c>
      <c r="Q275" s="571">
        <f t="shared" si="45"/>
        <v>0</v>
      </c>
      <c r="R275" s="571">
        <f t="shared" si="45"/>
        <v>0</v>
      </c>
      <c r="S275" s="571">
        <f t="shared" si="45"/>
        <v>33360.039999999921</v>
      </c>
    </row>
    <row r="276" spans="1:20" s="428" customFormat="1" x14ac:dyDescent="0.25">
      <c r="A276" s="513"/>
      <c r="B276" s="413"/>
      <c r="C276" s="427"/>
      <c r="D276" s="427"/>
      <c r="E276" s="1165"/>
      <c r="F276" s="427"/>
      <c r="G276" s="1192"/>
      <c r="H276" s="427"/>
      <c r="I276" s="427"/>
      <c r="J276" s="427"/>
      <c r="K276" s="427"/>
      <c r="L276" s="427"/>
      <c r="M276" s="427"/>
      <c r="N276" s="427"/>
      <c r="O276" s="427"/>
      <c r="P276" s="427"/>
      <c r="Q276" s="427"/>
      <c r="R276" s="427"/>
      <c r="S276" s="427"/>
    </row>
    <row r="277" spans="1:20" s="428" customFormat="1" x14ac:dyDescent="0.25">
      <c r="A277" s="513"/>
      <c r="B277" s="413"/>
      <c r="C277" s="427"/>
      <c r="D277" s="427"/>
      <c r="E277" s="427"/>
      <c r="F277" s="427"/>
      <c r="G277" s="427"/>
      <c r="H277" s="427"/>
      <c r="I277" s="427"/>
      <c r="J277" s="427"/>
      <c r="K277" s="427"/>
      <c r="L277" s="427"/>
      <c r="M277" s="427"/>
      <c r="N277" s="446"/>
      <c r="O277" s="427"/>
      <c r="P277" s="427"/>
      <c r="Q277" s="427"/>
      <c r="R277" s="427"/>
      <c r="S277" s="427"/>
    </row>
    <row r="278" spans="1:20" s="428" customFormat="1" x14ac:dyDescent="0.25">
      <c r="A278" s="513"/>
      <c r="B278" s="413"/>
      <c r="C278" s="427"/>
      <c r="D278" s="427"/>
      <c r="E278" s="427"/>
      <c r="F278" s="427"/>
      <c r="G278" s="427"/>
      <c r="H278" s="427"/>
      <c r="I278" s="427"/>
      <c r="J278" s="427"/>
      <c r="K278" s="427"/>
      <c r="L278" s="427"/>
      <c r="M278" s="427"/>
      <c r="N278" s="427"/>
      <c r="O278" s="427"/>
      <c r="P278" s="427"/>
      <c r="Q278" s="427"/>
      <c r="R278" s="427"/>
      <c r="S278" s="1164" t="s">
        <v>1096</v>
      </c>
      <c r="T278" s="1165" t="s">
        <v>1097</v>
      </c>
    </row>
    <row r="279" spans="1:20" s="428" customFormat="1" x14ac:dyDescent="0.25">
      <c r="A279" s="513"/>
      <c r="B279" s="413"/>
      <c r="C279" s="427"/>
      <c r="D279" s="427"/>
      <c r="E279" s="427"/>
      <c r="F279" s="427"/>
      <c r="G279" s="427"/>
      <c r="H279" s="427"/>
      <c r="J279" s="427"/>
      <c r="K279" s="427"/>
      <c r="L279" s="427"/>
      <c r="M279" s="427"/>
      <c r="N279" s="427"/>
      <c r="O279" s="427"/>
      <c r="P279" s="427"/>
      <c r="Q279" s="427"/>
      <c r="R279" s="427"/>
      <c r="S279" s="1163" t="e">
        <f>S278+S275</f>
        <v>#VALUE!</v>
      </c>
      <c r="T279" s="1163" t="s">
        <v>1098</v>
      </c>
    </row>
    <row r="280" spans="1:20" s="428" customFormat="1" x14ac:dyDescent="0.25">
      <c r="A280" s="513"/>
      <c r="B280" s="413"/>
      <c r="C280" s="427"/>
      <c r="D280" s="427"/>
      <c r="E280" s="427"/>
      <c r="F280" s="427"/>
      <c r="G280" s="427"/>
      <c r="H280" s="427"/>
      <c r="I280" s="427"/>
      <c r="J280" s="427"/>
      <c r="K280" s="427"/>
      <c r="L280" s="427"/>
      <c r="M280" s="427"/>
      <c r="N280" s="427"/>
      <c r="O280" s="427"/>
      <c r="P280" s="427"/>
      <c r="Q280" s="427"/>
      <c r="R280" s="427"/>
      <c r="S280" s="427"/>
      <c r="T280" s="427"/>
    </row>
    <row r="281" spans="1:20" s="428" customFormat="1" x14ac:dyDescent="0.25">
      <c r="A281" s="513"/>
      <c r="B281" s="413"/>
      <c r="C281" s="427"/>
      <c r="D281" s="427"/>
      <c r="E281" s="427"/>
      <c r="F281" s="427"/>
      <c r="G281" s="427"/>
      <c r="H281" s="427"/>
      <c r="I281" s="427"/>
      <c r="J281" s="427"/>
      <c r="K281" s="427"/>
      <c r="L281" s="427"/>
      <c r="M281" s="427"/>
      <c r="N281" s="427"/>
      <c r="O281" s="427"/>
      <c r="P281" s="427"/>
      <c r="Q281" s="427"/>
      <c r="R281" s="427"/>
      <c r="S281" s="427"/>
      <c r="T281" s="427"/>
    </row>
    <row r="282" spans="1:20" s="428" customFormat="1" x14ac:dyDescent="0.25">
      <c r="A282" s="513"/>
      <c r="B282" s="413"/>
      <c r="C282" s="427"/>
      <c r="D282" s="427"/>
      <c r="E282" s="427"/>
      <c r="F282" s="427"/>
      <c r="G282" s="427"/>
      <c r="H282" s="427"/>
      <c r="I282" s="427"/>
      <c r="J282" s="427"/>
      <c r="K282" s="427"/>
      <c r="L282" s="427"/>
      <c r="M282" s="427"/>
      <c r="N282" s="427"/>
      <c r="O282" s="427"/>
      <c r="P282" s="427"/>
      <c r="Q282" s="427"/>
      <c r="R282" s="427"/>
      <c r="S282" s="427"/>
      <c r="T282" s="427"/>
    </row>
    <row r="283" spans="1:20" s="428" customFormat="1" x14ac:dyDescent="0.25">
      <c r="A283" s="513"/>
      <c r="B283" s="413"/>
      <c r="C283" s="427"/>
      <c r="D283" s="427"/>
      <c r="E283" s="427"/>
      <c r="F283" s="427"/>
      <c r="G283" s="427"/>
      <c r="H283" s="427"/>
      <c r="I283" s="427"/>
      <c r="J283" s="427"/>
      <c r="K283" s="427"/>
      <c r="L283" s="427"/>
      <c r="M283" s="427"/>
      <c r="N283" s="427"/>
      <c r="O283" s="427"/>
      <c r="P283" s="427"/>
      <c r="Q283" s="427"/>
      <c r="R283" s="427"/>
      <c r="S283" s="427"/>
      <c r="T283" s="427"/>
    </row>
    <row r="284" spans="1:20" s="428" customFormat="1" x14ac:dyDescent="0.25">
      <c r="A284" s="513"/>
      <c r="B284" s="415" t="s">
        <v>1081</v>
      </c>
      <c r="C284" s="427"/>
      <c r="D284" s="427"/>
      <c r="E284" s="427"/>
      <c r="F284" s="427"/>
      <c r="G284" s="427"/>
      <c r="H284" s="427"/>
      <c r="I284" s="427"/>
      <c r="J284" s="427"/>
      <c r="K284" s="427"/>
      <c r="L284" s="427"/>
      <c r="M284" s="427"/>
      <c r="N284" s="427"/>
      <c r="O284" s="427"/>
      <c r="P284" s="427"/>
      <c r="Q284" s="427"/>
      <c r="R284" s="427"/>
      <c r="S284" s="427"/>
      <c r="T284" s="427"/>
    </row>
    <row r="285" spans="1:20" s="428" customFormat="1" x14ac:dyDescent="0.25">
      <c r="A285" s="513"/>
      <c r="B285" s="583" t="s">
        <v>1082</v>
      </c>
      <c r="C285" s="427">
        <f t="shared" ref="C285:Q285" si="46">C220</f>
        <v>-70820.09</v>
      </c>
      <c r="D285" s="427">
        <f t="shared" si="46"/>
        <v>0</v>
      </c>
      <c r="E285" s="427">
        <f t="shared" si="46"/>
        <v>867908.67</v>
      </c>
      <c r="F285" s="427">
        <f t="shared" si="46"/>
        <v>-179114.31</v>
      </c>
      <c r="G285" s="427">
        <f t="shared" si="46"/>
        <v>-56937.86</v>
      </c>
      <c r="H285" s="427">
        <f t="shared" si="46"/>
        <v>1322.6600000000035</v>
      </c>
      <c r="I285" s="427">
        <f t="shared" si="46"/>
        <v>-63355.5</v>
      </c>
      <c r="J285" s="427">
        <f t="shared" si="46"/>
        <v>-1125.1299999999999</v>
      </c>
      <c r="K285" s="427">
        <f t="shared" si="46"/>
        <v>-26562.22</v>
      </c>
      <c r="L285" s="427">
        <f t="shared" si="46"/>
        <v>105.48000000000002</v>
      </c>
      <c r="M285" s="427">
        <f t="shared" si="46"/>
        <v>-14396.200000000003</v>
      </c>
      <c r="N285" s="427">
        <f t="shared" si="46"/>
        <v>-59712.229999999996</v>
      </c>
      <c r="O285" s="427">
        <f t="shared" si="46"/>
        <v>-61516.29</v>
      </c>
      <c r="P285" s="427">
        <f t="shared" si="46"/>
        <v>0</v>
      </c>
      <c r="Q285" s="427">
        <f t="shared" si="46"/>
        <v>0</v>
      </c>
      <c r="R285" s="427"/>
      <c r="S285" s="427"/>
      <c r="T285" s="427"/>
    </row>
    <row r="286" spans="1:20" s="428" customFormat="1" x14ac:dyDescent="0.25">
      <c r="A286" s="513"/>
      <c r="B286" s="413" t="s">
        <v>1083</v>
      </c>
      <c r="C286" s="427"/>
      <c r="D286" s="427"/>
      <c r="E286" s="427"/>
      <c r="F286" s="427"/>
      <c r="G286" s="427"/>
      <c r="H286" s="427"/>
      <c r="I286" s="427"/>
      <c r="J286" s="427"/>
      <c r="K286" s="427"/>
      <c r="L286" s="427"/>
      <c r="M286" s="427"/>
      <c r="N286" s="427"/>
      <c r="O286" s="427"/>
      <c r="P286" s="427"/>
      <c r="Q286" s="427"/>
      <c r="R286" s="427"/>
      <c r="S286" s="427"/>
      <c r="T286" s="427"/>
    </row>
    <row r="287" spans="1:20" s="428" customFormat="1" x14ac:dyDescent="0.25">
      <c r="A287" s="513">
        <v>48095</v>
      </c>
      <c r="B287" s="534" t="s">
        <v>550</v>
      </c>
      <c r="C287" s="530">
        <v>0</v>
      </c>
      <c r="D287" s="530">
        <v>0</v>
      </c>
      <c r="E287" s="530">
        <v>0</v>
      </c>
      <c r="F287" s="530">
        <v>0</v>
      </c>
      <c r="G287" s="530">
        <v>0</v>
      </c>
      <c r="H287" s="530">
        <v>0</v>
      </c>
      <c r="I287" s="530">
        <v>0</v>
      </c>
      <c r="J287" s="530">
        <v>0</v>
      </c>
      <c r="K287" s="530">
        <v>0</v>
      </c>
      <c r="L287" s="530">
        <v>0</v>
      </c>
      <c r="M287" s="530">
        <v>0</v>
      </c>
      <c r="N287" s="530">
        <v>0</v>
      </c>
      <c r="O287" s="530">
        <v>0</v>
      </c>
      <c r="P287" s="530">
        <v>0</v>
      </c>
      <c r="Q287" s="530">
        <v>0</v>
      </c>
      <c r="R287" s="530"/>
      <c r="S287" s="427"/>
      <c r="T287" s="427"/>
    </row>
    <row r="288" spans="1:20" s="428" customFormat="1" x14ac:dyDescent="0.25">
      <c r="A288" s="513">
        <v>48100</v>
      </c>
      <c r="B288" s="529" t="s">
        <v>549</v>
      </c>
      <c r="C288" s="530">
        <v>0</v>
      </c>
      <c r="D288" s="530">
        <v>0</v>
      </c>
      <c r="E288" s="530">
        <v>0</v>
      </c>
      <c r="F288" s="530">
        <v>0</v>
      </c>
      <c r="G288" s="530">
        <v>0</v>
      </c>
      <c r="H288" s="530">
        <v>0</v>
      </c>
      <c r="I288" s="530">
        <v>0</v>
      </c>
      <c r="J288" s="530">
        <v>0</v>
      </c>
      <c r="K288" s="530">
        <v>0</v>
      </c>
      <c r="L288" s="530">
        <v>0</v>
      </c>
      <c r="M288" s="530">
        <v>0</v>
      </c>
      <c r="N288" s="530">
        <v>0</v>
      </c>
      <c r="O288" s="530">
        <v>0</v>
      </c>
      <c r="P288" s="530">
        <v>0</v>
      </c>
      <c r="Q288" s="530">
        <v>0</v>
      </c>
      <c r="R288" s="530"/>
      <c r="S288" s="427"/>
      <c r="T288" s="427"/>
    </row>
    <row r="289" spans="1:20" s="428" customFormat="1" x14ac:dyDescent="0.25">
      <c r="A289" s="513" t="s">
        <v>731</v>
      </c>
      <c r="B289" s="529" t="s">
        <v>732</v>
      </c>
      <c r="C289" s="530">
        <v>0</v>
      </c>
      <c r="D289" s="530">
        <v>0</v>
      </c>
      <c r="E289" s="530">
        <v>-869625.75</v>
      </c>
      <c r="F289" s="530">
        <v>0</v>
      </c>
      <c r="G289" s="530">
        <v>0</v>
      </c>
      <c r="H289" s="530">
        <v>0</v>
      </c>
      <c r="I289" s="530">
        <v>0</v>
      </c>
      <c r="J289" s="530">
        <v>0</v>
      </c>
      <c r="K289" s="530">
        <v>0</v>
      </c>
      <c r="L289" s="530">
        <v>0</v>
      </c>
      <c r="M289" s="530">
        <v>0</v>
      </c>
      <c r="N289" s="530">
        <v>0</v>
      </c>
      <c r="O289" s="530">
        <v>0</v>
      </c>
      <c r="P289" s="530">
        <v>0</v>
      </c>
      <c r="Q289" s="530">
        <v>0</v>
      </c>
      <c r="R289" s="530"/>
      <c r="S289" s="427"/>
      <c r="T289" s="427"/>
    </row>
    <row r="290" spans="1:20" s="428" customFormat="1" x14ac:dyDescent="0.25">
      <c r="A290" s="513">
        <v>66580</v>
      </c>
      <c r="B290" s="413" t="s">
        <v>723</v>
      </c>
      <c r="C290" s="530">
        <v>0</v>
      </c>
      <c r="D290" s="530">
        <v>0</v>
      </c>
      <c r="E290" s="530">
        <v>0</v>
      </c>
      <c r="F290" s="530">
        <v>0</v>
      </c>
      <c r="G290" s="530">
        <v>314</v>
      </c>
      <c r="H290" s="530">
        <v>0</v>
      </c>
      <c r="I290" s="530">
        <v>0</v>
      </c>
      <c r="J290" s="530">
        <v>0</v>
      </c>
      <c r="K290" s="530">
        <v>0</v>
      </c>
      <c r="L290" s="530">
        <v>0</v>
      </c>
      <c r="M290" s="530">
        <v>0</v>
      </c>
      <c r="N290" s="530">
        <v>0</v>
      </c>
      <c r="O290" s="530">
        <v>0</v>
      </c>
      <c r="P290" s="530">
        <v>0</v>
      </c>
      <c r="Q290" s="530">
        <v>0</v>
      </c>
      <c r="R290" s="427"/>
      <c r="S290" s="427"/>
      <c r="T290" s="427"/>
    </row>
    <row r="291" spans="1:20" s="428" customFormat="1" ht="15.75" thickBot="1" x14ac:dyDescent="0.3">
      <c r="A291" s="513"/>
      <c r="B291" s="413"/>
      <c r="C291" s="530"/>
      <c r="D291" s="530"/>
      <c r="E291" s="530"/>
      <c r="F291" s="530"/>
      <c r="G291" s="530"/>
      <c r="H291" s="530"/>
      <c r="I291" s="530"/>
      <c r="J291" s="530"/>
      <c r="K291" s="530"/>
      <c r="L291" s="530"/>
      <c r="M291" s="530"/>
      <c r="N291" s="530"/>
      <c r="O291" s="530"/>
      <c r="P291" s="530"/>
      <c r="Q291" s="530"/>
      <c r="R291" s="427"/>
      <c r="S291" s="427"/>
      <c r="T291" s="427"/>
    </row>
    <row r="292" spans="1:20" s="428" customFormat="1" x14ac:dyDescent="0.25">
      <c r="A292" s="513"/>
      <c r="B292" s="1169" t="s">
        <v>1085</v>
      </c>
      <c r="C292" s="1170">
        <f t="shared" ref="C292:Q292" si="47">SUM(C285:C291)</f>
        <v>-70820.09</v>
      </c>
      <c r="D292" s="1170">
        <f t="shared" si="47"/>
        <v>0</v>
      </c>
      <c r="E292" s="1170">
        <f t="shared" si="47"/>
        <v>-1717.0799999999581</v>
      </c>
      <c r="F292" s="1170">
        <f t="shared" si="47"/>
        <v>-179114.31</v>
      </c>
      <c r="G292" s="1170">
        <f t="shared" si="47"/>
        <v>-56623.86</v>
      </c>
      <c r="H292" s="1170">
        <f t="shared" si="47"/>
        <v>1322.6600000000035</v>
      </c>
      <c r="I292" s="1170">
        <f t="shared" si="47"/>
        <v>-63355.5</v>
      </c>
      <c r="J292" s="1170">
        <f t="shared" si="47"/>
        <v>-1125.1299999999999</v>
      </c>
      <c r="K292" s="1170">
        <f t="shared" si="47"/>
        <v>-26562.22</v>
      </c>
      <c r="L292" s="1170">
        <f t="shared" si="47"/>
        <v>105.48000000000002</v>
      </c>
      <c r="M292" s="1170">
        <f t="shared" si="47"/>
        <v>-14396.200000000003</v>
      </c>
      <c r="N292" s="1170">
        <f t="shared" si="47"/>
        <v>-59712.229999999996</v>
      </c>
      <c r="O292" s="1170">
        <f t="shared" si="47"/>
        <v>-61516.29</v>
      </c>
      <c r="P292" s="1170">
        <f t="shared" si="47"/>
        <v>0</v>
      </c>
      <c r="Q292" s="1171">
        <f t="shared" si="47"/>
        <v>0</v>
      </c>
      <c r="R292" s="427"/>
      <c r="S292" s="427"/>
      <c r="T292" s="427"/>
    </row>
    <row r="293" spans="1:20" s="428" customFormat="1" ht="15.75" thickBot="1" x14ac:dyDescent="0.3">
      <c r="A293" s="513"/>
      <c r="B293" s="1172" t="s">
        <v>344</v>
      </c>
      <c r="C293" s="1173">
        <f t="shared" ref="C293:Q293" si="48">C292/1000</f>
        <v>-70.820089999999993</v>
      </c>
      <c r="D293" s="1173">
        <f t="shared" si="48"/>
        <v>0</v>
      </c>
      <c r="E293" s="1193">
        <f t="shared" si="48"/>
        <v>-1.7170799999999582</v>
      </c>
      <c r="F293" s="1173">
        <f t="shared" si="48"/>
        <v>-179.11430999999999</v>
      </c>
      <c r="G293" s="1173">
        <f t="shared" si="48"/>
        <v>-56.623860000000001</v>
      </c>
      <c r="H293" s="1193">
        <f t="shared" si="48"/>
        <v>1.3226600000000035</v>
      </c>
      <c r="I293" s="1173">
        <f t="shared" si="48"/>
        <v>-63.355499999999999</v>
      </c>
      <c r="J293" s="1193">
        <f t="shared" si="48"/>
        <v>-1.12513</v>
      </c>
      <c r="K293" s="1173">
        <f t="shared" si="48"/>
        <v>-26.56222</v>
      </c>
      <c r="L293" s="1173">
        <f t="shared" si="48"/>
        <v>0.10548000000000002</v>
      </c>
      <c r="M293" s="1173">
        <f t="shared" si="48"/>
        <v>-14.396200000000002</v>
      </c>
      <c r="N293" s="1173">
        <f t="shared" si="48"/>
        <v>-59.712229999999998</v>
      </c>
      <c r="O293" s="1173">
        <f t="shared" si="48"/>
        <v>-61.516289999999998</v>
      </c>
      <c r="P293" s="1173">
        <f t="shared" si="48"/>
        <v>0</v>
      </c>
      <c r="Q293" s="1174">
        <f t="shared" si="48"/>
        <v>0</v>
      </c>
      <c r="R293" s="427"/>
      <c r="S293" s="427"/>
      <c r="T293" s="427"/>
    </row>
    <row r="296" spans="1:20" x14ac:dyDescent="0.25">
      <c r="B296" s="415" t="s">
        <v>1086</v>
      </c>
    </row>
    <row r="297" spans="1:20" x14ac:dyDescent="0.25">
      <c r="A297" s="513">
        <v>61100</v>
      </c>
      <c r="B297" s="583" t="s">
        <v>599</v>
      </c>
      <c r="C297" s="530">
        <v>7.5</v>
      </c>
      <c r="D297" s="530">
        <v>0</v>
      </c>
      <c r="E297" s="530">
        <v>0</v>
      </c>
      <c r="F297" s="530">
        <v>0</v>
      </c>
      <c r="G297" s="530">
        <v>0</v>
      </c>
      <c r="H297" s="530">
        <v>0</v>
      </c>
      <c r="I297" s="530">
        <v>0</v>
      </c>
      <c r="J297" s="530">
        <v>0</v>
      </c>
      <c r="K297" s="530">
        <v>0</v>
      </c>
      <c r="L297" s="530">
        <v>0</v>
      </c>
      <c r="M297" s="530">
        <v>0</v>
      </c>
      <c r="N297" s="530">
        <v>0</v>
      </c>
      <c r="O297" s="530">
        <v>0</v>
      </c>
      <c r="P297" s="530">
        <v>0</v>
      </c>
      <c r="Q297" s="530">
        <v>0</v>
      </c>
    </row>
    <row r="298" spans="1:20" x14ac:dyDescent="0.25">
      <c r="A298" s="513" t="s">
        <v>600</v>
      </c>
      <c r="B298" s="583" t="s">
        <v>1077</v>
      </c>
      <c r="C298" s="530">
        <v>0</v>
      </c>
      <c r="D298" s="530">
        <v>0</v>
      </c>
      <c r="E298" s="530">
        <v>0</v>
      </c>
      <c r="F298" s="530">
        <v>0</v>
      </c>
      <c r="G298" s="530">
        <v>0</v>
      </c>
      <c r="H298" s="530">
        <v>0</v>
      </c>
      <c r="I298" s="530">
        <v>0</v>
      </c>
      <c r="J298" s="530">
        <v>0</v>
      </c>
      <c r="K298" s="530">
        <v>0</v>
      </c>
      <c r="L298" s="530">
        <v>0</v>
      </c>
      <c r="M298" s="530">
        <v>0</v>
      </c>
      <c r="N298" s="530">
        <v>0</v>
      </c>
      <c r="O298" s="530">
        <v>0</v>
      </c>
      <c r="P298" s="530">
        <v>0</v>
      </c>
      <c r="Q298" s="530">
        <v>0</v>
      </c>
    </row>
    <row r="299" spans="1:20" x14ac:dyDescent="0.25">
      <c r="A299" s="513">
        <v>61300</v>
      </c>
      <c r="B299" s="583" t="s">
        <v>602</v>
      </c>
      <c r="C299" s="530">
        <v>0</v>
      </c>
      <c r="D299" s="530">
        <v>0</v>
      </c>
      <c r="E299" s="530">
        <v>0</v>
      </c>
      <c r="F299" s="530">
        <v>0</v>
      </c>
      <c r="G299" s="530">
        <v>0</v>
      </c>
      <c r="H299" s="530">
        <v>0</v>
      </c>
      <c r="I299" s="530">
        <v>0</v>
      </c>
      <c r="J299" s="530">
        <v>0</v>
      </c>
      <c r="K299" s="530">
        <v>0</v>
      </c>
      <c r="L299" s="530">
        <v>0</v>
      </c>
      <c r="M299" s="530">
        <v>0</v>
      </c>
      <c r="N299" s="530">
        <v>0</v>
      </c>
      <c r="O299" s="530">
        <v>0</v>
      </c>
      <c r="P299" s="530">
        <v>0</v>
      </c>
      <c r="Q299" s="530">
        <v>0</v>
      </c>
    </row>
    <row r="300" spans="1:20" x14ac:dyDescent="0.25">
      <c r="A300" s="513">
        <v>64100</v>
      </c>
      <c r="B300" s="529" t="s">
        <v>645</v>
      </c>
      <c r="C300" s="530">
        <v>150.98999999999998</v>
      </c>
      <c r="D300" s="530">
        <v>0</v>
      </c>
      <c r="E300" s="530">
        <v>0</v>
      </c>
      <c r="F300" s="530">
        <v>0</v>
      </c>
      <c r="G300" s="530">
        <v>0</v>
      </c>
      <c r="H300" s="530">
        <v>329.13</v>
      </c>
      <c r="I300" s="530">
        <v>0</v>
      </c>
      <c r="J300" s="530">
        <v>0</v>
      </c>
      <c r="K300" s="530">
        <v>0</v>
      </c>
      <c r="L300" s="530">
        <v>0</v>
      </c>
      <c r="M300" s="530">
        <v>0</v>
      </c>
      <c r="N300" s="530">
        <v>75.48</v>
      </c>
      <c r="O300" s="530">
        <v>0</v>
      </c>
      <c r="P300" s="530">
        <v>0</v>
      </c>
      <c r="Q300" s="530">
        <v>0</v>
      </c>
    </row>
    <row r="301" spans="1:20" x14ac:dyDescent="0.25">
      <c r="A301" s="513">
        <v>64200</v>
      </c>
      <c r="B301" s="529" t="s">
        <v>647</v>
      </c>
      <c r="C301" s="530">
        <v>0</v>
      </c>
      <c r="D301" s="530">
        <v>0</v>
      </c>
      <c r="E301" s="530">
        <v>0</v>
      </c>
      <c r="F301" s="530">
        <v>0</v>
      </c>
      <c r="G301" s="530">
        <v>0</v>
      </c>
      <c r="H301" s="530">
        <v>0</v>
      </c>
      <c r="I301" s="530">
        <v>0</v>
      </c>
      <c r="J301" s="530">
        <v>0</v>
      </c>
      <c r="K301" s="530">
        <v>0</v>
      </c>
      <c r="L301" s="530">
        <v>0</v>
      </c>
      <c r="M301" s="530">
        <v>0</v>
      </c>
      <c r="N301" s="530">
        <v>0</v>
      </c>
      <c r="O301" s="530">
        <v>0</v>
      </c>
      <c r="P301" s="530">
        <v>0</v>
      </c>
      <c r="Q301" s="530">
        <v>0</v>
      </c>
    </row>
    <row r="302" spans="1:20" x14ac:dyDescent="0.25">
      <c r="A302" s="513">
        <v>64248</v>
      </c>
      <c r="B302" s="529" t="s">
        <v>648</v>
      </c>
      <c r="C302" s="530">
        <v>0</v>
      </c>
      <c r="D302" s="530">
        <v>0</v>
      </c>
      <c r="E302" s="530">
        <v>0</v>
      </c>
      <c r="F302" s="530">
        <v>0</v>
      </c>
      <c r="G302" s="530">
        <v>0</v>
      </c>
      <c r="H302" s="530">
        <v>0</v>
      </c>
      <c r="I302" s="530">
        <v>0</v>
      </c>
      <c r="J302" s="530">
        <v>0</v>
      </c>
      <c r="K302" s="530">
        <v>0</v>
      </c>
      <c r="L302" s="530">
        <v>0</v>
      </c>
      <c r="M302" s="530">
        <v>0</v>
      </c>
      <c r="N302" s="530">
        <v>0</v>
      </c>
      <c r="O302" s="530">
        <v>0</v>
      </c>
      <c r="P302" s="530">
        <v>0</v>
      </c>
      <c r="Q302" s="530">
        <v>0</v>
      </c>
    </row>
    <row r="303" spans="1:20" x14ac:dyDescent="0.25">
      <c r="A303" s="513">
        <v>64300</v>
      </c>
      <c r="B303" s="529" t="s">
        <v>650</v>
      </c>
      <c r="C303" s="530">
        <v>0</v>
      </c>
      <c r="D303" s="530">
        <v>0</v>
      </c>
      <c r="E303" s="530">
        <v>0</v>
      </c>
      <c r="F303" s="530">
        <v>0</v>
      </c>
      <c r="G303" s="530">
        <v>0</v>
      </c>
      <c r="H303" s="530">
        <v>0</v>
      </c>
      <c r="I303" s="530">
        <v>0</v>
      </c>
      <c r="J303" s="530">
        <v>0</v>
      </c>
      <c r="K303" s="530">
        <v>0</v>
      </c>
      <c r="L303" s="530">
        <v>0</v>
      </c>
      <c r="M303" s="530">
        <v>0</v>
      </c>
      <c r="N303" s="530">
        <v>0</v>
      </c>
      <c r="O303" s="530">
        <v>0</v>
      </c>
      <c r="P303" s="530">
        <v>0</v>
      </c>
      <c r="Q303" s="530">
        <v>0</v>
      </c>
    </row>
    <row r="304" spans="1:20" x14ac:dyDescent="0.25">
      <c r="A304" s="513">
        <v>65800</v>
      </c>
      <c r="B304" s="529" t="s">
        <v>671</v>
      </c>
      <c r="C304" s="1168">
        <v>0</v>
      </c>
      <c r="D304" s="1168">
        <v>0</v>
      </c>
      <c r="E304" s="1168">
        <v>0</v>
      </c>
      <c r="F304" s="1168">
        <v>0</v>
      </c>
      <c r="G304" s="1168">
        <v>0</v>
      </c>
      <c r="H304" s="1168">
        <v>0</v>
      </c>
      <c r="I304" s="1168">
        <v>0</v>
      </c>
      <c r="J304" s="1168">
        <v>0</v>
      </c>
      <c r="K304" s="1168">
        <v>0</v>
      </c>
      <c r="L304" s="1168">
        <v>0</v>
      </c>
      <c r="M304" s="1168">
        <v>0</v>
      </c>
      <c r="N304" s="1168">
        <v>0</v>
      </c>
      <c r="O304" s="1168">
        <v>0</v>
      </c>
      <c r="P304" s="1168">
        <v>0</v>
      </c>
      <c r="Q304" s="1168">
        <v>0</v>
      </c>
    </row>
    <row r="305" spans="1:17" x14ac:dyDescent="0.25">
      <c r="A305" s="513">
        <v>66100</v>
      </c>
      <c r="B305" s="413" t="s">
        <v>674</v>
      </c>
      <c r="C305" s="530">
        <v>0</v>
      </c>
      <c r="D305" s="530">
        <v>0</v>
      </c>
      <c r="E305" s="530">
        <v>0</v>
      </c>
      <c r="F305" s="530">
        <v>0</v>
      </c>
      <c r="G305" s="530">
        <v>0</v>
      </c>
      <c r="H305" s="530">
        <v>0</v>
      </c>
      <c r="I305" s="530">
        <v>0</v>
      </c>
      <c r="J305" s="530">
        <v>0</v>
      </c>
      <c r="K305" s="530">
        <v>0</v>
      </c>
      <c r="L305" s="530">
        <v>0</v>
      </c>
      <c r="M305" s="530">
        <v>0</v>
      </c>
      <c r="N305" s="530">
        <v>0</v>
      </c>
      <c r="O305" s="530">
        <v>0</v>
      </c>
      <c r="P305" s="530">
        <v>0</v>
      </c>
      <c r="Q305" s="530">
        <v>0</v>
      </c>
    </row>
    <row r="306" spans="1:17" x14ac:dyDescent="0.25">
      <c r="A306" s="513">
        <v>66101</v>
      </c>
      <c r="B306" s="413" t="s">
        <v>675</v>
      </c>
      <c r="C306" s="530">
        <v>0</v>
      </c>
      <c r="D306" s="530">
        <v>0</v>
      </c>
      <c r="E306" s="530">
        <v>0</v>
      </c>
      <c r="F306" s="530">
        <v>0</v>
      </c>
      <c r="G306" s="530">
        <v>0</v>
      </c>
      <c r="H306" s="530">
        <v>0</v>
      </c>
      <c r="I306" s="530">
        <v>0</v>
      </c>
      <c r="J306" s="530">
        <v>0</v>
      </c>
      <c r="K306" s="530">
        <v>0</v>
      </c>
      <c r="L306" s="530">
        <v>0</v>
      </c>
      <c r="M306" s="530">
        <v>0</v>
      </c>
      <c r="N306" s="530">
        <v>0</v>
      </c>
      <c r="O306" s="530">
        <v>0</v>
      </c>
      <c r="P306" s="530">
        <v>0</v>
      </c>
      <c r="Q306" s="530">
        <v>0</v>
      </c>
    </row>
    <row r="307" spans="1:17" x14ac:dyDescent="0.25">
      <c r="A307" s="513">
        <v>66102</v>
      </c>
      <c r="B307" s="413" t="s">
        <v>676</v>
      </c>
      <c r="C307" s="1168">
        <v>0</v>
      </c>
      <c r="D307" s="1168">
        <v>0</v>
      </c>
      <c r="E307" s="1168">
        <v>0</v>
      </c>
      <c r="F307" s="1168">
        <v>0</v>
      </c>
      <c r="G307" s="1168">
        <v>0</v>
      </c>
      <c r="H307" s="1168">
        <v>0</v>
      </c>
      <c r="I307" s="1168">
        <v>0</v>
      </c>
      <c r="J307" s="1168">
        <v>0</v>
      </c>
      <c r="K307" s="1168">
        <v>0</v>
      </c>
      <c r="L307" s="1168">
        <v>0</v>
      </c>
      <c r="M307" s="1168">
        <v>0</v>
      </c>
      <c r="N307" s="1168">
        <v>0</v>
      </c>
      <c r="O307" s="1168">
        <v>0</v>
      </c>
      <c r="P307" s="1168">
        <v>0</v>
      </c>
      <c r="Q307" s="1168">
        <v>0</v>
      </c>
    </row>
    <row r="308" spans="1:17" x14ac:dyDescent="0.25">
      <c r="A308" s="513">
        <v>66104</v>
      </c>
      <c r="B308" s="413" t="s">
        <v>677</v>
      </c>
      <c r="C308" s="530">
        <v>0</v>
      </c>
      <c r="D308" s="530">
        <v>0</v>
      </c>
      <c r="E308" s="530">
        <v>0</v>
      </c>
      <c r="F308" s="530">
        <v>0</v>
      </c>
      <c r="G308" s="530">
        <v>0</v>
      </c>
      <c r="H308" s="530">
        <v>0</v>
      </c>
      <c r="I308" s="530">
        <v>0</v>
      </c>
      <c r="J308" s="530">
        <v>0</v>
      </c>
      <c r="K308" s="530">
        <v>0</v>
      </c>
      <c r="L308" s="530">
        <v>0</v>
      </c>
      <c r="M308" s="530">
        <v>0</v>
      </c>
      <c r="N308" s="530">
        <v>0</v>
      </c>
      <c r="O308" s="530">
        <v>0</v>
      </c>
      <c r="P308" s="530">
        <v>0</v>
      </c>
      <c r="Q308" s="530">
        <v>0</v>
      </c>
    </row>
    <row r="309" spans="1:17" x14ac:dyDescent="0.25">
      <c r="A309" s="513">
        <v>66106</v>
      </c>
      <c r="B309" s="529" t="s">
        <v>678</v>
      </c>
      <c r="C309" s="530">
        <v>0</v>
      </c>
      <c r="D309" s="530">
        <v>0</v>
      </c>
      <c r="E309" s="530">
        <v>0</v>
      </c>
      <c r="F309" s="530">
        <v>0</v>
      </c>
      <c r="G309" s="530">
        <v>0</v>
      </c>
      <c r="H309" s="530">
        <v>0</v>
      </c>
      <c r="I309" s="530">
        <v>0</v>
      </c>
      <c r="J309" s="530">
        <v>0</v>
      </c>
      <c r="K309" s="530">
        <v>0</v>
      </c>
      <c r="L309" s="530">
        <v>0</v>
      </c>
      <c r="M309" s="530">
        <v>0</v>
      </c>
      <c r="N309" s="530">
        <v>0</v>
      </c>
      <c r="O309" s="530">
        <v>0</v>
      </c>
      <c r="P309" s="530">
        <v>0</v>
      </c>
      <c r="Q309" s="530">
        <v>0</v>
      </c>
    </row>
    <row r="310" spans="1:17" x14ac:dyDescent="0.25">
      <c r="A310" s="513">
        <v>66108</v>
      </c>
      <c r="B310" s="529" t="s">
        <v>679</v>
      </c>
      <c r="C310" s="530">
        <v>0</v>
      </c>
      <c r="D310" s="530">
        <v>0</v>
      </c>
      <c r="E310" s="530">
        <v>0</v>
      </c>
      <c r="F310" s="530">
        <v>0</v>
      </c>
      <c r="G310" s="530">
        <v>0</v>
      </c>
      <c r="H310" s="530">
        <v>0</v>
      </c>
      <c r="I310" s="530">
        <v>0</v>
      </c>
      <c r="J310" s="530">
        <v>0</v>
      </c>
      <c r="K310" s="530">
        <v>0</v>
      </c>
      <c r="L310" s="530">
        <v>0</v>
      </c>
      <c r="M310" s="530">
        <v>0</v>
      </c>
      <c r="N310" s="530">
        <v>0</v>
      </c>
      <c r="O310" s="530">
        <v>0</v>
      </c>
      <c r="P310" s="530">
        <v>0</v>
      </c>
      <c r="Q310" s="530">
        <v>0</v>
      </c>
    </row>
    <row r="311" spans="1:17" x14ac:dyDescent="0.25">
      <c r="A311" s="513">
        <v>66110</v>
      </c>
      <c r="B311" s="529" t="s">
        <v>680</v>
      </c>
      <c r="C311" s="530">
        <v>0</v>
      </c>
      <c r="D311" s="530">
        <v>0</v>
      </c>
      <c r="E311" s="530">
        <v>0</v>
      </c>
      <c r="F311" s="530">
        <v>0</v>
      </c>
      <c r="G311" s="530">
        <v>0</v>
      </c>
      <c r="H311" s="530">
        <v>0</v>
      </c>
      <c r="I311" s="530">
        <v>0</v>
      </c>
      <c r="J311" s="530">
        <v>0</v>
      </c>
      <c r="K311" s="530">
        <v>0</v>
      </c>
      <c r="L311" s="530">
        <v>0</v>
      </c>
      <c r="M311" s="530">
        <v>0</v>
      </c>
      <c r="N311" s="530">
        <v>0</v>
      </c>
      <c r="O311" s="530">
        <v>0</v>
      </c>
      <c r="P311" s="530">
        <v>0</v>
      </c>
      <c r="Q311" s="530">
        <v>0</v>
      </c>
    </row>
    <row r="312" spans="1:17" x14ac:dyDescent="0.25">
      <c r="A312" s="513">
        <v>66112</v>
      </c>
      <c r="B312" s="413" t="s">
        <v>681</v>
      </c>
      <c r="C312" s="530">
        <v>1020</v>
      </c>
      <c r="D312" s="530">
        <v>0</v>
      </c>
      <c r="E312" s="530">
        <v>0</v>
      </c>
      <c r="F312" s="530">
        <v>0</v>
      </c>
      <c r="G312" s="530">
        <v>0</v>
      </c>
      <c r="H312" s="530">
        <v>44516.66</v>
      </c>
      <c r="I312" s="530">
        <v>0</v>
      </c>
      <c r="J312" s="530">
        <v>1125.1299999999999</v>
      </c>
      <c r="K312" s="530">
        <v>6800.67</v>
      </c>
      <c r="L312" s="530">
        <v>-3145</v>
      </c>
      <c r="M312" s="530">
        <v>0</v>
      </c>
      <c r="N312" s="530">
        <v>0</v>
      </c>
      <c r="O312" s="530">
        <v>0</v>
      </c>
      <c r="P312" s="530">
        <v>0</v>
      </c>
      <c r="Q312" s="530">
        <v>0</v>
      </c>
    </row>
    <row r="313" spans="1:17" x14ac:dyDescent="0.25">
      <c r="A313" s="513">
        <v>66114</v>
      </c>
      <c r="B313" s="529" t="s">
        <v>682</v>
      </c>
      <c r="C313" s="530">
        <v>0</v>
      </c>
      <c r="D313" s="530">
        <v>0</v>
      </c>
      <c r="E313" s="530">
        <v>0</v>
      </c>
      <c r="F313" s="530">
        <v>0</v>
      </c>
      <c r="G313" s="530">
        <v>0</v>
      </c>
      <c r="H313" s="530">
        <v>0</v>
      </c>
      <c r="I313" s="530">
        <v>0</v>
      </c>
      <c r="J313" s="530">
        <v>0</v>
      </c>
      <c r="K313" s="530">
        <v>0</v>
      </c>
      <c r="L313" s="530">
        <v>0</v>
      </c>
      <c r="M313" s="530">
        <v>0</v>
      </c>
      <c r="N313" s="530">
        <v>0</v>
      </c>
      <c r="O313" s="530">
        <v>0</v>
      </c>
      <c r="P313" s="530">
        <v>0</v>
      </c>
      <c r="Q313" s="530">
        <v>0</v>
      </c>
    </row>
    <row r="314" spans="1:17" x14ac:dyDescent="0.25">
      <c r="A314" s="513">
        <v>66118</v>
      </c>
      <c r="B314" s="529" t="s">
        <v>683</v>
      </c>
      <c r="C314" s="530">
        <v>0</v>
      </c>
      <c r="D314" s="530">
        <v>0</v>
      </c>
      <c r="E314" s="530">
        <v>0</v>
      </c>
      <c r="F314" s="530">
        <v>0</v>
      </c>
      <c r="G314" s="530">
        <v>0</v>
      </c>
      <c r="H314" s="530">
        <v>0</v>
      </c>
      <c r="I314" s="530">
        <v>0</v>
      </c>
      <c r="J314" s="530">
        <v>0</v>
      </c>
      <c r="K314" s="530">
        <v>0</v>
      </c>
      <c r="L314" s="530">
        <v>0</v>
      </c>
      <c r="M314" s="530">
        <v>0</v>
      </c>
      <c r="N314" s="530">
        <v>0</v>
      </c>
      <c r="O314" s="530">
        <v>0</v>
      </c>
      <c r="P314" s="530">
        <v>0</v>
      </c>
      <c r="Q314" s="530">
        <v>0</v>
      </c>
    </row>
    <row r="315" spans="1:17" x14ac:dyDescent="0.25">
      <c r="A315" s="513">
        <v>66122</v>
      </c>
      <c r="B315" s="529" t="s">
        <v>684</v>
      </c>
      <c r="C315" s="530">
        <v>983.34</v>
      </c>
      <c r="D315" s="530">
        <v>0</v>
      </c>
      <c r="E315" s="530">
        <v>0</v>
      </c>
      <c r="F315" s="530">
        <v>0</v>
      </c>
      <c r="G315" s="530">
        <v>0</v>
      </c>
      <c r="H315" s="530">
        <v>0</v>
      </c>
      <c r="I315" s="530">
        <v>0</v>
      </c>
      <c r="J315" s="530">
        <v>0</v>
      </c>
      <c r="K315" s="530">
        <v>0</v>
      </c>
      <c r="L315" s="530">
        <v>0</v>
      </c>
      <c r="M315" s="530">
        <v>0</v>
      </c>
      <c r="N315" s="530">
        <v>0</v>
      </c>
      <c r="O315" s="530">
        <v>0</v>
      </c>
      <c r="P315" s="530">
        <v>0</v>
      </c>
      <c r="Q315" s="530">
        <v>0</v>
      </c>
    </row>
    <row r="316" spans="1:17" x14ac:dyDescent="0.25">
      <c r="A316" s="513">
        <v>66140</v>
      </c>
      <c r="B316" s="529" t="s">
        <v>690</v>
      </c>
      <c r="C316" s="530">
        <v>-30476.37</v>
      </c>
      <c r="D316" s="530">
        <v>0</v>
      </c>
      <c r="E316" s="530">
        <v>0</v>
      </c>
      <c r="F316" s="530">
        <v>0</v>
      </c>
      <c r="G316" s="530">
        <v>446.62</v>
      </c>
      <c r="H316" s="530">
        <v>156.5</v>
      </c>
      <c r="I316" s="530">
        <v>0</v>
      </c>
      <c r="J316" s="530">
        <v>0</v>
      </c>
      <c r="K316" s="530">
        <v>0</v>
      </c>
      <c r="L316" s="530">
        <v>0</v>
      </c>
      <c r="M316" s="530">
        <v>1795.1200000000001</v>
      </c>
      <c r="N316" s="530">
        <v>2396.5099999999998</v>
      </c>
      <c r="O316" s="530">
        <v>0</v>
      </c>
      <c r="P316" s="530">
        <v>0</v>
      </c>
      <c r="Q316" s="530">
        <v>0</v>
      </c>
    </row>
    <row r="317" spans="1:17" x14ac:dyDescent="0.25">
      <c r="A317" s="513">
        <v>66141</v>
      </c>
      <c r="B317" s="529" t="s">
        <v>1087</v>
      </c>
      <c r="C317" s="530">
        <v>0</v>
      </c>
      <c r="D317" s="530">
        <v>0</v>
      </c>
      <c r="E317" s="530">
        <v>0</v>
      </c>
      <c r="F317" s="530">
        <v>0</v>
      </c>
      <c r="G317" s="530">
        <v>0</v>
      </c>
      <c r="H317" s="530">
        <v>0</v>
      </c>
      <c r="I317" s="530">
        <v>0</v>
      </c>
      <c r="J317" s="530">
        <v>0</v>
      </c>
      <c r="K317" s="530">
        <v>0</v>
      </c>
      <c r="L317" s="530">
        <v>0</v>
      </c>
      <c r="M317" s="530">
        <v>0</v>
      </c>
      <c r="N317" s="530">
        <v>0</v>
      </c>
      <c r="O317" s="530">
        <v>0</v>
      </c>
      <c r="P317" s="530">
        <v>0</v>
      </c>
      <c r="Q317" s="530">
        <v>0</v>
      </c>
    </row>
    <row r="318" spans="1:17" x14ac:dyDescent="0.25">
      <c r="A318" s="513">
        <v>66154</v>
      </c>
      <c r="B318" s="529" t="s">
        <v>693</v>
      </c>
      <c r="C318" s="530">
        <v>0</v>
      </c>
      <c r="D318" s="530">
        <v>0</v>
      </c>
      <c r="E318" s="530">
        <v>0</v>
      </c>
      <c r="F318" s="530">
        <v>0</v>
      </c>
      <c r="G318" s="530">
        <v>0</v>
      </c>
      <c r="H318" s="530">
        <v>0</v>
      </c>
      <c r="I318" s="530">
        <v>0</v>
      </c>
      <c r="J318" s="530">
        <v>0</v>
      </c>
      <c r="K318" s="530">
        <v>0</v>
      </c>
      <c r="L318" s="530">
        <v>0</v>
      </c>
      <c r="M318" s="530">
        <v>0</v>
      </c>
      <c r="N318" s="530">
        <v>0</v>
      </c>
      <c r="O318" s="530">
        <v>0</v>
      </c>
      <c r="P318" s="530">
        <v>0</v>
      </c>
      <c r="Q318" s="530">
        <v>0</v>
      </c>
    </row>
    <row r="319" spans="1:17" x14ac:dyDescent="0.25">
      <c r="A319" s="513" t="s">
        <v>703</v>
      </c>
      <c r="B319" s="529" t="s">
        <v>704</v>
      </c>
      <c r="C319" s="530">
        <v>0</v>
      </c>
      <c r="D319" s="530">
        <v>0</v>
      </c>
      <c r="E319" s="530">
        <v>0</v>
      </c>
      <c r="F319" s="530">
        <v>0</v>
      </c>
      <c r="G319" s="530">
        <v>0</v>
      </c>
      <c r="H319" s="530">
        <v>37.5</v>
      </c>
      <c r="I319" s="530">
        <v>0</v>
      </c>
      <c r="J319" s="530">
        <v>0</v>
      </c>
      <c r="K319" s="530">
        <v>0</v>
      </c>
      <c r="L319" s="530">
        <v>0</v>
      </c>
      <c r="M319" s="530">
        <v>0</v>
      </c>
      <c r="N319" s="530">
        <v>0</v>
      </c>
      <c r="O319" s="530">
        <v>0</v>
      </c>
      <c r="P319" s="530">
        <v>0</v>
      </c>
      <c r="Q319" s="530">
        <v>0</v>
      </c>
    </row>
    <row r="320" spans="1:17" x14ac:dyDescent="0.25">
      <c r="A320" s="513">
        <v>66172</v>
      </c>
      <c r="B320" s="529" t="s">
        <v>705</v>
      </c>
      <c r="C320" s="530">
        <v>0</v>
      </c>
      <c r="D320" s="530">
        <v>0</v>
      </c>
      <c r="E320" s="530">
        <v>0</v>
      </c>
      <c r="F320" s="530">
        <v>0</v>
      </c>
      <c r="G320" s="530">
        <v>0</v>
      </c>
      <c r="H320" s="530">
        <v>7.77</v>
      </c>
      <c r="I320" s="530">
        <v>0</v>
      </c>
      <c r="J320" s="530">
        <v>0</v>
      </c>
      <c r="K320" s="530">
        <v>0</v>
      </c>
      <c r="L320" s="530">
        <v>0</v>
      </c>
      <c r="M320" s="530">
        <v>0</v>
      </c>
      <c r="N320" s="530">
        <v>0</v>
      </c>
      <c r="O320" s="530">
        <v>0</v>
      </c>
      <c r="P320" s="530">
        <v>0</v>
      </c>
      <c r="Q320" s="530">
        <v>0</v>
      </c>
    </row>
    <row r="321" spans="1:17" x14ac:dyDescent="0.25">
      <c r="A321" s="513">
        <v>66176</v>
      </c>
      <c r="B321" s="529" t="s">
        <v>706</v>
      </c>
      <c r="C321" s="530">
        <v>0</v>
      </c>
      <c r="D321" s="530">
        <v>0</v>
      </c>
      <c r="E321" s="530">
        <v>0</v>
      </c>
      <c r="F321" s="530">
        <v>0</v>
      </c>
      <c r="G321" s="530">
        <v>0</v>
      </c>
      <c r="H321" s="530">
        <v>0</v>
      </c>
      <c r="I321" s="530">
        <v>0</v>
      </c>
      <c r="J321" s="530">
        <v>0</v>
      </c>
      <c r="K321" s="530">
        <v>0</v>
      </c>
      <c r="L321" s="530">
        <v>0</v>
      </c>
      <c r="M321" s="530">
        <v>0</v>
      </c>
      <c r="N321" s="530">
        <v>0</v>
      </c>
      <c r="O321" s="530">
        <v>0</v>
      </c>
      <c r="P321" s="530">
        <v>0</v>
      </c>
      <c r="Q321" s="530">
        <v>0</v>
      </c>
    </row>
    <row r="322" spans="1:17" x14ac:dyDescent="0.25">
      <c r="A322" s="513">
        <v>66180</v>
      </c>
      <c r="B322" s="529" t="s">
        <v>707</v>
      </c>
      <c r="C322" s="530">
        <v>280.24</v>
      </c>
      <c r="D322" s="530">
        <v>0</v>
      </c>
      <c r="E322" s="530">
        <v>0</v>
      </c>
      <c r="F322" s="530">
        <v>0</v>
      </c>
      <c r="G322" s="530">
        <v>0</v>
      </c>
      <c r="H322" s="530">
        <v>585.04</v>
      </c>
      <c r="I322" s="530">
        <v>0</v>
      </c>
      <c r="J322" s="530">
        <v>0</v>
      </c>
      <c r="K322" s="530">
        <v>651.31000000000006</v>
      </c>
      <c r="L322" s="530">
        <v>0</v>
      </c>
      <c r="M322" s="530">
        <v>0</v>
      </c>
      <c r="N322" s="530">
        <v>280.24</v>
      </c>
      <c r="O322" s="530">
        <v>13.73</v>
      </c>
      <c r="P322" s="530">
        <v>0</v>
      </c>
      <c r="Q322" s="530">
        <v>0</v>
      </c>
    </row>
    <row r="323" spans="1:17" x14ac:dyDescent="0.25">
      <c r="A323" s="513">
        <v>66500</v>
      </c>
      <c r="B323" s="529" t="s">
        <v>721</v>
      </c>
      <c r="C323" s="530">
        <v>0</v>
      </c>
      <c r="D323" s="530">
        <v>0</v>
      </c>
      <c r="E323" s="530">
        <v>-1.25</v>
      </c>
      <c r="F323" s="530">
        <v>0</v>
      </c>
      <c r="G323" s="530">
        <v>81</v>
      </c>
      <c r="H323" s="530">
        <v>0.36</v>
      </c>
      <c r="I323" s="530">
        <v>0</v>
      </c>
      <c r="J323" s="530">
        <v>0</v>
      </c>
      <c r="K323" s="530">
        <v>0</v>
      </c>
      <c r="L323" s="530">
        <v>0</v>
      </c>
      <c r="M323" s="530">
        <v>0</v>
      </c>
      <c r="N323" s="530">
        <v>0</v>
      </c>
      <c r="O323" s="530">
        <v>0</v>
      </c>
      <c r="P323" s="530">
        <v>0</v>
      </c>
      <c r="Q323" s="530">
        <v>0</v>
      </c>
    </row>
    <row r="324" spans="1:17" x14ac:dyDescent="0.25">
      <c r="A324" s="513">
        <v>66501</v>
      </c>
      <c r="B324" s="529" t="s">
        <v>722</v>
      </c>
      <c r="C324" s="530">
        <v>0</v>
      </c>
      <c r="D324" s="530">
        <v>0</v>
      </c>
      <c r="E324" s="530">
        <v>0</v>
      </c>
      <c r="F324" s="530">
        <v>0</v>
      </c>
      <c r="G324" s="530">
        <v>0</v>
      </c>
      <c r="H324" s="530">
        <v>0</v>
      </c>
      <c r="I324" s="530">
        <v>0</v>
      </c>
      <c r="J324" s="530">
        <v>0</v>
      </c>
      <c r="K324" s="530">
        <v>0</v>
      </c>
      <c r="L324" s="530">
        <v>0</v>
      </c>
      <c r="M324" s="530">
        <v>0</v>
      </c>
      <c r="N324" s="530">
        <v>0</v>
      </c>
      <c r="O324" s="530">
        <v>0</v>
      </c>
      <c r="P324" s="530">
        <v>0</v>
      </c>
      <c r="Q324" s="530">
        <v>0</v>
      </c>
    </row>
    <row r="325" spans="1:17" x14ac:dyDescent="0.25">
      <c r="A325" s="513">
        <v>66582</v>
      </c>
      <c r="B325" s="529" t="s">
        <v>724</v>
      </c>
      <c r="C325" s="530">
        <v>0</v>
      </c>
      <c r="D325" s="530">
        <v>0</v>
      </c>
      <c r="E325" s="530">
        <v>0</v>
      </c>
      <c r="F325" s="530">
        <v>0</v>
      </c>
      <c r="G325" s="530">
        <v>0</v>
      </c>
      <c r="H325" s="530">
        <v>0</v>
      </c>
      <c r="I325" s="530">
        <v>0</v>
      </c>
      <c r="J325" s="530">
        <v>0</v>
      </c>
      <c r="K325" s="530">
        <v>0</v>
      </c>
      <c r="L325" s="530">
        <v>0</v>
      </c>
      <c r="M325" s="530">
        <v>0</v>
      </c>
      <c r="N325" s="530">
        <v>0</v>
      </c>
      <c r="O325" s="530">
        <v>0</v>
      </c>
      <c r="P325" s="530">
        <v>0</v>
      </c>
      <c r="Q325" s="530">
        <v>0</v>
      </c>
    </row>
    <row r="326" spans="1:17" x14ac:dyDescent="0.25">
      <c r="A326" s="513">
        <v>66583</v>
      </c>
      <c r="B326" s="529" t="s">
        <v>725</v>
      </c>
      <c r="C326" s="530">
        <v>0</v>
      </c>
      <c r="D326" s="530">
        <v>0</v>
      </c>
      <c r="E326" s="530">
        <v>0</v>
      </c>
      <c r="F326" s="530">
        <v>0</v>
      </c>
      <c r="G326" s="530">
        <v>0</v>
      </c>
      <c r="H326" s="530">
        <v>0</v>
      </c>
      <c r="I326" s="530">
        <v>0</v>
      </c>
      <c r="J326" s="530">
        <v>0</v>
      </c>
      <c r="K326" s="530">
        <v>0</v>
      </c>
      <c r="L326" s="530">
        <v>0</v>
      </c>
      <c r="M326" s="530">
        <v>0</v>
      </c>
      <c r="N326" s="530">
        <v>0</v>
      </c>
      <c r="O326" s="530">
        <v>0</v>
      </c>
      <c r="P326" s="530">
        <v>0</v>
      </c>
      <c r="Q326" s="530">
        <v>0</v>
      </c>
    </row>
    <row r="327" spans="1:17" x14ac:dyDescent="0.25">
      <c r="A327" s="513">
        <v>66585</v>
      </c>
      <c r="B327" s="529" t="s">
        <v>726</v>
      </c>
      <c r="C327" s="530">
        <v>0</v>
      </c>
      <c r="D327" s="530">
        <v>0</v>
      </c>
      <c r="E327" s="530">
        <v>0</v>
      </c>
      <c r="F327" s="530">
        <v>0</v>
      </c>
      <c r="G327" s="530">
        <v>0</v>
      </c>
      <c r="H327" s="530">
        <v>0</v>
      </c>
      <c r="I327" s="530">
        <v>0</v>
      </c>
      <c r="J327" s="530">
        <v>0</v>
      </c>
      <c r="K327" s="530">
        <v>0</v>
      </c>
      <c r="L327" s="530">
        <v>0</v>
      </c>
      <c r="M327" s="530">
        <v>0</v>
      </c>
      <c r="N327" s="530">
        <v>0</v>
      </c>
      <c r="O327" s="530">
        <v>0</v>
      </c>
      <c r="P327" s="530">
        <v>0</v>
      </c>
      <c r="Q327" s="530">
        <v>0</v>
      </c>
    </row>
    <row r="328" spans="1:17" ht="15.75" thickBot="1" x14ac:dyDescent="0.3"/>
    <row r="329" spans="1:17" x14ac:dyDescent="0.25">
      <c r="B329" s="1169" t="s">
        <v>1088</v>
      </c>
      <c r="C329" s="1175">
        <f t="shared" ref="C329:Q329" si="49">SUM(C297:C328)</f>
        <v>-28034.3</v>
      </c>
      <c r="D329" s="1175">
        <f t="shared" si="49"/>
        <v>0</v>
      </c>
      <c r="E329" s="1175">
        <f t="shared" si="49"/>
        <v>-1.25</v>
      </c>
      <c r="F329" s="1175">
        <f t="shared" si="49"/>
        <v>0</v>
      </c>
      <c r="G329" s="1175">
        <f t="shared" si="49"/>
        <v>527.62</v>
      </c>
      <c r="H329" s="1175">
        <f t="shared" si="49"/>
        <v>45632.959999999999</v>
      </c>
      <c r="I329" s="1175">
        <f t="shared" si="49"/>
        <v>0</v>
      </c>
      <c r="J329" s="1175">
        <f t="shared" si="49"/>
        <v>1125.1299999999999</v>
      </c>
      <c r="K329" s="1175">
        <f t="shared" si="49"/>
        <v>7451.9800000000005</v>
      </c>
      <c r="L329" s="1175">
        <f t="shared" si="49"/>
        <v>-3145</v>
      </c>
      <c r="M329" s="1175">
        <f t="shared" si="49"/>
        <v>1795.1200000000001</v>
      </c>
      <c r="N329" s="1175">
        <f t="shared" si="49"/>
        <v>2752.2299999999996</v>
      </c>
      <c r="O329" s="1175">
        <f t="shared" si="49"/>
        <v>13.73</v>
      </c>
      <c r="P329" s="1175">
        <f t="shared" si="49"/>
        <v>0</v>
      </c>
      <c r="Q329" s="1176">
        <f t="shared" si="49"/>
        <v>0</v>
      </c>
    </row>
    <row r="330" spans="1:17" ht="15.75" thickBot="1" x14ac:dyDescent="0.3">
      <c r="B330" s="1172" t="s">
        <v>344</v>
      </c>
      <c r="C330" s="1177">
        <f t="shared" ref="C330:Q330" si="50">C329/1000</f>
        <v>-28.034299999999998</v>
      </c>
      <c r="D330" s="1177">
        <f t="shared" si="50"/>
        <v>0</v>
      </c>
      <c r="E330" s="1177">
        <f t="shared" si="50"/>
        <v>-1.25E-3</v>
      </c>
      <c r="F330" s="1177">
        <f t="shared" si="50"/>
        <v>0</v>
      </c>
      <c r="G330" s="1177">
        <f t="shared" si="50"/>
        <v>0.52761999999999998</v>
      </c>
      <c r="H330" s="1177">
        <f t="shared" si="50"/>
        <v>45.632959999999997</v>
      </c>
      <c r="I330" s="1177">
        <f t="shared" si="50"/>
        <v>0</v>
      </c>
      <c r="J330" s="1177">
        <f t="shared" si="50"/>
        <v>1.12513</v>
      </c>
      <c r="K330" s="1177">
        <f t="shared" si="50"/>
        <v>7.4519800000000007</v>
      </c>
      <c r="L330" s="1177">
        <f t="shared" si="50"/>
        <v>-3.145</v>
      </c>
      <c r="M330" s="1177">
        <f t="shared" si="50"/>
        <v>1.79512</v>
      </c>
      <c r="N330" s="1177">
        <f t="shared" si="50"/>
        <v>2.7522299999999995</v>
      </c>
      <c r="O330" s="1177">
        <f t="shared" si="50"/>
        <v>1.3730000000000001E-2</v>
      </c>
      <c r="P330" s="1177">
        <f t="shared" si="50"/>
        <v>0</v>
      </c>
      <c r="Q330" s="1178">
        <f t="shared" si="50"/>
        <v>0</v>
      </c>
    </row>
    <row r="334" spans="1:17" x14ac:dyDescent="0.25">
      <c r="B334" s="413" t="s">
        <v>1089</v>
      </c>
    </row>
    <row r="335" spans="1:17" x14ac:dyDescent="0.25">
      <c r="A335" s="513">
        <v>66126</v>
      </c>
      <c r="B335" s="529" t="s">
        <v>685</v>
      </c>
      <c r="C335" s="530">
        <v>0</v>
      </c>
      <c r="D335" s="530">
        <v>0</v>
      </c>
      <c r="E335" s="530">
        <v>0</v>
      </c>
      <c r="F335" s="530">
        <v>0</v>
      </c>
      <c r="G335" s="530">
        <v>0</v>
      </c>
      <c r="H335" s="530">
        <v>0</v>
      </c>
      <c r="I335" s="530">
        <v>0</v>
      </c>
      <c r="J335" s="530">
        <v>0</v>
      </c>
      <c r="K335" s="530">
        <v>0</v>
      </c>
      <c r="L335" s="530">
        <v>0</v>
      </c>
      <c r="M335" s="530">
        <v>0</v>
      </c>
      <c r="N335" s="530">
        <v>0</v>
      </c>
      <c r="O335" s="530">
        <v>0</v>
      </c>
      <c r="P335" s="530">
        <v>0</v>
      </c>
      <c r="Q335" s="530">
        <v>0</v>
      </c>
    </row>
    <row r="336" spans="1:17" x14ac:dyDescent="0.25">
      <c r="A336" s="513">
        <v>66127</v>
      </c>
      <c r="B336" s="529" t="s">
        <v>686</v>
      </c>
      <c r="C336" s="530">
        <v>34</v>
      </c>
      <c r="D336" s="530">
        <v>0</v>
      </c>
      <c r="E336" s="530">
        <v>0</v>
      </c>
      <c r="F336" s="530">
        <v>0</v>
      </c>
      <c r="G336" s="530">
        <v>0</v>
      </c>
      <c r="H336" s="530">
        <v>0</v>
      </c>
      <c r="I336" s="530">
        <v>0</v>
      </c>
      <c r="J336" s="530">
        <v>0</v>
      </c>
      <c r="K336" s="530">
        <v>0</v>
      </c>
      <c r="L336" s="530">
        <v>0</v>
      </c>
      <c r="M336" s="530">
        <v>0</v>
      </c>
      <c r="N336" s="530">
        <v>0</v>
      </c>
      <c r="O336" s="530">
        <v>0</v>
      </c>
      <c r="P336" s="530">
        <v>0</v>
      </c>
      <c r="Q336" s="530">
        <v>0</v>
      </c>
    </row>
  </sheetData>
  <pageMargins left="0.75" right="0.75" top="1" bottom="1" header="0.5" footer="0.5"/>
  <pageSetup orientation="landscape" r:id="rId1"/>
  <headerFooter alignWithMargins="0">
    <oddHeader>&amp;R&amp;D
akim
Page &amp;P</oddHead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39"/>
  <sheetViews>
    <sheetView topLeftCell="B2" workbookViewId="0">
      <selection activeCell="B2" sqref="B2"/>
    </sheetView>
  </sheetViews>
  <sheetFormatPr defaultRowHeight="12.75" x14ac:dyDescent="0.2"/>
  <cols>
    <col min="1" max="1" width="14.7109375" style="413" hidden="1" customWidth="1"/>
    <col min="2" max="2" width="12.140625" style="413" bestFit="1" customWidth="1"/>
    <col min="3" max="3" width="13.7109375" style="413" customWidth="1"/>
    <col min="4" max="4" width="43.42578125" style="413" bestFit="1" customWidth="1"/>
    <col min="5" max="5" width="15.7109375" style="413" customWidth="1"/>
    <col min="6" max="7" width="14.28515625" style="413" customWidth="1"/>
    <col min="8" max="8" width="9.140625" style="413" bestFit="1" customWidth="1"/>
    <col min="9" max="16384" width="9.140625" style="413"/>
  </cols>
  <sheetData>
    <row r="1" spans="1:9" hidden="1" x14ac:dyDescent="0.2">
      <c r="A1" s="413" t="s">
        <v>1099</v>
      </c>
      <c r="B1" s="583" t="s">
        <v>789</v>
      </c>
      <c r="C1" s="583"/>
      <c r="D1" s="583" t="s">
        <v>789</v>
      </c>
      <c r="E1" s="583"/>
      <c r="H1" s="413" t="s">
        <v>789</v>
      </c>
      <c r="I1" s="413" t="s">
        <v>789</v>
      </c>
    </row>
    <row r="2" spans="1:9" x14ac:dyDescent="0.2">
      <c r="B2" s="415" t="s">
        <v>783</v>
      </c>
      <c r="C2" s="415" t="s">
        <v>790</v>
      </c>
    </row>
    <row r="3" spans="1:9" x14ac:dyDescent="0.2">
      <c r="B3" s="415" t="s">
        <v>792</v>
      </c>
    </row>
    <row r="4" spans="1:9" s="415" customFormat="1" x14ac:dyDescent="0.2">
      <c r="B4" s="415" t="s">
        <v>791</v>
      </c>
      <c r="C4" s="415">
        <v>48095</v>
      </c>
      <c r="D4" s="415" t="s">
        <v>550</v>
      </c>
    </row>
    <row r="5" spans="1:9" s="527" customFormat="1" x14ac:dyDescent="0.2">
      <c r="F5" s="527" t="s">
        <v>166</v>
      </c>
      <c r="G5" s="527" t="s">
        <v>167</v>
      </c>
    </row>
    <row r="6" spans="1:9" s="584" customFormat="1" ht="51" customHeight="1" x14ac:dyDescent="0.2">
      <c r="B6" s="1194" t="s">
        <v>793</v>
      </c>
      <c r="C6" s="1194" t="s">
        <v>794</v>
      </c>
      <c r="D6" s="1194" t="s">
        <v>795</v>
      </c>
      <c r="E6" s="1194" t="s">
        <v>518</v>
      </c>
      <c r="F6" s="1195" t="s">
        <v>796</v>
      </c>
      <c r="G6" s="1195" t="s">
        <v>797</v>
      </c>
      <c r="H6" s="1194" t="s">
        <v>798</v>
      </c>
      <c r="I6" s="1194" t="s">
        <v>799</v>
      </c>
    </row>
    <row r="7" spans="1:9" ht="15" x14ac:dyDescent="0.25">
      <c r="B7" s="585">
        <v>43874</v>
      </c>
      <c r="C7" s="585">
        <v>43874</v>
      </c>
      <c r="D7" s="414" t="s">
        <v>1100</v>
      </c>
      <c r="E7" s="413" t="s">
        <v>800</v>
      </c>
      <c r="F7" s="414">
        <v>-15000</v>
      </c>
      <c r="G7" s="414">
        <v>-19630.5</v>
      </c>
      <c r="H7" s="413" t="s">
        <v>1101</v>
      </c>
      <c r="I7" s="413">
        <v>19747</v>
      </c>
    </row>
    <row r="8" spans="1:9" ht="15" x14ac:dyDescent="0.25">
      <c r="B8" s="585">
        <v>43874</v>
      </c>
      <c r="C8" s="585">
        <v>43874</v>
      </c>
      <c r="D8" s="414" t="s">
        <v>1102</v>
      </c>
      <c r="E8" s="413" t="s">
        <v>800</v>
      </c>
      <c r="F8" s="414">
        <v>-10625</v>
      </c>
      <c r="G8" s="414">
        <v>-13904.94</v>
      </c>
      <c r="H8" s="413" t="s">
        <v>1101</v>
      </c>
      <c r="I8" s="413">
        <v>19748</v>
      </c>
    </row>
    <row r="9" spans="1:9" ht="15" x14ac:dyDescent="0.25">
      <c r="B9" s="585">
        <v>43874</v>
      </c>
      <c r="C9" s="585">
        <v>43874</v>
      </c>
      <c r="D9" s="414" t="s">
        <v>1103</v>
      </c>
      <c r="E9" s="413" t="s">
        <v>800</v>
      </c>
      <c r="F9" s="414">
        <v>-13125</v>
      </c>
      <c r="G9" s="414">
        <v>-17176.689999999999</v>
      </c>
      <c r="H9" s="413" t="s">
        <v>1101</v>
      </c>
      <c r="I9" s="413">
        <v>19749</v>
      </c>
    </row>
    <row r="10" spans="1:9" ht="15" x14ac:dyDescent="0.25">
      <c r="B10" s="585">
        <v>43874</v>
      </c>
      <c r="C10" s="585">
        <v>43874</v>
      </c>
      <c r="D10" s="414" t="s">
        <v>1104</v>
      </c>
      <c r="E10" s="413" t="s">
        <v>800</v>
      </c>
      <c r="F10" s="414">
        <v>-11250</v>
      </c>
      <c r="G10" s="414">
        <v>-14722.88</v>
      </c>
      <c r="H10" s="413" t="s">
        <v>1101</v>
      </c>
      <c r="I10" s="413">
        <v>19750</v>
      </c>
    </row>
    <row r="11" spans="1:9" ht="15" x14ac:dyDescent="0.25">
      <c r="B11" s="585">
        <v>43874</v>
      </c>
      <c r="C11" s="585">
        <v>43874</v>
      </c>
      <c r="D11" s="414" t="s">
        <v>1105</v>
      </c>
      <c r="E11" s="413" t="s">
        <v>800</v>
      </c>
      <c r="F11" s="414">
        <v>-10625</v>
      </c>
      <c r="G11" s="414">
        <v>-13904.94</v>
      </c>
      <c r="H11" s="413" t="s">
        <v>1101</v>
      </c>
      <c r="I11" s="413">
        <v>19751</v>
      </c>
    </row>
    <row r="12" spans="1:9" ht="15" x14ac:dyDescent="0.25">
      <c r="B12" s="585">
        <v>43874</v>
      </c>
      <c r="C12" s="585">
        <v>43874</v>
      </c>
      <c r="D12" s="414" t="s">
        <v>1105</v>
      </c>
      <c r="E12" s="413" t="s">
        <v>800</v>
      </c>
      <c r="F12" s="414">
        <v>10625</v>
      </c>
      <c r="G12" s="414">
        <v>13904.94</v>
      </c>
      <c r="H12" s="413" t="s">
        <v>1101</v>
      </c>
      <c r="I12" s="413">
        <v>19813</v>
      </c>
    </row>
    <row r="13" spans="1:9" ht="15" x14ac:dyDescent="0.25">
      <c r="B13" s="585">
        <v>43874</v>
      </c>
      <c r="C13" s="585">
        <v>43874</v>
      </c>
      <c r="D13" s="414" t="s">
        <v>1104</v>
      </c>
      <c r="E13" s="413" t="s">
        <v>800</v>
      </c>
      <c r="F13" s="414">
        <v>11250</v>
      </c>
      <c r="G13" s="414">
        <v>14722.88</v>
      </c>
      <c r="H13" s="413" t="s">
        <v>1101</v>
      </c>
      <c r="I13" s="413">
        <v>19814</v>
      </c>
    </row>
    <row r="14" spans="1:9" ht="15" x14ac:dyDescent="0.25">
      <c r="B14" s="585">
        <v>43874</v>
      </c>
      <c r="C14" s="585">
        <v>43874</v>
      </c>
      <c r="D14" s="414" t="s">
        <v>1103</v>
      </c>
      <c r="E14" s="413" t="s">
        <v>800</v>
      </c>
      <c r="F14" s="414">
        <v>13125</v>
      </c>
      <c r="G14" s="414">
        <v>17176.689999999999</v>
      </c>
      <c r="H14" s="413" t="s">
        <v>1101</v>
      </c>
      <c r="I14" s="413">
        <v>19815</v>
      </c>
    </row>
    <row r="15" spans="1:9" ht="15" x14ac:dyDescent="0.25">
      <c r="B15" s="585">
        <v>43874</v>
      </c>
      <c r="C15" s="585">
        <v>43874</v>
      </c>
      <c r="D15" s="414" t="s">
        <v>1102</v>
      </c>
      <c r="E15" s="413" t="s">
        <v>800</v>
      </c>
      <c r="F15" s="414">
        <v>10625</v>
      </c>
      <c r="G15" s="414">
        <v>13904.94</v>
      </c>
      <c r="H15" s="413" t="s">
        <v>1101</v>
      </c>
      <c r="I15" s="413">
        <v>19816</v>
      </c>
    </row>
    <row r="16" spans="1:9" ht="15" x14ac:dyDescent="0.25">
      <c r="B16" s="585">
        <v>43874</v>
      </c>
      <c r="C16" s="585">
        <v>43874</v>
      </c>
      <c r="D16" s="414" t="s">
        <v>1100</v>
      </c>
      <c r="E16" s="413" t="s">
        <v>800</v>
      </c>
      <c r="F16" s="414">
        <v>15000</v>
      </c>
      <c r="G16" s="414">
        <v>19630.5</v>
      </c>
      <c r="H16" s="413" t="s">
        <v>1101</v>
      </c>
      <c r="I16" s="413">
        <v>19817</v>
      </c>
    </row>
    <row r="17" spans="2:9" ht="15" x14ac:dyDescent="0.25">
      <c r="B17" s="585">
        <v>43874</v>
      </c>
      <c r="C17" s="585">
        <v>43874</v>
      </c>
      <c r="D17" s="414" t="s">
        <v>1100</v>
      </c>
      <c r="E17" s="413" t="s">
        <v>800</v>
      </c>
      <c r="F17" s="414">
        <v>-15000</v>
      </c>
      <c r="G17" s="414">
        <v>-19630.5</v>
      </c>
      <c r="H17" s="413" t="s">
        <v>1101</v>
      </c>
      <c r="I17" s="413">
        <v>19820</v>
      </c>
    </row>
    <row r="18" spans="2:9" ht="15" x14ac:dyDescent="0.25">
      <c r="B18" s="585">
        <v>43874</v>
      </c>
      <c r="C18" s="585">
        <v>43874</v>
      </c>
      <c r="D18" s="414" t="s">
        <v>1102</v>
      </c>
      <c r="E18" s="413" t="s">
        <v>800</v>
      </c>
      <c r="F18" s="414">
        <v>-10625</v>
      </c>
      <c r="G18" s="414">
        <v>-13904.94</v>
      </c>
      <c r="H18" s="413" t="s">
        <v>1101</v>
      </c>
      <c r="I18" s="413">
        <v>19821</v>
      </c>
    </row>
    <row r="19" spans="2:9" ht="15" x14ac:dyDescent="0.25">
      <c r="B19" s="585">
        <v>43874</v>
      </c>
      <c r="C19" s="585">
        <v>43874</v>
      </c>
      <c r="D19" s="414" t="s">
        <v>1103</v>
      </c>
      <c r="E19" s="413" t="s">
        <v>800</v>
      </c>
      <c r="F19" s="414">
        <v>-13125</v>
      </c>
      <c r="G19" s="414">
        <v>-17176.689999999999</v>
      </c>
      <c r="H19" s="413" t="s">
        <v>1101</v>
      </c>
      <c r="I19" s="413">
        <v>19822</v>
      </c>
    </row>
    <row r="20" spans="2:9" ht="15" x14ac:dyDescent="0.25">
      <c r="B20" s="585">
        <v>43874</v>
      </c>
      <c r="C20" s="585">
        <v>43874</v>
      </c>
      <c r="D20" s="414" t="s">
        <v>1104</v>
      </c>
      <c r="E20" s="413" t="s">
        <v>800</v>
      </c>
      <c r="F20" s="414">
        <v>-11250</v>
      </c>
      <c r="G20" s="414">
        <v>-14722.88</v>
      </c>
      <c r="H20" s="413" t="s">
        <v>1101</v>
      </c>
      <c r="I20" s="413">
        <v>19823</v>
      </c>
    </row>
    <row r="21" spans="2:9" ht="15" x14ac:dyDescent="0.25">
      <c r="B21" s="585">
        <v>43874</v>
      </c>
      <c r="C21" s="585">
        <v>43874</v>
      </c>
      <c r="D21" s="414" t="s">
        <v>1105</v>
      </c>
      <c r="E21" s="413" t="s">
        <v>800</v>
      </c>
      <c r="F21" s="414">
        <v>-10625</v>
      </c>
      <c r="G21" s="414">
        <v>-13904.94</v>
      </c>
      <c r="H21" s="413" t="s">
        <v>1101</v>
      </c>
      <c r="I21" s="413">
        <v>19824</v>
      </c>
    </row>
    <row r="22" spans="2:9" ht="15" x14ac:dyDescent="0.25">
      <c r="B22" s="585">
        <v>43890</v>
      </c>
      <c r="C22" s="585">
        <v>43890</v>
      </c>
      <c r="D22" s="414" t="s">
        <v>1106</v>
      </c>
      <c r="E22" s="413" t="s">
        <v>800</v>
      </c>
      <c r="F22" s="414">
        <v>0</v>
      </c>
      <c r="G22" s="414">
        <v>-1206.43</v>
      </c>
      <c r="H22" s="413" t="s">
        <v>1101</v>
      </c>
      <c r="I22" s="413">
        <v>19827</v>
      </c>
    </row>
    <row r="23" spans="2:9" ht="15" x14ac:dyDescent="0.25">
      <c r="B23" s="585"/>
      <c r="C23" s="585"/>
      <c r="D23" s="414"/>
    </row>
    <row r="24" spans="2:9" ht="15.75" thickBot="1" x14ac:dyDescent="0.3">
      <c r="B24" s="585"/>
      <c r="C24" s="585"/>
      <c r="D24" s="414"/>
      <c r="F24" s="1196">
        <f>SUM(F7:F23)</f>
        <v>-60625</v>
      </c>
      <c r="G24" s="1196">
        <f>SUM(G7:G23)</f>
        <v>-80546.37999999999</v>
      </c>
    </row>
    <row r="25" spans="2:9" ht="15" x14ac:dyDescent="0.25">
      <c r="B25" s="585"/>
      <c r="C25" s="585"/>
      <c r="D25" s="414"/>
      <c r="E25" s="1197" t="s">
        <v>96</v>
      </c>
      <c r="F25" s="1198">
        <v>0</v>
      </c>
      <c r="G25" s="1198">
        <v>4.9999999901046976E-3</v>
      </c>
    </row>
    <row r="28" spans="2:9" s="415" customFormat="1" x14ac:dyDescent="0.2">
      <c r="B28" s="415" t="s">
        <v>783</v>
      </c>
      <c r="C28" s="415" t="s">
        <v>801</v>
      </c>
      <c r="D28" s="1199"/>
    </row>
    <row r="29" spans="2:9" s="415" customFormat="1" x14ac:dyDescent="0.2">
      <c r="B29" s="415" t="s">
        <v>792</v>
      </c>
    </row>
    <row r="30" spans="2:9" s="415" customFormat="1" x14ac:dyDescent="0.2">
      <c r="B30" s="415" t="s">
        <v>791</v>
      </c>
      <c r="C30" s="415">
        <v>48095</v>
      </c>
      <c r="D30" s="415" t="s">
        <v>550</v>
      </c>
    </row>
    <row r="31" spans="2:9" x14ac:dyDescent="0.2">
      <c r="B31" s="415"/>
      <c r="C31" s="415"/>
      <c r="F31" s="527" t="s">
        <v>166</v>
      </c>
      <c r="G31" s="527" t="s">
        <v>167</v>
      </c>
    </row>
    <row r="32" spans="2:9" s="584" customFormat="1" ht="51" customHeight="1" x14ac:dyDescent="0.2">
      <c r="B32" s="1194" t="s">
        <v>793</v>
      </c>
      <c r="C32" s="1194" t="s">
        <v>794</v>
      </c>
      <c r="D32" s="1194" t="s">
        <v>795</v>
      </c>
      <c r="E32" s="1194" t="s">
        <v>518</v>
      </c>
      <c r="F32" s="1195" t="s">
        <v>796</v>
      </c>
      <c r="G32" s="1195" t="s">
        <v>797</v>
      </c>
      <c r="H32" s="1194" t="s">
        <v>798</v>
      </c>
      <c r="I32" s="1194" t="s">
        <v>799</v>
      </c>
    </row>
    <row r="33" spans="2:9" ht="15" x14ac:dyDescent="0.25">
      <c r="B33" s="585">
        <v>43908</v>
      </c>
      <c r="C33" s="585">
        <v>43908</v>
      </c>
      <c r="D33" s="413" t="s">
        <v>1107</v>
      </c>
      <c r="E33" s="413" t="s">
        <v>800</v>
      </c>
      <c r="F33" s="414">
        <v>-31875</v>
      </c>
      <c r="G33" s="414">
        <v>-42349.120000000003</v>
      </c>
      <c r="H33" s="413" t="s">
        <v>1101</v>
      </c>
      <c r="I33" s="413">
        <v>124</v>
      </c>
    </row>
    <row r="34" spans="2:9" ht="15" x14ac:dyDescent="0.25">
      <c r="B34" s="585">
        <v>43921</v>
      </c>
      <c r="C34" s="585">
        <v>43921</v>
      </c>
      <c r="D34" s="413" t="s">
        <v>1108</v>
      </c>
      <c r="E34" s="413" t="s">
        <v>800</v>
      </c>
      <c r="F34" s="414">
        <v>0</v>
      </c>
      <c r="G34" s="414">
        <v>-2126.06</v>
      </c>
      <c r="H34" s="413" t="s">
        <v>1101</v>
      </c>
      <c r="I34" s="413">
        <v>134</v>
      </c>
    </row>
    <row r="35" spans="2:9" ht="15" x14ac:dyDescent="0.25">
      <c r="B35" s="585">
        <v>43921</v>
      </c>
      <c r="C35" s="585">
        <v>43921</v>
      </c>
      <c r="D35" s="413" t="s">
        <v>1108</v>
      </c>
      <c r="E35" s="413" t="s">
        <v>800</v>
      </c>
      <c r="F35" s="414">
        <v>0</v>
      </c>
      <c r="G35" s="414">
        <v>2126.06</v>
      </c>
      <c r="H35" s="413" t="s">
        <v>1101</v>
      </c>
      <c r="I35" s="413">
        <v>137</v>
      </c>
    </row>
    <row r="36" spans="2:9" ht="15" x14ac:dyDescent="0.25">
      <c r="B36" s="585">
        <v>43921</v>
      </c>
      <c r="C36" s="585">
        <v>43921</v>
      </c>
      <c r="D36" s="413" t="s">
        <v>1108</v>
      </c>
      <c r="E36" s="413" t="s">
        <v>800</v>
      </c>
      <c r="F36" s="414">
        <v>0</v>
      </c>
      <c r="G36" s="414">
        <v>-2126.06</v>
      </c>
      <c r="H36" s="413" t="s">
        <v>1101</v>
      </c>
      <c r="I36" s="413">
        <v>138</v>
      </c>
    </row>
    <row r="37" spans="2:9" ht="15" x14ac:dyDescent="0.25">
      <c r="B37" s="585"/>
      <c r="C37" s="585"/>
      <c r="F37" s="414"/>
      <c r="G37" s="414"/>
    </row>
    <row r="38" spans="2:9" ht="13.5" thickBot="1" x14ac:dyDescent="0.25">
      <c r="F38" s="1196">
        <f>SUM(F33:F37)</f>
        <v>-31875</v>
      </c>
      <c r="G38" s="1196">
        <f>SUM(G33:G37)</f>
        <v>-44475.18</v>
      </c>
    </row>
    <row r="39" spans="2:9" x14ac:dyDescent="0.2">
      <c r="E39" s="586" t="s">
        <v>96</v>
      </c>
      <c r="F39" s="1198">
        <v>0</v>
      </c>
      <c r="G39" s="1198">
        <v>-4.0000000008149073E-3</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E24"/>
  <sheetViews>
    <sheetView workbookViewId="0">
      <selection activeCell="D15" sqref="D15"/>
    </sheetView>
  </sheetViews>
  <sheetFormatPr defaultColWidth="8.7109375" defaultRowHeight="15" outlineLevelRow="1" x14ac:dyDescent="0.25"/>
  <cols>
    <col min="1" max="1" width="8.7109375" style="166"/>
    <col min="2" max="2" width="10.5703125" style="166" customWidth="1"/>
    <col min="3" max="5" width="15.5703125" style="166" customWidth="1"/>
    <col min="6" max="16384" width="8.7109375" style="166"/>
  </cols>
  <sheetData>
    <row r="2" spans="2:5" x14ac:dyDescent="0.25">
      <c r="B2" s="166" t="s">
        <v>194</v>
      </c>
      <c r="C2" s="1324" t="s">
        <v>218</v>
      </c>
      <c r="D2" s="1324"/>
      <c r="E2" s="1324"/>
    </row>
    <row r="3" spans="2:5" x14ac:dyDescent="0.25">
      <c r="B3" s="166" t="s">
        <v>98</v>
      </c>
      <c r="C3" s="1324" t="str">
        <f ca="1">INDEX('Allocation $'!D:D,MATCH(C2,'Allocation $'!B:B,0))</f>
        <v>ALL + Tribus</v>
      </c>
      <c r="D3" s="1324"/>
      <c r="E3" s="1324"/>
    </row>
    <row r="5" spans="2:5" ht="30" x14ac:dyDescent="0.25">
      <c r="B5" s="152" t="s">
        <v>199</v>
      </c>
      <c r="C5" s="152" t="s">
        <v>279</v>
      </c>
      <c r="D5" s="152" t="s">
        <v>278</v>
      </c>
      <c r="E5" s="152" t="s">
        <v>217</v>
      </c>
    </row>
    <row r="6" spans="2:5" x14ac:dyDescent="0.25">
      <c r="B6" s="166" t="s">
        <v>99</v>
      </c>
      <c r="C6" s="80">
        <f ca="1">SUMIFS(OFFSET('Allocation %'!$A:$A,,MATCH('Sense Check'!$C$3,'Allocation %'!$5:$5,0)-1,,),'Allocation %'!$E:$E,$B6)</f>
        <v>6.9815373432617289E-2</v>
      </c>
      <c r="D6" s="73">
        <f ca="1">SUMIFS(OFFSET('Allocation $'!$1:$1,MATCH('Sense Check'!$C$2,'Allocation $'!$B:$B,0)-1,,,),'Allocation $'!$2:$2,'Sense Check'!$B6)</f>
        <v>46598.34423050961</v>
      </c>
      <c r="E6" s="65">
        <f ca="1">IFERROR(D6/$D$22,"")</f>
        <v>6.9815373432617275E-2</v>
      </c>
    </row>
    <row r="7" spans="2:5" x14ac:dyDescent="0.25">
      <c r="B7" s="166" t="s">
        <v>106</v>
      </c>
      <c r="C7" s="80">
        <f ca="1">SUMIFS(OFFSET('Allocation %'!$A:$A,,MATCH('Sense Check'!$C$3,'Allocation %'!$5:$5,0)-1,,),'Allocation %'!$E:$E,$B7)</f>
        <v>1.1511953532497699E-2</v>
      </c>
      <c r="D7" s="73">
        <f ca="1">SUMIFS(OFFSET('Allocation $'!$1:$1,MATCH('Sense Check'!$C$2,'Allocation $'!$B:$B,0)-1,,,),'Allocation $'!$2:$2,'Sense Check'!$B7)</f>
        <v>7683.6654607413248</v>
      </c>
      <c r="E7" s="65">
        <f t="shared" ref="E7:E21" ca="1" si="0">IFERROR(D7/$D$22,"")</f>
        <v>1.1511953532497699E-2</v>
      </c>
    </row>
    <row r="8" spans="2:5" x14ac:dyDescent="0.25">
      <c r="B8" s="166" t="s">
        <v>18</v>
      </c>
      <c r="C8" s="80">
        <f ca="1">SUMIFS(OFFSET('Allocation %'!$A:$A,,MATCH('Sense Check'!$C$3,'Allocation %'!$5:$5,0)-1,,),'Allocation %'!$E:$E,$B8)</f>
        <v>2.1790078328760169E-2</v>
      </c>
      <c r="D8" s="73">
        <f ca="1">SUMIFS(OFFSET('Allocation $'!$1:$1,MATCH('Sense Check'!$C$2,'Allocation $'!$B:$B,0)-1,,,),'Allocation $'!$2:$2,'Sense Check'!$B8)</f>
        <v>14543.810637256498</v>
      </c>
      <c r="E8" s="65">
        <f t="shared" ref="E8" ca="1" si="1">IFERROR(D8/$D$22,"")</f>
        <v>2.1790078328760169E-2</v>
      </c>
    </row>
    <row r="9" spans="2:5" hidden="1" outlineLevel="1" x14ac:dyDescent="0.25">
      <c r="B9" s="109" t="s">
        <v>122</v>
      </c>
      <c r="C9" s="80"/>
      <c r="D9" s="73">
        <f ca="1">US!F5/US!$F$11*$D$15</f>
        <v>101741.80425048985</v>
      </c>
      <c r="E9" s="65">
        <f t="shared" ca="1" si="0"/>
        <v>0.15243335733816729</v>
      </c>
    </row>
    <row r="10" spans="2:5" hidden="1" outlineLevel="1" x14ac:dyDescent="0.25">
      <c r="B10" s="109" t="s">
        <v>123</v>
      </c>
      <c r="C10" s="80"/>
      <c r="D10" s="73">
        <f ca="1">US!F6/US!$F$11*$D$15</f>
        <v>58560.998237670305</v>
      </c>
      <c r="E10" s="65">
        <f t="shared" ca="1" si="0"/>
        <v>8.7738266843244067E-2</v>
      </c>
    </row>
    <row r="11" spans="2:5" hidden="1" outlineLevel="1" x14ac:dyDescent="0.25">
      <c r="B11" s="109" t="s">
        <v>124</v>
      </c>
      <c r="C11" s="80"/>
      <c r="D11" s="73">
        <f ca="1">US!F7/US!$F$11*$D$15</f>
        <v>78759.557773650697</v>
      </c>
      <c r="E11" s="65">
        <f t="shared" ca="1" si="0"/>
        <v>0.11800050040737434</v>
      </c>
    </row>
    <row r="12" spans="2:5" hidden="1" outlineLevel="1" x14ac:dyDescent="0.25">
      <c r="B12" s="109" t="s">
        <v>125</v>
      </c>
      <c r="C12" s="80"/>
      <c r="D12" s="73">
        <f ca="1">US!F8/US!$F$11*$D$15</f>
        <v>59707.182447400126</v>
      </c>
      <c r="E12" s="65">
        <f t="shared" ca="1" si="0"/>
        <v>8.9455522680254348E-2</v>
      </c>
    </row>
    <row r="13" spans="2:5" hidden="1" outlineLevel="1" x14ac:dyDescent="0.25">
      <c r="B13" s="109" t="s">
        <v>126</v>
      </c>
      <c r="C13" s="80"/>
      <c r="D13" s="73">
        <f ca="1">US!F9/US!$F$11*$D$15</f>
        <v>39242.565486833737</v>
      </c>
      <c r="E13" s="65">
        <f t="shared" ca="1" si="0"/>
        <v>5.8794671981572975E-2</v>
      </c>
    </row>
    <row r="14" spans="2:5" hidden="1" outlineLevel="1" x14ac:dyDescent="0.25">
      <c r="B14" s="109" t="s">
        <v>127</v>
      </c>
      <c r="C14" s="80"/>
      <c r="D14" s="73">
        <f ca="1">US!F10/US!$F$11*$D$15</f>
        <v>8202.4548000077557</v>
      </c>
      <c r="E14" s="65">
        <f t="shared" ca="1" si="0"/>
        <v>1.2289223026765104E-2</v>
      </c>
    </row>
    <row r="15" spans="2:5" collapsed="1" x14ac:dyDescent="0.25">
      <c r="B15" s="166" t="s">
        <v>297</v>
      </c>
      <c r="C15" s="80">
        <f ca="1">SUMIFS(OFFSET('Allocation %'!$A:$A,,MATCH('Sense Check'!$C$3,'Allocation %'!$5:$5,0)-1,,),'Allocation %'!$E:$E,$B15)</f>
        <v>0.51871154227737815</v>
      </c>
      <c r="D15" s="73">
        <f ca="1">SUMIFS(OFFSET('Allocation $'!$1:$1,MATCH('Sense Check'!$C$2,'Allocation $'!$B:$B,0)-1,,,),'Allocation $'!$2:$2,'Sense Check'!$B15)</f>
        <v>346214.5629960525</v>
      </c>
      <c r="E15" s="65">
        <f t="shared" ca="1" si="0"/>
        <v>0.51871154227737815</v>
      </c>
    </row>
    <row r="16" spans="2:5" x14ac:dyDescent="0.25">
      <c r="B16" s="166" t="s">
        <v>1</v>
      </c>
      <c r="C16" s="80">
        <f ca="1">SUMIFS(OFFSET('Allocation %'!$A:$A,,MATCH('Sense Check'!$C$3,'Allocation %'!$5:$5,0)-1,,),'Allocation %'!$E:$E,$B16)</f>
        <v>0.10267470275589156</v>
      </c>
      <c r="D16" s="73">
        <f ca="1">SUMIFS(OFFSET('Allocation $'!$1:$1,MATCH('Sense Check'!$C$2,'Allocation $'!$B:$B,0)-1,,,),'Allocation $'!$2:$2,'Sense Check'!$B16)</f>
        <v>68530.338055157001</v>
      </c>
      <c r="E16" s="65">
        <f t="shared" ca="1" si="0"/>
        <v>0.10267470275589156</v>
      </c>
    </row>
    <row r="17" spans="2:5" x14ac:dyDescent="0.25">
      <c r="B17" s="166" t="s">
        <v>109</v>
      </c>
      <c r="C17" s="80">
        <f ca="1">SUMIFS(OFFSET('Allocation %'!$A:$A,,MATCH('Sense Check'!$C$3,'Allocation %'!$5:$5,0)-1,,),'Allocation %'!$E:$E,$B17)</f>
        <v>6.6937141314336077E-2</v>
      </c>
      <c r="D17" s="73">
        <f ca="1">SUMIFS(OFFSET('Allocation $'!$1:$1,MATCH('Sense Check'!$C$2,'Allocation $'!$B:$B,0)-1,,,),'Allocation $'!$2:$2,'Sense Check'!$B17)</f>
        <v>44677.265184038217</v>
      </c>
      <c r="E17" s="65">
        <f t="shared" ca="1" si="0"/>
        <v>6.6937141314336077E-2</v>
      </c>
    </row>
    <row r="18" spans="2:5" x14ac:dyDescent="0.25">
      <c r="B18" s="166" t="s">
        <v>156</v>
      </c>
      <c r="C18" s="80">
        <f ca="1">SUMIFS(OFFSET('Allocation %'!$A:$A,,MATCH('Sense Check'!$C$3,'Allocation %'!$5:$5,0)-1,,),'Allocation %'!$E:$E,$B18)</f>
        <v>2.0755779920906547E-3</v>
      </c>
      <c r="D18" s="73">
        <f ca="1">SUMIFS(OFFSET('Allocation $'!$1:$1,MATCH('Sense Check'!$C$2,'Allocation $'!$B:$B,0)-1,,,),'Allocation $'!$2:$2,'Sense Check'!$B18)</f>
        <v>1385.3467080006199</v>
      </c>
      <c r="E18" s="65">
        <f t="shared" ca="1" si="0"/>
        <v>2.0755779920906547E-3</v>
      </c>
    </row>
    <row r="19" spans="2:5" x14ac:dyDescent="0.25">
      <c r="B19" s="166" t="s">
        <v>110</v>
      </c>
      <c r="C19" s="80">
        <f ca="1">SUMIFS(OFFSET('Allocation %'!$A:$A,,MATCH('Sense Check'!$C$3,'Allocation %'!$5:$5,0)-1,,),'Allocation %'!$E:$E,$B19)</f>
        <v>3.9947064502774736E-2</v>
      </c>
      <c r="D19" s="73">
        <f ca="1">SUMIFS(OFFSET('Allocation $'!$1:$1,MATCH('Sense Check'!$C$2,'Allocation $'!$B:$B,0)-1,,,),'Allocation $'!$2:$2,'Sense Check'!$B19)</f>
        <v>26662.710104892216</v>
      </c>
      <c r="E19" s="65">
        <f t="shared" ca="1" si="0"/>
        <v>3.9947064502774736E-2</v>
      </c>
    </row>
    <row r="20" spans="2:5" x14ac:dyDescent="0.25">
      <c r="B20" s="166" t="s">
        <v>178</v>
      </c>
      <c r="C20" s="80">
        <f ca="1">SUMIFS(OFFSET('Allocation %'!$A:$A,,MATCH('Sense Check'!$C$3,'Allocation %'!$5:$5,0)-1,,),'Allocation %'!$E:$E,$B20)</f>
        <v>0.14653656586365363</v>
      </c>
      <c r="D20" s="73">
        <f ca="1">SUMIFS(OFFSET('Allocation $'!$1:$1,MATCH('Sense Check'!$C$2,'Allocation $'!$B:$B,0)-1,,,),'Allocation $'!$2:$2,'Sense Check'!$B20)</f>
        <v>97805.984595380112</v>
      </c>
      <c r="E20" s="65">
        <f t="shared" ca="1" si="0"/>
        <v>0.14653656586365363</v>
      </c>
    </row>
    <row r="21" spans="2:5" x14ac:dyDescent="0.25">
      <c r="B21" s="166" t="s">
        <v>2</v>
      </c>
      <c r="C21" s="80">
        <f ca="1">SUMIFS(OFFSET('Allocation %'!$A:$A,,MATCH('Sense Check'!$C$3,'Allocation %'!$5:$5,0)-1,,),'Allocation %'!$E:$E,$B21)</f>
        <v>0.02</v>
      </c>
      <c r="D21" s="73">
        <f ca="1">SUMIFS(OFFSET('Allocation $'!$1:$1,MATCH('Sense Check'!$C$2,'Allocation $'!$B:$B,0)-1,,,),'Allocation $'!$2:$2,'Sense Check'!$B21)</f>
        <v>13349.020979020983</v>
      </c>
      <c r="E21" s="65">
        <f t="shared" ca="1" si="0"/>
        <v>0.02</v>
      </c>
    </row>
    <row r="22" spans="2:5" x14ac:dyDescent="0.25">
      <c r="B22" s="166" t="s">
        <v>3</v>
      </c>
      <c r="C22" s="165">
        <f ca="1">SUM(C6:C21)</f>
        <v>0.99999999999999989</v>
      </c>
      <c r="D22" s="76">
        <f ca="1">SUM(D6:D8,D15:D21)</f>
        <v>667451.0489510491</v>
      </c>
      <c r="E22" s="65">
        <f ca="1">SUM(E6:E8,E15:E21)</f>
        <v>0.99999999999999989</v>
      </c>
    </row>
    <row r="24" spans="2:5" x14ac:dyDescent="0.25">
      <c r="D24" s="76">
        <f ca="1">D22-INDEX('Allocation $'!$F$1:$F$63,MATCH($C$2,'Allocation $'!$B$1:$B$63,0),)</f>
        <v>0</v>
      </c>
    </row>
  </sheetData>
  <mergeCells count="2">
    <mergeCell ref="C2:E2"/>
    <mergeCell ref="C3:E3"/>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'Allocation $'!$B$6:$B$62</xm:f>
          </x14:formula1>
          <xm:sqref>C2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T59"/>
  <sheetViews>
    <sheetView workbookViewId="0"/>
  </sheetViews>
  <sheetFormatPr defaultRowHeight="15" x14ac:dyDescent="0.25"/>
  <sheetData>
    <row r="3" spans="1:20" x14ac:dyDescent="0.25">
      <c r="A3" t="s">
        <v>309</v>
      </c>
      <c r="B3" t="s">
        <v>310</v>
      </c>
      <c r="C3" t="s">
        <v>314</v>
      </c>
      <c r="D3" t="s">
        <v>320</v>
      </c>
    </row>
    <row r="4" spans="1:20" x14ac:dyDescent="0.25">
      <c r="A4">
        <v>1</v>
      </c>
      <c r="B4">
        <v>7</v>
      </c>
      <c r="C4">
        <v>13</v>
      </c>
      <c r="D4">
        <v>19</v>
      </c>
    </row>
    <row r="5" spans="1:20" x14ac:dyDescent="0.25">
      <c r="A5" s="179" t="str">
        <f>EBITDA!$3:$3</f>
        <v>009010 - Water Service Corporation Admin</v>
      </c>
      <c r="B5">
        <v>1</v>
      </c>
      <c r="C5">
        <f>EBITDA!$B:$B</f>
        <v>-559.81006000000002</v>
      </c>
      <c r="D5">
        <v>50</v>
      </c>
      <c r="E5" s="179" t="str">
        <f>EBITDA!$B$2</f>
        <v>Q1-FY20</v>
      </c>
      <c r="F5">
        <v>53</v>
      </c>
      <c r="G5" s="179">
        <f>'D&amp;A'!$3:$3</f>
        <v>0</v>
      </c>
      <c r="H5">
        <v>1</v>
      </c>
      <c r="I5">
        <f>'D&amp;A'!$B:$B</f>
        <v>0</v>
      </c>
      <c r="J5">
        <v>48</v>
      </c>
      <c r="K5" s="179" t="str">
        <f>'D&amp;A'!$B$2</f>
        <v>Q1-FY20</v>
      </c>
      <c r="L5">
        <v>51</v>
      </c>
      <c r="M5" s="179">
        <f>'Non-margin Costs'!$3:$3</f>
        <v>0</v>
      </c>
      <c r="N5">
        <v>1</v>
      </c>
      <c r="O5">
        <f>'Non-margin Costs'!$B:$B</f>
        <v>208.61052000000001</v>
      </c>
      <c r="P5">
        <v>48</v>
      </c>
      <c r="Q5" s="179" t="str">
        <f>'Non-margin Costs'!$B$2</f>
        <v>Q1-FY20</v>
      </c>
      <c r="R5">
        <v>51</v>
      </c>
      <c r="S5">
        <f ca="1">'Allocation $'!$36:$36</f>
        <v>104.01046523561789</v>
      </c>
      <c r="T5">
        <v>1</v>
      </c>
    </row>
    <row r="6" spans="1:20" x14ac:dyDescent="0.25">
      <c r="A6" s="179" t="str">
        <f>EBITDA!$5:$5</f>
        <v>009020 - Accounting/Tax Cost Ctr</v>
      </c>
      <c r="B6">
        <v>2</v>
      </c>
      <c r="E6">
        <f>EBITDA!$B$23</f>
        <v>-892.88336000000027</v>
      </c>
      <c r="F6">
        <v>56</v>
      </c>
      <c r="G6" s="179">
        <f>'D&amp;A'!$5:$5</f>
        <v>0</v>
      </c>
      <c r="H6">
        <v>2</v>
      </c>
      <c r="M6" s="179">
        <f>'Non-margin Costs'!$5:$5</f>
        <v>0</v>
      </c>
      <c r="N6">
        <v>2</v>
      </c>
      <c r="S6">
        <f ca="1">'Allocation $'!$37:$37</f>
        <v>23.634182661726324</v>
      </c>
      <c r="T6">
        <v>2</v>
      </c>
    </row>
    <row r="7" spans="1:20" x14ac:dyDescent="0.25">
      <c r="A7" s="179" t="str">
        <f>EBITDA!$6:$6</f>
        <v>009030 - COM / ENG</v>
      </c>
      <c r="B7">
        <v>3</v>
      </c>
      <c r="G7" s="179">
        <f>'D&amp;A'!$6:$6</f>
        <v>0</v>
      </c>
      <c r="H7">
        <v>3</v>
      </c>
      <c r="M7" s="179">
        <f>'Non-margin Costs'!$6:$6</f>
        <v>0</v>
      </c>
      <c r="N7">
        <v>3</v>
      </c>
      <c r="S7">
        <f ca="1">'Allocation $'!$38:$38</f>
        <v>257.50807156341051</v>
      </c>
      <c r="T7">
        <v>3</v>
      </c>
    </row>
    <row r="8" spans="1:20" x14ac:dyDescent="0.25">
      <c r="A8" s="179" t="str">
        <f>EBITDA!$8:$8</f>
        <v>009040 - Human Resources Cost Ctr</v>
      </c>
      <c r="B8">
        <v>4</v>
      </c>
      <c r="G8" s="179">
        <f>'D&amp;A'!$8:$8</f>
        <v>0</v>
      </c>
      <c r="H8">
        <v>4</v>
      </c>
      <c r="M8" s="179">
        <f>'Non-margin Costs'!$8:$8</f>
        <v>0</v>
      </c>
      <c r="N8">
        <v>4</v>
      </c>
      <c r="S8">
        <f ca="1">'Allocation $'!$39:$39</f>
        <v>100.99104170070771</v>
      </c>
      <c r="T8">
        <v>4</v>
      </c>
    </row>
    <row r="9" spans="1:20" x14ac:dyDescent="0.25">
      <c r="A9" s="179" t="str">
        <f>EBITDA!$9:$9</f>
        <v>009050 - IT Cost Ctr</v>
      </c>
      <c r="B9">
        <v>5</v>
      </c>
      <c r="G9" s="179">
        <f>'D&amp;A'!$9:$9</f>
        <v>0</v>
      </c>
      <c r="H9">
        <v>5</v>
      </c>
      <c r="M9" s="179">
        <f>'Non-margin Costs'!$9:$9</f>
        <v>0</v>
      </c>
      <c r="N9">
        <v>5</v>
      </c>
      <c r="S9">
        <f ca="1">'Allocation $'!$40:$40</f>
        <v>0</v>
      </c>
      <c r="T9">
        <v>5</v>
      </c>
    </row>
    <row r="10" spans="1:20" x14ac:dyDescent="0.25">
      <c r="A10" s="179" t="str">
        <f>EBITDA!$10:$10</f>
        <v>009060 - Billing</v>
      </c>
      <c r="B10">
        <v>6</v>
      </c>
      <c r="G10" s="179">
        <f>'D&amp;A'!$10:$10</f>
        <v>0</v>
      </c>
      <c r="H10">
        <v>6</v>
      </c>
      <c r="M10" s="179">
        <f>'Non-margin Costs'!$10:$10</f>
        <v>0</v>
      </c>
      <c r="N10">
        <v>6</v>
      </c>
      <c r="S10">
        <f ca="1">'Allocation $'!$41:$41</f>
        <v>0</v>
      </c>
      <c r="T10">
        <v>6</v>
      </c>
    </row>
    <row r="11" spans="1:20" x14ac:dyDescent="0.25">
      <c r="A11" s="179" t="str">
        <f>EBITDA!$11:$11</f>
        <v>009070 - Customer Service</v>
      </c>
      <c r="B11">
        <v>7</v>
      </c>
      <c r="G11" s="179">
        <f>'D&amp;A'!$11:$11</f>
        <v>0</v>
      </c>
      <c r="H11">
        <v>7</v>
      </c>
      <c r="M11" s="179">
        <f>'Non-margin Costs'!$11:$11</f>
        <v>0</v>
      </c>
      <c r="N11">
        <v>7</v>
      </c>
      <c r="S11">
        <f ca="1">'Allocation $'!$42:$42</f>
        <v>0</v>
      </c>
      <c r="T11">
        <v>7</v>
      </c>
    </row>
    <row r="12" spans="1:20" x14ac:dyDescent="0.25">
      <c r="A12" s="179" t="str">
        <f>EBITDA!$12:$12</f>
        <v>009075 - COO Regulated Utility Cost Ctr</v>
      </c>
      <c r="B12">
        <v>8</v>
      </c>
      <c r="G12" s="179">
        <f>'D&amp;A'!$12:$12</f>
        <v>0</v>
      </c>
      <c r="H12">
        <v>8</v>
      </c>
      <c r="M12" s="179">
        <f>'Non-margin Costs'!$12:$12</f>
        <v>0</v>
      </c>
      <c r="N12">
        <v>8</v>
      </c>
      <c r="S12">
        <f ca="1">'Allocation $'!$96:$96</f>
        <v>6.2406279141370726</v>
      </c>
      <c r="T12">
        <v>8</v>
      </c>
    </row>
    <row r="13" spans="1:20" x14ac:dyDescent="0.25">
      <c r="A13" s="179" t="str">
        <f>EBITDA!$13:$13</f>
        <v>009080 - CSSO Cost Ctr</v>
      </c>
      <c r="B13">
        <v>9</v>
      </c>
      <c r="G13" s="179">
        <f>'D&amp;A'!$13:$13</f>
        <v>0</v>
      </c>
      <c r="H13">
        <v>9</v>
      </c>
      <c r="M13" s="179">
        <f>'Non-margin Costs'!$13:$13</f>
        <v>0</v>
      </c>
      <c r="N13">
        <v>9</v>
      </c>
      <c r="S13">
        <f ca="1">'Allocation $'!$97:$97</f>
        <v>1.2412284899696853</v>
      </c>
      <c r="T13">
        <v>9</v>
      </c>
    </row>
    <row r="14" spans="1:20" x14ac:dyDescent="0.25">
      <c r="A14" s="179" t="str">
        <f>EBITDA!$15:$15</f>
        <v>009085 - Legal Costs Center</v>
      </c>
      <c r="B14">
        <v>10</v>
      </c>
      <c r="G14" s="179">
        <f>'D&amp;A'!$15:$15</f>
        <v>0</v>
      </c>
      <c r="H14">
        <v>10</v>
      </c>
      <c r="M14" s="179">
        <f>'Non-margin Costs'!$15:$15</f>
        <v>0</v>
      </c>
      <c r="N14">
        <v>10</v>
      </c>
      <c r="S14">
        <f ca="1">'Allocation $'!$98:$98</f>
        <v>15.3065169888011</v>
      </c>
      <c r="T14">
        <v>10</v>
      </c>
    </row>
    <row r="15" spans="1:20" x14ac:dyDescent="0.25">
      <c r="A15" s="179" t="str">
        <f>EBITDA!$16:$16</f>
        <v>009090 - Chicago Admin Cost Ctr</v>
      </c>
      <c r="B15">
        <v>11</v>
      </c>
      <c r="G15" s="179">
        <f>'D&amp;A'!$16:$16</f>
        <v>0</v>
      </c>
      <c r="H15">
        <v>11</v>
      </c>
      <c r="M15" s="179">
        <f>'Non-margin Costs'!$16:$16</f>
        <v>0</v>
      </c>
      <c r="N15">
        <v>11</v>
      </c>
      <c r="S15">
        <f ca="1">'Allocation $'!$99:$99</f>
        <v>6.0581100729516795</v>
      </c>
      <c r="T15">
        <v>11</v>
      </c>
    </row>
    <row r="16" spans="1:20" x14ac:dyDescent="0.25">
      <c r="A16" s="179" t="str">
        <f>EBITDA!$17:$17</f>
        <v>009100 - HSE Support</v>
      </c>
      <c r="B16">
        <v>12</v>
      </c>
      <c r="G16" s="179">
        <f>'D&amp;A'!$17:$17</f>
        <v>0</v>
      </c>
      <c r="H16">
        <v>12</v>
      </c>
      <c r="M16" s="179">
        <f>'Non-margin Costs'!$17:$17</f>
        <v>0</v>
      </c>
      <c r="N16">
        <v>12</v>
      </c>
      <c r="S16">
        <f ca="1">'Allocation $'!$100:$100</f>
        <v>0</v>
      </c>
      <c r="T16">
        <v>12</v>
      </c>
    </row>
    <row r="17" spans="1:20" x14ac:dyDescent="0.25">
      <c r="A17" s="179" t="str">
        <f>EBITDA!$19:$19</f>
        <v>009150 - Restructuring Adjustment</v>
      </c>
      <c r="B17">
        <v>13</v>
      </c>
      <c r="G17" s="179">
        <f>'D&amp;A'!$19:$19</f>
        <v>0</v>
      </c>
      <c r="H17">
        <v>13</v>
      </c>
      <c r="M17" s="179">
        <f>'Non-margin Costs'!$19:$19</f>
        <v>0</v>
      </c>
      <c r="N17">
        <v>13</v>
      </c>
      <c r="S17">
        <f ca="1">'Allocation $'!$101:$101</f>
        <v>0</v>
      </c>
      <c r="T17">
        <v>13</v>
      </c>
    </row>
    <row r="18" spans="1:20" x14ac:dyDescent="0.25">
      <c r="A18" s="179" t="str">
        <f>EBITDA!$23:$23</f>
        <v>1010-000100 - Corporate Admin</v>
      </c>
      <c r="B18">
        <v>14</v>
      </c>
      <c r="G18" s="179">
        <f>'D&amp;A'!$23:$23</f>
        <v>0</v>
      </c>
      <c r="H18">
        <v>14</v>
      </c>
      <c r="M18" s="179">
        <f>'Non-margin Costs'!$23:$23</f>
        <v>0</v>
      </c>
      <c r="N18">
        <v>14</v>
      </c>
      <c r="S18">
        <f ca="1">'Allocation $'!$102:$102</f>
        <v>0</v>
      </c>
      <c r="T18">
        <v>14</v>
      </c>
    </row>
    <row r="19" spans="1:20" x14ac:dyDescent="0.25">
      <c r="A19" s="179" t="str">
        <f>EBITDA!$24:$24</f>
        <v>1010-000110 - Corporate Recovery</v>
      </c>
      <c r="B19">
        <v>15</v>
      </c>
      <c r="G19" s="179">
        <f>'D&amp;A'!$24:$24</f>
        <v>0</v>
      </c>
      <c r="H19">
        <v>15</v>
      </c>
      <c r="M19" s="179">
        <f>'Non-margin Costs'!$24:$24</f>
        <v>0</v>
      </c>
      <c r="N19">
        <v>15</v>
      </c>
    </row>
    <row r="20" spans="1:20" x14ac:dyDescent="0.25">
      <c r="A20" s="179" t="str">
        <f>EBITDA!$25:$25</f>
        <v>1010-000120 - Transformation</v>
      </c>
      <c r="B20">
        <v>16</v>
      </c>
      <c r="G20" s="179">
        <f>'D&amp;A'!$25:$25</f>
        <v>0</v>
      </c>
      <c r="H20">
        <v>16</v>
      </c>
      <c r="M20" s="179">
        <f>'Non-margin Costs'!$25:$25</f>
        <v>0</v>
      </c>
      <c r="N20">
        <v>16</v>
      </c>
    </row>
    <row r="21" spans="1:20" x14ac:dyDescent="0.25">
      <c r="A21" s="179" t="str">
        <f>EBITDA!$27:$27</f>
        <v>1010-000200 - Business Development</v>
      </c>
      <c r="B21">
        <v>17</v>
      </c>
      <c r="G21" s="179">
        <f>'D&amp;A'!$27:$27</f>
        <v>0</v>
      </c>
      <c r="H21">
        <v>17</v>
      </c>
      <c r="M21" s="179">
        <f>'Non-margin Costs'!$27:$27</f>
        <v>0</v>
      </c>
      <c r="N21">
        <v>17</v>
      </c>
    </row>
    <row r="22" spans="1:20" x14ac:dyDescent="0.25">
      <c r="A22" s="179" t="str">
        <f>EBITDA!$28:$28</f>
        <v>1010-000300 - Corporate Communications</v>
      </c>
      <c r="B22">
        <v>18</v>
      </c>
      <c r="G22" s="179">
        <f>'D&amp;A'!$28:$28</f>
        <v>0</v>
      </c>
      <c r="H22">
        <v>18</v>
      </c>
      <c r="M22" s="179">
        <f>'Non-margin Costs'!$28:$28</f>
        <v>0</v>
      </c>
      <c r="N22">
        <v>18</v>
      </c>
    </row>
    <row r="23" spans="1:20" x14ac:dyDescent="0.25">
      <c r="A23" s="179" t="str">
        <f>EBITDA!$29:$29</f>
        <v>1010-000400 - Finance</v>
      </c>
      <c r="B23">
        <v>19</v>
      </c>
      <c r="G23" s="179">
        <f>'D&amp;A'!$29:$29</f>
        <v>0</v>
      </c>
      <c r="H23">
        <v>19</v>
      </c>
      <c r="M23" s="179">
        <f>'Non-margin Costs'!$29:$29</f>
        <v>0</v>
      </c>
      <c r="N23">
        <v>19</v>
      </c>
    </row>
    <row r="24" spans="1:20" x14ac:dyDescent="0.25">
      <c r="A24" s="179" t="str">
        <f>EBITDA!$30:$30</f>
        <v>1010-000500 - IT Governance</v>
      </c>
      <c r="B24">
        <v>20</v>
      </c>
      <c r="G24" s="179">
        <f>'D&amp;A'!$30:$30</f>
        <v>0</v>
      </c>
      <c r="H24">
        <v>20</v>
      </c>
      <c r="M24" s="179">
        <f>'Non-margin Costs'!$30:$30</f>
        <v>0</v>
      </c>
      <c r="N24">
        <v>20</v>
      </c>
    </row>
    <row r="25" spans="1:20" x14ac:dyDescent="0.25">
      <c r="A25" s="179" t="str">
        <f>EBITDA!$31:$31</f>
        <v>1010-000600 - Human Resources</v>
      </c>
      <c r="B25">
        <v>21</v>
      </c>
      <c r="G25" s="179">
        <f>'D&amp;A'!$31:$31</f>
        <v>0</v>
      </c>
      <c r="H25">
        <v>21</v>
      </c>
      <c r="M25" s="179">
        <f>'Non-margin Costs'!$31:$31</f>
        <v>0</v>
      </c>
      <c r="N25">
        <v>21</v>
      </c>
    </row>
    <row r="26" spans="1:20" x14ac:dyDescent="0.25">
      <c r="A26" s="179" t="str">
        <f>EBITDA!$32:$32</f>
        <v>1010-000700 - Business Betterment</v>
      </c>
      <c r="B26">
        <v>22</v>
      </c>
      <c r="G26" s="179">
        <f>'D&amp;A'!$32:$32</f>
        <v>0</v>
      </c>
      <c r="H26">
        <v>22</v>
      </c>
      <c r="M26" s="179">
        <f>'Non-margin Costs'!$32:$32</f>
        <v>0</v>
      </c>
      <c r="N26">
        <v>22</v>
      </c>
    </row>
    <row r="27" spans="1:20" x14ac:dyDescent="0.25">
      <c r="A27" s="179" t="str">
        <f>EBITDA!$33:$33</f>
        <v>1010-000800 - Legal, Regulatory &amp; Govt Relations</v>
      </c>
      <c r="B27">
        <v>23</v>
      </c>
      <c r="G27" s="179">
        <f>'D&amp;A'!$33:$33</f>
        <v>0</v>
      </c>
      <c r="H27">
        <v>23</v>
      </c>
      <c r="M27" s="179">
        <f>'Non-margin Costs'!$33:$33</f>
        <v>0</v>
      </c>
      <c r="N27">
        <v>23</v>
      </c>
    </row>
    <row r="28" spans="1:20" x14ac:dyDescent="0.25">
      <c r="A28" s="179" t="str">
        <f>EBITDA!$35:$35</f>
        <v>1010-001000 - HSE</v>
      </c>
      <c r="B28">
        <v>24</v>
      </c>
      <c r="G28" s="179">
        <f>'D&amp;A'!$35:$35</f>
        <v>0</v>
      </c>
      <c r="H28">
        <v>24</v>
      </c>
      <c r="M28" s="179">
        <f>'Non-margin Costs'!$35:$35</f>
        <v>0</v>
      </c>
      <c r="N28">
        <v>24</v>
      </c>
    </row>
    <row r="29" spans="1:20" x14ac:dyDescent="0.25">
      <c r="A29" s="179" t="str">
        <f>EBITDA!$34:$34</f>
        <v>1010-000900 - Treasury</v>
      </c>
      <c r="B29">
        <v>25</v>
      </c>
      <c r="G29" s="179">
        <f>'D&amp;A'!$34:$34</f>
        <v>0</v>
      </c>
      <c r="H29">
        <v>25</v>
      </c>
      <c r="M29" s="179">
        <f>'Non-margin Costs'!$34:$34</f>
        <v>0</v>
      </c>
      <c r="N29">
        <v>25</v>
      </c>
    </row>
    <row r="30" spans="1:20" x14ac:dyDescent="0.25">
      <c r="A30" s="179" t="str">
        <f>EBITDA!$36:$36</f>
        <v>1010-001100 - Internal Audit</v>
      </c>
      <c r="B30">
        <v>26</v>
      </c>
      <c r="G30" s="179">
        <f>'D&amp;A'!$36:$36</f>
        <v>0</v>
      </c>
      <c r="H30">
        <v>26</v>
      </c>
      <c r="M30" s="179">
        <f>'Non-margin Costs'!$36:$36</f>
        <v>0</v>
      </c>
      <c r="N30">
        <v>26</v>
      </c>
    </row>
    <row r="31" spans="1:20" x14ac:dyDescent="0.25">
      <c r="A31" s="179" t="str">
        <f>EBITDA!$41:$41</f>
        <v>1010-009010 - Account Payable SS</v>
      </c>
      <c r="B31">
        <v>27</v>
      </c>
      <c r="G31" s="179">
        <f>'D&amp;A'!$41:$41</f>
        <v>0</v>
      </c>
      <c r="H31">
        <v>27</v>
      </c>
      <c r="M31" s="179">
        <f>'Non-margin Costs'!$41:$41</f>
        <v>0</v>
      </c>
      <c r="N31">
        <v>27</v>
      </c>
    </row>
    <row r="32" spans="1:20" x14ac:dyDescent="0.25">
      <c r="A32" s="179" t="str">
        <f>EBITDA!$43:$43</f>
        <v>1010-009100 - Financial Planning &amp; Analysis SS</v>
      </c>
      <c r="B32">
        <v>28</v>
      </c>
      <c r="G32" s="179">
        <f>'D&amp;A'!$43:$43</f>
        <v>0</v>
      </c>
      <c r="H32">
        <v>28</v>
      </c>
      <c r="M32" s="179">
        <f>'Non-margin Costs'!$43:$43</f>
        <v>0</v>
      </c>
      <c r="N32">
        <v>28</v>
      </c>
    </row>
    <row r="33" spans="1:14" x14ac:dyDescent="0.25">
      <c r="A33" s="179" t="str">
        <f>EBITDA!$44:$44</f>
        <v>1010-009110 - Legal SS</v>
      </c>
      <c r="B33">
        <v>29</v>
      </c>
      <c r="G33" s="179">
        <f>'D&amp;A'!$44:$44</f>
        <v>0</v>
      </c>
      <c r="H33">
        <v>29</v>
      </c>
      <c r="M33" s="179">
        <f>'Non-margin Costs'!$44:$44</f>
        <v>0</v>
      </c>
      <c r="N33">
        <v>29</v>
      </c>
    </row>
    <row r="34" spans="1:14" x14ac:dyDescent="0.25">
      <c r="A34" s="179" t="str">
        <f>EBITDA!$45:$45</f>
        <v>1010-009040 - IT Support Services</v>
      </c>
      <c r="B34">
        <v>30</v>
      </c>
      <c r="G34" s="179">
        <f>'D&amp;A'!$45:$45</f>
        <v>0</v>
      </c>
      <c r="H34">
        <v>30</v>
      </c>
      <c r="M34" s="179">
        <f>'Non-margin Costs'!$45:$45</f>
        <v>0</v>
      </c>
      <c r="N34">
        <v>30</v>
      </c>
    </row>
    <row r="35" spans="1:14" x14ac:dyDescent="0.25">
      <c r="A35" s="179" t="str">
        <f>EBITDA!$46:$46</f>
        <v>1010-009140 - HSE Canada SS</v>
      </c>
      <c r="B35">
        <v>31</v>
      </c>
      <c r="G35" s="179">
        <f>'D&amp;A'!$46:$46</f>
        <v>0</v>
      </c>
      <c r="H35">
        <v>31</v>
      </c>
      <c r="M35" s="179">
        <f>'Non-margin Costs'!$46:$46</f>
        <v>0</v>
      </c>
      <c r="N35">
        <v>31</v>
      </c>
    </row>
    <row r="36" spans="1:14" x14ac:dyDescent="0.25">
      <c r="A36" s="179" t="str">
        <f>EBITDA!$48:$48</f>
        <v>1010-009130 - Human Resources SS</v>
      </c>
      <c r="B36">
        <v>32</v>
      </c>
      <c r="G36" s="179">
        <f>'D&amp;A'!$48:$48</f>
        <v>0</v>
      </c>
      <c r="H36">
        <v>32</v>
      </c>
      <c r="M36" s="179">
        <f>'Non-margin Costs'!$48:$48</f>
        <v>0</v>
      </c>
      <c r="N36">
        <v>32</v>
      </c>
    </row>
    <row r="37" spans="1:14" x14ac:dyDescent="0.25">
      <c r="A37" s="179" t="str">
        <f>EBITDA!$49:$49</f>
        <v>1010-009030 - Payroll SS</v>
      </c>
      <c r="B37">
        <v>33</v>
      </c>
      <c r="G37" s="179">
        <f>'D&amp;A'!$49:$49</f>
        <v>0</v>
      </c>
      <c r="H37">
        <v>33</v>
      </c>
      <c r="M37" s="179">
        <f>'Non-margin Costs'!$49:$49</f>
        <v>0</v>
      </c>
      <c r="N37">
        <v>33</v>
      </c>
    </row>
    <row r="38" spans="1:14" x14ac:dyDescent="0.25">
      <c r="A38" s="179" t="str">
        <f>EBITDA!$20:$20</f>
        <v>009160 - Transformation</v>
      </c>
      <c r="B38">
        <v>34</v>
      </c>
      <c r="G38" s="179">
        <f>'D&amp;A'!$52:$52</f>
        <v>0</v>
      </c>
      <c r="H38">
        <v>34</v>
      </c>
      <c r="M38" s="179">
        <f>'Non-margin Costs'!$52:$52</f>
        <v>0</v>
      </c>
      <c r="N38">
        <v>34</v>
      </c>
    </row>
    <row r="39" spans="1:14" x14ac:dyDescent="0.25">
      <c r="A39" s="179" t="str">
        <f>EBITDA!$52:$52</f>
        <v>1016-000200 - Business Development</v>
      </c>
      <c r="B39">
        <v>35</v>
      </c>
      <c r="G39" s="179">
        <f>'D&amp;A'!$53:$53</f>
        <v>0</v>
      </c>
      <c r="H39">
        <v>35</v>
      </c>
      <c r="M39" s="179">
        <f>'Non-margin Costs'!$53:$53</f>
        <v>0</v>
      </c>
      <c r="N39">
        <v>35</v>
      </c>
    </row>
    <row r="40" spans="1:14" x14ac:dyDescent="0.25">
      <c r="A40" s="179" t="str">
        <f>EBITDA!$53:$53</f>
        <v>1016-000900 - HR</v>
      </c>
      <c r="B40">
        <v>36</v>
      </c>
      <c r="G40" s="179">
        <f>'D&amp;A'!$54:$54</f>
        <v>0</v>
      </c>
      <c r="H40">
        <v>36</v>
      </c>
      <c r="M40" s="179">
        <f>'Non-margin Costs'!$54:$54</f>
        <v>0</v>
      </c>
      <c r="N40">
        <v>36</v>
      </c>
    </row>
    <row r="41" spans="1:14" x14ac:dyDescent="0.25">
      <c r="A41" s="179" t="str">
        <f>EBITDA!$54:$54</f>
        <v>1016-001000 - HSE</v>
      </c>
      <c r="B41">
        <v>37</v>
      </c>
      <c r="G41" s="179">
        <f>'D&amp;A'!$7:$7</f>
        <v>0</v>
      </c>
      <c r="H41">
        <v>37</v>
      </c>
      <c r="M41" s="179">
        <f>'Non-margin Costs'!$7:$7</f>
        <v>0</v>
      </c>
      <c r="N41">
        <v>37</v>
      </c>
    </row>
    <row r="42" spans="1:14" x14ac:dyDescent="0.25">
      <c r="A42" s="179" t="str">
        <f>EBITDA!$7:$7</f>
        <v>009035 -  Business Betterment Cost Ctr</v>
      </c>
      <c r="B42">
        <v>38</v>
      </c>
      <c r="G42" s="179">
        <f>'D&amp;A'!$4:$4</f>
        <v>0</v>
      </c>
      <c r="H42">
        <v>38</v>
      </c>
      <c r="M42" s="179">
        <f>'Non-margin Costs'!$4:$4</f>
        <v>0</v>
      </c>
      <c r="N42">
        <v>38</v>
      </c>
    </row>
    <row r="43" spans="1:14" x14ac:dyDescent="0.25">
      <c r="A43" s="179" t="str">
        <f>EBITDA!$4:$4</f>
        <v>009015 - Corporate Finance Cost Ctr</v>
      </c>
      <c r="B43">
        <v>39</v>
      </c>
      <c r="G43" s="179">
        <f>'D&amp;A'!$14:$14</f>
        <v>0</v>
      </c>
      <c r="H43">
        <v>39</v>
      </c>
      <c r="M43" s="179">
        <f>'Non-margin Costs'!$14:$14</f>
        <v>0</v>
      </c>
      <c r="N43">
        <v>39</v>
      </c>
    </row>
    <row r="44" spans="1:14" x14ac:dyDescent="0.25">
      <c r="A44" s="179" t="str">
        <f>EBITDA!$14:$14</f>
        <v>009084 - CRO Cost Center</v>
      </c>
      <c r="B44">
        <v>40</v>
      </c>
      <c r="G44" s="179">
        <f>'D&amp;A'!$37:$37</f>
        <v>0</v>
      </c>
      <c r="H44">
        <v>40</v>
      </c>
      <c r="M44" s="179">
        <f>'Non-margin Costs'!$37:$37</f>
        <v>0</v>
      </c>
      <c r="N44">
        <v>40</v>
      </c>
    </row>
    <row r="45" spans="1:14" x14ac:dyDescent="0.25">
      <c r="A45" s="179" t="str">
        <f>EBITDA!$37:$37</f>
        <v>1010-001200 - Strategy</v>
      </c>
      <c r="B45">
        <v>41</v>
      </c>
      <c r="G45" s="179">
        <f>'D&amp;A'!$51:$51</f>
        <v>0</v>
      </c>
      <c r="H45">
        <v>41</v>
      </c>
      <c r="M45" s="179">
        <f>'Non-margin Costs'!$51:$51</f>
        <v>0</v>
      </c>
      <c r="N45">
        <v>41</v>
      </c>
    </row>
    <row r="46" spans="1:14" x14ac:dyDescent="0.25">
      <c r="A46" s="179" t="str">
        <f>EBITDA!$51:$51</f>
        <v>1016 - Corix Infrastructure Services (US) Inc. (Only)</v>
      </c>
      <c r="B46">
        <v>42</v>
      </c>
      <c r="G46" s="179">
        <f>'D&amp;A'!$42:$42</f>
        <v>0</v>
      </c>
      <c r="H46">
        <v>43</v>
      </c>
      <c r="M46" s="179">
        <f>'Non-margin Costs'!$42:$42</f>
        <v>0</v>
      </c>
      <c r="N46">
        <v>42</v>
      </c>
    </row>
    <row r="47" spans="1:14" x14ac:dyDescent="0.25">
      <c r="A47" s="179" t="str">
        <f>EBITDA!$42:$42</f>
        <v>1010-009020 - Communication SS</v>
      </c>
      <c r="B47">
        <v>44</v>
      </c>
      <c r="G47" s="179">
        <f>'D&amp;A'!$18:$18</f>
        <v>0</v>
      </c>
      <c r="H47">
        <v>44</v>
      </c>
      <c r="M47" s="179">
        <f>'Non-margin Costs'!$18:$18</f>
        <v>0</v>
      </c>
      <c r="N47">
        <v>43</v>
      </c>
    </row>
    <row r="48" spans="1:14" x14ac:dyDescent="0.25">
      <c r="A48" s="179" t="str">
        <f>EBITDA!$18:$18</f>
        <v>009105 - Computer System Cost Ctr</v>
      </c>
      <c r="B48">
        <v>45</v>
      </c>
      <c r="G48" s="179">
        <f>'D&amp;A'!$47:$47</f>
        <v>0</v>
      </c>
      <c r="H48">
        <v>45</v>
      </c>
      <c r="M48" s="179">
        <f>'Non-margin Costs'!$47:$47</f>
        <v>0</v>
      </c>
      <c r="N48">
        <v>44</v>
      </c>
    </row>
    <row r="49" spans="1:14" x14ac:dyDescent="0.25">
      <c r="A49" s="179" t="str">
        <f>EBITDA!$47:$47</f>
        <v>1010-009150 - IT Canada (CUI) SS</v>
      </c>
      <c r="B49">
        <v>46</v>
      </c>
      <c r="G49" s="179">
        <f>'D&amp;A'!$26:$26</f>
        <v>0</v>
      </c>
      <c r="H49">
        <v>46</v>
      </c>
      <c r="M49" s="179">
        <f>'Non-margin Costs'!$26:$26</f>
        <v>0</v>
      </c>
      <c r="N49">
        <v>45</v>
      </c>
    </row>
    <row r="50" spans="1:14" x14ac:dyDescent="0.25">
      <c r="A50" s="179" t="str">
        <f>EBITDA!$26:$26</f>
        <v>1010-000140 - Restructuring Adjustment</v>
      </c>
      <c r="B50">
        <v>47</v>
      </c>
      <c r="G50" s="179">
        <f>'D&amp;A'!$55:$55</f>
        <v>0</v>
      </c>
      <c r="H50">
        <v>47</v>
      </c>
      <c r="M50" s="179">
        <f>'Non-margin Costs'!$55:$55</f>
        <v>0</v>
      </c>
      <c r="N50">
        <v>46</v>
      </c>
    </row>
    <row r="51" spans="1:14" x14ac:dyDescent="0.25">
      <c r="A51" s="179" t="str">
        <f>EBITDA!$55:$55</f>
        <v>1016-001200 - Corporate HR</v>
      </c>
      <c r="B51">
        <v>48</v>
      </c>
      <c r="G51" s="179">
        <f>'D&amp;A'!$20:$20</f>
        <v>0</v>
      </c>
      <c r="H51">
        <v>83</v>
      </c>
      <c r="M51" s="179">
        <f>'Non-margin Costs'!$20:$20</f>
        <v>0</v>
      </c>
      <c r="N51">
        <v>47</v>
      </c>
    </row>
    <row r="52" spans="1:14" x14ac:dyDescent="0.25">
      <c r="A52" s="179" t="str">
        <f>EBITDA!$56:$56</f>
        <v>1016-001300 - ECU COO Admin</v>
      </c>
      <c r="B52">
        <v>49</v>
      </c>
      <c r="G52" s="179">
        <f>'D&amp;A'!$56:$56</f>
        <v>0</v>
      </c>
      <c r="H52">
        <v>173</v>
      </c>
      <c r="M52" s="179">
        <f>'Non-margin Costs'!$56:$56</f>
        <v>0</v>
      </c>
      <c r="N52">
        <v>91</v>
      </c>
    </row>
    <row r="53" spans="1:14" x14ac:dyDescent="0.25">
      <c r="A53" s="179" t="str">
        <f>EBITDA!$57:$57</f>
        <v>1016-009015 - Corporate Finance Cost Ctr</v>
      </c>
      <c r="B53">
        <v>685</v>
      </c>
      <c r="G53" s="179">
        <f>'D&amp;A'!$57:$57</f>
        <v>0</v>
      </c>
      <c r="H53">
        <v>234</v>
      </c>
      <c r="M53" s="179">
        <f>'Non-margin Costs'!$57:$57</f>
        <v>0</v>
      </c>
      <c r="N53">
        <v>108</v>
      </c>
    </row>
    <row r="54" spans="1:14" x14ac:dyDescent="0.25">
      <c r="A54" s="179" t="str">
        <f>EBITDA!$58:$58</f>
        <v>1016-009035 -  Business Betterment Cost Ctr</v>
      </c>
      <c r="B54">
        <v>686</v>
      </c>
      <c r="G54" s="179">
        <f>'D&amp;A'!$58:$58</f>
        <v>0</v>
      </c>
      <c r="H54">
        <v>235</v>
      </c>
      <c r="M54" s="179">
        <f>'Non-margin Costs'!$58:$58</f>
        <v>0</v>
      </c>
      <c r="N54">
        <v>109</v>
      </c>
    </row>
    <row r="55" spans="1:14" x14ac:dyDescent="0.25">
      <c r="A55" s="179" t="str">
        <f>EBITDA!$59:$59</f>
        <v>1016-009075 - COO Regulated Utility Cost Ctr</v>
      </c>
      <c r="B55">
        <v>687</v>
      </c>
      <c r="G55" s="179">
        <f>'D&amp;A'!$59:$59</f>
        <v>0</v>
      </c>
      <c r="H55">
        <v>236</v>
      </c>
      <c r="M55" s="179">
        <f>'Non-margin Costs'!$59:$59</f>
        <v>0</v>
      </c>
      <c r="N55">
        <v>110</v>
      </c>
    </row>
    <row r="56" spans="1:14" x14ac:dyDescent="0.25">
      <c r="A56" s="179" t="str">
        <f>EBITDA!$60:$60</f>
        <v>1016-009084 - CRO Cost Center</v>
      </c>
      <c r="B56">
        <v>688</v>
      </c>
      <c r="G56" s="179">
        <f>'D&amp;A'!$60:$60</f>
        <v>0</v>
      </c>
      <c r="H56">
        <v>237</v>
      </c>
      <c r="M56" s="179">
        <f>'Non-margin Costs'!$60:$60</f>
        <v>0</v>
      </c>
      <c r="N56">
        <v>111</v>
      </c>
    </row>
    <row r="57" spans="1:14" x14ac:dyDescent="0.25">
      <c r="A57" s="179" t="str">
        <f>EBITDA!$61:$61</f>
        <v>1016-009105 - Computer System Cost Ctr</v>
      </c>
      <c r="B57">
        <v>689</v>
      </c>
      <c r="G57" s="179">
        <f>'D&amp;A'!$61:$61</f>
        <v>0</v>
      </c>
      <c r="H57">
        <v>238</v>
      </c>
      <c r="M57" s="179">
        <f>'Non-margin Costs'!$61:$61</f>
        <v>0</v>
      </c>
      <c r="N57">
        <v>112</v>
      </c>
    </row>
    <row r="58" spans="1:14" x14ac:dyDescent="0.25">
      <c r="A58" s="179" t="str">
        <f>EBITDA!$62:$62</f>
        <v>1016-009150 - Restructuring Adjustment</v>
      </c>
      <c r="B58">
        <v>690</v>
      </c>
      <c r="G58" s="179">
        <f>'D&amp;A'!$62:$62</f>
        <v>0</v>
      </c>
      <c r="H58">
        <v>239</v>
      </c>
      <c r="M58" s="179">
        <f>'Non-margin Costs'!$62:$62</f>
        <v>0</v>
      </c>
      <c r="N58">
        <v>113</v>
      </c>
    </row>
    <row r="59" spans="1:14" x14ac:dyDescent="0.25">
      <c r="A59" s="179" t="str">
        <f>EBITDA!$63:$63</f>
        <v>1016-009160 - Transformation</v>
      </c>
      <c r="B59">
        <v>691</v>
      </c>
      <c r="G59" s="179">
        <f>'D&amp;A'!$63:$63</f>
        <v>0</v>
      </c>
      <c r="H59">
        <v>240</v>
      </c>
      <c r="M59" s="179">
        <f>'Non-margin Costs'!$63:$63</f>
        <v>0</v>
      </c>
      <c r="N59">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C4"/>
  <sheetViews>
    <sheetView workbookViewId="0"/>
  </sheetViews>
  <sheetFormatPr defaultRowHeight="15" x14ac:dyDescent="0.25"/>
  <sheetData>
    <row r="3" spans="1:3" x14ac:dyDescent="0.25">
      <c r="A3" t="s">
        <v>309</v>
      </c>
      <c r="B3" t="s">
        <v>310</v>
      </c>
      <c r="C3" t="s">
        <v>314</v>
      </c>
    </row>
    <row r="4" spans="1:3" x14ac:dyDescent="0.25">
      <c r="A4">
        <v>1</v>
      </c>
      <c r="B4">
        <v>7</v>
      </c>
      <c r="C4">
        <v>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C4"/>
  <sheetViews>
    <sheetView workbookViewId="0"/>
  </sheetViews>
  <sheetFormatPr defaultRowHeight="15" x14ac:dyDescent="0.25"/>
  <sheetData>
    <row r="3" spans="1:3" x14ac:dyDescent="0.25">
      <c r="A3" t="s">
        <v>309</v>
      </c>
      <c r="B3" t="s">
        <v>310</v>
      </c>
      <c r="C3" t="s">
        <v>314</v>
      </c>
    </row>
    <row r="4" spans="1:3" x14ac:dyDescent="0.25">
      <c r="A4">
        <v>1</v>
      </c>
      <c r="B4">
        <v>7</v>
      </c>
      <c r="C4">
        <v>13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2:T70"/>
  <sheetViews>
    <sheetView workbookViewId="0">
      <pane xSplit="1" ySplit="2" topLeftCell="C39" activePane="bottomRight" state="frozen"/>
      <selection activeCell="E28" sqref="E28"/>
      <selection pane="topRight" activeCell="E28" sqref="E28"/>
      <selection pane="bottomLeft" activeCell="E28" sqref="E28"/>
      <selection pane="bottomRight" activeCell="E28" sqref="E28"/>
    </sheetView>
  </sheetViews>
  <sheetFormatPr defaultColWidth="8.7109375" defaultRowHeight="15" x14ac:dyDescent="0.25"/>
  <cols>
    <col min="1" max="1" width="44.7109375" style="178" customWidth="1"/>
    <col min="2" max="2" width="12.7109375" style="178" bestFit="1" customWidth="1"/>
    <col min="3" max="4" width="1.5703125" style="178" customWidth="1"/>
    <col min="5" max="5" width="8.7109375" style="178"/>
    <col min="6" max="6" width="44.85546875" style="178" bestFit="1" customWidth="1"/>
    <col min="7" max="7" width="1.5703125" style="178" customWidth="1"/>
    <col min="8" max="8" width="12.28515625" style="178" bestFit="1" customWidth="1"/>
    <col min="9" max="9" width="5" style="178" bestFit="1" customWidth="1"/>
    <col min="10" max="10" width="21.85546875" style="178" customWidth="1"/>
    <col min="11" max="14" width="1.5703125" style="178" customWidth="1"/>
    <col min="15" max="15" width="44.85546875" style="178" customWidth="1"/>
    <col min="16" max="19" width="8.7109375" style="178"/>
    <col min="20" max="20" width="25.5703125" style="316" customWidth="1"/>
    <col min="21" max="16384" width="8.7109375" style="178"/>
  </cols>
  <sheetData>
    <row r="2" spans="1:20" ht="18" customHeight="1" thickBot="1" x14ac:dyDescent="0.3">
      <c r="B2" s="311" t="s">
        <v>328</v>
      </c>
      <c r="C2" s="181"/>
      <c r="D2" s="181"/>
      <c r="F2" s="194" t="s">
        <v>253</v>
      </c>
      <c r="G2" s="194"/>
      <c r="H2" s="194" t="s">
        <v>254</v>
      </c>
      <c r="I2" s="194" t="s">
        <v>255</v>
      </c>
      <c r="J2" s="194" t="s">
        <v>256</v>
      </c>
      <c r="K2" s="194"/>
      <c r="L2" s="194"/>
      <c r="M2" s="194"/>
      <c r="N2" s="194"/>
      <c r="O2" s="194" t="s">
        <v>257</v>
      </c>
      <c r="P2" s="181" t="s">
        <v>328</v>
      </c>
      <c r="T2" s="316" t="s">
        <v>403</v>
      </c>
    </row>
    <row r="3" spans="1:20" x14ac:dyDescent="0.25">
      <c r="A3" s="179" t="s">
        <v>240</v>
      </c>
      <c r="B3" s="307">
        <f>EBITDA!B3-'D&amp;A'!B3</f>
        <v>-107.38545999999999</v>
      </c>
      <c r="C3" s="180"/>
      <c r="D3" s="180"/>
      <c r="E3" s="178" t="str">
        <f>IF(OR(H3="WSC",H3="CISUS"),"USD","CAD")</f>
        <v>USD</v>
      </c>
      <c r="F3" s="183" t="s">
        <v>240</v>
      </c>
      <c r="G3" s="184"/>
      <c r="H3" s="184" t="s">
        <v>182</v>
      </c>
      <c r="I3" s="184" t="s">
        <v>258</v>
      </c>
      <c r="J3" s="184" t="s">
        <v>259</v>
      </c>
      <c r="K3" s="184"/>
      <c r="L3" s="184"/>
      <c r="M3" s="184"/>
      <c r="N3" s="184"/>
      <c r="O3" s="185" t="s">
        <v>311</v>
      </c>
      <c r="P3" s="178" t="s">
        <v>297</v>
      </c>
      <c r="T3" s="316" t="s">
        <v>420</v>
      </c>
    </row>
    <row r="4" spans="1:20" x14ac:dyDescent="0.25">
      <c r="A4" s="179" t="s">
        <v>280</v>
      </c>
      <c r="B4" s="307">
        <f>EBITDA!B4-'D&amp;A'!B4</f>
        <v>-73.092620000000011</v>
      </c>
      <c r="C4" s="180"/>
      <c r="D4" s="180"/>
      <c r="E4" s="178" t="str">
        <f t="shared" ref="E4:E19" si="0">IF(OR(H4="WSC",H4="CISUS"),"USD","CAD")</f>
        <v>USD</v>
      </c>
      <c r="F4" s="186" t="s">
        <v>280</v>
      </c>
      <c r="G4" s="182"/>
      <c r="H4" s="182" t="s">
        <v>182</v>
      </c>
      <c r="I4" s="182" t="s">
        <v>258</v>
      </c>
      <c r="J4" s="182" t="s">
        <v>271</v>
      </c>
      <c r="K4" s="182"/>
      <c r="L4" s="182"/>
      <c r="M4" s="182"/>
      <c r="N4" s="182"/>
      <c r="O4" s="187" t="s">
        <v>263</v>
      </c>
      <c r="P4" s="178" t="s">
        <v>132</v>
      </c>
      <c r="T4" s="316" t="s">
        <v>420</v>
      </c>
    </row>
    <row r="5" spans="1:20" x14ac:dyDescent="0.25">
      <c r="A5" s="179" t="s">
        <v>241</v>
      </c>
      <c r="B5" s="307">
        <f>EBITDA!B5-'D&amp;A'!B5</f>
        <v>-559.81006000000002</v>
      </c>
      <c r="C5" s="180"/>
      <c r="D5" s="180"/>
      <c r="E5" s="178" t="str">
        <f t="shared" si="0"/>
        <v>USD</v>
      </c>
      <c r="F5" s="186" t="s">
        <v>241</v>
      </c>
      <c r="G5" s="182"/>
      <c r="H5" s="182" t="s">
        <v>182</v>
      </c>
      <c r="I5" s="182" t="s">
        <v>258</v>
      </c>
      <c r="J5" s="182" t="s">
        <v>271</v>
      </c>
      <c r="K5" s="182"/>
      <c r="L5" s="182"/>
      <c r="M5" s="182"/>
      <c r="N5" s="182"/>
      <c r="O5" s="187" t="s">
        <v>311</v>
      </c>
      <c r="P5" s="178" t="s">
        <v>297</v>
      </c>
      <c r="T5" s="316" t="s">
        <v>420</v>
      </c>
    </row>
    <row r="6" spans="1:20" x14ac:dyDescent="0.25">
      <c r="A6" s="179" t="s">
        <v>242</v>
      </c>
      <c r="B6" s="307">
        <f>EBITDA!B6-'D&amp;A'!B6</f>
        <v>-34.03285000000001</v>
      </c>
      <c r="C6" s="180"/>
      <c r="D6" s="180"/>
      <c r="E6" s="178" t="str">
        <f t="shared" si="0"/>
        <v>USD</v>
      </c>
      <c r="F6" s="186" t="s">
        <v>242</v>
      </c>
      <c r="G6" s="182"/>
      <c r="H6" s="182" t="s">
        <v>182</v>
      </c>
      <c r="I6" s="182" t="s">
        <v>258</v>
      </c>
      <c r="J6" s="182" t="s">
        <v>259</v>
      </c>
      <c r="K6" s="182"/>
      <c r="L6" s="182"/>
      <c r="M6" s="182"/>
      <c r="N6" s="182"/>
      <c r="O6" s="187" t="s">
        <v>311</v>
      </c>
      <c r="P6" s="178" t="s">
        <v>297</v>
      </c>
      <c r="T6" s="316" t="s">
        <v>420</v>
      </c>
    </row>
    <row r="7" spans="1:20" x14ac:dyDescent="0.25">
      <c r="A7" s="179" t="s">
        <v>281</v>
      </c>
      <c r="B7" s="307">
        <f>EBITDA!B7-'D&amp;A'!B7</f>
        <v>-17.168149999999997</v>
      </c>
      <c r="C7" s="180"/>
      <c r="D7" s="180"/>
      <c r="E7" s="178" t="str">
        <f t="shared" si="0"/>
        <v>USD</v>
      </c>
      <c r="F7" s="186" t="s">
        <v>281</v>
      </c>
      <c r="G7" s="182"/>
      <c r="H7" s="182" t="s">
        <v>182</v>
      </c>
      <c r="I7" s="182" t="s">
        <v>258</v>
      </c>
      <c r="J7" s="182" t="s">
        <v>259</v>
      </c>
      <c r="K7" s="182"/>
      <c r="L7" s="182"/>
      <c r="M7" s="182"/>
      <c r="N7" s="182"/>
      <c r="O7" s="187" t="s">
        <v>263</v>
      </c>
      <c r="P7" s="178" t="s">
        <v>132</v>
      </c>
      <c r="T7" s="316" t="s">
        <v>420</v>
      </c>
    </row>
    <row r="8" spans="1:20" x14ac:dyDescent="0.25">
      <c r="A8" s="179" t="s">
        <v>243</v>
      </c>
      <c r="B8" s="307">
        <f>EBITDA!B8-'D&amp;A'!B8</f>
        <v>-257.63292999999999</v>
      </c>
      <c r="C8" s="180"/>
      <c r="D8" s="180"/>
      <c r="E8" s="178" t="str">
        <f t="shared" si="0"/>
        <v>USD</v>
      </c>
      <c r="F8" s="186" t="s">
        <v>243</v>
      </c>
      <c r="G8" s="182"/>
      <c r="H8" s="182" t="s">
        <v>182</v>
      </c>
      <c r="I8" s="182" t="s">
        <v>258</v>
      </c>
      <c r="J8" s="182" t="s">
        <v>259</v>
      </c>
      <c r="K8" s="182"/>
      <c r="L8" s="182"/>
      <c r="M8" s="182"/>
      <c r="N8" s="182"/>
      <c r="O8" s="187" t="s">
        <v>311</v>
      </c>
      <c r="P8" s="178" t="s">
        <v>297</v>
      </c>
      <c r="T8" s="316" t="s">
        <v>420</v>
      </c>
    </row>
    <row r="9" spans="1:20" x14ac:dyDescent="0.25">
      <c r="A9" s="179" t="s">
        <v>244</v>
      </c>
      <c r="B9" s="307">
        <f>EBITDA!B9-'D&amp;A'!B9</f>
        <v>-1546.7880500000001</v>
      </c>
      <c r="C9" s="180"/>
      <c r="D9" s="180"/>
      <c r="E9" s="178" t="str">
        <f t="shared" si="0"/>
        <v>USD</v>
      </c>
      <c r="F9" s="186" t="s">
        <v>244</v>
      </c>
      <c r="G9" s="182"/>
      <c r="H9" s="182" t="s">
        <v>182</v>
      </c>
      <c r="I9" s="182" t="s">
        <v>258</v>
      </c>
      <c r="J9" s="182" t="s">
        <v>259</v>
      </c>
      <c r="K9" s="182"/>
      <c r="L9" s="182"/>
      <c r="M9" s="182"/>
      <c r="N9" s="182"/>
      <c r="O9" s="187" t="s">
        <v>311</v>
      </c>
      <c r="P9" s="178" t="s">
        <v>297</v>
      </c>
      <c r="T9" s="316" t="s">
        <v>420</v>
      </c>
    </row>
    <row r="10" spans="1:20" x14ac:dyDescent="0.25">
      <c r="A10" s="179" t="s">
        <v>245</v>
      </c>
      <c r="B10" s="307">
        <f>EBITDA!B10-'D&amp;A'!B10</f>
        <v>-277.97422</v>
      </c>
      <c r="C10" s="180"/>
      <c r="D10" s="180"/>
      <c r="E10" s="178" t="str">
        <f t="shared" si="0"/>
        <v>USD</v>
      </c>
      <c r="F10" s="186" t="s">
        <v>245</v>
      </c>
      <c r="G10" s="182"/>
      <c r="H10" s="182" t="s">
        <v>182</v>
      </c>
      <c r="I10" s="182" t="s">
        <v>258</v>
      </c>
      <c r="J10" s="182" t="s">
        <v>259</v>
      </c>
      <c r="K10" s="182"/>
      <c r="L10" s="182"/>
      <c r="M10" s="182"/>
      <c r="N10" s="182"/>
      <c r="O10" s="187" t="s">
        <v>311</v>
      </c>
      <c r="P10" s="178" t="s">
        <v>297</v>
      </c>
      <c r="T10" s="316" t="s">
        <v>420</v>
      </c>
    </row>
    <row r="11" spans="1:20" x14ac:dyDescent="0.25">
      <c r="A11" s="179" t="s">
        <v>246</v>
      </c>
      <c r="B11" s="307">
        <f>EBITDA!B11-'D&amp;A'!B11</f>
        <v>-508.01995999999997</v>
      </c>
      <c r="C11" s="180"/>
      <c r="D11" s="180"/>
      <c r="E11" s="178" t="str">
        <f t="shared" si="0"/>
        <v>USD</v>
      </c>
      <c r="F11" s="186" t="s">
        <v>246</v>
      </c>
      <c r="G11" s="182"/>
      <c r="H11" s="182" t="s">
        <v>182</v>
      </c>
      <c r="I11" s="182" t="s">
        <v>258</v>
      </c>
      <c r="J11" s="182" t="s">
        <v>259</v>
      </c>
      <c r="K11" s="182"/>
      <c r="L11" s="182"/>
      <c r="M11" s="182"/>
      <c r="N11" s="182"/>
      <c r="O11" s="187" t="s">
        <v>311</v>
      </c>
      <c r="P11" s="178" t="s">
        <v>297</v>
      </c>
      <c r="T11" s="316" t="s">
        <v>420</v>
      </c>
    </row>
    <row r="12" spans="1:20" x14ac:dyDescent="0.25">
      <c r="A12" s="179" t="s">
        <v>247</v>
      </c>
      <c r="B12" s="307">
        <f>EBITDA!B12-'D&amp;A'!B12</f>
        <v>-226.79310000000001</v>
      </c>
      <c r="C12" s="180"/>
      <c r="D12" s="180"/>
      <c r="E12" s="178" t="str">
        <f t="shared" si="0"/>
        <v>USD</v>
      </c>
      <c r="F12" s="186" t="s">
        <v>247</v>
      </c>
      <c r="G12" s="182"/>
      <c r="H12" s="182" t="s">
        <v>182</v>
      </c>
      <c r="I12" s="182" t="s">
        <v>258</v>
      </c>
      <c r="J12" s="182" t="s">
        <v>260</v>
      </c>
      <c r="K12" s="182"/>
      <c r="L12" s="182"/>
      <c r="M12" s="182"/>
      <c r="N12" s="182"/>
      <c r="O12" s="187" t="s">
        <v>261</v>
      </c>
      <c r="P12" s="178" t="s">
        <v>189</v>
      </c>
      <c r="T12" s="316" t="s">
        <v>420</v>
      </c>
    </row>
    <row r="13" spans="1:20" x14ac:dyDescent="0.25">
      <c r="A13" s="179" t="s">
        <v>248</v>
      </c>
      <c r="B13" s="307">
        <f>EBITDA!B13-'D&amp;A'!B13</f>
        <v>-204.07758000000001</v>
      </c>
      <c r="C13" s="180"/>
      <c r="D13" s="180"/>
      <c r="E13" s="178" t="str">
        <f t="shared" si="0"/>
        <v>USD</v>
      </c>
      <c r="F13" s="186" t="s">
        <v>248</v>
      </c>
      <c r="G13" s="182"/>
      <c r="H13" s="182" t="s">
        <v>182</v>
      </c>
      <c r="I13" s="182" t="s">
        <v>258</v>
      </c>
      <c r="J13" s="182" t="s">
        <v>259</v>
      </c>
      <c r="K13" s="182"/>
      <c r="L13" s="182"/>
      <c r="M13" s="182"/>
      <c r="N13" s="182"/>
      <c r="O13" s="187" t="s">
        <v>311</v>
      </c>
      <c r="P13" s="178" t="s">
        <v>297</v>
      </c>
      <c r="T13" s="316" t="s">
        <v>420</v>
      </c>
    </row>
    <row r="14" spans="1:20" x14ac:dyDescent="0.25">
      <c r="A14" s="179" t="s">
        <v>282</v>
      </c>
      <c r="B14" s="307">
        <f>EBITDA!B14-'D&amp;A'!B14</f>
        <v>-63.276420000000009</v>
      </c>
      <c r="C14" s="180"/>
      <c r="D14" s="180"/>
      <c r="E14" s="178" t="str">
        <f t="shared" si="0"/>
        <v>USD</v>
      </c>
      <c r="F14" s="186" t="s">
        <v>282</v>
      </c>
      <c r="G14" s="182"/>
      <c r="H14" s="182" t="s">
        <v>182</v>
      </c>
      <c r="I14" s="182" t="s">
        <v>258</v>
      </c>
      <c r="J14" s="182" t="s">
        <v>262</v>
      </c>
      <c r="K14" s="182"/>
      <c r="L14" s="182"/>
      <c r="M14" s="182"/>
      <c r="N14" s="182"/>
      <c r="O14" s="187" t="s">
        <v>263</v>
      </c>
      <c r="P14" s="178" t="s">
        <v>132</v>
      </c>
      <c r="T14" s="316" t="s">
        <v>420</v>
      </c>
    </row>
    <row r="15" spans="1:20" x14ac:dyDescent="0.25">
      <c r="A15" s="179" t="s">
        <v>249</v>
      </c>
      <c r="B15" s="307">
        <f>EBITDA!B15-'D&amp;A'!B15</f>
        <v>-103.91546</v>
      </c>
      <c r="C15" s="180"/>
      <c r="D15" s="180"/>
      <c r="E15" s="178" t="str">
        <f t="shared" si="0"/>
        <v>USD</v>
      </c>
      <c r="F15" s="186" t="s">
        <v>249</v>
      </c>
      <c r="G15" s="182"/>
      <c r="H15" s="182" t="s">
        <v>182</v>
      </c>
      <c r="I15" s="182" t="s">
        <v>258</v>
      </c>
      <c r="J15" s="182" t="s">
        <v>262</v>
      </c>
      <c r="K15" s="182"/>
      <c r="L15" s="182"/>
      <c r="M15" s="182"/>
      <c r="N15" s="182"/>
      <c r="O15" s="187" t="s">
        <v>311</v>
      </c>
      <c r="P15" s="178" t="s">
        <v>297</v>
      </c>
      <c r="T15" s="316" t="s">
        <v>420</v>
      </c>
    </row>
    <row r="16" spans="1:20" x14ac:dyDescent="0.25">
      <c r="A16" s="179" t="s">
        <v>250</v>
      </c>
      <c r="B16" s="307">
        <f>EBITDA!B16-'D&amp;A'!B16</f>
        <v>-415.87811999999997</v>
      </c>
      <c r="C16" s="180"/>
      <c r="D16" s="180"/>
      <c r="E16" s="178" t="str">
        <f t="shared" si="0"/>
        <v>USD</v>
      </c>
      <c r="F16" s="186" t="s">
        <v>250</v>
      </c>
      <c r="G16" s="182"/>
      <c r="H16" s="182" t="s">
        <v>182</v>
      </c>
      <c r="I16" s="182" t="s">
        <v>258</v>
      </c>
      <c r="J16" s="182" t="s">
        <v>259</v>
      </c>
      <c r="K16" s="182"/>
      <c r="L16" s="182"/>
      <c r="M16" s="182"/>
      <c r="N16" s="182"/>
      <c r="O16" s="187" t="s">
        <v>311</v>
      </c>
      <c r="P16" s="178" t="s">
        <v>297</v>
      </c>
      <c r="T16" s="316" t="s">
        <v>420</v>
      </c>
    </row>
    <row r="17" spans="1:20" x14ac:dyDescent="0.25">
      <c r="A17" s="179" t="s">
        <v>251</v>
      </c>
      <c r="B17" s="307">
        <f>EBITDA!B17-'D&amp;A'!B17</f>
        <v>-64.629730000000009</v>
      </c>
      <c r="C17" s="180"/>
      <c r="D17" s="180"/>
      <c r="E17" s="178" t="str">
        <f t="shared" si="0"/>
        <v>USD</v>
      </c>
      <c r="F17" s="186" t="s">
        <v>251</v>
      </c>
      <c r="G17" s="182"/>
      <c r="H17" s="182" t="s">
        <v>182</v>
      </c>
      <c r="I17" s="182" t="s">
        <v>258</v>
      </c>
      <c r="J17" s="182" t="s">
        <v>259</v>
      </c>
      <c r="K17" s="182"/>
      <c r="L17" s="182"/>
      <c r="M17" s="182"/>
      <c r="N17" s="182"/>
      <c r="O17" s="187" t="s">
        <v>311</v>
      </c>
      <c r="P17" s="178" t="s">
        <v>297</v>
      </c>
      <c r="T17" s="316" t="s">
        <v>420</v>
      </c>
    </row>
    <row r="18" spans="1:20" x14ac:dyDescent="0.25">
      <c r="A18" s="179" t="s">
        <v>252</v>
      </c>
      <c r="B18" s="307">
        <f>EBITDA!B18-'D&amp;A'!B18</f>
        <v>0</v>
      </c>
      <c r="C18" s="180"/>
      <c r="D18" s="180"/>
      <c r="E18" s="178" t="str">
        <f t="shared" si="0"/>
        <v>USD</v>
      </c>
      <c r="F18" s="186" t="s">
        <v>252</v>
      </c>
      <c r="G18" s="182"/>
      <c r="H18" s="182" t="s">
        <v>182</v>
      </c>
      <c r="I18" s="182" t="s">
        <v>258</v>
      </c>
      <c r="J18" s="182" t="s">
        <v>259</v>
      </c>
      <c r="K18" s="182"/>
      <c r="L18" s="182"/>
      <c r="M18" s="182"/>
      <c r="N18" s="182"/>
      <c r="O18" s="187" t="s">
        <v>312</v>
      </c>
      <c r="P18" s="178" t="s">
        <v>285</v>
      </c>
      <c r="T18" s="316" t="s">
        <v>420</v>
      </c>
    </row>
    <row r="19" spans="1:20" x14ac:dyDescent="0.25">
      <c r="A19" s="179" t="s">
        <v>300</v>
      </c>
      <c r="B19" s="307">
        <f>EBITDA!B19-'D&amp;A'!B19</f>
        <v>0</v>
      </c>
      <c r="C19" s="180"/>
      <c r="D19" s="180"/>
      <c r="E19" s="178" t="str">
        <f t="shared" si="0"/>
        <v>USD</v>
      </c>
      <c r="F19" s="186" t="s">
        <v>300</v>
      </c>
      <c r="G19" s="182"/>
      <c r="H19" s="182" t="s">
        <v>182</v>
      </c>
      <c r="I19" s="182" t="s">
        <v>258</v>
      </c>
      <c r="J19" s="182" t="s">
        <v>259</v>
      </c>
      <c r="K19" s="182"/>
      <c r="L19" s="182"/>
      <c r="M19" s="182"/>
      <c r="N19" s="182"/>
      <c r="O19" s="187" t="s">
        <v>263</v>
      </c>
      <c r="P19" s="178" t="s">
        <v>132</v>
      </c>
      <c r="T19" s="316" t="s">
        <v>420</v>
      </c>
    </row>
    <row r="20" spans="1:20" ht="15.75" thickBot="1" x14ac:dyDescent="0.3">
      <c r="A20" s="179" t="s">
        <v>307</v>
      </c>
      <c r="B20" s="307">
        <f>EBITDA!B20-'D&amp;A'!B20</f>
        <v>-30.92126</v>
      </c>
      <c r="C20" s="180"/>
      <c r="D20" s="180"/>
      <c r="E20" s="178" t="s">
        <v>166</v>
      </c>
      <c r="F20" s="188" t="s">
        <v>307</v>
      </c>
      <c r="G20" s="189"/>
      <c r="H20" s="189" t="s">
        <v>182</v>
      </c>
      <c r="I20" s="189" t="s">
        <v>258</v>
      </c>
      <c r="J20" s="189" t="s">
        <v>259</v>
      </c>
      <c r="K20" s="189"/>
      <c r="L20" s="189"/>
      <c r="M20" s="189"/>
      <c r="N20" s="189"/>
      <c r="O20" s="190" t="s">
        <v>263</v>
      </c>
      <c r="P20" s="178" t="s">
        <v>132</v>
      </c>
      <c r="T20" s="316" t="s">
        <v>420</v>
      </c>
    </row>
    <row r="21" spans="1:20" x14ac:dyDescent="0.25">
      <c r="B21" s="180"/>
      <c r="C21" s="180"/>
      <c r="D21" s="180"/>
      <c r="F21" s="192"/>
      <c r="G21" s="192"/>
      <c r="H21" s="192"/>
      <c r="I21" s="192"/>
      <c r="J21" s="192"/>
      <c r="K21" s="192"/>
      <c r="L21" s="192"/>
      <c r="M21" s="192"/>
      <c r="N21" s="192"/>
      <c r="O21" s="192"/>
    </row>
    <row r="22" spans="1:20" ht="15.75" thickBot="1" x14ac:dyDescent="0.3">
      <c r="B22" s="180"/>
      <c r="C22" s="180"/>
      <c r="D22" s="180"/>
      <c r="F22" s="196" t="s">
        <v>264</v>
      </c>
      <c r="G22" s="192"/>
      <c r="H22" s="192"/>
      <c r="I22" s="192"/>
      <c r="J22" s="192"/>
      <c r="K22" s="192"/>
      <c r="L22" s="192"/>
      <c r="M22" s="192"/>
      <c r="N22" s="192"/>
      <c r="O22" s="192"/>
    </row>
    <row r="23" spans="1:20" x14ac:dyDescent="0.25">
      <c r="A23" s="179" t="s">
        <v>218</v>
      </c>
      <c r="B23" s="312">
        <f>EBITDA!B23-'D&amp;A'!B23</f>
        <v>-897.18770000000029</v>
      </c>
      <c r="C23" s="180"/>
      <c r="D23" s="180"/>
      <c r="E23" s="178" t="str">
        <f t="shared" ref="E23:E63" si="1">IF(OR(H23="WSC",H23="CISUS"),"USD","CAD")</f>
        <v>CAD</v>
      </c>
      <c r="F23" s="183" t="s">
        <v>218</v>
      </c>
      <c r="G23" s="184"/>
      <c r="H23" s="184" t="s">
        <v>265</v>
      </c>
      <c r="I23" s="184" t="s">
        <v>266</v>
      </c>
      <c r="J23" s="184" t="s">
        <v>267</v>
      </c>
      <c r="K23" s="184"/>
      <c r="L23" s="184"/>
      <c r="M23" s="184"/>
      <c r="N23" s="184"/>
      <c r="O23" s="185" t="s">
        <v>268</v>
      </c>
      <c r="P23" s="178" t="s">
        <v>196</v>
      </c>
      <c r="T23" s="316" t="s">
        <v>268</v>
      </c>
    </row>
    <row r="24" spans="1:20" x14ac:dyDescent="0.25">
      <c r="A24" s="179" t="s">
        <v>219</v>
      </c>
      <c r="B24" s="302">
        <f>EBITDA!B24-'D&amp;A'!B24</f>
        <v>-1.0000000000000001E-5</v>
      </c>
      <c r="C24" s="180"/>
      <c r="D24" s="180"/>
      <c r="E24" s="178" t="str">
        <f t="shared" si="1"/>
        <v>CAD</v>
      </c>
      <c r="F24" s="186" t="s">
        <v>219</v>
      </c>
      <c r="G24" s="182"/>
      <c r="H24" s="182" t="s">
        <v>265</v>
      </c>
      <c r="I24" s="182" t="s">
        <v>266</v>
      </c>
      <c r="J24" s="182" t="s">
        <v>267</v>
      </c>
      <c r="K24" s="182"/>
      <c r="L24" s="182"/>
      <c r="M24" s="182"/>
      <c r="N24" s="182"/>
      <c r="O24" s="187" t="s">
        <v>263</v>
      </c>
      <c r="P24" s="178" t="s">
        <v>132</v>
      </c>
      <c r="T24" s="316" t="s">
        <v>263</v>
      </c>
    </row>
    <row r="25" spans="1:20" x14ac:dyDescent="0.25">
      <c r="A25" s="179" t="s">
        <v>220</v>
      </c>
      <c r="B25" s="312">
        <f>EBITDA!B25-'D&amp;A'!B25</f>
        <v>-121.55990999999997</v>
      </c>
      <c r="C25" s="180"/>
      <c r="D25" s="180"/>
      <c r="E25" s="178" t="str">
        <f t="shared" si="1"/>
        <v>CAD</v>
      </c>
      <c r="F25" s="186" t="s">
        <v>220</v>
      </c>
      <c r="G25" s="182"/>
      <c r="H25" s="182" t="s">
        <v>265</v>
      </c>
      <c r="I25" s="182" t="s">
        <v>266</v>
      </c>
      <c r="J25" s="182" t="s">
        <v>259</v>
      </c>
      <c r="K25" s="182"/>
      <c r="L25" s="182"/>
      <c r="M25" s="182"/>
      <c r="N25" s="182"/>
      <c r="O25" s="187" t="s">
        <v>263</v>
      </c>
      <c r="P25" s="178" t="s">
        <v>132</v>
      </c>
      <c r="T25" s="316" t="s">
        <v>263</v>
      </c>
    </row>
    <row r="26" spans="1:20" x14ac:dyDescent="0.25">
      <c r="A26" s="179" t="s">
        <v>301</v>
      </c>
      <c r="B26" s="302">
        <f>EBITDA!B26-'D&amp;A'!B26</f>
        <v>0</v>
      </c>
      <c r="C26" s="180"/>
      <c r="D26" s="180"/>
      <c r="E26" s="178" t="str">
        <f t="shared" si="1"/>
        <v>CAD</v>
      </c>
      <c r="F26" s="186" t="s">
        <v>301</v>
      </c>
      <c r="G26" s="182"/>
      <c r="H26" s="182" t="s">
        <v>265</v>
      </c>
      <c r="I26" s="182" t="s">
        <v>266</v>
      </c>
      <c r="J26" s="182" t="s">
        <v>259</v>
      </c>
      <c r="K26" s="182"/>
      <c r="L26" s="182"/>
      <c r="M26" s="182"/>
      <c r="N26" s="182"/>
      <c r="O26" s="187" t="s">
        <v>263</v>
      </c>
      <c r="P26" s="178" t="s">
        <v>132</v>
      </c>
      <c r="T26" s="316" t="s">
        <v>263</v>
      </c>
    </row>
    <row r="27" spans="1:20" x14ac:dyDescent="0.25">
      <c r="A27" s="179" t="s">
        <v>221</v>
      </c>
      <c r="B27" s="312">
        <f>EBITDA!B27-'D&amp;A'!B27</f>
        <v>-260.82368000000002</v>
      </c>
      <c r="C27" s="180"/>
      <c r="D27" s="180"/>
      <c r="E27" s="178" t="str">
        <f t="shared" si="1"/>
        <v>CAD</v>
      </c>
      <c r="F27" s="186" t="s">
        <v>221</v>
      </c>
      <c r="G27" s="182"/>
      <c r="H27" s="182" t="s">
        <v>265</v>
      </c>
      <c r="I27" s="182" t="s">
        <v>266</v>
      </c>
      <c r="J27" s="182" t="s">
        <v>269</v>
      </c>
      <c r="K27" s="182"/>
      <c r="L27" s="182"/>
      <c r="M27" s="182"/>
      <c r="N27" s="182"/>
      <c r="O27" s="187" t="s">
        <v>263</v>
      </c>
      <c r="P27" s="178" t="s">
        <v>132</v>
      </c>
      <c r="T27" s="316" t="s">
        <v>263</v>
      </c>
    </row>
    <row r="28" spans="1:20" x14ac:dyDescent="0.25">
      <c r="A28" s="198" t="s">
        <v>222</v>
      </c>
      <c r="B28" s="312">
        <f>EBITDA!B28-'D&amp;A'!B28</f>
        <v>-49.509280000000004</v>
      </c>
      <c r="C28" s="180"/>
      <c r="D28" s="180"/>
      <c r="E28" s="178" t="str">
        <f t="shared" si="1"/>
        <v>CAD</v>
      </c>
      <c r="F28" s="186" t="s">
        <v>222</v>
      </c>
      <c r="G28" s="182"/>
      <c r="H28" s="182" t="s">
        <v>265</v>
      </c>
      <c r="I28" s="182" t="s">
        <v>266</v>
      </c>
      <c r="J28" s="182" t="s">
        <v>270</v>
      </c>
      <c r="K28" s="182"/>
      <c r="L28" s="182"/>
      <c r="M28" s="182"/>
      <c r="N28" s="182"/>
      <c r="O28" s="187" t="s">
        <v>263</v>
      </c>
      <c r="P28" s="178" t="s">
        <v>132</v>
      </c>
      <c r="T28" s="316" t="s">
        <v>263</v>
      </c>
    </row>
    <row r="29" spans="1:20" x14ac:dyDescent="0.25">
      <c r="A29" s="198" t="s">
        <v>223</v>
      </c>
      <c r="B29" s="302">
        <f>EBITDA!B29-'D&amp;A'!B29</f>
        <v>-774.81956000000002</v>
      </c>
      <c r="C29" s="180"/>
      <c r="D29" s="180"/>
      <c r="E29" s="178" t="str">
        <f t="shared" si="1"/>
        <v>CAD</v>
      </c>
      <c r="F29" s="186" t="s">
        <v>223</v>
      </c>
      <c r="G29" s="182"/>
      <c r="H29" s="182" t="s">
        <v>265</v>
      </c>
      <c r="I29" s="182" t="s">
        <v>266</v>
      </c>
      <c r="J29" s="182" t="s">
        <v>271</v>
      </c>
      <c r="K29" s="182"/>
      <c r="L29" s="182"/>
      <c r="M29" s="182"/>
      <c r="N29" s="182"/>
      <c r="O29" s="187" t="s">
        <v>268</v>
      </c>
      <c r="P29" s="178" t="s">
        <v>196</v>
      </c>
      <c r="T29" s="316" t="s">
        <v>268</v>
      </c>
    </row>
    <row r="30" spans="1:20" x14ac:dyDescent="0.25">
      <c r="A30" s="198" t="s">
        <v>224</v>
      </c>
      <c r="B30" s="312">
        <f>EBITDA!B30-'D&amp;A'!B30</f>
        <v>-660.08099000000016</v>
      </c>
      <c r="C30" s="180"/>
      <c r="D30" s="180"/>
      <c r="E30" s="178" t="str">
        <f t="shared" si="1"/>
        <v>CAD</v>
      </c>
      <c r="F30" s="186" t="s">
        <v>272</v>
      </c>
      <c r="G30" s="182"/>
      <c r="H30" s="182" t="s">
        <v>265</v>
      </c>
      <c r="I30" s="182" t="s">
        <v>266</v>
      </c>
      <c r="J30" s="182" t="s">
        <v>259</v>
      </c>
      <c r="K30" s="182"/>
      <c r="L30" s="182"/>
      <c r="M30" s="182"/>
      <c r="N30" s="182"/>
      <c r="O30" s="187" t="s">
        <v>263</v>
      </c>
      <c r="P30" s="178" t="s">
        <v>132</v>
      </c>
      <c r="T30" s="316" t="s">
        <v>263</v>
      </c>
    </row>
    <row r="31" spans="1:20" x14ac:dyDescent="0.25">
      <c r="A31" s="198" t="s">
        <v>225</v>
      </c>
      <c r="B31" s="312">
        <f>EBITDA!B31-'D&amp;A'!B31</f>
        <v>-101.15696999999999</v>
      </c>
      <c r="C31" s="180"/>
      <c r="D31" s="180"/>
      <c r="E31" s="178" t="str">
        <f t="shared" si="1"/>
        <v>CAD</v>
      </c>
      <c r="F31" s="186" t="s">
        <v>225</v>
      </c>
      <c r="G31" s="182"/>
      <c r="H31" s="182" t="s">
        <v>265</v>
      </c>
      <c r="I31" s="182" t="s">
        <v>266</v>
      </c>
      <c r="J31" s="182" t="s">
        <v>270</v>
      </c>
      <c r="K31" s="182"/>
      <c r="L31" s="182"/>
      <c r="M31" s="182"/>
      <c r="N31" s="182"/>
      <c r="O31" s="187" t="s">
        <v>263</v>
      </c>
      <c r="P31" s="178" t="s">
        <v>132</v>
      </c>
      <c r="T31" s="316" t="s">
        <v>263</v>
      </c>
    </row>
    <row r="32" spans="1:20" x14ac:dyDescent="0.25">
      <c r="A32" s="198" t="s">
        <v>283</v>
      </c>
      <c r="B32" s="312">
        <f>EBITDA!B32-'D&amp;A'!B32</f>
        <v>-69.758759999999995</v>
      </c>
      <c r="C32" s="180"/>
      <c r="D32" s="180"/>
      <c r="E32" s="178" t="str">
        <f t="shared" si="1"/>
        <v>CAD</v>
      </c>
      <c r="F32" s="186" t="s">
        <v>283</v>
      </c>
      <c r="G32" s="182"/>
      <c r="H32" s="182" t="s">
        <v>265</v>
      </c>
      <c r="I32" s="182" t="s">
        <v>266</v>
      </c>
      <c r="J32" s="182" t="s">
        <v>259</v>
      </c>
      <c r="K32" s="182"/>
      <c r="L32" s="182"/>
      <c r="M32" s="182"/>
      <c r="N32" s="182"/>
      <c r="O32" s="187" t="s">
        <v>263</v>
      </c>
      <c r="P32" s="178" t="s">
        <v>132</v>
      </c>
      <c r="T32" s="316" t="s">
        <v>263</v>
      </c>
    </row>
    <row r="33" spans="1:20" x14ac:dyDescent="0.25">
      <c r="A33" s="198" t="s">
        <v>226</v>
      </c>
      <c r="B33" s="312">
        <f>EBITDA!B33-'D&amp;A'!B33</f>
        <v>-52.772509999999997</v>
      </c>
      <c r="C33" s="180"/>
      <c r="D33" s="180"/>
      <c r="E33" s="178" t="str">
        <f t="shared" si="1"/>
        <v>CAD</v>
      </c>
      <c r="F33" s="186" t="s">
        <v>226</v>
      </c>
      <c r="G33" s="182"/>
      <c r="H33" s="182" t="s">
        <v>265</v>
      </c>
      <c r="I33" s="182" t="s">
        <v>266</v>
      </c>
      <c r="J33" s="182" t="s">
        <v>262</v>
      </c>
      <c r="K33" s="182"/>
      <c r="L33" s="182"/>
      <c r="M33" s="182"/>
      <c r="N33" s="182"/>
      <c r="O33" s="187" t="s">
        <v>263</v>
      </c>
      <c r="P33" s="178" t="s">
        <v>132</v>
      </c>
      <c r="T33" s="316" t="s">
        <v>263</v>
      </c>
    </row>
    <row r="34" spans="1:20" x14ac:dyDescent="0.25">
      <c r="A34" s="198" t="s">
        <v>227</v>
      </c>
      <c r="B34" s="302">
        <f>EBITDA!B34-'D&amp;A'!B34</f>
        <v>-90.696839999999995</v>
      </c>
      <c r="C34" s="180"/>
      <c r="D34" s="180"/>
      <c r="E34" s="178" t="str">
        <f t="shared" si="1"/>
        <v>CAD</v>
      </c>
      <c r="F34" s="186" t="s">
        <v>227</v>
      </c>
      <c r="G34" s="182"/>
      <c r="H34" s="182" t="s">
        <v>265</v>
      </c>
      <c r="I34" s="182" t="s">
        <v>266</v>
      </c>
      <c r="J34" s="182" t="s">
        <v>271</v>
      </c>
      <c r="K34" s="182"/>
      <c r="L34" s="182"/>
      <c r="M34" s="182"/>
      <c r="N34" s="182"/>
      <c r="O34" s="187" t="s">
        <v>268</v>
      </c>
      <c r="P34" s="178" t="s">
        <v>196</v>
      </c>
      <c r="T34" s="316" t="s">
        <v>268</v>
      </c>
    </row>
    <row r="35" spans="1:20" x14ac:dyDescent="0.25">
      <c r="A35" s="198" t="s">
        <v>228</v>
      </c>
      <c r="B35" s="312">
        <f>EBITDA!B35-'D&amp;A'!B35</f>
        <v>-48.990959999999994</v>
      </c>
      <c r="C35" s="180"/>
      <c r="D35" s="180"/>
      <c r="E35" s="178" t="str">
        <f t="shared" si="1"/>
        <v>CAD</v>
      </c>
      <c r="F35" s="186" t="s">
        <v>228</v>
      </c>
      <c r="G35" s="182"/>
      <c r="H35" s="182" t="s">
        <v>265</v>
      </c>
      <c r="I35" s="182" t="s">
        <v>266</v>
      </c>
      <c r="J35" s="182" t="s">
        <v>270</v>
      </c>
      <c r="K35" s="182"/>
      <c r="L35" s="182"/>
      <c r="M35" s="182"/>
      <c r="N35" s="182"/>
      <c r="O35" s="187" t="s">
        <v>263</v>
      </c>
      <c r="P35" s="178" t="s">
        <v>132</v>
      </c>
      <c r="T35" s="316" t="s">
        <v>263</v>
      </c>
    </row>
    <row r="36" spans="1:20" x14ac:dyDescent="0.25">
      <c r="A36" s="179" t="s">
        <v>229</v>
      </c>
      <c r="B36" s="312">
        <f>EBITDA!B36-'D&amp;A'!B36</f>
        <v>-41.89669</v>
      </c>
      <c r="C36" s="180"/>
      <c r="D36" s="180"/>
      <c r="E36" s="178" t="str">
        <f t="shared" si="1"/>
        <v>CAD</v>
      </c>
      <c r="F36" s="186" t="s">
        <v>273</v>
      </c>
      <c r="G36" s="182"/>
      <c r="H36" s="182" t="s">
        <v>265</v>
      </c>
      <c r="I36" s="182" t="s">
        <v>266</v>
      </c>
      <c r="J36" s="182" t="s">
        <v>271</v>
      </c>
      <c r="K36" s="182"/>
      <c r="L36" s="182"/>
      <c r="M36" s="182"/>
      <c r="N36" s="182"/>
      <c r="O36" s="187" t="s">
        <v>268</v>
      </c>
      <c r="P36" s="178" t="s">
        <v>196</v>
      </c>
      <c r="T36" s="316" t="s">
        <v>268</v>
      </c>
    </row>
    <row r="37" spans="1:20" ht="15.75" thickBot="1" x14ac:dyDescent="0.3">
      <c r="A37" s="179" t="s">
        <v>284</v>
      </c>
      <c r="B37" s="312">
        <f>EBITDA!B37-'D&amp;A'!B37</f>
        <v>-205.77473000000001</v>
      </c>
      <c r="C37" s="180"/>
      <c r="D37" s="180"/>
      <c r="E37" s="178" t="str">
        <f t="shared" si="1"/>
        <v>CAD</v>
      </c>
      <c r="F37" s="188" t="s">
        <v>284</v>
      </c>
      <c r="G37" s="189"/>
      <c r="H37" s="189" t="s">
        <v>265</v>
      </c>
      <c r="I37" s="189" t="s">
        <v>266</v>
      </c>
      <c r="J37" s="189" t="s">
        <v>270</v>
      </c>
      <c r="K37" s="189"/>
      <c r="L37" s="189"/>
      <c r="M37" s="189"/>
      <c r="N37" s="189"/>
      <c r="O37" s="190" t="s">
        <v>263</v>
      </c>
      <c r="P37" s="178" t="s">
        <v>132</v>
      </c>
      <c r="T37" s="316" t="s">
        <v>263</v>
      </c>
    </row>
    <row r="38" spans="1:20" x14ac:dyDescent="0.25">
      <c r="B38" s="180"/>
      <c r="C38" s="180"/>
      <c r="D38" s="180"/>
      <c r="F38" s="192"/>
      <c r="G38" s="192"/>
      <c r="H38" s="192"/>
      <c r="I38" s="192"/>
      <c r="J38" s="192"/>
      <c r="K38" s="192"/>
      <c r="L38" s="192"/>
      <c r="M38" s="192"/>
      <c r="N38" s="192"/>
      <c r="O38" s="192"/>
    </row>
    <row r="39" spans="1:20" x14ac:dyDescent="0.25">
      <c r="B39" s="180"/>
      <c r="C39" s="180"/>
      <c r="D39" s="180"/>
      <c r="F39" s="192"/>
      <c r="G39" s="192"/>
      <c r="H39" s="192"/>
      <c r="I39" s="192"/>
      <c r="J39" s="192"/>
      <c r="K39" s="192"/>
      <c r="L39" s="192"/>
      <c r="M39" s="192"/>
      <c r="N39" s="192"/>
      <c r="O39" s="192"/>
    </row>
    <row r="40" spans="1:20" ht="15.75" thickBot="1" x14ac:dyDescent="0.3">
      <c r="B40" s="180"/>
      <c r="C40" s="180"/>
      <c r="D40" s="180"/>
      <c r="F40" s="196" t="s">
        <v>394</v>
      </c>
      <c r="G40" s="193"/>
      <c r="H40" s="193"/>
      <c r="I40" s="193"/>
      <c r="J40" s="193"/>
      <c r="K40" s="193"/>
      <c r="L40" s="193"/>
      <c r="M40" s="193"/>
      <c r="N40" s="193"/>
      <c r="O40" s="193"/>
    </row>
    <row r="41" spans="1:20" x14ac:dyDescent="0.25">
      <c r="A41" s="179" t="s">
        <v>230</v>
      </c>
      <c r="B41" s="313">
        <f>EBITDA!B41-'D&amp;A'!B41</f>
        <v>-81.185879999999997</v>
      </c>
      <c r="C41" s="180"/>
      <c r="D41" s="180"/>
      <c r="E41" s="178" t="str">
        <f t="shared" si="1"/>
        <v>CAD</v>
      </c>
      <c r="F41" s="195" t="s">
        <v>230</v>
      </c>
      <c r="G41" s="184"/>
      <c r="H41" s="184" t="s">
        <v>265</v>
      </c>
      <c r="I41" s="184" t="s">
        <v>266</v>
      </c>
      <c r="J41" s="184" t="s">
        <v>271</v>
      </c>
      <c r="K41" s="184"/>
      <c r="L41" s="184"/>
      <c r="M41" s="184"/>
      <c r="N41" s="184"/>
      <c r="O41" s="185" t="s">
        <v>188</v>
      </c>
      <c r="P41" s="178" t="s">
        <v>188</v>
      </c>
      <c r="T41" s="316" t="s">
        <v>188</v>
      </c>
    </row>
    <row r="42" spans="1:20" x14ac:dyDescent="0.25">
      <c r="A42" s="179" t="s">
        <v>289</v>
      </c>
      <c r="B42" s="304">
        <f>EBITDA!B42-'D&amp;A'!B42</f>
        <v>0</v>
      </c>
      <c r="C42" s="180"/>
      <c r="D42" s="180"/>
      <c r="E42" s="178" t="str">
        <f t="shared" si="1"/>
        <v>CAD</v>
      </c>
      <c r="F42" s="191" t="s">
        <v>289</v>
      </c>
      <c r="G42" s="182"/>
      <c r="H42" s="182" t="s">
        <v>265</v>
      </c>
      <c r="I42" s="182" t="s">
        <v>266</v>
      </c>
      <c r="J42" s="182" t="s">
        <v>270</v>
      </c>
      <c r="K42" s="182"/>
      <c r="L42" s="182"/>
      <c r="M42" s="182"/>
      <c r="N42" s="182"/>
      <c r="O42" s="187" t="s">
        <v>188</v>
      </c>
      <c r="P42" s="178" t="s">
        <v>188</v>
      </c>
      <c r="T42" s="316" t="s">
        <v>188</v>
      </c>
    </row>
    <row r="43" spans="1:20" ht="17.25" customHeight="1" x14ac:dyDescent="0.25">
      <c r="A43" s="179" t="s">
        <v>231</v>
      </c>
      <c r="B43" s="313">
        <f>EBITDA!B43-'D&amp;A'!B43</f>
        <v>-126.94707</v>
      </c>
      <c r="C43" s="180"/>
      <c r="D43" s="180"/>
      <c r="E43" s="178" t="str">
        <f t="shared" si="1"/>
        <v>CAD</v>
      </c>
      <c r="F43" s="191" t="s">
        <v>231</v>
      </c>
      <c r="G43" s="182"/>
      <c r="H43" s="182" t="s">
        <v>265</v>
      </c>
      <c r="I43" s="182" t="s">
        <v>266</v>
      </c>
      <c r="J43" s="182" t="s">
        <v>274</v>
      </c>
      <c r="K43" s="182"/>
      <c r="L43" s="182"/>
      <c r="M43" s="182"/>
      <c r="N43" s="182"/>
      <c r="O43" s="187" t="s">
        <v>188</v>
      </c>
      <c r="P43" s="178" t="s">
        <v>188</v>
      </c>
      <c r="T43" s="316" t="s">
        <v>188</v>
      </c>
    </row>
    <row r="44" spans="1:20" x14ac:dyDescent="0.25">
      <c r="A44" s="179" t="s">
        <v>232</v>
      </c>
      <c r="B44" s="313">
        <f>EBITDA!B44-'D&amp;A'!B44</f>
        <v>-125.8879</v>
      </c>
      <c r="C44" s="180"/>
      <c r="D44" s="180"/>
      <c r="E44" s="178" t="str">
        <f t="shared" si="1"/>
        <v>CAD</v>
      </c>
      <c r="F44" s="191" t="s">
        <v>232</v>
      </c>
      <c r="G44" s="182"/>
      <c r="H44" s="182" t="s">
        <v>265</v>
      </c>
      <c r="I44" s="182" t="s">
        <v>266</v>
      </c>
      <c r="J44" s="182" t="s">
        <v>262</v>
      </c>
      <c r="K44" s="182"/>
      <c r="L44" s="182"/>
      <c r="M44" s="182"/>
      <c r="N44" s="182"/>
      <c r="O44" s="187" t="s">
        <v>188</v>
      </c>
      <c r="P44" s="178" t="s">
        <v>188</v>
      </c>
      <c r="T44" s="316" t="s">
        <v>188</v>
      </c>
    </row>
    <row r="45" spans="1:20" x14ac:dyDescent="0.25">
      <c r="A45" s="179" t="s">
        <v>233</v>
      </c>
      <c r="B45" s="313">
        <f>EBITDA!B45-'D&amp;A'!B45</f>
        <v>-1096.9029599999999</v>
      </c>
      <c r="C45" s="180"/>
      <c r="D45" s="180"/>
      <c r="E45" s="178" t="str">
        <f t="shared" si="1"/>
        <v>CAD</v>
      </c>
      <c r="F45" s="191" t="s">
        <v>275</v>
      </c>
      <c r="G45" s="182"/>
      <c r="H45" s="182" t="s">
        <v>265</v>
      </c>
      <c r="I45" s="182" t="s">
        <v>266</v>
      </c>
      <c r="J45" s="182" t="s">
        <v>276</v>
      </c>
      <c r="K45" s="182"/>
      <c r="L45" s="182"/>
      <c r="M45" s="182"/>
      <c r="N45" s="182"/>
      <c r="O45" s="187" t="s">
        <v>210</v>
      </c>
      <c r="P45" s="178" t="s">
        <v>210</v>
      </c>
      <c r="T45" s="316" t="s">
        <v>210</v>
      </c>
    </row>
    <row r="46" spans="1:20" x14ac:dyDescent="0.25">
      <c r="A46" s="179" t="s">
        <v>234</v>
      </c>
      <c r="B46" s="313">
        <f>EBITDA!B46-'D&amp;A'!B46</f>
        <v>-73.306979999999996</v>
      </c>
      <c r="C46" s="180"/>
      <c r="D46" s="180"/>
      <c r="E46" s="178" t="str">
        <f t="shared" si="1"/>
        <v>CAD</v>
      </c>
      <c r="F46" s="191" t="s">
        <v>234</v>
      </c>
      <c r="G46" s="182"/>
      <c r="H46" s="182" t="s">
        <v>265</v>
      </c>
      <c r="I46" s="182" t="s">
        <v>266</v>
      </c>
      <c r="J46" s="182" t="s">
        <v>274</v>
      </c>
      <c r="K46" s="182"/>
      <c r="L46" s="182"/>
      <c r="M46" s="182"/>
      <c r="N46" s="182"/>
      <c r="O46" s="187" t="s">
        <v>188</v>
      </c>
      <c r="P46" s="178" t="s">
        <v>188</v>
      </c>
      <c r="T46" s="316" t="s">
        <v>188</v>
      </c>
    </row>
    <row r="47" spans="1:20" x14ac:dyDescent="0.25">
      <c r="A47" s="179" t="s">
        <v>302</v>
      </c>
      <c r="B47" s="313">
        <f>EBITDA!B47-'D&amp;A'!B47</f>
        <v>-34.143909999999998</v>
      </c>
      <c r="C47" s="180"/>
      <c r="D47" s="180"/>
      <c r="E47" s="178" t="str">
        <f t="shared" si="1"/>
        <v>CAD</v>
      </c>
      <c r="F47" s="191" t="s">
        <v>302</v>
      </c>
      <c r="G47" s="182"/>
      <c r="H47" s="182" t="s">
        <v>265</v>
      </c>
      <c r="I47" s="182" t="s">
        <v>266</v>
      </c>
      <c r="J47" s="182" t="s">
        <v>276</v>
      </c>
      <c r="K47" s="182"/>
      <c r="L47" s="182"/>
      <c r="M47" s="182"/>
      <c r="N47" s="182"/>
      <c r="O47" s="187" t="s">
        <v>303</v>
      </c>
      <c r="P47" s="178" t="s">
        <v>188</v>
      </c>
      <c r="T47" s="316" t="s">
        <v>402</v>
      </c>
    </row>
    <row r="48" spans="1:20" x14ac:dyDescent="0.25">
      <c r="A48" s="179" t="s">
        <v>235</v>
      </c>
      <c r="B48" s="313">
        <f>EBITDA!B48-'D&amp;A'!B48</f>
        <v>-33.387520000000002</v>
      </c>
      <c r="C48" s="180"/>
      <c r="D48" s="180"/>
      <c r="E48" s="178" t="str">
        <f t="shared" si="1"/>
        <v>CAD</v>
      </c>
      <c r="F48" s="191" t="s">
        <v>235</v>
      </c>
      <c r="G48" s="182"/>
      <c r="H48" s="182" t="s">
        <v>265</v>
      </c>
      <c r="I48" s="182" t="s">
        <v>266</v>
      </c>
      <c r="J48" s="182" t="s">
        <v>270</v>
      </c>
      <c r="K48" s="182"/>
      <c r="L48" s="182"/>
      <c r="M48" s="182"/>
      <c r="N48" s="182"/>
      <c r="O48" s="187" t="s">
        <v>211</v>
      </c>
      <c r="P48" s="178" t="s">
        <v>211</v>
      </c>
      <c r="T48" s="316" t="s">
        <v>211</v>
      </c>
    </row>
    <row r="49" spans="1:20" x14ac:dyDescent="0.25">
      <c r="A49" s="179" t="s">
        <v>236</v>
      </c>
      <c r="B49" s="313">
        <f>EBITDA!B49-'D&amp;A'!B49</f>
        <v>-72.788209999999992</v>
      </c>
      <c r="C49" s="180"/>
      <c r="D49" s="180"/>
      <c r="E49" s="178" t="str">
        <f t="shared" si="1"/>
        <v>CAD</v>
      </c>
      <c r="F49" s="191" t="s">
        <v>236</v>
      </c>
      <c r="G49" s="182"/>
      <c r="H49" s="182" t="s">
        <v>265</v>
      </c>
      <c r="I49" s="182" t="s">
        <v>266</v>
      </c>
      <c r="J49" s="182" t="s">
        <v>270</v>
      </c>
      <c r="K49" s="182"/>
      <c r="L49" s="182"/>
      <c r="M49" s="182"/>
      <c r="N49" s="182"/>
      <c r="O49" s="187" t="s">
        <v>188</v>
      </c>
      <c r="P49" s="178" t="s">
        <v>188</v>
      </c>
      <c r="T49" s="316" t="s">
        <v>188</v>
      </c>
    </row>
    <row r="50" spans="1:20" x14ac:dyDescent="0.25">
      <c r="A50" s="179"/>
      <c r="B50" s="315"/>
      <c r="C50" s="180"/>
      <c r="D50" s="180"/>
    </row>
    <row r="51" spans="1:20" ht="15.75" customHeight="1" x14ac:dyDescent="0.25">
      <c r="A51" s="179" t="s">
        <v>290</v>
      </c>
      <c r="B51" s="306">
        <f>EBITDA!B51-'D&amp;A'!B51</f>
        <v>0</v>
      </c>
      <c r="C51" s="180"/>
      <c r="D51" s="180"/>
      <c r="E51" s="178" t="str">
        <f t="shared" si="1"/>
        <v>USD</v>
      </c>
      <c r="F51" s="186" t="s">
        <v>290</v>
      </c>
      <c r="G51" s="182"/>
      <c r="H51" s="182" t="s">
        <v>277</v>
      </c>
      <c r="I51" s="182" t="s">
        <v>266</v>
      </c>
      <c r="J51" s="182" t="s">
        <v>269</v>
      </c>
      <c r="K51" s="182"/>
      <c r="L51" s="182"/>
      <c r="M51" s="182"/>
      <c r="N51" s="182"/>
      <c r="O51" s="187" t="s">
        <v>313</v>
      </c>
      <c r="P51" s="178" t="s">
        <v>190</v>
      </c>
      <c r="T51" s="316" t="s">
        <v>313</v>
      </c>
    </row>
    <row r="52" spans="1:20" x14ac:dyDescent="0.25">
      <c r="A52" s="179" t="s">
        <v>237</v>
      </c>
      <c r="B52" s="314">
        <f>EBITDA!B52-'D&amp;A'!B52</f>
        <v>-70.954520000000002</v>
      </c>
      <c r="C52" s="180"/>
      <c r="D52" s="180"/>
      <c r="E52" s="178" t="str">
        <f t="shared" si="1"/>
        <v>USD</v>
      </c>
      <c r="F52" s="186" t="s">
        <v>237</v>
      </c>
      <c r="G52" s="182"/>
      <c r="H52" s="182" t="s">
        <v>277</v>
      </c>
      <c r="I52" s="182" t="s">
        <v>266</v>
      </c>
      <c r="J52" s="182" t="s">
        <v>269</v>
      </c>
      <c r="K52" s="182"/>
      <c r="L52" s="182"/>
      <c r="M52" s="182"/>
      <c r="N52" s="182"/>
      <c r="O52" s="187" t="s">
        <v>263</v>
      </c>
      <c r="P52" s="178" t="s">
        <v>132</v>
      </c>
      <c r="T52" s="316" t="s">
        <v>402</v>
      </c>
    </row>
    <row r="53" spans="1:20" x14ac:dyDescent="0.25">
      <c r="A53" s="179" t="s">
        <v>238</v>
      </c>
      <c r="B53" s="314">
        <f>EBITDA!B53-'D&amp;A'!B53</f>
        <v>-26.56222</v>
      </c>
      <c r="C53" s="180"/>
      <c r="D53" s="180"/>
      <c r="E53" s="178" t="str">
        <f t="shared" si="1"/>
        <v>USD</v>
      </c>
      <c r="F53" s="186" t="s">
        <v>238</v>
      </c>
      <c r="G53" s="182"/>
      <c r="H53" s="182" t="s">
        <v>277</v>
      </c>
      <c r="I53" s="182" t="s">
        <v>266</v>
      </c>
      <c r="J53" s="182" t="s">
        <v>270</v>
      </c>
      <c r="K53" s="182"/>
      <c r="L53" s="182"/>
      <c r="M53" s="182"/>
      <c r="N53" s="182"/>
      <c r="O53" s="187" t="s">
        <v>397</v>
      </c>
      <c r="P53" s="178" t="s">
        <v>205</v>
      </c>
      <c r="T53" s="316" t="s">
        <v>397</v>
      </c>
    </row>
    <row r="54" spans="1:20" x14ac:dyDescent="0.25">
      <c r="A54" s="179" t="s">
        <v>239</v>
      </c>
      <c r="B54" s="314">
        <f>EBITDA!B54-'D&amp;A'!B54</f>
        <v>-59.712229999999998</v>
      </c>
      <c r="C54" s="180"/>
      <c r="D54" s="180"/>
      <c r="E54" s="178" t="str">
        <f t="shared" si="1"/>
        <v>USD</v>
      </c>
      <c r="F54" s="186" t="s">
        <v>239</v>
      </c>
      <c r="G54" s="182"/>
      <c r="H54" s="182" t="s">
        <v>277</v>
      </c>
      <c r="I54" s="182" t="s">
        <v>266</v>
      </c>
      <c r="J54" s="182" t="s">
        <v>270</v>
      </c>
      <c r="K54" s="182"/>
      <c r="L54" s="182"/>
      <c r="M54" s="182"/>
      <c r="N54" s="182"/>
      <c r="O54" s="187" t="s">
        <v>263</v>
      </c>
      <c r="P54" s="178" t="s">
        <v>132</v>
      </c>
      <c r="T54" s="316" t="s">
        <v>402</v>
      </c>
    </row>
    <row r="55" spans="1:20" x14ac:dyDescent="0.25">
      <c r="A55" s="179" t="s">
        <v>304</v>
      </c>
      <c r="B55" s="314">
        <f>EBITDA!B55-'D&amp;A'!B55</f>
        <v>0.10548000000000002</v>
      </c>
      <c r="C55" s="180"/>
      <c r="D55" s="180"/>
      <c r="E55" s="178" t="str">
        <f t="shared" si="1"/>
        <v>USD</v>
      </c>
      <c r="F55" s="186" t="s">
        <v>304</v>
      </c>
      <c r="G55" s="182"/>
      <c r="H55" s="182" t="s">
        <v>277</v>
      </c>
      <c r="I55" s="182" t="s">
        <v>266</v>
      </c>
      <c r="J55" s="182" t="s">
        <v>259</v>
      </c>
      <c r="K55" s="182"/>
      <c r="L55" s="182"/>
      <c r="M55" s="182"/>
      <c r="N55" s="182"/>
      <c r="O55" s="187" t="s">
        <v>263</v>
      </c>
      <c r="P55" s="178" t="s">
        <v>132</v>
      </c>
      <c r="T55" s="316" t="s">
        <v>402</v>
      </c>
    </row>
    <row r="56" spans="1:20" x14ac:dyDescent="0.25">
      <c r="A56" s="179" t="s">
        <v>308</v>
      </c>
      <c r="B56" s="314">
        <f>EBITDA!B56-'D&amp;A'!B56</f>
        <v>-179.11430999999999</v>
      </c>
      <c r="C56" s="180"/>
      <c r="D56" s="180"/>
      <c r="E56" s="178" t="str">
        <f t="shared" si="1"/>
        <v>USD</v>
      </c>
      <c r="F56" s="186" t="s">
        <v>308</v>
      </c>
      <c r="G56" s="182"/>
      <c r="H56" s="182" t="s">
        <v>277</v>
      </c>
      <c r="I56" s="182" t="s">
        <v>266</v>
      </c>
      <c r="J56" s="182" t="s">
        <v>269</v>
      </c>
      <c r="K56" s="182"/>
      <c r="L56" s="182"/>
      <c r="M56" s="182"/>
      <c r="N56" s="182"/>
      <c r="O56" s="187" t="s">
        <v>313</v>
      </c>
      <c r="P56" s="178" t="s">
        <v>190</v>
      </c>
      <c r="T56" s="316" t="s">
        <v>401</v>
      </c>
    </row>
    <row r="57" spans="1:20" x14ac:dyDescent="0.25">
      <c r="A57" s="179" t="s">
        <v>321</v>
      </c>
      <c r="B57" s="314">
        <f>EBITDA!B57-'D&amp;A'!B57</f>
        <v>-63.355499999999999</v>
      </c>
      <c r="C57" s="180"/>
      <c r="D57" s="180"/>
      <c r="E57" s="178" t="str">
        <f t="shared" si="1"/>
        <v>USD</v>
      </c>
      <c r="F57" s="201" t="s">
        <v>321</v>
      </c>
      <c r="G57" s="202"/>
      <c r="H57" s="182" t="s">
        <v>277</v>
      </c>
      <c r="I57" s="182" t="s">
        <v>266</v>
      </c>
      <c r="J57" s="202" t="s">
        <v>271</v>
      </c>
      <c r="K57" s="202"/>
      <c r="L57" s="202"/>
      <c r="M57" s="202"/>
      <c r="N57" s="202"/>
      <c r="O57" s="187" t="s">
        <v>263</v>
      </c>
      <c r="P57" s="180" t="s">
        <v>408</v>
      </c>
      <c r="T57" s="316" t="s">
        <v>399</v>
      </c>
    </row>
    <row r="58" spans="1:20" x14ac:dyDescent="0.25">
      <c r="A58" s="179" t="s">
        <v>322</v>
      </c>
      <c r="B58" s="314">
        <f>EBITDA!B58-'D&amp;A'!B58</f>
        <v>-14.3962</v>
      </c>
      <c r="C58" s="180"/>
      <c r="D58" s="180"/>
      <c r="E58" s="178" t="str">
        <f t="shared" si="1"/>
        <v>USD</v>
      </c>
      <c r="F58" s="201" t="s">
        <v>322</v>
      </c>
      <c r="G58" s="202"/>
      <c r="H58" s="182" t="s">
        <v>277</v>
      </c>
      <c r="I58" s="182" t="s">
        <v>266</v>
      </c>
      <c r="J58" s="182" t="s">
        <v>259</v>
      </c>
      <c r="K58" s="202"/>
      <c r="L58" s="202"/>
      <c r="M58" s="202"/>
      <c r="N58" s="202"/>
      <c r="O58" s="187" t="s">
        <v>263</v>
      </c>
      <c r="P58" s="180" t="s">
        <v>408</v>
      </c>
      <c r="T58" s="316" t="s">
        <v>399</v>
      </c>
    </row>
    <row r="59" spans="1:20" x14ac:dyDescent="0.25">
      <c r="A59" s="198" t="s">
        <v>323</v>
      </c>
      <c r="B59" s="306">
        <f>EBITDA!B59-'D&amp;A'!B59</f>
        <v>-56.623860000000001</v>
      </c>
      <c r="C59" s="180"/>
      <c r="D59" s="180"/>
      <c r="E59" s="178" t="str">
        <f t="shared" si="1"/>
        <v>USD</v>
      </c>
      <c r="F59" s="201" t="s">
        <v>323</v>
      </c>
      <c r="G59" s="202"/>
      <c r="H59" s="182" t="s">
        <v>277</v>
      </c>
      <c r="I59" s="182" t="s">
        <v>266</v>
      </c>
      <c r="J59" s="182" t="s">
        <v>259</v>
      </c>
      <c r="K59" s="202"/>
      <c r="L59" s="202"/>
      <c r="M59" s="202"/>
      <c r="N59" s="202"/>
      <c r="O59" s="187" t="s">
        <v>261</v>
      </c>
      <c r="P59" s="180" t="s">
        <v>409</v>
      </c>
      <c r="T59" s="316" t="s">
        <v>400</v>
      </c>
    </row>
    <row r="60" spans="1:20" x14ac:dyDescent="0.25">
      <c r="A60" s="179" t="s">
        <v>324</v>
      </c>
      <c r="B60" s="314">
        <f>EBITDA!B60-'D&amp;A'!B60</f>
        <v>-61.516289999999991</v>
      </c>
      <c r="C60" s="180"/>
      <c r="D60" s="180"/>
      <c r="E60" s="178" t="str">
        <f t="shared" si="1"/>
        <v>USD</v>
      </c>
      <c r="F60" s="201" t="s">
        <v>324</v>
      </c>
      <c r="G60" s="202"/>
      <c r="H60" s="182" t="s">
        <v>277</v>
      </c>
      <c r="I60" s="182" t="s">
        <v>266</v>
      </c>
      <c r="J60" s="182" t="s">
        <v>262</v>
      </c>
      <c r="K60" s="202"/>
      <c r="L60" s="202"/>
      <c r="M60" s="202"/>
      <c r="N60" s="202"/>
      <c r="O60" s="187" t="s">
        <v>263</v>
      </c>
      <c r="P60" s="180" t="s">
        <v>408</v>
      </c>
      <c r="T60" s="316" t="s">
        <v>399</v>
      </c>
    </row>
    <row r="61" spans="1:20" x14ac:dyDescent="0.25">
      <c r="A61" s="179" t="s">
        <v>325</v>
      </c>
      <c r="B61" s="306">
        <f>EBITDA!B61-'D&amp;A'!B61</f>
        <v>0</v>
      </c>
      <c r="C61" s="180"/>
      <c r="D61" s="180"/>
      <c r="E61" s="178" t="str">
        <f t="shared" si="1"/>
        <v>USD</v>
      </c>
      <c r="F61" s="201" t="s">
        <v>325</v>
      </c>
      <c r="G61" s="202"/>
      <c r="H61" s="182" t="s">
        <v>277</v>
      </c>
      <c r="I61" s="182" t="s">
        <v>266</v>
      </c>
      <c r="J61" s="182" t="s">
        <v>259</v>
      </c>
      <c r="K61" s="202"/>
      <c r="L61" s="202"/>
      <c r="M61" s="202"/>
      <c r="N61" s="202"/>
      <c r="O61" s="187" t="s">
        <v>263</v>
      </c>
      <c r="P61" s="180" t="s">
        <v>408</v>
      </c>
      <c r="T61" s="316" t="s">
        <v>399</v>
      </c>
    </row>
    <row r="62" spans="1:20" x14ac:dyDescent="0.25">
      <c r="A62" s="179" t="s">
        <v>326</v>
      </c>
      <c r="B62" s="306">
        <f>EBITDA!B62-'D&amp;A'!B62</f>
        <v>0</v>
      </c>
      <c r="C62" s="180"/>
      <c r="D62" s="180"/>
      <c r="E62" s="178" t="str">
        <f t="shared" si="1"/>
        <v>USD</v>
      </c>
      <c r="F62" s="201" t="s">
        <v>326</v>
      </c>
      <c r="G62" s="202"/>
      <c r="H62" s="182" t="s">
        <v>277</v>
      </c>
      <c r="I62" s="182" t="s">
        <v>266</v>
      </c>
      <c r="J62" s="182" t="s">
        <v>259</v>
      </c>
      <c r="K62" s="202"/>
      <c r="L62" s="202"/>
      <c r="M62" s="202"/>
      <c r="N62" s="202"/>
      <c r="O62" s="187" t="s">
        <v>263</v>
      </c>
      <c r="P62" s="180" t="s">
        <v>408</v>
      </c>
      <c r="T62" s="316" t="s">
        <v>399</v>
      </c>
    </row>
    <row r="63" spans="1:20" x14ac:dyDescent="0.25">
      <c r="A63" s="179" t="s">
        <v>327</v>
      </c>
      <c r="B63" s="306">
        <f>EBITDA!B63-'D&amp;A'!B63</f>
        <v>0</v>
      </c>
      <c r="C63" s="180"/>
      <c r="D63" s="180"/>
      <c r="E63" s="178" t="str">
        <f t="shared" si="1"/>
        <v>USD</v>
      </c>
      <c r="F63" s="201" t="s">
        <v>327</v>
      </c>
      <c r="G63" s="202"/>
      <c r="H63" s="182" t="s">
        <v>277</v>
      </c>
      <c r="I63" s="182" t="s">
        <v>266</v>
      </c>
      <c r="J63" s="182" t="s">
        <v>259</v>
      </c>
      <c r="K63" s="202"/>
      <c r="L63" s="202"/>
      <c r="M63" s="202"/>
      <c r="N63" s="202"/>
      <c r="O63" s="187" t="s">
        <v>263</v>
      </c>
      <c r="P63" s="180" t="s">
        <v>408</v>
      </c>
      <c r="T63" s="316" t="s">
        <v>399</v>
      </c>
    </row>
    <row r="64" spans="1:20" x14ac:dyDescent="0.25">
      <c r="A64" s="179" t="s">
        <v>315</v>
      </c>
      <c r="B64" s="203">
        <f>EBITDA!B64-'D&amp;A'!B64</f>
        <v>60.625</v>
      </c>
      <c r="C64" s="180"/>
      <c r="D64" s="180"/>
      <c r="E64" s="178" t="str">
        <f t="shared" ref="E64:E65" si="2">IF(OR(H64="WSC",H64="CISUS"),"USD","CAD")</f>
        <v>USD</v>
      </c>
      <c r="F64" s="201" t="s">
        <v>315</v>
      </c>
      <c r="G64" s="202"/>
      <c r="H64" s="182" t="s">
        <v>277</v>
      </c>
      <c r="I64" s="182" t="s">
        <v>266</v>
      </c>
      <c r="J64" s="182" t="s">
        <v>271</v>
      </c>
      <c r="K64" s="202"/>
      <c r="L64" s="202"/>
      <c r="M64" s="202"/>
      <c r="N64" s="202"/>
      <c r="O64" s="187" t="s">
        <v>316</v>
      </c>
      <c r="P64" s="180" t="s">
        <v>1</v>
      </c>
      <c r="T64" s="316" t="s">
        <v>1</v>
      </c>
    </row>
    <row r="65" spans="1:20" ht="15.75" thickBot="1" x14ac:dyDescent="0.3">
      <c r="A65" s="179" t="s">
        <v>421</v>
      </c>
      <c r="B65" s="203">
        <f>EBITDA!B65-'D&amp;A'!B65</f>
        <v>31.875</v>
      </c>
      <c r="C65" s="180"/>
      <c r="D65" s="180"/>
      <c r="E65" s="178" t="str">
        <f t="shared" si="2"/>
        <v>USD</v>
      </c>
      <c r="F65" s="188" t="s">
        <v>421</v>
      </c>
      <c r="G65" s="189"/>
      <c r="H65" s="189" t="s">
        <v>277</v>
      </c>
      <c r="I65" s="189" t="s">
        <v>266</v>
      </c>
      <c r="J65" s="189" t="s">
        <v>271</v>
      </c>
      <c r="K65" s="189"/>
      <c r="L65" s="189"/>
      <c r="M65" s="189"/>
      <c r="N65" s="189"/>
      <c r="O65" s="190" t="s">
        <v>423</v>
      </c>
      <c r="P65" s="180" t="s">
        <v>178</v>
      </c>
      <c r="T65" s="316" t="s">
        <v>178</v>
      </c>
    </row>
    <row r="66" spans="1:20" ht="15.75" thickBot="1" x14ac:dyDescent="0.3">
      <c r="B66" s="308">
        <f>SUM(B3:B65)</f>
        <v>-9950.6046399999977</v>
      </c>
      <c r="C66" s="197"/>
      <c r="D66" s="197"/>
    </row>
    <row r="67" spans="1:20" x14ac:dyDescent="0.25">
      <c r="B67" s="310">
        <f>EBITDA!B66-'D&amp;A'!B66-B66</f>
        <v>0</v>
      </c>
    </row>
    <row r="68" spans="1:20" x14ac:dyDescent="0.25">
      <c r="B68" s="310"/>
    </row>
    <row r="69" spans="1:20" x14ac:dyDescent="0.25">
      <c r="A69" s="309" t="s">
        <v>396</v>
      </c>
      <c r="B69" s="73">
        <f ca="1">SUM('Allocation $'!E6:E29,'Allocation $'!F30:F62)/1000</f>
        <v>9950.6046399999996</v>
      </c>
    </row>
    <row r="70" spans="1:20" x14ac:dyDescent="0.25">
      <c r="A70" s="309" t="s">
        <v>96</v>
      </c>
      <c r="B70" s="310">
        <f ca="1">B69+B66</f>
        <v>0</v>
      </c>
    </row>
  </sheetData>
  <pageMargins left="0.7" right="0.7" top="0.75" bottom="0.75" header="0.3" footer="0.3"/>
  <pageSetup orientation="portrait" r:id="rId1"/>
  <customProperties>
    <customPr name="CurrentId" r:id="rId2"/>
  </customProperties>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sheetPr>
  <dimension ref="A1:D70"/>
  <sheetViews>
    <sheetView zoomScaleNormal="100" workbookViewId="0">
      <pane xSplit="1" ySplit="2" topLeftCell="B3" activePane="bottomRight" state="frozen"/>
      <selection activeCell="E28" sqref="E28"/>
      <selection pane="topRight" activeCell="E28" sqref="E28"/>
      <selection pane="bottomLeft" activeCell="E28" sqref="E28"/>
      <selection pane="bottomRight" activeCell="E28" sqref="E28"/>
    </sheetView>
  </sheetViews>
  <sheetFormatPr defaultColWidth="8.7109375" defaultRowHeight="15" x14ac:dyDescent="0.25"/>
  <cols>
    <col min="1" max="1" width="44.7109375" style="180" customWidth="1"/>
    <col min="2" max="2" width="12.7109375" style="178" bestFit="1" customWidth="1"/>
    <col min="3" max="3" width="8.7109375" style="178"/>
    <col min="4" max="16384" width="8.7109375" style="180"/>
  </cols>
  <sheetData>
    <row r="1" spans="1:3" x14ac:dyDescent="0.25">
      <c r="B1" s="178" t="s">
        <v>344</v>
      </c>
    </row>
    <row r="2" spans="1:3" x14ac:dyDescent="0.25">
      <c r="B2" s="181" t="s">
        <v>328</v>
      </c>
    </row>
    <row r="3" spans="1:3" x14ac:dyDescent="0.25">
      <c r="A3" s="198" t="s">
        <v>240</v>
      </c>
      <c r="B3" s="307">
        <v>-107.38297</v>
      </c>
      <c r="C3" s="178" t="s">
        <v>166</v>
      </c>
    </row>
    <row r="4" spans="1:3" x14ac:dyDescent="0.25">
      <c r="A4" s="198" t="s">
        <v>280</v>
      </c>
      <c r="B4" s="307">
        <v>-73.092620000000011</v>
      </c>
      <c r="C4" s="178" t="s">
        <v>166</v>
      </c>
    </row>
    <row r="5" spans="1:3" x14ac:dyDescent="0.25">
      <c r="A5" s="198" t="s">
        <v>241</v>
      </c>
      <c r="B5" s="307">
        <v>-559.81006000000002</v>
      </c>
      <c r="C5" s="178" t="s">
        <v>166</v>
      </c>
    </row>
    <row r="6" spans="1:3" x14ac:dyDescent="0.25">
      <c r="A6" s="198" t="s">
        <v>242</v>
      </c>
      <c r="B6" s="307">
        <v>-34.03285000000001</v>
      </c>
      <c r="C6" s="178" t="s">
        <v>166</v>
      </c>
    </row>
    <row r="7" spans="1:3" x14ac:dyDescent="0.25">
      <c r="A7" s="198" t="s">
        <v>281</v>
      </c>
      <c r="B7" s="307">
        <v>-17.168149999999997</v>
      </c>
      <c r="C7" s="178" t="s">
        <v>166</v>
      </c>
    </row>
    <row r="8" spans="1:3" x14ac:dyDescent="0.25">
      <c r="A8" s="198" t="s">
        <v>243</v>
      </c>
      <c r="B8" s="307">
        <v>-257.63292999999999</v>
      </c>
      <c r="C8" s="178" t="s">
        <v>166</v>
      </c>
    </row>
    <row r="9" spans="1:3" x14ac:dyDescent="0.25">
      <c r="A9" s="198" t="s">
        <v>244</v>
      </c>
      <c r="B9" s="307">
        <v>-970.85495000000003</v>
      </c>
      <c r="C9" s="178" t="s">
        <v>166</v>
      </c>
    </row>
    <row r="10" spans="1:3" x14ac:dyDescent="0.25">
      <c r="A10" s="198" t="s">
        <v>245</v>
      </c>
      <c r="B10" s="307">
        <v>-227.24543</v>
      </c>
      <c r="C10" s="178" t="s">
        <v>166</v>
      </c>
    </row>
    <row r="11" spans="1:3" x14ac:dyDescent="0.25">
      <c r="A11" s="198" t="s">
        <v>246</v>
      </c>
      <c r="B11" s="307">
        <v>-508.00519999999995</v>
      </c>
      <c r="C11" s="178" t="s">
        <v>166</v>
      </c>
    </row>
    <row r="12" spans="1:3" x14ac:dyDescent="0.25">
      <c r="A12" s="198" t="s">
        <v>247</v>
      </c>
      <c r="B12" s="307">
        <v>-226.79310000000001</v>
      </c>
      <c r="C12" s="178" t="s">
        <v>166</v>
      </c>
    </row>
    <row r="13" spans="1:3" x14ac:dyDescent="0.25">
      <c r="A13" s="198" t="s">
        <v>248</v>
      </c>
      <c r="B13" s="307">
        <v>-204.07758000000001</v>
      </c>
      <c r="C13" s="178" t="s">
        <v>166</v>
      </c>
    </row>
    <row r="14" spans="1:3" x14ac:dyDescent="0.25">
      <c r="A14" s="198" t="s">
        <v>282</v>
      </c>
      <c r="B14" s="307">
        <v>-63.276420000000009</v>
      </c>
      <c r="C14" s="178" t="s">
        <v>166</v>
      </c>
    </row>
    <row r="15" spans="1:3" x14ac:dyDescent="0.25">
      <c r="A15" s="198" t="s">
        <v>249</v>
      </c>
      <c r="B15" s="307">
        <v>-103.91546</v>
      </c>
      <c r="C15" s="178" t="s">
        <v>166</v>
      </c>
    </row>
    <row r="16" spans="1:3" x14ac:dyDescent="0.25">
      <c r="A16" s="198" t="s">
        <v>250</v>
      </c>
      <c r="B16" s="307">
        <v>-316.61986999999999</v>
      </c>
      <c r="C16" s="178" t="s">
        <v>166</v>
      </c>
    </row>
    <row r="17" spans="1:3" x14ac:dyDescent="0.25">
      <c r="A17" s="198" t="s">
        <v>251</v>
      </c>
      <c r="B17" s="307">
        <v>-63.412820000000011</v>
      </c>
      <c r="C17" s="178" t="s">
        <v>166</v>
      </c>
    </row>
    <row r="18" spans="1:3" x14ac:dyDescent="0.25">
      <c r="A18" s="198" t="s">
        <v>252</v>
      </c>
      <c r="B18" s="307">
        <v>0</v>
      </c>
      <c r="C18" s="178" t="s">
        <v>166</v>
      </c>
    </row>
    <row r="19" spans="1:3" x14ac:dyDescent="0.25">
      <c r="A19" s="198" t="s">
        <v>300</v>
      </c>
      <c r="B19" s="307">
        <v>0</v>
      </c>
      <c r="C19" s="178" t="s">
        <v>166</v>
      </c>
    </row>
    <row r="20" spans="1:3" x14ac:dyDescent="0.25">
      <c r="A20" s="198" t="s">
        <v>307</v>
      </c>
      <c r="B20" s="307">
        <v>-30.92126</v>
      </c>
      <c r="C20" s="178" t="s">
        <v>166</v>
      </c>
    </row>
    <row r="21" spans="1:3" x14ac:dyDescent="0.25">
      <c r="B21" s="180"/>
    </row>
    <row r="22" spans="1:3" x14ac:dyDescent="0.25">
      <c r="B22" s="180"/>
    </row>
    <row r="23" spans="1:3" x14ac:dyDescent="0.25">
      <c r="A23" s="198" t="s">
        <v>218</v>
      </c>
      <c r="B23" s="302">
        <v>-892.88336000000027</v>
      </c>
      <c r="C23" s="178" t="s">
        <v>167</v>
      </c>
    </row>
    <row r="24" spans="1:3" x14ac:dyDescent="0.25">
      <c r="A24" s="198" t="s">
        <v>219</v>
      </c>
      <c r="B24" s="302">
        <v>-1.0000000000000001E-5</v>
      </c>
      <c r="C24" s="178" t="s">
        <v>167</v>
      </c>
    </row>
    <row r="25" spans="1:3" x14ac:dyDescent="0.25">
      <c r="A25" s="198" t="s">
        <v>220</v>
      </c>
      <c r="B25" s="302">
        <v>-121.29141999999997</v>
      </c>
      <c r="C25" s="178" t="s">
        <v>167</v>
      </c>
    </row>
    <row r="26" spans="1:3" x14ac:dyDescent="0.25">
      <c r="A26" s="198" t="s">
        <v>301</v>
      </c>
      <c r="B26" s="302">
        <v>0</v>
      </c>
      <c r="C26" s="178" t="s">
        <v>167</v>
      </c>
    </row>
    <row r="27" spans="1:3" x14ac:dyDescent="0.25">
      <c r="A27" s="198" t="s">
        <v>221</v>
      </c>
      <c r="B27" s="302">
        <v>-259.81349</v>
      </c>
      <c r="C27" s="178" t="s">
        <v>167</v>
      </c>
    </row>
    <row r="28" spans="1:3" x14ac:dyDescent="0.25">
      <c r="A28" s="198" t="s">
        <v>222</v>
      </c>
      <c r="B28" s="302">
        <v>-48.506380000000007</v>
      </c>
      <c r="C28" s="178" t="s">
        <v>167</v>
      </c>
    </row>
    <row r="29" spans="1:3" x14ac:dyDescent="0.25">
      <c r="A29" s="198" t="s">
        <v>223</v>
      </c>
      <c r="B29" s="302">
        <v>-769.4194</v>
      </c>
      <c r="C29" s="178" t="s">
        <v>167</v>
      </c>
    </row>
    <row r="30" spans="1:3" x14ac:dyDescent="0.25">
      <c r="A30" s="198" t="s">
        <v>224</v>
      </c>
      <c r="B30" s="302">
        <v>-622.14872000000014</v>
      </c>
      <c r="C30" s="178" t="s">
        <v>167</v>
      </c>
    </row>
    <row r="31" spans="1:3" x14ac:dyDescent="0.25">
      <c r="A31" s="198" t="s">
        <v>225</v>
      </c>
      <c r="B31" s="302">
        <v>-100.88066999999998</v>
      </c>
      <c r="C31" s="178" t="s">
        <v>167</v>
      </c>
    </row>
    <row r="32" spans="1:3" x14ac:dyDescent="0.25">
      <c r="A32" s="198" t="s">
        <v>283</v>
      </c>
      <c r="B32" s="302">
        <v>-69.676079999999999</v>
      </c>
      <c r="C32" s="178" t="s">
        <v>167</v>
      </c>
    </row>
    <row r="33" spans="1:3" x14ac:dyDescent="0.25">
      <c r="A33" s="198" t="s">
        <v>226</v>
      </c>
      <c r="B33" s="302">
        <v>-52.08672</v>
      </c>
      <c r="C33" s="178" t="s">
        <v>167</v>
      </c>
    </row>
    <row r="34" spans="1:3" x14ac:dyDescent="0.25">
      <c r="A34" s="198" t="s">
        <v>227</v>
      </c>
      <c r="B34" s="302">
        <v>-90.315899999999999</v>
      </c>
      <c r="C34" s="178" t="s">
        <v>167</v>
      </c>
    </row>
    <row r="35" spans="1:3" x14ac:dyDescent="0.25">
      <c r="A35" s="198" t="s">
        <v>228</v>
      </c>
      <c r="B35" s="302">
        <v>-48.834829999999997</v>
      </c>
      <c r="C35" s="178" t="s">
        <v>167</v>
      </c>
    </row>
    <row r="36" spans="1:3" x14ac:dyDescent="0.25">
      <c r="A36" s="198" t="s">
        <v>229</v>
      </c>
      <c r="B36" s="302">
        <v>-41.89669</v>
      </c>
      <c r="C36" s="178" t="s">
        <v>167</v>
      </c>
    </row>
    <row r="37" spans="1:3" x14ac:dyDescent="0.25">
      <c r="A37" s="198" t="s">
        <v>284</v>
      </c>
      <c r="B37" s="302">
        <v>-205.59321</v>
      </c>
      <c r="C37" s="178" t="s">
        <v>167</v>
      </c>
    </row>
    <row r="38" spans="1:3" x14ac:dyDescent="0.25">
      <c r="B38" s="180"/>
    </row>
    <row r="39" spans="1:3" x14ac:dyDescent="0.25">
      <c r="B39" s="180"/>
    </row>
    <row r="40" spans="1:3" x14ac:dyDescent="0.25">
      <c r="B40" s="180"/>
    </row>
    <row r="41" spans="1:3" x14ac:dyDescent="0.25">
      <c r="A41" s="198" t="s">
        <v>230</v>
      </c>
      <c r="B41" s="304">
        <v>-80.310720000000003</v>
      </c>
      <c r="C41" s="178" t="s">
        <v>167</v>
      </c>
    </row>
    <row r="42" spans="1:3" x14ac:dyDescent="0.25">
      <c r="A42" s="198" t="s">
        <v>289</v>
      </c>
      <c r="B42" s="304">
        <v>0</v>
      </c>
      <c r="C42" s="178" t="s">
        <v>167</v>
      </c>
    </row>
    <row r="43" spans="1:3" x14ac:dyDescent="0.25">
      <c r="A43" s="198" t="s">
        <v>231</v>
      </c>
      <c r="B43" s="304">
        <v>-126.6525</v>
      </c>
      <c r="C43" s="178" t="s">
        <v>167</v>
      </c>
    </row>
    <row r="44" spans="1:3" x14ac:dyDescent="0.25">
      <c r="A44" s="198" t="s">
        <v>232</v>
      </c>
      <c r="B44" s="304">
        <v>-125.72002000000001</v>
      </c>
      <c r="C44" s="178" t="s">
        <v>167</v>
      </c>
    </row>
    <row r="45" spans="1:3" x14ac:dyDescent="0.25">
      <c r="A45" s="198" t="s">
        <v>233</v>
      </c>
      <c r="B45" s="304">
        <v>-888.92156</v>
      </c>
      <c r="C45" s="178" t="s">
        <v>167</v>
      </c>
    </row>
    <row r="46" spans="1:3" x14ac:dyDescent="0.25">
      <c r="A46" s="198" t="s">
        <v>234</v>
      </c>
      <c r="B46" s="304">
        <v>-73.094669999999994</v>
      </c>
      <c r="C46" s="178" t="s">
        <v>167</v>
      </c>
    </row>
    <row r="47" spans="1:3" x14ac:dyDescent="0.25">
      <c r="A47" s="198" t="s">
        <v>302</v>
      </c>
      <c r="B47" s="304">
        <v>-34.106879999999997</v>
      </c>
      <c r="C47" s="178" t="s">
        <v>167</v>
      </c>
    </row>
    <row r="48" spans="1:3" x14ac:dyDescent="0.25">
      <c r="A48" s="198" t="s">
        <v>235</v>
      </c>
      <c r="B48" s="304">
        <v>-33.387520000000002</v>
      </c>
      <c r="C48" s="178" t="s">
        <v>167</v>
      </c>
    </row>
    <row r="49" spans="1:4" x14ac:dyDescent="0.25">
      <c r="A49" s="198" t="s">
        <v>236</v>
      </c>
      <c r="B49" s="304">
        <v>-72.429429999999996</v>
      </c>
      <c r="C49" s="178" t="s">
        <v>167</v>
      </c>
    </row>
    <row r="50" spans="1:4" x14ac:dyDescent="0.25">
      <c r="A50" s="198"/>
      <c r="B50" s="180"/>
    </row>
    <row r="51" spans="1:4" x14ac:dyDescent="0.25">
      <c r="A51" s="198" t="s">
        <v>290</v>
      </c>
      <c r="B51" s="306">
        <v>0</v>
      </c>
      <c r="C51" s="178" t="s">
        <v>166</v>
      </c>
    </row>
    <row r="52" spans="1:4" x14ac:dyDescent="0.25">
      <c r="A52" s="198" t="s">
        <v>237</v>
      </c>
      <c r="B52" s="306">
        <v>-70.820090000000008</v>
      </c>
      <c r="C52" s="178" t="s">
        <v>166</v>
      </c>
    </row>
    <row r="53" spans="1:4" x14ac:dyDescent="0.25">
      <c r="A53" s="198" t="s">
        <v>238</v>
      </c>
      <c r="B53" s="306">
        <v>-26.56222</v>
      </c>
      <c r="C53" s="178" t="s">
        <v>166</v>
      </c>
    </row>
    <row r="54" spans="1:4" x14ac:dyDescent="0.25">
      <c r="A54" s="198" t="s">
        <v>239</v>
      </c>
      <c r="B54" s="306">
        <v>-59.712229999999998</v>
      </c>
      <c r="C54" s="178" t="s">
        <v>166</v>
      </c>
    </row>
    <row r="55" spans="1:4" x14ac:dyDescent="0.25">
      <c r="A55" s="198" t="s">
        <v>304</v>
      </c>
      <c r="B55" s="306">
        <v>0.10548000000000002</v>
      </c>
      <c r="C55" s="178" t="s">
        <v>166</v>
      </c>
    </row>
    <row r="56" spans="1:4" x14ac:dyDescent="0.25">
      <c r="A56" s="198" t="s">
        <v>308</v>
      </c>
      <c r="B56" s="306">
        <v>-179.11430999999999</v>
      </c>
      <c r="C56" s="178" t="s">
        <v>166</v>
      </c>
    </row>
    <row r="57" spans="1:4" x14ac:dyDescent="0.25">
      <c r="A57" s="198" t="s">
        <v>321</v>
      </c>
      <c r="B57" s="306">
        <v>-63.355499999999999</v>
      </c>
      <c r="C57" s="178" t="s">
        <v>166</v>
      </c>
      <c r="D57" s="180" t="s">
        <v>398</v>
      </c>
    </row>
    <row r="58" spans="1:4" x14ac:dyDescent="0.25">
      <c r="A58" s="198" t="s">
        <v>322</v>
      </c>
      <c r="B58" s="306">
        <v>-14.3962</v>
      </c>
      <c r="C58" s="178" t="s">
        <v>166</v>
      </c>
    </row>
    <row r="59" spans="1:4" x14ac:dyDescent="0.25">
      <c r="A59" s="198" t="s">
        <v>323</v>
      </c>
      <c r="B59" s="306">
        <v>-56.623860000000001</v>
      </c>
      <c r="C59" s="178" t="s">
        <v>166</v>
      </c>
    </row>
    <row r="60" spans="1:4" x14ac:dyDescent="0.25">
      <c r="A60" s="198" t="s">
        <v>324</v>
      </c>
      <c r="B60" s="306">
        <v>-61.516289999999991</v>
      </c>
      <c r="C60" s="178" t="s">
        <v>166</v>
      </c>
    </row>
    <row r="61" spans="1:4" x14ac:dyDescent="0.25">
      <c r="A61" s="198" t="s">
        <v>325</v>
      </c>
      <c r="B61" s="306">
        <v>0</v>
      </c>
      <c r="C61" s="178" t="s">
        <v>166</v>
      </c>
    </row>
    <row r="62" spans="1:4" x14ac:dyDescent="0.25">
      <c r="A62" s="198" t="s">
        <v>326</v>
      </c>
      <c r="B62" s="306">
        <v>0</v>
      </c>
      <c r="C62" s="178" t="s">
        <v>166</v>
      </c>
    </row>
    <row r="63" spans="1:4" x14ac:dyDescent="0.25">
      <c r="A63" s="198" t="s">
        <v>327</v>
      </c>
      <c r="B63" s="306">
        <v>0</v>
      </c>
      <c r="C63" s="178" t="s">
        <v>166</v>
      </c>
    </row>
    <row r="64" spans="1:4" x14ac:dyDescent="0.25">
      <c r="A64" s="179" t="s">
        <v>393</v>
      </c>
      <c r="B64" s="203">
        <v>60.625</v>
      </c>
      <c r="C64" s="178" t="s">
        <v>166</v>
      </c>
    </row>
    <row r="65" spans="1:3" x14ac:dyDescent="0.25">
      <c r="A65" s="179" t="s">
        <v>422</v>
      </c>
      <c r="B65" s="203">
        <v>31.875</v>
      </c>
      <c r="C65" s="178" t="s">
        <v>166</v>
      </c>
    </row>
    <row r="66" spans="1:3" ht="15.75" thickBot="1" x14ac:dyDescent="0.3">
      <c r="B66" s="308">
        <f>SUM(B3:B65)</f>
        <v>-8961.7070699999967</v>
      </c>
    </row>
    <row r="67" spans="1:3" x14ac:dyDescent="0.25">
      <c r="B67" s="310"/>
    </row>
    <row r="68" spans="1:3" x14ac:dyDescent="0.25">
      <c r="B68" s="310"/>
    </row>
    <row r="69" spans="1:3" x14ac:dyDescent="0.25">
      <c r="B69" s="73"/>
    </row>
    <row r="70" spans="1:3" x14ac:dyDescent="0.25">
      <c r="B70" s="310"/>
    </row>
  </sheetData>
  <pageMargins left="0.7" right="0.7" top="0.75" bottom="0.75" header="0.3" footer="0.3"/>
  <pageSetup orientation="portrait" r:id="rId1"/>
  <customProperties>
    <customPr name="AdaptiveCustomXmlPartId" r:id="rId2"/>
    <customPr name="AdaptiveReportingSheetKey" r:id="rId3"/>
    <customPr name="CurrentId" r:id="rId4"/>
  </customProperties>
  <legacy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sheetPr>
  <dimension ref="A1:C70"/>
  <sheetViews>
    <sheetView zoomScaleNormal="100" workbookViewId="0">
      <pane xSplit="1" ySplit="2" topLeftCell="B36" activePane="bottomRight" state="frozen"/>
      <selection activeCell="E28" sqref="E28"/>
      <selection pane="topRight" activeCell="E28" sqref="E28"/>
      <selection pane="bottomLeft" activeCell="E28" sqref="E28"/>
      <selection pane="bottomRight" activeCell="E28" sqref="E28"/>
    </sheetView>
  </sheetViews>
  <sheetFormatPr defaultColWidth="8.7109375" defaultRowHeight="15" x14ac:dyDescent="0.25"/>
  <cols>
    <col min="1" max="1" width="44.7109375" style="180" customWidth="1"/>
    <col min="2" max="2" width="12.7109375" style="178" bestFit="1" customWidth="1"/>
    <col min="3" max="16384" width="8.7109375" style="180"/>
  </cols>
  <sheetData>
    <row r="1" spans="1:3" x14ac:dyDescent="0.25">
      <c r="B1" s="178" t="s">
        <v>344</v>
      </c>
    </row>
    <row r="2" spans="1:3" x14ac:dyDescent="0.25">
      <c r="B2" s="181" t="s">
        <v>328</v>
      </c>
    </row>
    <row r="3" spans="1:3" x14ac:dyDescent="0.25">
      <c r="A3" s="198" t="s">
        <v>240</v>
      </c>
      <c r="B3" s="307">
        <v>2.49E-3</v>
      </c>
      <c r="C3" s="180" t="s">
        <v>166</v>
      </c>
    </row>
    <row r="4" spans="1:3" x14ac:dyDescent="0.25">
      <c r="A4" s="198" t="s">
        <v>280</v>
      </c>
      <c r="B4" s="307">
        <v>0</v>
      </c>
      <c r="C4" s="180" t="s">
        <v>166</v>
      </c>
    </row>
    <row r="5" spans="1:3" x14ac:dyDescent="0.25">
      <c r="A5" s="198" t="s">
        <v>241</v>
      </c>
      <c r="B5" s="307">
        <v>0</v>
      </c>
      <c r="C5" s="180" t="s">
        <v>166</v>
      </c>
    </row>
    <row r="6" spans="1:3" x14ac:dyDescent="0.25">
      <c r="A6" s="198" t="s">
        <v>242</v>
      </c>
      <c r="B6" s="307">
        <v>0</v>
      </c>
      <c r="C6" s="180" t="s">
        <v>166</v>
      </c>
    </row>
    <row r="7" spans="1:3" x14ac:dyDescent="0.25">
      <c r="A7" s="198" t="s">
        <v>281</v>
      </c>
      <c r="B7" s="307">
        <v>0</v>
      </c>
      <c r="C7" s="180" t="s">
        <v>166</v>
      </c>
    </row>
    <row r="8" spans="1:3" x14ac:dyDescent="0.25">
      <c r="A8" s="198" t="s">
        <v>243</v>
      </c>
      <c r="B8" s="307">
        <v>0</v>
      </c>
      <c r="C8" s="180" t="s">
        <v>166</v>
      </c>
    </row>
    <row r="9" spans="1:3" x14ac:dyDescent="0.25">
      <c r="A9" s="198" t="s">
        <v>244</v>
      </c>
      <c r="B9" s="307">
        <v>575.93309999999997</v>
      </c>
      <c r="C9" s="180" t="s">
        <v>166</v>
      </c>
    </row>
    <row r="10" spans="1:3" x14ac:dyDescent="0.25">
      <c r="A10" s="198" t="s">
        <v>245</v>
      </c>
      <c r="B10" s="307">
        <v>50.728789999999989</v>
      </c>
      <c r="C10" s="180" t="s">
        <v>166</v>
      </c>
    </row>
    <row r="11" spans="1:3" x14ac:dyDescent="0.25">
      <c r="A11" s="198" t="s">
        <v>246</v>
      </c>
      <c r="B11" s="307">
        <v>1.4760000000000001E-2</v>
      </c>
      <c r="C11" s="180" t="s">
        <v>166</v>
      </c>
    </row>
    <row r="12" spans="1:3" x14ac:dyDescent="0.25">
      <c r="A12" s="198" t="s">
        <v>247</v>
      </c>
      <c r="B12" s="307">
        <v>0</v>
      </c>
      <c r="C12" s="180" t="s">
        <v>166</v>
      </c>
    </row>
    <row r="13" spans="1:3" x14ac:dyDescent="0.25">
      <c r="A13" s="198" t="s">
        <v>248</v>
      </c>
      <c r="B13" s="307">
        <v>0</v>
      </c>
      <c r="C13" s="180" t="s">
        <v>166</v>
      </c>
    </row>
    <row r="14" spans="1:3" x14ac:dyDescent="0.25">
      <c r="A14" s="198" t="s">
        <v>282</v>
      </c>
      <c r="B14" s="307">
        <v>0</v>
      </c>
      <c r="C14" s="180" t="s">
        <v>166</v>
      </c>
    </row>
    <row r="15" spans="1:3" x14ac:dyDescent="0.25">
      <c r="A15" s="198" t="s">
        <v>249</v>
      </c>
      <c r="B15" s="307">
        <v>0</v>
      </c>
      <c r="C15" s="180" t="s">
        <v>166</v>
      </c>
    </row>
    <row r="16" spans="1:3" x14ac:dyDescent="0.25">
      <c r="A16" s="198" t="s">
        <v>250</v>
      </c>
      <c r="B16" s="307">
        <v>99.258250000000004</v>
      </c>
      <c r="C16" s="180" t="s">
        <v>166</v>
      </c>
    </row>
    <row r="17" spans="1:3" x14ac:dyDescent="0.25">
      <c r="A17" s="198" t="s">
        <v>251</v>
      </c>
      <c r="B17" s="307">
        <v>1.2169099999999999</v>
      </c>
      <c r="C17" s="180" t="s">
        <v>166</v>
      </c>
    </row>
    <row r="18" spans="1:3" x14ac:dyDescent="0.25">
      <c r="A18" s="198" t="s">
        <v>252</v>
      </c>
      <c r="B18" s="307">
        <v>0</v>
      </c>
      <c r="C18" s="180" t="s">
        <v>166</v>
      </c>
    </row>
    <row r="19" spans="1:3" x14ac:dyDescent="0.25">
      <c r="A19" s="198" t="s">
        <v>300</v>
      </c>
      <c r="B19" s="307">
        <v>0</v>
      </c>
      <c r="C19" s="180" t="s">
        <v>166</v>
      </c>
    </row>
    <row r="20" spans="1:3" x14ac:dyDescent="0.25">
      <c r="A20" s="198" t="s">
        <v>307</v>
      </c>
      <c r="B20" s="307">
        <v>0</v>
      </c>
      <c r="C20" s="180" t="s">
        <v>166</v>
      </c>
    </row>
    <row r="21" spans="1:3" x14ac:dyDescent="0.25">
      <c r="B21" s="180"/>
    </row>
    <row r="22" spans="1:3" x14ac:dyDescent="0.25">
      <c r="B22" s="180"/>
    </row>
    <row r="23" spans="1:3" x14ac:dyDescent="0.25">
      <c r="A23" s="198" t="s">
        <v>218</v>
      </c>
      <c r="B23" s="302">
        <v>4.3043399999999998</v>
      </c>
      <c r="C23" s="180" t="s">
        <v>167</v>
      </c>
    </row>
    <row r="24" spans="1:3" x14ac:dyDescent="0.25">
      <c r="A24" s="198" t="s">
        <v>219</v>
      </c>
      <c r="B24" s="302">
        <v>0</v>
      </c>
      <c r="C24" s="180" t="s">
        <v>167</v>
      </c>
    </row>
    <row r="25" spans="1:3" x14ac:dyDescent="0.25">
      <c r="A25" s="198" t="s">
        <v>220</v>
      </c>
      <c r="B25" s="302">
        <v>0.26849000000000001</v>
      </c>
      <c r="C25" s="180" t="s">
        <v>167</v>
      </c>
    </row>
    <row r="26" spans="1:3" x14ac:dyDescent="0.25">
      <c r="A26" s="198" t="s">
        <v>301</v>
      </c>
      <c r="B26" s="302">
        <v>0</v>
      </c>
      <c r="C26" s="180" t="s">
        <v>167</v>
      </c>
    </row>
    <row r="27" spans="1:3" x14ac:dyDescent="0.25">
      <c r="A27" s="198" t="s">
        <v>221</v>
      </c>
      <c r="B27" s="302">
        <v>1.0101899999999999</v>
      </c>
      <c r="C27" s="180" t="s">
        <v>167</v>
      </c>
    </row>
    <row r="28" spans="1:3" x14ac:dyDescent="0.25">
      <c r="A28" s="198" t="s">
        <v>222</v>
      </c>
      <c r="B28" s="302">
        <v>1.0028999999999999</v>
      </c>
      <c r="C28" s="180" t="s">
        <v>167</v>
      </c>
    </row>
    <row r="29" spans="1:3" x14ac:dyDescent="0.25">
      <c r="A29" s="198" t="s">
        <v>223</v>
      </c>
      <c r="B29" s="302">
        <v>5.4001599999999996</v>
      </c>
      <c r="C29" s="180" t="s">
        <v>167</v>
      </c>
    </row>
    <row r="30" spans="1:3" x14ac:dyDescent="0.25">
      <c r="A30" s="198" t="s">
        <v>224</v>
      </c>
      <c r="B30" s="302">
        <v>37.932270000000003</v>
      </c>
      <c r="C30" s="180" t="s">
        <v>167</v>
      </c>
    </row>
    <row r="31" spans="1:3" x14ac:dyDescent="0.25">
      <c r="A31" s="198" t="s">
        <v>225</v>
      </c>
      <c r="B31" s="302">
        <v>0.27629999999999993</v>
      </c>
      <c r="C31" s="180" t="s">
        <v>167</v>
      </c>
    </row>
    <row r="32" spans="1:3" x14ac:dyDescent="0.25">
      <c r="A32" s="198" t="s">
        <v>283</v>
      </c>
      <c r="B32" s="302">
        <v>8.2680000000000003E-2</v>
      </c>
      <c r="C32" s="180" t="s">
        <v>167</v>
      </c>
    </row>
    <row r="33" spans="1:3" x14ac:dyDescent="0.25">
      <c r="A33" s="198" t="s">
        <v>226</v>
      </c>
      <c r="B33" s="302">
        <v>0.68579000000000001</v>
      </c>
      <c r="C33" s="180" t="s">
        <v>167</v>
      </c>
    </row>
    <row r="34" spans="1:3" x14ac:dyDescent="0.25">
      <c r="A34" s="198" t="s">
        <v>227</v>
      </c>
      <c r="B34" s="302">
        <v>0.38094</v>
      </c>
      <c r="C34" s="180" t="s">
        <v>167</v>
      </c>
    </row>
    <row r="35" spans="1:3" x14ac:dyDescent="0.25">
      <c r="A35" s="198" t="s">
        <v>228</v>
      </c>
      <c r="B35" s="302">
        <v>0.15612999999999999</v>
      </c>
      <c r="C35" s="180" t="s">
        <v>167</v>
      </c>
    </row>
    <row r="36" spans="1:3" x14ac:dyDescent="0.25">
      <c r="A36" s="198" t="s">
        <v>229</v>
      </c>
      <c r="B36" s="302">
        <v>0</v>
      </c>
      <c r="C36" s="180" t="s">
        <v>167</v>
      </c>
    </row>
    <row r="37" spans="1:3" x14ac:dyDescent="0.25">
      <c r="A37" s="198" t="s">
        <v>284</v>
      </c>
      <c r="B37" s="302">
        <v>0.18151999999999999</v>
      </c>
      <c r="C37" s="180" t="s">
        <v>167</v>
      </c>
    </row>
    <row r="38" spans="1:3" x14ac:dyDescent="0.25">
      <c r="B38" s="180"/>
    </row>
    <row r="39" spans="1:3" x14ac:dyDescent="0.25">
      <c r="B39" s="180"/>
    </row>
    <row r="40" spans="1:3" x14ac:dyDescent="0.25">
      <c r="B40" s="180"/>
    </row>
    <row r="41" spans="1:3" x14ac:dyDescent="0.25">
      <c r="A41" s="198" t="s">
        <v>230</v>
      </c>
      <c r="B41" s="304">
        <v>0.87516000000000005</v>
      </c>
      <c r="C41" s="180" t="s">
        <v>167</v>
      </c>
    </row>
    <row r="42" spans="1:3" x14ac:dyDescent="0.25">
      <c r="A42" s="198" t="s">
        <v>289</v>
      </c>
      <c r="B42" s="304">
        <v>0</v>
      </c>
      <c r="C42" s="180" t="s">
        <v>167</v>
      </c>
    </row>
    <row r="43" spans="1:3" x14ac:dyDescent="0.25">
      <c r="A43" s="198" t="s">
        <v>231</v>
      </c>
      <c r="B43" s="304">
        <v>0.29457</v>
      </c>
      <c r="C43" s="180" t="s">
        <v>167</v>
      </c>
    </row>
    <row r="44" spans="1:3" x14ac:dyDescent="0.25">
      <c r="A44" s="198" t="s">
        <v>232</v>
      </c>
      <c r="B44" s="304">
        <v>0.16788</v>
      </c>
      <c r="C44" s="180" t="s">
        <v>167</v>
      </c>
    </row>
    <row r="45" spans="1:3" x14ac:dyDescent="0.25">
      <c r="A45" s="198" t="s">
        <v>233</v>
      </c>
      <c r="B45" s="304">
        <v>207.98140000000001</v>
      </c>
      <c r="C45" s="180" t="s">
        <v>167</v>
      </c>
    </row>
    <row r="46" spans="1:3" x14ac:dyDescent="0.25">
      <c r="A46" s="198" t="s">
        <v>234</v>
      </c>
      <c r="B46" s="304">
        <v>0.21231</v>
      </c>
      <c r="C46" s="180" t="s">
        <v>167</v>
      </c>
    </row>
    <row r="47" spans="1:3" x14ac:dyDescent="0.25">
      <c r="A47" s="198" t="s">
        <v>302</v>
      </c>
      <c r="B47" s="304">
        <v>3.703E-2</v>
      </c>
      <c r="C47" s="180" t="s">
        <v>167</v>
      </c>
    </row>
    <row r="48" spans="1:3" x14ac:dyDescent="0.25">
      <c r="A48" s="198" t="s">
        <v>235</v>
      </c>
      <c r="B48" s="304">
        <v>0</v>
      </c>
      <c r="C48" s="180" t="s">
        <v>167</v>
      </c>
    </row>
    <row r="49" spans="1:3" x14ac:dyDescent="0.25">
      <c r="A49" s="198" t="s">
        <v>236</v>
      </c>
      <c r="B49" s="304">
        <v>0.35877999999999999</v>
      </c>
      <c r="C49" s="180" t="s">
        <v>167</v>
      </c>
    </row>
    <row r="50" spans="1:3" x14ac:dyDescent="0.25">
      <c r="A50" s="198"/>
      <c r="B50" s="180"/>
    </row>
    <row r="51" spans="1:3" x14ac:dyDescent="0.25">
      <c r="A51" s="198" t="s">
        <v>290</v>
      </c>
      <c r="B51" s="306">
        <v>0</v>
      </c>
      <c r="C51" s="180" t="s">
        <v>166</v>
      </c>
    </row>
    <row r="52" spans="1:3" x14ac:dyDescent="0.25">
      <c r="A52" s="198" t="s">
        <v>237</v>
      </c>
      <c r="B52" s="306">
        <v>0.13442999999999999</v>
      </c>
      <c r="C52" s="180" t="s">
        <v>166</v>
      </c>
    </row>
    <row r="53" spans="1:3" x14ac:dyDescent="0.25">
      <c r="A53" s="198" t="s">
        <v>238</v>
      </c>
      <c r="B53" s="306">
        <v>0</v>
      </c>
      <c r="C53" s="180" t="s">
        <v>166</v>
      </c>
    </row>
    <row r="54" spans="1:3" x14ac:dyDescent="0.25">
      <c r="A54" s="198" t="s">
        <v>239</v>
      </c>
      <c r="B54" s="306">
        <v>0</v>
      </c>
      <c r="C54" s="180" t="s">
        <v>166</v>
      </c>
    </row>
    <row r="55" spans="1:3" x14ac:dyDescent="0.25">
      <c r="A55" s="198" t="s">
        <v>304</v>
      </c>
      <c r="B55" s="306">
        <v>0</v>
      </c>
      <c r="C55" s="180" t="s">
        <v>166</v>
      </c>
    </row>
    <row r="56" spans="1:3" x14ac:dyDescent="0.25">
      <c r="A56" s="198" t="s">
        <v>308</v>
      </c>
      <c r="B56" s="306">
        <v>0</v>
      </c>
      <c r="C56" s="180" t="s">
        <v>166</v>
      </c>
    </row>
    <row r="57" spans="1:3" x14ac:dyDescent="0.25">
      <c r="A57" s="198" t="s">
        <v>321</v>
      </c>
      <c r="B57" s="306">
        <v>0</v>
      </c>
      <c r="C57" s="180" t="s">
        <v>166</v>
      </c>
    </row>
    <row r="58" spans="1:3" x14ac:dyDescent="0.25">
      <c r="A58" s="198" t="s">
        <v>322</v>
      </c>
      <c r="B58" s="306">
        <v>0</v>
      </c>
      <c r="C58" s="180" t="s">
        <v>166</v>
      </c>
    </row>
    <row r="59" spans="1:3" x14ac:dyDescent="0.25">
      <c r="A59" s="198" t="s">
        <v>323</v>
      </c>
      <c r="B59" s="306">
        <v>0</v>
      </c>
      <c r="C59" s="180" t="s">
        <v>166</v>
      </c>
    </row>
    <row r="60" spans="1:3" x14ac:dyDescent="0.25">
      <c r="A60" s="198" t="s">
        <v>324</v>
      </c>
      <c r="B60" s="306">
        <v>0</v>
      </c>
      <c r="C60" s="180" t="s">
        <v>166</v>
      </c>
    </row>
    <row r="61" spans="1:3" x14ac:dyDescent="0.25">
      <c r="A61" s="198" t="s">
        <v>325</v>
      </c>
      <c r="B61" s="306">
        <v>0</v>
      </c>
      <c r="C61" s="180" t="s">
        <v>166</v>
      </c>
    </row>
    <row r="62" spans="1:3" x14ac:dyDescent="0.25">
      <c r="A62" s="198" t="s">
        <v>326</v>
      </c>
      <c r="B62" s="306">
        <v>0</v>
      </c>
      <c r="C62" s="180" t="s">
        <v>166</v>
      </c>
    </row>
    <row r="63" spans="1:3" x14ac:dyDescent="0.25">
      <c r="A63" s="198" t="s">
        <v>327</v>
      </c>
      <c r="B63" s="306">
        <v>0</v>
      </c>
      <c r="C63" s="180" t="s">
        <v>166</v>
      </c>
    </row>
    <row r="64" spans="1:3" x14ac:dyDescent="0.25">
      <c r="A64" s="179" t="s">
        <v>315</v>
      </c>
      <c r="B64" s="180">
        <v>0</v>
      </c>
      <c r="C64" s="180" t="s">
        <v>166</v>
      </c>
    </row>
    <row r="65" spans="1:3" x14ac:dyDescent="0.25">
      <c r="A65" s="179" t="s">
        <v>421</v>
      </c>
      <c r="B65" s="180">
        <v>0</v>
      </c>
      <c r="C65" s="180" t="s">
        <v>166</v>
      </c>
    </row>
    <row r="66" spans="1:3" ht="15.75" thickBot="1" x14ac:dyDescent="0.3">
      <c r="B66" s="308">
        <f>SUM(B3:B65)</f>
        <v>988.89756999999986</v>
      </c>
    </row>
    <row r="67" spans="1:3" x14ac:dyDescent="0.25">
      <c r="B67" s="310"/>
    </row>
    <row r="68" spans="1:3" x14ac:dyDescent="0.25">
      <c r="B68" s="310"/>
    </row>
    <row r="69" spans="1:3" x14ac:dyDescent="0.25">
      <c r="B69" s="73"/>
    </row>
    <row r="70" spans="1:3" x14ac:dyDescent="0.25">
      <c r="B70" s="310"/>
    </row>
  </sheetData>
  <pageMargins left="0.7" right="0.7" top="0.75" bottom="0.75" header="0.3" footer="0.3"/>
  <pageSetup orientation="portrait" r:id="rId1"/>
  <customProperties>
    <customPr name="AdaptiveCustomXmlPartId" r:id="rId2"/>
    <customPr name="AdaptiveReportingSheetKey" r:id="rId3"/>
    <customPr name="CurrentId" r:id="rId4"/>
  </customPropertie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T35"/>
  <sheetViews>
    <sheetView zoomScale="85" zoomScaleNormal="85" workbookViewId="0">
      <pane xSplit="2" ySplit="5" topLeftCell="C6" activePane="bottomRight" state="frozen"/>
      <selection pane="topRight" activeCell="C1" sqref="C1"/>
      <selection pane="bottomLeft" activeCell="A6" sqref="A6"/>
      <selection pane="bottomRight" activeCell="A41" sqref="A41"/>
    </sheetView>
  </sheetViews>
  <sheetFormatPr defaultRowHeight="15" outlineLevelCol="1" x14ac:dyDescent="0.25"/>
  <cols>
    <col min="1" max="1" width="25" customWidth="1"/>
    <col min="2" max="2" width="46.42578125" bestFit="1" customWidth="1"/>
    <col min="3" max="3" width="14" bestFit="1" customWidth="1"/>
    <col min="4" max="4" width="14.28515625" bestFit="1" customWidth="1"/>
    <col min="5" max="5" width="13.28515625" bestFit="1" customWidth="1"/>
    <col min="6" max="6" width="14.28515625" bestFit="1" customWidth="1"/>
    <col min="8" max="8" width="13.28515625" customWidth="1"/>
    <col min="9" max="9" width="14" bestFit="1" customWidth="1"/>
    <col min="10" max="10" width="12.28515625" bestFit="1" customWidth="1"/>
    <col min="11" max="11" width="14" bestFit="1" customWidth="1"/>
    <col min="12" max="12" width="8.42578125" style="177" customWidth="1"/>
    <col min="13" max="16" width="12.28515625" style="177" customWidth="1" outlineLevel="1"/>
    <col min="17" max="17" width="14" style="177" customWidth="1" outlineLevel="1"/>
    <col min="18" max="18" width="9.28515625" style="139" customWidth="1" outlineLevel="1"/>
    <col min="19" max="19" width="9.140625" customWidth="1" outlineLevel="1"/>
    <col min="20" max="20" width="17.140625" customWidth="1"/>
    <col min="22" max="22" width="9.140625" style="177"/>
    <col min="23" max="23" width="10.5703125" bestFit="1" customWidth="1"/>
    <col min="24" max="24" width="11.5703125" bestFit="1" customWidth="1"/>
    <col min="25" max="25" width="10.5703125" bestFit="1" customWidth="1"/>
    <col min="26" max="26" width="13.7109375" customWidth="1"/>
    <col min="27" max="27" width="4.140625" customWidth="1"/>
    <col min="28" max="28" width="11.5703125" bestFit="1" customWidth="1"/>
    <col min="29" max="29" width="13.28515625" bestFit="1" customWidth="1"/>
    <col min="30" max="30" width="11.5703125" bestFit="1" customWidth="1"/>
    <col min="31" max="31" width="13.28515625" bestFit="1" customWidth="1"/>
    <col min="32" max="32" width="4" customWidth="1"/>
    <col min="33" max="33" width="11.5703125" bestFit="1" customWidth="1"/>
    <col min="34" max="34" width="12.42578125" bestFit="1" customWidth="1"/>
    <col min="35" max="35" width="11.7109375" bestFit="1" customWidth="1"/>
    <col min="36" max="36" width="13.42578125" bestFit="1" customWidth="1"/>
    <col min="37" max="37" width="4.7109375" customWidth="1"/>
    <col min="38" max="41" width="13.28515625" bestFit="1" customWidth="1"/>
    <col min="42" max="42" width="15" style="236" bestFit="1" customWidth="1"/>
    <col min="44" max="46" width="15.5703125" customWidth="1"/>
  </cols>
  <sheetData>
    <row r="2" spans="1:46" ht="15" customHeight="1" x14ac:dyDescent="0.25">
      <c r="W2" s="1310" t="s">
        <v>1153</v>
      </c>
      <c r="X2" s="1311"/>
      <c r="Y2" s="1311"/>
      <c r="Z2" s="1311"/>
      <c r="AA2" s="1311"/>
      <c r="AB2" s="1311"/>
      <c r="AC2" s="1311"/>
      <c r="AD2" s="1311"/>
      <c r="AE2" s="1311"/>
      <c r="AF2" s="1311"/>
      <c r="AG2" s="1311"/>
      <c r="AH2" s="1311"/>
      <c r="AI2" s="1311"/>
      <c r="AJ2" s="1311"/>
      <c r="AK2" s="1311"/>
      <c r="AL2" s="1311"/>
      <c r="AM2" s="1311"/>
      <c r="AN2" s="1311"/>
      <c r="AO2" s="1312"/>
    </row>
    <row r="3" spans="1:46" x14ac:dyDescent="0.25">
      <c r="W3" s="1313"/>
      <c r="X3" s="1314"/>
      <c r="Y3" s="1314"/>
      <c r="Z3" s="1314"/>
      <c r="AA3" s="1314"/>
      <c r="AB3" s="1314"/>
      <c r="AC3" s="1314"/>
      <c r="AD3" s="1314"/>
      <c r="AE3" s="1314"/>
      <c r="AF3" s="1314"/>
      <c r="AG3" s="1314"/>
      <c r="AH3" s="1314"/>
      <c r="AI3" s="1314"/>
      <c r="AJ3" s="1314"/>
      <c r="AK3" s="1314"/>
      <c r="AL3" s="1314"/>
      <c r="AM3" s="1314"/>
      <c r="AN3" s="1314"/>
      <c r="AO3" s="1315"/>
    </row>
    <row r="4" spans="1:46" s="1277" customFormat="1" ht="45" x14ac:dyDescent="0.25">
      <c r="C4" s="1307" t="s">
        <v>410</v>
      </c>
      <c r="D4" s="1308"/>
      <c r="E4" s="1308"/>
      <c r="F4" s="1309"/>
      <c r="H4" s="1307" t="s">
        <v>1150</v>
      </c>
      <c r="I4" s="1308"/>
      <c r="J4" s="1308"/>
      <c r="K4" s="1309"/>
      <c r="L4" s="1278"/>
      <c r="M4" s="1307" t="s">
        <v>1151</v>
      </c>
      <c r="N4" s="1308"/>
      <c r="O4" s="1308"/>
      <c r="P4" s="1308"/>
      <c r="Q4" s="1309"/>
      <c r="R4" s="1279"/>
      <c r="T4" s="1281" t="s">
        <v>1152</v>
      </c>
      <c r="W4" s="1307" t="s">
        <v>2</v>
      </c>
      <c r="X4" s="1308"/>
      <c r="Y4" s="1308"/>
      <c r="Z4" s="1309"/>
      <c r="AA4" s="1282"/>
      <c r="AB4" s="1307" t="s">
        <v>832</v>
      </c>
      <c r="AC4" s="1308"/>
      <c r="AD4" s="1308"/>
      <c r="AE4" s="1309"/>
      <c r="AF4" s="1282"/>
      <c r="AG4" s="1307" t="s">
        <v>334</v>
      </c>
      <c r="AH4" s="1308"/>
      <c r="AI4" s="1308"/>
      <c r="AJ4" s="1309"/>
      <c r="AK4" s="1282"/>
      <c r="AL4" s="1307" t="s">
        <v>182</v>
      </c>
      <c r="AM4" s="1308"/>
      <c r="AN4" s="1308"/>
      <c r="AO4" s="1309"/>
      <c r="AP4" s="1280"/>
      <c r="AR4" s="1307" t="s">
        <v>1154</v>
      </c>
      <c r="AS4" s="1308"/>
      <c r="AT4" s="1309"/>
    </row>
    <row r="5" spans="1:46" s="35" customFormat="1" x14ac:dyDescent="0.25">
      <c r="C5" s="35" t="s">
        <v>1134</v>
      </c>
      <c r="D5" s="35" t="s">
        <v>813</v>
      </c>
      <c r="E5" s="35" t="s">
        <v>1135</v>
      </c>
      <c r="F5" s="911" t="s">
        <v>1142</v>
      </c>
      <c r="H5" s="35" t="s">
        <v>1134</v>
      </c>
      <c r="I5" s="35" t="s">
        <v>813</v>
      </c>
      <c r="J5" s="35" t="s">
        <v>1135</v>
      </c>
      <c r="K5" s="911" t="str">
        <f>$F$5</f>
        <v>TTM Q1 2020</v>
      </c>
      <c r="M5" s="35" t="s">
        <v>2</v>
      </c>
      <c r="N5" s="35" t="s">
        <v>1145</v>
      </c>
      <c r="O5" s="35" t="s">
        <v>1</v>
      </c>
      <c r="P5" s="35" t="s">
        <v>182</v>
      </c>
      <c r="Q5" s="911" t="str">
        <f>$F$5</f>
        <v>TTM Q1 2020</v>
      </c>
      <c r="R5" s="1268" t="s">
        <v>96</v>
      </c>
      <c r="T5" s="911" t="str">
        <f>$F$5</f>
        <v>TTM Q1 2020</v>
      </c>
      <c r="W5" s="35" t="s">
        <v>1134</v>
      </c>
      <c r="X5" s="35" t="s">
        <v>813</v>
      </c>
      <c r="Y5" s="35" t="s">
        <v>1135</v>
      </c>
      <c r="Z5" s="911" t="s">
        <v>1142</v>
      </c>
      <c r="AB5" s="1274" t="s">
        <v>1134</v>
      </c>
      <c r="AC5" s="1274" t="s">
        <v>813</v>
      </c>
      <c r="AD5" s="1274" t="s">
        <v>1135</v>
      </c>
      <c r="AE5" s="1275" t="s">
        <v>1142</v>
      </c>
      <c r="AG5" s="35" t="s">
        <v>1134</v>
      </c>
      <c r="AH5" s="35" t="s">
        <v>813</v>
      </c>
      <c r="AI5" s="35" t="s">
        <v>1135</v>
      </c>
      <c r="AJ5" s="1275" t="s">
        <v>1142</v>
      </c>
      <c r="AL5" s="35" t="s">
        <v>1134</v>
      </c>
      <c r="AM5" s="35" t="s">
        <v>813</v>
      </c>
      <c r="AN5" s="35" t="s">
        <v>1135</v>
      </c>
      <c r="AO5" s="1275" t="s">
        <v>1142</v>
      </c>
      <c r="AP5" s="1269" t="s">
        <v>96</v>
      </c>
      <c r="AR5" s="35" t="s">
        <v>1144</v>
      </c>
      <c r="AS5" s="35" t="s">
        <v>1144</v>
      </c>
      <c r="AT5" s="35" t="s">
        <v>1144</v>
      </c>
    </row>
    <row r="6" spans="1:46" x14ac:dyDescent="0.25">
      <c r="A6" s="423" t="s">
        <v>470</v>
      </c>
      <c r="B6" s="423" t="s">
        <v>222</v>
      </c>
      <c r="C6" s="73">
        <f>SUMIF('RU Summary Q1 2020'!$B$5:$B$34,B6,'RU Summary Q1 2020'!$U$5:$U$34)</f>
        <v>36831.780984972473</v>
      </c>
      <c r="D6" s="73">
        <f>SUMIF('RU Summary Q4 2019'!$B$5:$B$34,A6,'RU Summary Q4 2019'!$W$5:$W$34)</f>
        <v>282645.35019557894</v>
      </c>
      <c r="E6" s="73">
        <f>'RU Summary Q1 2019'!V6</f>
        <v>61089.617815227226</v>
      </c>
      <c r="F6" s="1262">
        <f>+C6+D6-E6</f>
        <v>258387.51336532421</v>
      </c>
      <c r="G6" s="73"/>
      <c r="H6" s="73">
        <f>SUMIF('RU Summary Q1 2020'!$B$5:$B$34,B6,'RU Summary Q1 2020'!$W$5:$W$34)</f>
        <v>0</v>
      </c>
      <c r="I6" s="73">
        <f>SUMIF('RU Summary Q4 2019'!$B$5:$B$34,A6,'RU Summary Q4 2019'!$X$5:$X$34)</f>
        <v>-55285.145798632839</v>
      </c>
      <c r="J6" s="73">
        <f>'RU Summary Q1 2019'!W6</f>
        <v>-10580.996087872405</v>
      </c>
      <c r="K6" s="1262">
        <f>+H6+I6-J6</f>
        <v>-44704.149710760437</v>
      </c>
      <c r="L6" s="221"/>
      <c r="M6" s="664">
        <f>(($I6-$J6)*'Corporate Costs Summary'!$E8)+($H6*'Corporate Costs Summary'!$E8)</f>
        <v>0</v>
      </c>
      <c r="N6" s="73">
        <f ca="1">(($I6-$J6)*'Corporate Costs Summary'!$K8)+($H6*'Corporate Costs Summary'!$L8)</f>
        <v>-17025.50812775701</v>
      </c>
      <c r="O6" s="73">
        <f ca="1">(($I6-$J6)*'Corporate Costs Summary'!$P8)+($H6*'Corporate Costs Summary'!$Q8)</f>
        <v>-4422.4949742721938</v>
      </c>
      <c r="P6" s="73">
        <f ca="1">+K6-SUM(M6:O6)</f>
        <v>-23256.146608731233</v>
      </c>
      <c r="Q6" s="1262">
        <f ca="1">SUM(M6:P6)</f>
        <v>-44704.149710760437</v>
      </c>
      <c r="R6" s="353">
        <f ca="1">+K6-Q6</f>
        <v>0</v>
      </c>
      <c r="T6" s="1271">
        <f t="shared" ref="T6:T28" si="0">+F6+K6</f>
        <v>213683.36365456379</v>
      </c>
      <c r="W6" s="73">
        <f ca="1">SUMIF('Allocation $'!$B$6:$B$62,B6,'Allocation $'!$I$6:$I$62)</f>
        <v>0</v>
      </c>
      <c r="X6" s="73">
        <f>SUMIF('Cost Allocation - Tier 1'!$BU$5:$BU$32,A6,'Cost Allocation - Tier 1'!$H$5:$H$32)</f>
        <v>0</v>
      </c>
      <c r="Y6" s="73">
        <f>SUMIF('Cost Allocation - Tier 1 (2)'!$BU$3:$BU$32,A6,'Cost Allocation - Tier 1 (2)'!$H$3:$H$32)</f>
        <v>0</v>
      </c>
      <c r="Z6" s="1272">
        <f ca="1">+W6+X6-Y6</f>
        <v>0</v>
      </c>
      <c r="AB6" s="73">
        <f ca="1">SUMIF('Allocation $'!$B$6:$B$62,B6,'Allocation $'!$BJ$6:$BJ$62)</f>
        <v>13477.942123605302</v>
      </c>
      <c r="AC6" s="73">
        <f>SUMIF('Cost Allocation - Tier 1'!$BU$5:$BU$32,A6,'Cost Allocation - Tier 1'!$I$5:$I$32)</f>
        <v>107644.96145650599</v>
      </c>
      <c r="AD6" s="73">
        <f>SUMIF('Cost Allocation - Tier 1 (2)'!$BU$5:$BU$32,A6,'Cost Allocation - Tier 1 (2)'!$I$5:$I$32)</f>
        <v>23263.357116997577</v>
      </c>
      <c r="AE6" s="1267">
        <f ca="1">+AB6+AC6-AD6</f>
        <v>97859.546463113715</v>
      </c>
      <c r="AG6" s="73">
        <f ca="1">SUMIF('Allocation $'!$B$6:$B$62,B6,'Allocation $'!$BA$6:$BA$62)</f>
        <v>3858.8695557164779</v>
      </c>
      <c r="AH6" s="73">
        <f>SUMIF('Cost Allocation - Tier 1'!$BU$5:$BU$32,A6,'Cost Allocation - Tier 1'!$BK$5:$BK$32)</f>
        <v>27961.532629442838</v>
      </c>
      <c r="AI6" s="73">
        <f>SUMIF('Cost Allocation - Tier 1 (2)'!$BU$5:$BU$32,A6,'Cost Allocation - Tier 1 (2)'!$BK$5:$BK$32)</f>
        <v>6043.7955866431157</v>
      </c>
      <c r="AJ6" s="1267">
        <f t="shared" ref="AJ6:AJ28" ca="1" si="1">+AG6+AH6-AI6</f>
        <v>25776.606598516202</v>
      </c>
      <c r="AL6" s="73">
        <f ca="1">SUMIF('Allocation $'!$B$6:$B$62,B6,'Allocation $'!$AZ$6:$AZ$62)</f>
        <v>19494.969305650699</v>
      </c>
      <c r="AM6" s="73">
        <f>SUMIF('Cost Allocation - Tier 1'!$BU$5:$BU$32,A6,'Cost Allocation - Tier 1'!BV$5:$BV$32)</f>
        <v>147038.60739653205</v>
      </c>
      <c r="AN6" s="73">
        <f>SUMIF('Cost Allocation - Tier 1 (2)'!$BU$5:$BU$32,A6,'Cost Allocation - Tier 1 (2)'!$BV$5:$BV$32)</f>
        <v>31782.224365272959</v>
      </c>
      <c r="AO6" s="1267">
        <f t="shared" ref="AO6:AO28" ca="1" si="2">+AL6+AM6-AN6</f>
        <v>134751.3523369098</v>
      </c>
      <c r="AP6" s="236">
        <f ca="1">AO6-'Corporate Costs Summary'!U8</f>
        <v>-7.9667844984214753E-3</v>
      </c>
      <c r="AR6" s="221">
        <f t="shared" ref="AR6:AR28" ca="1" si="3">W6+AB6+AG6+AL6</f>
        <v>36831.78098497248</v>
      </c>
      <c r="AS6" s="221">
        <f t="shared" ref="AS6:AS28" si="4">X6+AC6+AH6+AM6</f>
        <v>282645.10148248088</v>
      </c>
      <c r="AT6" s="221">
        <f t="shared" ref="AT6:AT28" si="5">Y6+AD6+AI6+AN6</f>
        <v>61089.377068913651</v>
      </c>
    </row>
    <row r="7" spans="1:46" x14ac:dyDescent="0.25">
      <c r="A7" s="423" t="s">
        <v>1049</v>
      </c>
      <c r="B7" s="423" t="s">
        <v>218</v>
      </c>
      <c r="C7" s="73">
        <f>SUMIF('RU Summary Q1 2020'!$B$5:$B$34,B7,'RU Summary Q1 2020'!$U$5:$U$34)</f>
        <v>667451.0489510491</v>
      </c>
      <c r="D7" s="73">
        <f>'RU Summary Q4 2019'!W7</f>
        <v>3386378.925710151</v>
      </c>
      <c r="E7" s="73">
        <f>'RU Summary Q1 2019'!V7</f>
        <v>636886.8567559435</v>
      </c>
      <c r="F7" s="1262">
        <f t="shared" ref="F7:F28" si="6">+C7+D7-E7</f>
        <v>3416943.1179052568</v>
      </c>
      <c r="G7" s="73"/>
      <c r="H7" s="73">
        <f>SUMIF('RU Summary Q1 2020'!$B$5:$B$34,B7,'RU Summary Q1 2020'!$W$5:$W$34)</f>
        <v>-707.48400535634573</v>
      </c>
      <c r="I7" s="73">
        <f>'RU Summary Q4 2019'!X7</f>
        <v>-101698.08490914437</v>
      </c>
      <c r="J7" s="73">
        <f>'RU Summary Q1 2019'!W7</f>
        <v>-21875.225699668976</v>
      </c>
      <c r="K7" s="1262">
        <f t="shared" ref="K7:K28" si="7">+H7+I7-J7</f>
        <v>-80530.343214831722</v>
      </c>
      <c r="L7" s="221"/>
      <c r="M7" s="73">
        <f>(($I7-$J7)*'Corporate Costs Summary'!$E9)+($H7*'Corporate Costs Summary'!$E9)</f>
        <v>-1610.606864296635</v>
      </c>
      <c r="N7" s="73">
        <f ca="1">(($I7-$J7)*'Corporate Costs Summary'!$K9)+($H7*'Corporate Costs Summary'!$L9)</f>
        <v>-30654.129274693816</v>
      </c>
      <c r="O7" s="73">
        <f ca="1">(($I7-$J7)*'Corporate Costs Summary'!$P9)+($H7*'Corporate Costs Summary'!$Q9)</f>
        <v>-7969.3616177446356</v>
      </c>
      <c r="P7" s="73">
        <f t="shared" ref="P7:P28" ca="1" si="8">+K7-SUM(M7:O7)</f>
        <v>-40296.245458096637</v>
      </c>
      <c r="Q7" s="1262">
        <f t="shared" ref="Q7:Q28" ca="1" si="9">SUM(M7:P7)</f>
        <v>-80530.343214831722</v>
      </c>
      <c r="R7" s="353">
        <f t="shared" ref="R7:R28" ca="1" si="10">+K7-Q7</f>
        <v>0</v>
      </c>
      <c r="T7" s="1271">
        <f t="shared" si="0"/>
        <v>3336412.774690425</v>
      </c>
      <c r="W7" s="73">
        <f ca="1">SUMIF('Allocation $'!$B$6:$B$62,B7,'Allocation $'!$I$6:$I$62)</f>
        <v>13349.020979020983</v>
      </c>
      <c r="X7" s="73">
        <f>SUMIF('Cost Allocation - Tier 1'!$BU$5:$BU$32,A7,'Cost Allocation - Tier 1'!$H$5:$H$32)</f>
        <v>67727.578514203022</v>
      </c>
      <c r="Y7" s="73">
        <f>SUMIF('Cost Allocation - Tier 1 (2)'!$BU$3:$BU$32,A7,'Cost Allocation - Tier 1 (2)'!$H$3:$H$32)</f>
        <v>12737.736984652423</v>
      </c>
      <c r="Z7" s="1272">
        <f t="shared" ref="Z7:Z28" ca="1" si="11">+W7+X7-Y7</f>
        <v>68338.862508571576</v>
      </c>
      <c r="AB7" s="73">
        <f ca="1">SUMIF('Allocation $'!$B$6:$B$62,B7,'Allocation $'!$BJ$6:$BJ$62)</f>
        <v>239357.12692081861</v>
      </c>
      <c r="AC7" s="73">
        <f>SUMIF('Cost Allocation - Tier 1'!$BU$5:$BU$32,A7,'Cost Allocation - Tier 1'!$I$5:$I$32)</f>
        <v>1263903.3702787594</v>
      </c>
      <c r="AD7" s="73">
        <f>SUMIF('Cost Allocation - Tier 1 (2)'!$BU$5:$BU$32,A7,'Cost Allocation - Tier 1 (2)'!$I$5:$I$32)</f>
        <v>237681.31857200008</v>
      </c>
      <c r="AE7" s="1267">
        <f t="shared" ref="AE7:AE27" ca="1" si="12">+AB7+AC7-AD7</f>
        <v>1265579.1786275778</v>
      </c>
      <c r="AG7" s="73">
        <f ca="1">SUMIF('Allocation $'!$B$6:$B$62,B7,'Allocation $'!$BA$6:$BA$62)</f>
        <v>68530.338055157001</v>
      </c>
      <c r="AH7" s="73">
        <f>SUMIF('Cost Allocation - Tier 1'!$BU$5:$BU$32,A7,'Cost Allocation - Tier 1'!$BK$5:$BK$32)</f>
        <v>328307.75217279192</v>
      </c>
      <c r="AI7" s="73">
        <f>SUMIF('Cost Allocation - Tier 1 (2)'!$BU$5:$BU$32,A7,'Cost Allocation - Tier 1 (2)'!$BK$5:$BK$32)</f>
        <v>61749.355305360528</v>
      </c>
      <c r="AJ7" s="1267">
        <f t="shared" ca="1" si="1"/>
        <v>335088.7349225884</v>
      </c>
      <c r="AL7" s="73">
        <f ca="1">SUMIF('Allocation $'!$B$6:$B$62,B7,'Allocation $'!$AZ$6:$AZ$62)</f>
        <v>346214.5629960525</v>
      </c>
      <c r="AM7" s="73">
        <f>SUMIF('Cost Allocation - Tier 1'!$BU$5:$BU$32,A7,'Cost Allocation - Tier 1'!BV$5:$BV$32)</f>
        <v>1726440.2247443974</v>
      </c>
      <c r="AN7" s="73">
        <f>SUMIF('Cost Allocation - Tier 1 (2)'!$BU$5:$BU$32,A7,'Cost Allocation - Tier 1 (2)'!$BV$5:$BV$32)</f>
        <v>324718.43837060814</v>
      </c>
      <c r="AO7" s="1267">
        <f t="shared" ca="1" si="2"/>
        <v>1747936.3493698416</v>
      </c>
      <c r="AP7" s="236">
        <f ca="1">AO7-'Corporate Costs Summary'!U9</f>
        <v>7.3728559073060751E-3</v>
      </c>
      <c r="AR7" s="221">
        <f t="shared" ca="1" si="3"/>
        <v>667451.0489510491</v>
      </c>
      <c r="AS7" s="221">
        <f t="shared" si="4"/>
        <v>3386378.9257101519</v>
      </c>
      <c r="AT7" s="221">
        <f t="shared" si="5"/>
        <v>636886.84923262114</v>
      </c>
    </row>
    <row r="8" spans="1:46" x14ac:dyDescent="0.25">
      <c r="A8" s="423" t="s">
        <v>472</v>
      </c>
      <c r="B8" s="423"/>
      <c r="C8" s="73">
        <f>SUMIF('RU Summary Q1 2020'!$B$5:$B$34,B8,'RU Summary Q1 2020'!$U$5:$U$34)</f>
        <v>0</v>
      </c>
      <c r="D8" s="73">
        <f>SUMIF('RU Summary Q4 2019'!$B$5:$B$34,A8,'RU Summary Q4 2019'!$W$5:$W$34)</f>
        <v>297962.62520443462</v>
      </c>
      <c r="E8" s="73">
        <f>'RU Summary Q1 2019'!V8</f>
        <v>75183.964456481772</v>
      </c>
      <c r="F8" s="1262">
        <f t="shared" si="6"/>
        <v>222778.66074795285</v>
      </c>
      <c r="G8" s="73"/>
      <c r="H8" s="73">
        <f>SUMIF('RU Summary Q1 2020'!$B$5:$B$34,B8,'RU Summary Q1 2020'!$W$5:$W$34)</f>
        <v>0</v>
      </c>
      <c r="I8" s="73">
        <f>SUMIF('RU Summary Q4 2019'!$B$5:$B$34,A8,'RU Summary Q4 2019'!$X$5:$X$34)</f>
        <v>-16077.417604365291</v>
      </c>
      <c r="J8" s="73">
        <f>'RU Summary Q1 2019'!W8</f>
        <v>-4012.1877821245862</v>
      </c>
      <c r="K8" s="1262">
        <f t="shared" si="7"/>
        <v>-12065.229822240704</v>
      </c>
      <c r="L8" s="221"/>
      <c r="M8" s="73">
        <f>(($I8-$J8)*'Corporate Costs Summary'!$E10)+($H8*'Corporate Costs Summary'!$E10)</f>
        <v>0</v>
      </c>
      <c r="N8" s="73">
        <f>(($I8-$J8)*'Corporate Costs Summary'!$K10)+($H8*'Corporate Costs Summary'!$L10)</f>
        <v>-4595.0246169735528</v>
      </c>
      <c r="O8" s="73">
        <f>(($I8-$J8)*'Corporate Costs Summary'!$P10)+($H8*'Corporate Costs Summary'!$Q10)</f>
        <v>-1193.589825497899</v>
      </c>
      <c r="P8" s="73">
        <f t="shared" si="8"/>
        <v>-6276.6153797692523</v>
      </c>
      <c r="Q8" s="1262">
        <f t="shared" si="9"/>
        <v>-12065.229822240704</v>
      </c>
      <c r="R8" s="353">
        <f t="shared" si="10"/>
        <v>0</v>
      </c>
      <c r="T8" s="1271">
        <f t="shared" si="0"/>
        <v>210713.43092571213</v>
      </c>
      <c r="W8" s="73">
        <f>SUMIF('Allocation $'!$B$6:$B$62,B8,'Allocation $'!$I$6:$I$62)</f>
        <v>0</v>
      </c>
      <c r="X8" s="73">
        <f>SUMIF('Cost Allocation - Tier 1'!$BU$5:$BU$32,A8,'Cost Allocation - Tier 1'!$H$5:$H$32)</f>
        <v>0</v>
      </c>
      <c r="Y8" s="73">
        <f>SUMIF('Cost Allocation - Tier 1 (2)'!$BU$3:$BU$32,A8,'Cost Allocation - Tier 1 (2)'!$H$3:$H$32)</f>
        <v>0</v>
      </c>
      <c r="Z8" s="1272">
        <f t="shared" si="11"/>
        <v>0</v>
      </c>
      <c r="AB8" s="73">
        <f>SUMIF('Allocation $'!$B$6:$B$62,B8,'Allocation $'!$BJ$6:$BJ$62)</f>
        <v>0</v>
      </c>
      <c r="AC8" s="73">
        <f>SUMIF('Cost Allocation - Tier 1'!$BU$5:$BU$32,A8,'Cost Allocation - Tier 1'!$I$5:$I$32)</f>
        <v>113478.61890441363</v>
      </c>
      <c r="AD8" s="73">
        <f>SUMIF('Cost Allocation - Tier 1 (2)'!$BU$5:$BU$32,A8,'Cost Allocation - Tier 1 (2)'!$I$5:$I$32)</f>
        <v>28630.647802289401</v>
      </c>
      <c r="AE8" s="1267">
        <f t="shared" si="12"/>
        <v>84847.971102124226</v>
      </c>
      <c r="AG8" s="73">
        <f>SUMIF('Allocation $'!$B$6:$B$62,B8,'Allocation $'!$BA$6:$BA$62)</f>
        <v>0</v>
      </c>
      <c r="AH8" s="73">
        <f>SUMIF('Cost Allocation - Tier 1'!$BU$5:$BU$32,A8,'Cost Allocation - Tier 1'!$BK$5:$BK$32)</f>
        <v>29476.866007536621</v>
      </c>
      <c r="AI8" s="73">
        <f>SUMIF('Cost Allocation - Tier 1 (2)'!$BU$5:$BU$32,A8,'Cost Allocation - Tier 1 (2)'!$BK$5:$BK$32)</f>
        <v>7438.2120327671255</v>
      </c>
      <c r="AJ8" s="1267">
        <f t="shared" si="1"/>
        <v>22038.653974769495</v>
      </c>
      <c r="AL8" s="73">
        <f>SUMIF('Allocation $'!$B$6:$B$62,B8,'Allocation $'!$AZ$6:$AZ$62)</f>
        <v>0</v>
      </c>
      <c r="AM8" s="73">
        <f>SUMIF('Cost Allocation - Tier 1'!$BU$5:$BU$32,A8,'Cost Allocation - Tier 1'!BV$5:$BV$32)</f>
        <v>155007.14447957362</v>
      </c>
      <c r="AN8" s="73">
        <f>SUMIF('Cost Allocation - Tier 1 (2)'!$BU$5:$BU$32,A8,'Cost Allocation - Tier 1 (2)'!$BV$5:$BV$32)</f>
        <v>39114.976724946158</v>
      </c>
      <c r="AO8" s="1267">
        <f t="shared" si="2"/>
        <v>115892.16775462746</v>
      </c>
      <c r="AP8" s="236">
        <f>AO8-'Corporate Costs Summary'!U10</f>
        <v>0.13208356832910795</v>
      </c>
      <c r="AR8" s="221">
        <f t="shared" si="3"/>
        <v>0</v>
      </c>
      <c r="AS8" s="221">
        <f t="shared" si="4"/>
        <v>297962.62939152389</v>
      </c>
      <c r="AT8" s="221">
        <f t="shared" si="5"/>
        <v>75183.836560002688</v>
      </c>
    </row>
    <row r="9" spans="1:46" x14ac:dyDescent="0.25">
      <c r="A9" s="423" t="s">
        <v>1050</v>
      </c>
      <c r="B9" s="423"/>
      <c r="C9" s="73">
        <f>SUMIF('RU Summary Q1 2020'!$B$5:$B$34,B9,'RU Summary Q1 2020'!$U$5:$U$34)</f>
        <v>0</v>
      </c>
      <c r="D9" s="73">
        <f>'RU Summary Q4 2019'!W30</f>
        <v>67656.999999999942</v>
      </c>
      <c r="E9" s="73">
        <f>'RU Summary Q1 2019'!V35</f>
        <v>21746.130000000005</v>
      </c>
      <c r="F9" s="1262">
        <f t="shared" si="6"/>
        <v>45910.869999999937</v>
      </c>
      <c r="G9" s="73"/>
      <c r="H9" s="73">
        <f>SUMIF('RU Summary Q1 2020'!$B$5:$B$34,B9,'RU Summary Q1 2020'!$W$5:$W$34)</f>
        <v>0</v>
      </c>
      <c r="I9" s="73">
        <f>SUMIF('RU Summary Q4 2019'!$B$5:$B$34,A9,'RU Summary Q4 2019'!$X$5:$X$34)</f>
        <v>0</v>
      </c>
      <c r="J9" s="73">
        <f>'RU Summary Q1 2019'!W35</f>
        <v>0</v>
      </c>
      <c r="K9" s="1262">
        <f t="shared" si="7"/>
        <v>0</v>
      </c>
      <c r="L9" s="221"/>
      <c r="M9" s="73">
        <f>(($I9-$J9)*'Corporate Costs Summary'!$E11)+($H9*'Corporate Costs Summary'!$E11)</f>
        <v>0</v>
      </c>
      <c r="N9" s="73">
        <f>(($I9-$J9)*'Corporate Costs Summary'!$K11)+($H9*'Corporate Costs Summary'!$L11)</f>
        <v>0</v>
      </c>
      <c r="O9" s="73">
        <f>(($I9-$J9)*'Corporate Costs Summary'!$P11)+($H9*'Corporate Costs Summary'!$Q11)</f>
        <v>0</v>
      </c>
      <c r="P9" s="73">
        <f t="shared" si="8"/>
        <v>0</v>
      </c>
      <c r="Q9" s="1262">
        <f t="shared" si="9"/>
        <v>0</v>
      </c>
      <c r="R9" s="353">
        <f t="shared" si="10"/>
        <v>0</v>
      </c>
      <c r="T9" s="1271">
        <f t="shared" si="0"/>
        <v>45910.869999999937</v>
      </c>
      <c r="W9" s="73">
        <f>SUMIF('Allocation $'!$B$6:$B$62,B9,'Allocation $'!$I$6:$I$62)</f>
        <v>0</v>
      </c>
      <c r="X9" s="73">
        <f>SUMIF('Cost Allocation - Tier 1'!$BU$5:$BU$32,A9,'Cost Allocation - Tier 1'!$H$5:$H$32)</f>
        <v>0</v>
      </c>
      <c r="Y9" s="73">
        <f>SUMIF('Cost Allocation - Tier 1 (2)'!$BU$3:$BU$32,A9,'Cost Allocation - Tier 1 (2)'!$H$3:$H$32)</f>
        <v>0</v>
      </c>
      <c r="Z9" s="1272">
        <f t="shared" si="11"/>
        <v>0</v>
      </c>
      <c r="AB9" s="73">
        <f>SUMIF('Allocation $'!$B$6:$B$62,B9,'Allocation $'!$BJ$6:$BJ$62)</f>
        <v>0</v>
      </c>
      <c r="AC9" s="73">
        <f>SUMIF('Cost Allocation - Tier 1'!$BU$5:$BU$32,A9,'Cost Allocation - Tier 1'!$I$5:$I$32)</f>
        <v>67657.000000000015</v>
      </c>
      <c r="AD9" s="73">
        <f>SUMIF('Cost Allocation - Tier 1 (2)'!$BU$5:$BU$32,A9,'Cost Allocation - Tier 1 (2)'!$I$5:$I$32)</f>
        <v>21746</v>
      </c>
      <c r="AE9" s="1267">
        <f t="shared" si="12"/>
        <v>45911.000000000015</v>
      </c>
      <c r="AG9" s="73">
        <f>SUMIF('Allocation $'!$B$6:$B$62,B9,'Allocation $'!$BA$6:$BA$62)</f>
        <v>0</v>
      </c>
      <c r="AH9" s="73">
        <f>SUMIF('Cost Allocation - Tier 1'!$BU$5:$BU$32,A9,'Cost Allocation - Tier 1'!$BK$5:$BK$32)</f>
        <v>0</v>
      </c>
      <c r="AI9" s="73">
        <f>SUMIF('Cost Allocation - Tier 1 (2)'!$BU$5:$BU$32,A9,'Cost Allocation - Tier 1 (2)'!$BK$5:$BK$32)</f>
        <v>0</v>
      </c>
      <c r="AJ9" s="1267">
        <f t="shared" si="1"/>
        <v>0</v>
      </c>
      <c r="AL9" s="73">
        <f>SUMIF('Allocation $'!$B$6:$B$62,B9,'Allocation $'!$AZ$6:$AZ$62)</f>
        <v>0</v>
      </c>
      <c r="AM9" s="73">
        <f>SUMIF('Cost Allocation - Tier 1'!$BU$5:$BU$32,A9,'Cost Allocation - Tier 1'!BV$5:$BV$32)</f>
        <v>0</v>
      </c>
      <c r="AN9" s="73">
        <f>SUMIF('Cost Allocation - Tier 1 (2)'!$BU$5:$BU$32,A9,'Cost Allocation - Tier 1 (2)'!$BV$5:$BV$32)</f>
        <v>0</v>
      </c>
      <c r="AO9" s="1267">
        <f t="shared" si="2"/>
        <v>0</v>
      </c>
      <c r="AP9" s="236">
        <f>AO9-'Corporate Costs Summary'!U11</f>
        <v>0.13000000007741619</v>
      </c>
      <c r="AR9" s="221">
        <f t="shared" si="3"/>
        <v>0</v>
      </c>
      <c r="AS9" s="221">
        <f t="shared" si="4"/>
        <v>67657.000000000015</v>
      </c>
      <c r="AT9" s="221">
        <f t="shared" si="5"/>
        <v>21746</v>
      </c>
    </row>
    <row r="10" spans="1:46" x14ac:dyDescent="0.25">
      <c r="A10" s="423" t="s">
        <v>1139</v>
      </c>
      <c r="B10" s="423" t="s">
        <v>223</v>
      </c>
      <c r="C10" s="73">
        <f>SUMIF('RU Summary Q1 2020'!$B$5:$B$34,B10,'RU Summary Q1 2020'!$U$5:$U$34)</f>
        <v>576416.87248921301</v>
      </c>
      <c r="D10" s="73">
        <f>'RU Summary Q4 2019'!W9</f>
        <v>2713494.9315285305</v>
      </c>
      <c r="E10" s="73">
        <f>'RU Summary Q1 2019'!V9</f>
        <v>705076.68522419501</v>
      </c>
      <c r="F10" s="1262">
        <f t="shared" si="6"/>
        <v>2584835.1187935486</v>
      </c>
      <c r="G10" s="73"/>
      <c r="H10" s="73">
        <f>SUMIF('RU Summary Q1 2020'!$B$5:$B$34,B10,'RU Summary Q1 2020'!$W$5:$W$34)</f>
        <v>0</v>
      </c>
      <c r="I10" s="73">
        <f>'RU Summary Q4 2019'!X9</f>
        <v>-79585.206846393281</v>
      </c>
      <c r="J10" s="73">
        <f>'RU Summary Q1 2019'!W9</f>
        <v>-46339.407162202828</v>
      </c>
      <c r="K10" s="1262">
        <f t="shared" si="7"/>
        <v>-33245.799684190453</v>
      </c>
      <c r="L10" s="221"/>
      <c r="M10" s="73">
        <f>(($I10-$J10)*'Corporate Costs Summary'!$E12)+($H10*'Corporate Costs Summary'!$E12)</f>
        <v>-664.91599368380912</v>
      </c>
      <c r="N10" s="73">
        <f ca="1">(($I10-$J10)*'Corporate Costs Summary'!$K12)+($H10*'Corporate Costs Summary'!$L12)</f>
        <v>-12661.612767476963</v>
      </c>
      <c r="O10" s="73">
        <f ca="1">(($I10-$J10)*'Corporate Costs Summary'!$P12)+($H10*'Corporate Costs Summary'!$Q12)</f>
        <v>-3288.9425919133832</v>
      </c>
      <c r="P10" s="73">
        <f t="shared" ca="1" si="8"/>
        <v>-16630.328331116296</v>
      </c>
      <c r="Q10" s="1262">
        <f t="shared" ca="1" si="9"/>
        <v>-33245.799684190453</v>
      </c>
      <c r="R10" s="353">
        <f t="shared" ca="1" si="10"/>
        <v>0</v>
      </c>
      <c r="T10" s="1271">
        <f t="shared" si="0"/>
        <v>2551589.3191093579</v>
      </c>
      <c r="W10" s="73">
        <f ca="1">SUMIF('Allocation $'!$B$6:$B$62,B10,'Allocation $'!$I$6:$I$62)</f>
        <v>11528.337449784258</v>
      </c>
      <c r="X10" s="73">
        <f>SUMIF('Cost Allocation - Tier 1'!$BU$5:$BU$32,A10,'Cost Allocation - Tier 1'!$H$5:$H$32)</f>
        <v>54269.891395280487</v>
      </c>
      <c r="Y10" s="73">
        <f>SUMIF('Cost Allocation - Tier 1 (2)'!$BU$3:$BU$32,A10,'Cost Allocation - Tier 1 (2)'!$H$3:$H$32)</f>
        <v>14101.534757749021</v>
      </c>
      <c r="Z10" s="1272">
        <f t="shared" ca="1" si="11"/>
        <v>51696.694087315729</v>
      </c>
      <c r="AB10" s="73">
        <f ca="1">SUMIF('Allocation $'!$B$6:$B$62,B10,'Allocation $'!$BJ$6:$BJ$62)</f>
        <v>206711.01906953557</v>
      </c>
      <c r="AC10" s="73">
        <f>SUMIF('Cost Allocation - Tier 1'!$BU$5:$BU$32,A10,'Cost Allocation - Tier 1'!$I$5:$I$32)</f>
        <v>1012761.7160382159</v>
      </c>
      <c r="AD10" s="73">
        <f>SUMIF('Cost Allocation - Tier 1 (2)'!$BU$5:$BU$32,A10,'Cost Allocation - Tier 1 (2)'!$I$5:$I$32)</f>
        <v>263129.26535922941</v>
      </c>
      <c r="AE10" s="1267">
        <f t="shared" ca="1" si="12"/>
        <v>956343.46974852215</v>
      </c>
      <c r="AG10" s="73">
        <f ca="1">SUMIF('Allocation $'!$B$6:$B$62,B10,'Allocation $'!$BA$6:$BA$62)</f>
        <v>59183.431046310587</v>
      </c>
      <c r="AH10" s="73">
        <f>SUMIF('Cost Allocation - Tier 1'!$BU$5:$BU$32,A10,'Cost Allocation - Tier 1'!$BK$5:$BK$32)</f>
        <v>263071.94861410349</v>
      </c>
      <c r="AI10" s="73">
        <f>SUMIF('Cost Allocation - Tier 1 (2)'!$BU$5:$BU$32,A10,'Cost Allocation - Tier 1 (2)'!$BK$5:$BK$32)</f>
        <v>68360.704978938302</v>
      </c>
      <c r="AJ10" s="1267">
        <f t="shared" ca="1" si="1"/>
        <v>253894.67468147576</v>
      </c>
      <c r="AL10" s="73">
        <f ca="1">SUMIF('Allocation $'!$B$6:$B$62,B10,'Allocation $'!$AZ$6:$AZ$62)</f>
        <v>298994.08492358244</v>
      </c>
      <c r="AM10" s="73">
        <f>SUMIF('Cost Allocation - Tier 1'!$BU$5:$BU$32,A10,'Cost Allocation - Tier 1'!BV$5:$BV$32)</f>
        <v>1383391.0137164246</v>
      </c>
      <c r="AN10" s="73">
        <f>SUMIF('Cost Allocation - Tier 1 (2)'!$BU$5:$BU$32,A10,'Cost Allocation - Tier 1 (2)'!$BV$5:$BV$32)</f>
        <v>359485.23279153439</v>
      </c>
      <c r="AO10" s="1267">
        <f t="shared" ca="1" si="2"/>
        <v>1322899.8658484726</v>
      </c>
      <c r="AP10" s="236">
        <f ca="1">AO10-'Corporate Costs Summary'!U12</f>
        <v>-0.40613920683972538</v>
      </c>
      <c r="AR10" s="221">
        <f t="shared" ca="1" si="3"/>
        <v>576416.87248921278</v>
      </c>
      <c r="AS10" s="221">
        <f t="shared" si="4"/>
        <v>2713494.5697640246</v>
      </c>
      <c r="AT10" s="221">
        <f t="shared" si="5"/>
        <v>705076.73788745108</v>
      </c>
    </row>
    <row r="11" spans="1:46" s="177" customFormat="1" x14ac:dyDescent="0.25">
      <c r="A11" s="423" t="s">
        <v>1138</v>
      </c>
      <c r="B11" s="423" t="s">
        <v>321</v>
      </c>
      <c r="C11" s="73">
        <f>SUMIF('RU Summary Q1 2020'!$B$5:$B$34,B11,'RU Summary Q1 2020'!$U$5:$U$34)</f>
        <v>63355.5</v>
      </c>
      <c r="D11" s="73">
        <f>'RU Summary Q4 2019'!W31</f>
        <v>110757.57</v>
      </c>
      <c r="E11" s="73"/>
      <c r="F11" s="1262">
        <f t="shared" si="6"/>
        <v>174113.07</v>
      </c>
      <c r="G11" s="73"/>
      <c r="H11" s="73"/>
      <c r="I11" s="73">
        <f>SUMIF('RU Summary Q4 2019'!$B$5:$B$34,A11,'RU Summary Q4 2019'!$X$5:$X$34)</f>
        <v>0</v>
      </c>
      <c r="J11" s="73"/>
      <c r="K11" s="1262">
        <f t="shared" si="7"/>
        <v>0</v>
      </c>
      <c r="L11" s="221"/>
      <c r="M11" s="73">
        <f>(($I11-$J11)*'Corporate Costs Summary'!$E13)+($H11*'Corporate Costs Summary'!$E13)</f>
        <v>0</v>
      </c>
      <c r="N11" s="73">
        <f ca="1">(($I11-$J11)*'Corporate Costs Summary'!$K13)+($H11*'Corporate Costs Summary'!$L13)</f>
        <v>0</v>
      </c>
      <c r="O11" s="73">
        <f ca="1">(($I11-$J11)*'Corporate Costs Summary'!$P13)+($H11*'Corporate Costs Summary'!$Q13)</f>
        <v>0</v>
      </c>
      <c r="P11" s="73">
        <f t="shared" ca="1" si="8"/>
        <v>0</v>
      </c>
      <c r="Q11" s="1262">
        <f t="shared" ca="1" si="9"/>
        <v>0</v>
      </c>
      <c r="R11" s="353">
        <f t="shared" ca="1" si="10"/>
        <v>0</v>
      </c>
      <c r="T11" s="1271">
        <f t="shared" si="0"/>
        <v>174113.07</v>
      </c>
      <c r="W11" s="73">
        <f ca="1">SUMIF('Allocation $'!$B$6:$B$62,B11,'Allocation $'!$I$6:$I$62)</f>
        <v>0</v>
      </c>
      <c r="X11" s="73">
        <f>SUMIF('Cost Allocation - Tier 1'!$BU$5:$BU$32,A11,'Cost Allocation - Tier 1'!$H$5:$H$32)</f>
        <v>0</v>
      </c>
      <c r="Y11" s="73">
        <f>SUMIF('Cost Allocation - Tier 1 (2)'!$BU$3:$BU$32,A11,'Cost Allocation - Tier 1 (2)'!$H$3:$H$32)</f>
        <v>0</v>
      </c>
      <c r="Z11" s="1272">
        <f t="shared" ca="1" si="11"/>
        <v>0</v>
      </c>
      <c r="AB11" s="73">
        <f ca="1">SUMIF('Allocation $'!$B$6:$B$62,B11,'Allocation $'!$BJ$6:$BJ$62)</f>
        <v>49218.140327745896</v>
      </c>
      <c r="AC11" s="1276">
        <f>'Cost Allocation - Tier 1'!I50</f>
        <v>110758</v>
      </c>
      <c r="AD11" s="73">
        <f>SUMIF('Cost Allocation - Tier 1 (2)'!$BU$5:$BU$32,A11,'Cost Allocation - Tier 1 (2)'!$I$5:$I$32)</f>
        <v>0</v>
      </c>
      <c r="AE11" s="1267">
        <f t="shared" ca="1" si="12"/>
        <v>159976.1403277459</v>
      </c>
      <c r="AG11" s="73">
        <f ca="1">SUMIF('Allocation $'!$B$6:$B$62,B11,'Allocation $'!$BA$6:$BA$62)</f>
        <v>14137.35967225411</v>
      </c>
      <c r="AH11" s="73">
        <f>SUMIF('Cost Allocation - Tier 1'!$BU$5:$BU$32,A11,'Cost Allocation - Tier 1'!$BK$5:$BK$32)</f>
        <v>0</v>
      </c>
      <c r="AI11" s="73">
        <f>SUMIF('Cost Allocation - Tier 1 (2)'!$BU$5:$BU$32,A11,'Cost Allocation - Tier 1 (2)'!$BK$5:$BK$32)</f>
        <v>0</v>
      </c>
      <c r="AJ11" s="1267">
        <f t="shared" ca="1" si="1"/>
        <v>14137.35967225411</v>
      </c>
      <c r="AL11" s="73">
        <f ca="1">SUMIF('Allocation $'!$B$6:$B$62,B11,'Allocation $'!$AZ$6:$AZ$62)</f>
        <v>0</v>
      </c>
      <c r="AM11" s="73">
        <f>SUMIF('Cost Allocation - Tier 1'!$BU$5:$BU$32,A11,'Cost Allocation - Tier 1'!BV$5:$BV$32)</f>
        <v>0</v>
      </c>
      <c r="AN11" s="73">
        <f>SUMIF('Cost Allocation - Tier 1 (2)'!$BU$5:$BU$32,A11,'Cost Allocation - Tier 1 (2)'!$BV$5:$BV$32)</f>
        <v>0</v>
      </c>
      <c r="AO11" s="1267">
        <f t="shared" ca="1" si="2"/>
        <v>0</v>
      </c>
      <c r="AP11" s="236">
        <f ca="1">AO11-'Corporate Costs Summary'!U13</f>
        <v>0.43000000000574801</v>
      </c>
      <c r="AR11" s="221">
        <f t="shared" ca="1" si="3"/>
        <v>63355.500000000007</v>
      </c>
      <c r="AS11" s="221">
        <f t="shared" si="4"/>
        <v>110758</v>
      </c>
      <c r="AT11" s="221">
        <f t="shared" si="5"/>
        <v>0</v>
      </c>
    </row>
    <row r="12" spans="1:46" x14ac:dyDescent="0.25">
      <c r="A12" s="423" t="s">
        <v>474</v>
      </c>
      <c r="B12" s="423" t="s">
        <v>224</v>
      </c>
      <c r="C12" s="73">
        <f>SUMIF('RU Summary Q1 2020'!$B$5:$B$34,B12,'RU Summary Q1 2020'!$U$5:$U$34)</f>
        <v>491058.61478946591</v>
      </c>
      <c r="D12" s="73">
        <f>SUMIF('RU Summary Q4 2019'!$B$5:$B$34,A12,'RU Summary Q4 2019'!$W$5:$W$34)</f>
        <v>1208779.3387246295</v>
      </c>
      <c r="E12" s="73">
        <f>'RU Summary Q1 2019'!V10</f>
        <v>113718.61269936802</v>
      </c>
      <c r="F12" s="1262">
        <f t="shared" si="6"/>
        <v>1586119.3408147274</v>
      </c>
      <c r="G12" s="73"/>
      <c r="H12" s="73">
        <f>SUMIF('RU Summary Q1 2020'!$B$5:$B$34,B12,'RU Summary Q1 2020'!$W$5:$W$34)</f>
        <v>0</v>
      </c>
      <c r="I12" s="73">
        <f>SUMIF('RU Summary Q4 2019'!$B$5:$B$34,A12,'RU Summary Q4 2019'!$X$5:$X$34)</f>
        <v>0</v>
      </c>
      <c r="J12" s="73">
        <f>'RU Summary Q1 2019'!W10</f>
        <v>0</v>
      </c>
      <c r="K12" s="1262">
        <f t="shared" si="7"/>
        <v>0</v>
      </c>
      <c r="L12" s="221"/>
      <c r="M12" s="73">
        <f>(($I12-$J12)*'Corporate Costs Summary'!$E14)+($H12*'Corporate Costs Summary'!$E14)</f>
        <v>0</v>
      </c>
      <c r="N12" s="73">
        <f ca="1">(($I12-$J12)*'Corporate Costs Summary'!$K14)+($H12*'Corporate Costs Summary'!$L14)</f>
        <v>0</v>
      </c>
      <c r="O12" s="73">
        <f ca="1">(($I12-$J12)*'Corporate Costs Summary'!$P14)+($H12*'Corporate Costs Summary'!$Q14)</f>
        <v>0</v>
      </c>
      <c r="P12" s="73">
        <f t="shared" ca="1" si="8"/>
        <v>0</v>
      </c>
      <c r="Q12" s="1262">
        <f t="shared" ca="1" si="9"/>
        <v>0</v>
      </c>
      <c r="R12" s="353">
        <f t="shared" ca="1" si="10"/>
        <v>0</v>
      </c>
      <c r="T12" s="1271">
        <f t="shared" si="0"/>
        <v>1586119.3408147274</v>
      </c>
      <c r="W12" s="73">
        <f ca="1">SUMIF('Allocation $'!$B$6:$B$62,B12,'Allocation $'!$I$6:$I$62)</f>
        <v>0</v>
      </c>
      <c r="X12" s="73">
        <f>SUMIF('Cost Allocation - Tier 1'!$BU$5:$BU$32,A12,'Cost Allocation - Tier 1'!$H$5:$H$32)</f>
        <v>0</v>
      </c>
      <c r="Y12" s="73">
        <f>SUMIF('Cost Allocation - Tier 1 (2)'!$BU$3:$BU$32,A12,'Cost Allocation - Tier 1 (2)'!$H$3:$H$32)</f>
        <v>0</v>
      </c>
      <c r="Z12" s="1272">
        <f t="shared" ca="1" si="11"/>
        <v>0</v>
      </c>
      <c r="AB12" s="73">
        <f ca="1">SUMIF('Allocation $'!$B$6:$B$62,B12,'Allocation $'!$BJ$6:$BJ$62)</f>
        <v>179694.25893715461</v>
      </c>
      <c r="AC12" s="73">
        <f>SUMIF('Cost Allocation - Tier 1'!$BU$5:$BU$32,A12,'Cost Allocation - Tier 1'!$I$5:$I$32)</f>
        <v>460361.88065556111</v>
      </c>
      <c r="AD12" s="73">
        <f>SUMIF('Cost Allocation - Tier 1 (2)'!$BU$5:$BU$32,A12,'Cost Allocation - Tier 1 (2)'!$I$5:$I$32)</f>
        <v>43305.083066745909</v>
      </c>
      <c r="AE12" s="1267">
        <f t="shared" ca="1" si="12"/>
        <v>596751.05652596988</v>
      </c>
      <c r="AG12" s="73">
        <f ca="1">SUMIF('Allocation $'!$B$6:$B$62,B12,'Allocation $'!$BA$6:$BA$62)</f>
        <v>51448.262560437011</v>
      </c>
      <c r="AH12" s="73">
        <f>SUMIF('Cost Allocation - Tier 1'!$BU$5:$BU$32,A12,'Cost Allocation - Tier 1'!$BK$5:$BK$32)</f>
        <v>119582.2226431216</v>
      </c>
      <c r="AI12" s="73">
        <f>SUMIF('Cost Allocation - Tier 1 (2)'!$BU$5:$BU$32,A12,'Cost Allocation - Tier 1 (2)'!$BK$5:$BK$32)</f>
        <v>11250.614801712318</v>
      </c>
      <c r="AJ12" s="1267">
        <f t="shared" ca="1" si="1"/>
        <v>159779.8704018463</v>
      </c>
      <c r="AL12" s="73">
        <f ca="1">SUMIF('Allocation $'!$B$6:$B$62,B12,'Allocation $'!$AZ$6:$AZ$62)</f>
        <v>259916.09329187428</v>
      </c>
      <c r="AM12" s="73">
        <f>SUMIF('Cost Allocation - Tier 1'!$BU$5:$BU$32,A12,'Cost Allocation - Tier 1'!BV$5:$BV$32)</f>
        <v>628835.46906552394</v>
      </c>
      <c r="AN12" s="73">
        <f>SUMIF('Cost Allocation - Tier 1 (2)'!$BU$5:$BU$32,A12,'Cost Allocation - Tier 1 (2)'!$BV$5:$BV$32)</f>
        <v>59163.080344000409</v>
      </c>
      <c r="AO12" s="1267">
        <f t="shared" ca="1" si="2"/>
        <v>829588.48201339785</v>
      </c>
      <c r="AP12" s="236">
        <f ca="1">AO12-'Corporate Costs Summary'!U14</f>
        <v>6.8126486614346504E-2</v>
      </c>
      <c r="AR12" s="221">
        <f t="shared" ca="1" si="3"/>
        <v>491058.61478946591</v>
      </c>
      <c r="AS12" s="221">
        <f t="shared" si="4"/>
        <v>1208779.5723642067</v>
      </c>
      <c r="AT12" s="221">
        <f t="shared" si="5"/>
        <v>113718.77821245864</v>
      </c>
    </row>
    <row r="13" spans="1:46" x14ac:dyDescent="0.25">
      <c r="A13" s="423" t="s">
        <v>1051</v>
      </c>
      <c r="B13" s="423" t="s">
        <v>225</v>
      </c>
      <c r="C13" s="73">
        <f>SUMIF('RU Summary Q1 2020'!$B$5:$B$34,B13,'RU Summary Q1 2020'!$U$5:$U$34)</f>
        <v>75254.404106531772</v>
      </c>
      <c r="D13" s="73">
        <f>'RU Summary Q4 2019'!W11</f>
        <v>869334.4889699507</v>
      </c>
      <c r="E13" s="73">
        <f>'RU Summary Q1 2019'!V11</f>
        <v>210853.06951549806</v>
      </c>
      <c r="F13" s="1262">
        <f t="shared" si="6"/>
        <v>733735.82356098434</v>
      </c>
      <c r="G13" s="73"/>
      <c r="H13" s="73">
        <f>SUMIF('RU Summary Q1 2020'!$B$5:$B$34,B13,'RU Summary Q1 2020'!$W$5:$W$34)</f>
        <v>0</v>
      </c>
      <c r="I13" s="73">
        <f>'RU Summary Q4 2019'!X11</f>
        <v>-196426.91980133098</v>
      </c>
      <c r="J13" s="73">
        <f>'RU Summary Q1 2019'!W11</f>
        <v>-34759.547095997594</v>
      </c>
      <c r="K13" s="1262">
        <f t="shared" si="7"/>
        <v>-161667.3727053334</v>
      </c>
      <c r="L13" s="221"/>
      <c r="M13" s="73">
        <f>(($I13-$J13)*'Corporate Costs Summary'!$E15)+($H13*'Corporate Costs Summary'!$E15)</f>
        <v>0</v>
      </c>
      <c r="N13" s="73">
        <f ca="1">(($I13-$J13)*'Corporate Costs Summary'!$K15)+($H13*'Corporate Costs Summary'!$L15)</f>
        <v>-61570.775549842227</v>
      </c>
      <c r="O13" s="73">
        <f ca="1">(($I13-$J13)*'Corporate Costs Summary'!$P15)+($H13*'Corporate Costs Summary'!$Q15)</f>
        <v>-15993.440159785214</v>
      </c>
      <c r="P13" s="73">
        <f t="shared" ca="1" si="8"/>
        <v>-84103.156995705955</v>
      </c>
      <c r="Q13" s="1262">
        <f t="shared" ca="1" si="9"/>
        <v>-161667.3727053334</v>
      </c>
      <c r="R13" s="353">
        <f t="shared" ca="1" si="10"/>
        <v>0</v>
      </c>
      <c r="T13" s="1271">
        <f t="shared" si="0"/>
        <v>572068.45085565094</v>
      </c>
      <c r="W13" s="73">
        <f ca="1">SUMIF('Allocation $'!$B$6:$B$62,B13,'Allocation $'!$I$6:$I$62)</f>
        <v>0</v>
      </c>
      <c r="X13" s="73">
        <f>SUMIF('Cost Allocation - Tier 1'!$BU$5:$BU$32,A13,'Cost Allocation - Tier 1'!$H$5:$H$32)</f>
        <v>0</v>
      </c>
      <c r="Y13" s="73">
        <f>SUMIF('Cost Allocation - Tier 1 (2)'!$BU$3:$BU$32,A13,'Cost Allocation - Tier 1 (2)'!$H$3:$H$32)</f>
        <v>0</v>
      </c>
      <c r="Z13" s="1272">
        <f t="shared" ca="1" si="11"/>
        <v>0</v>
      </c>
      <c r="AB13" s="73">
        <f ca="1">SUMIF('Allocation $'!$B$6:$B$62,B13,'Allocation $'!$BJ$6:$BJ$62)</f>
        <v>27538.024933088855</v>
      </c>
      <c r="AC13" s="73">
        <f>SUMIF('Cost Allocation - Tier 1'!$BU$5:$BU$32,A13,'Cost Allocation - Tier 1'!$I$5:$I$32)</f>
        <v>331084.70862152067</v>
      </c>
      <c r="AD13" s="73">
        <f>SUMIF('Cost Allocation - Tier 1 (2)'!$BU$5:$BU$32,A13,'Cost Allocation - Tier 1 (2)'!$I$5:$I$32)</f>
        <v>80294.68036640939</v>
      </c>
      <c r="AE13" s="1267">
        <f t="shared" ca="1" si="12"/>
        <v>278328.05318820011</v>
      </c>
      <c r="AG13" s="73">
        <f ca="1">SUMIF('Allocation $'!$B$6:$B$62,B13,'Allocation $'!$BA$6:$BA$62)</f>
        <v>7884.4118088876467</v>
      </c>
      <c r="AH13" s="73">
        <f>SUMIF('Cost Allocation - Tier 1'!$BU$5:$BU$32,A13,'Cost Allocation - Tier 1'!$BK$5:$BK$32)</f>
        <v>86001.571815052201</v>
      </c>
      <c r="AI13" s="73">
        <f>SUMIF('Cost Allocation - Tier 1 (2)'!$BU$5:$BU$32,A13,'Cost Allocation - Tier 1 (2)'!$BK$5:$BK$32)</f>
        <v>20860.473077415263</v>
      </c>
      <c r="AJ13" s="1267">
        <f t="shared" ca="1" si="1"/>
        <v>73025.510546524572</v>
      </c>
      <c r="AL13" s="73">
        <f ca="1">SUMIF('Allocation $'!$B$6:$B$62,B13,'Allocation $'!$AZ$6:$AZ$62)</f>
        <v>39831.967364555254</v>
      </c>
      <c r="AM13" s="73">
        <f>SUMIF('Cost Allocation - Tier 1'!$BU$5:$BU$32,A13,'Cost Allocation - Tier 1'!BV$5:$BV$32)</f>
        <v>452248.14823929383</v>
      </c>
      <c r="AN13" s="73">
        <f>SUMIF('Cost Allocation - Tier 1 (2)'!$BU$5:$BU$32,A13,'Cost Allocation - Tier 1 (2)'!$BV$5:$BV$32)</f>
        <v>109697.99130489642</v>
      </c>
      <c r="AO13" s="1267">
        <f t="shared" ca="1" si="2"/>
        <v>382382.12429895264</v>
      </c>
      <c r="AP13" s="236">
        <f ca="1">AO13-'Corporate Costs Summary'!U15</f>
        <v>-0.13552730705123395</v>
      </c>
      <c r="AR13" s="221">
        <f t="shared" ca="1" si="3"/>
        <v>75254.404106531758</v>
      </c>
      <c r="AS13" s="221">
        <f t="shared" si="4"/>
        <v>869334.42867586669</v>
      </c>
      <c r="AT13" s="221">
        <f t="shared" si="5"/>
        <v>210853.14474872107</v>
      </c>
    </row>
    <row r="14" spans="1:46" x14ac:dyDescent="0.25">
      <c r="A14" s="423" t="s">
        <v>1052</v>
      </c>
      <c r="B14" s="423" t="s">
        <v>304</v>
      </c>
      <c r="C14" s="73">
        <f>SUMIF('RU Summary Q1 2020'!$B$5:$B$34,B14,'RU Summary Q1 2020'!$U$5:$U$34)</f>
        <v>-105.48000000000002</v>
      </c>
      <c r="D14" s="73">
        <f>'RU Summary Q4 2019'!W32</f>
        <v>119670.42</v>
      </c>
      <c r="E14" s="73">
        <f>'RU Summary Q1 2019'!V36</f>
        <v>16921.260000000002</v>
      </c>
      <c r="F14" s="1262">
        <f>+C14+D14-E14</f>
        <v>102643.68</v>
      </c>
      <c r="G14" s="73"/>
      <c r="H14" s="73">
        <f>SUMIF('RU Summary Q1 2020'!$B$5:$B$34,B14,'RU Summary Q1 2020'!$W$5:$W$34)</f>
        <v>0</v>
      </c>
      <c r="I14" s="73">
        <f>SUMIF('RU Summary Q4 2019'!$B$5:$B$34,A14,'RU Summary Q4 2019'!$X$5:$X$34)</f>
        <v>0</v>
      </c>
      <c r="J14" s="73"/>
      <c r="K14" s="1262">
        <f t="shared" si="7"/>
        <v>0</v>
      </c>
      <c r="L14" s="221"/>
      <c r="M14" s="73">
        <f>(($I14-$J14)*'Corporate Costs Summary'!$E16)+($H14*'Corporate Costs Summary'!$E16)</f>
        <v>0</v>
      </c>
      <c r="N14" s="73">
        <f ca="1">(($I14-$J14)*'Corporate Costs Summary'!$K16)+($H14*'Corporate Costs Summary'!$L16)</f>
        <v>0</v>
      </c>
      <c r="O14" s="73">
        <f ca="1">(($I14-$J14)*'Corporate Costs Summary'!$P16)+($H14*'Corporate Costs Summary'!$Q16)</f>
        <v>0</v>
      </c>
      <c r="P14" s="73">
        <f t="shared" ca="1" si="8"/>
        <v>0</v>
      </c>
      <c r="Q14" s="1262">
        <f t="shared" ca="1" si="9"/>
        <v>0</v>
      </c>
      <c r="R14" s="353">
        <f t="shared" ca="1" si="10"/>
        <v>0</v>
      </c>
      <c r="T14" s="1271">
        <f t="shared" si="0"/>
        <v>102643.68</v>
      </c>
      <c r="W14" s="73">
        <f ca="1">SUMIF('Allocation $'!$B$6:$B$62,B14,'Allocation $'!$I$6:$I$62)</f>
        <v>0</v>
      </c>
      <c r="X14" s="73">
        <f>SUMIF('Cost Allocation - Tier 1'!$BU$5:$BU$32,A14,'Cost Allocation - Tier 1'!$H$5:$H$32)</f>
        <v>0</v>
      </c>
      <c r="Y14" s="73">
        <f>SUMIF('Cost Allocation - Tier 1 (2)'!$BU$3:$BU$32,A14,'Cost Allocation - Tier 1 (2)'!$H$3:$H$32)</f>
        <v>0</v>
      </c>
      <c r="Z14" s="1272">
        <f t="shared" ca="1" si="11"/>
        <v>0</v>
      </c>
      <c r="AB14" s="73">
        <f ca="1">SUMIF('Allocation $'!$B$6:$B$62,B14,'Allocation $'!$BJ$6:$BJ$62)</f>
        <v>-38.598549871317054</v>
      </c>
      <c r="AC14" s="73">
        <f>SUMIF('Cost Allocation - Tier 1'!$BU$5:$BU$32,A14,'Cost Allocation - Tier 1'!$I$5:$I$32)</f>
        <v>119670</v>
      </c>
      <c r="AD14" s="73">
        <f>SUMIF('Cost Allocation - Tier 1 (2)'!$BU$5:$BU$32,A14,'Cost Allocation - Tier 1 (2)'!$I$5:$I$32)</f>
        <v>16921</v>
      </c>
      <c r="AE14" s="1267">
        <f t="shared" ca="1" si="12"/>
        <v>102710.40145012869</v>
      </c>
      <c r="AG14" s="73">
        <f ca="1">SUMIF('Allocation $'!$B$6:$B$62,B14,'Allocation $'!$BA$6:$BA$62)</f>
        <v>-11.051150659889229</v>
      </c>
      <c r="AH14" s="73">
        <f>SUMIF('Cost Allocation - Tier 1'!$BU$5:$BU$32,A14,'Cost Allocation - Tier 1'!$BK$5:$BK$32)</f>
        <v>0</v>
      </c>
      <c r="AI14" s="73">
        <f>SUMIF('Cost Allocation - Tier 1 (2)'!$BU$5:$BU$32,A14,'Cost Allocation - Tier 1 (2)'!$BK$5:$BK$32)</f>
        <v>0</v>
      </c>
      <c r="AJ14" s="1267">
        <f t="shared" ca="1" si="1"/>
        <v>-11.051150659889229</v>
      </c>
      <c r="AL14" s="73">
        <f ca="1">SUMIF('Allocation $'!$B$6:$B$62,B14,'Allocation $'!$AZ$6:$AZ$62)</f>
        <v>-55.830299468793733</v>
      </c>
      <c r="AM14" s="73">
        <f>SUMIF('Cost Allocation - Tier 1'!$BU$5:$BU$32,A14,'Cost Allocation - Tier 1'!BV$5:$BV$32)</f>
        <v>0</v>
      </c>
      <c r="AN14" s="73">
        <f>SUMIF('Cost Allocation - Tier 1 (2)'!$BU$5:$BU$32,A14,'Cost Allocation - Tier 1 (2)'!$BV$5:$BV$32)</f>
        <v>0</v>
      </c>
      <c r="AO14" s="1267">
        <f t="shared" ca="1" si="2"/>
        <v>-55.830299468793733</v>
      </c>
      <c r="AP14" s="236">
        <f ca="1">AO14-'Corporate Costs Summary'!U16</f>
        <v>-0.15999999998854975</v>
      </c>
      <c r="AR14" s="221">
        <f t="shared" ca="1" si="3"/>
        <v>-105.48000000000002</v>
      </c>
      <c r="AS14" s="221">
        <f t="shared" si="4"/>
        <v>119670</v>
      </c>
      <c r="AT14" s="221">
        <f t="shared" si="5"/>
        <v>16921</v>
      </c>
    </row>
    <row r="15" spans="1:46" x14ac:dyDescent="0.25">
      <c r="A15" s="423" t="s">
        <v>1133</v>
      </c>
      <c r="B15" s="423" t="s">
        <v>226</v>
      </c>
      <c r="C15" s="73">
        <f>SUMIF('RU Summary Q1 2020'!$B$5:$B$34,B15,'RU Summary Q1 2020'!$U$5:$U$34)</f>
        <v>39259.418241333144</v>
      </c>
      <c r="D15" s="73">
        <f>'RU Summary Q4 2019'!W12</f>
        <v>664593.3390110262</v>
      </c>
      <c r="E15" s="73">
        <f>'RU Summary Q1 2019'!V12</f>
        <v>157981.56786036715</v>
      </c>
      <c r="F15" s="1262">
        <f t="shared" si="6"/>
        <v>545871.18939199217</v>
      </c>
      <c r="G15" s="73"/>
      <c r="H15" s="73">
        <f>SUMIF('RU Summary Q1 2020'!$B$5:$B$34,B15,'RU Summary Q1 2020'!$W$5:$W$34)</f>
        <v>0</v>
      </c>
      <c r="I15" s="73">
        <f>'RU Summary Q4 2019'!X12</f>
        <v>-17402.380108981557</v>
      </c>
      <c r="J15" s="73">
        <f>'RU Summary Q1 2019'!W12</f>
        <v>-4342.8377971712307</v>
      </c>
      <c r="K15" s="1262">
        <f t="shared" si="7"/>
        <v>-13059.542311810326</v>
      </c>
      <c r="L15" s="221"/>
      <c r="M15" s="73">
        <f>(($I15-$J15)*'Corporate Costs Summary'!$E17)+($H15*'Corporate Costs Summary'!$E17)</f>
        <v>0</v>
      </c>
      <c r="N15" s="73">
        <f ca="1">(($I15-$J15)*'Corporate Costs Summary'!$K17)+($H15*'Corporate Costs Summary'!$L17)</f>
        <v>-4973.7070319669674</v>
      </c>
      <c r="O15" s="73">
        <f ca="1">(($I15-$J15)*'Corporate Costs Summary'!$P17)+($H15*'Corporate Costs Summary'!$Q17)</f>
        <v>-1291.9552348934226</v>
      </c>
      <c r="P15" s="73">
        <f t="shared" ca="1" si="8"/>
        <v>-6793.8800449499358</v>
      </c>
      <c r="Q15" s="1262">
        <f t="shared" ca="1" si="9"/>
        <v>-13059.542311810326</v>
      </c>
      <c r="R15" s="353">
        <f t="shared" ca="1" si="10"/>
        <v>0</v>
      </c>
      <c r="T15" s="1271">
        <f t="shared" si="0"/>
        <v>532811.64708018187</v>
      </c>
      <c r="W15" s="73">
        <f ca="1">SUMIF('Allocation $'!$B$6:$B$62,B15,'Allocation $'!$I$6:$I$62)</f>
        <v>0</v>
      </c>
      <c r="X15" s="73">
        <f>SUMIF('Cost Allocation - Tier 1'!$BU$5:$BU$32,A15,'Cost Allocation - Tier 1'!$H$5:$H$32)</f>
        <v>0</v>
      </c>
      <c r="Y15" s="73">
        <f>SUMIF('Cost Allocation - Tier 1 (2)'!$BU$3:$BU$32,A15,'Cost Allocation - Tier 1 (2)'!$H$3:$H$32)</f>
        <v>0</v>
      </c>
      <c r="Z15" s="1272">
        <f t="shared" ca="1" si="11"/>
        <v>0</v>
      </c>
      <c r="AB15" s="73">
        <f ca="1">SUMIF('Allocation $'!$B$6:$B$62,B15,'Allocation $'!$BJ$6:$BJ$62)</f>
        <v>14366.293258503898</v>
      </c>
      <c r="AC15" s="73">
        <f>SUMIF('Cost Allocation - Tier 1'!$BU$5:$BU$32,A15,'Cost Allocation - Tier 1'!$I$5:$I$32)</f>
        <v>253109.26372924756</v>
      </c>
      <c r="AD15" s="73">
        <f>SUMIF('Cost Allocation - Tier 1 (2)'!$BU$5:$BU$32,A15,'Cost Allocation - Tier 1 (2)'!$I$5:$I$32)</f>
        <v>60160.703172921232</v>
      </c>
      <c r="AE15" s="1267">
        <f t="shared" ca="1" si="12"/>
        <v>207314.85381483022</v>
      </c>
      <c r="AG15" s="73">
        <f ca="1">SUMIF('Allocation $'!$B$6:$B$62,B15,'Allocation $'!$BA$6:$BA$62)</f>
        <v>4113.2133656103124</v>
      </c>
      <c r="AH15" s="73">
        <f>SUMIF('Cost Allocation - Tier 1'!$BU$5:$BU$32,A15,'Cost Allocation - Tier 1'!$BK$5:$BK$32)</f>
        <v>65746.903903525526</v>
      </c>
      <c r="AI15" s="73">
        <f>SUMIF('Cost Allocation - Tier 1 (2)'!$BU$5:$BU$32,A15,'Cost Allocation - Tier 1 (2)'!$BK$5:$BK$32)</f>
        <v>15629.687086743857</v>
      </c>
      <c r="AJ15" s="1267">
        <f t="shared" ca="1" si="1"/>
        <v>54230.430182391981</v>
      </c>
      <c r="AL15" s="73">
        <f ca="1">SUMIF('Allocation $'!$B$6:$B$62,B15,'Allocation $'!$AZ$6:$AZ$62)</f>
        <v>20779.911617218917</v>
      </c>
      <c r="AM15" s="73">
        <f>SUMIF('Cost Allocation - Tier 1'!$BU$5:$BU$32,A15,'Cost Allocation - Tier 1'!BV$5:$BV$32)</f>
        <v>345736.88498135237</v>
      </c>
      <c r="AN15" s="73">
        <f>SUMIF('Cost Allocation - Tier 1 (2)'!$BU$5:$BU$32,A15,'Cost Allocation - Tier 1 (2)'!$BV$5:$BV$32)</f>
        <v>82191.102367479092</v>
      </c>
      <c r="AO15" s="1267">
        <f t="shared" ca="1" si="2"/>
        <v>284325.69423109223</v>
      </c>
      <c r="AP15" s="236">
        <f ca="1">AO15-'Corporate Costs Summary'!U17</f>
        <v>-0.2111636777408421</v>
      </c>
      <c r="AR15" s="221">
        <f t="shared" ca="1" si="3"/>
        <v>39259.418241333129</v>
      </c>
      <c r="AS15" s="221">
        <f t="shared" si="4"/>
        <v>664593.05261412542</v>
      </c>
      <c r="AT15" s="221">
        <f t="shared" si="5"/>
        <v>157981.49262714418</v>
      </c>
    </row>
    <row r="16" spans="1:46" x14ac:dyDescent="0.25">
      <c r="A16" s="423" t="s">
        <v>1132</v>
      </c>
      <c r="B16" s="423" t="s">
        <v>324</v>
      </c>
      <c r="C16" s="73">
        <f>SUMIF('RU Summary Q1 2020'!$B$5:$B$34,B16,'RU Summary Q1 2020'!$U$5:$U$34)</f>
        <v>61516.29</v>
      </c>
      <c r="D16" s="73">
        <f>SUMIF('RU Summary Q4 2019'!$B$5:$B$34,A16,'RU Summary Q4 2019'!$W$5:$W$34)</f>
        <v>0</v>
      </c>
      <c r="E16" s="73"/>
      <c r="F16" s="1262">
        <f t="shared" si="6"/>
        <v>61516.29</v>
      </c>
      <c r="G16" s="73"/>
      <c r="H16" s="73">
        <f>SUMIF('RU Summary Q1 2020'!$B$5:$B$34,B16,'RU Summary Q1 2020'!$W$5:$W$34)</f>
        <v>0</v>
      </c>
      <c r="I16" s="73">
        <f>SUMIF('RU Summary Q4 2019'!$B$5:$B$34,A16,'RU Summary Q4 2019'!$X$5:$X$34)</f>
        <v>0</v>
      </c>
      <c r="J16" s="73"/>
      <c r="K16" s="1262">
        <f t="shared" si="7"/>
        <v>0</v>
      </c>
      <c r="L16" s="221"/>
      <c r="M16" s="73">
        <f>(($I16-$J16)*'Corporate Costs Summary'!$E18)+($H16*'Corporate Costs Summary'!$E18)</f>
        <v>0</v>
      </c>
      <c r="N16" s="73">
        <f ca="1">(($I16-$J16)*'Corporate Costs Summary'!$K18)+($H16*'Corporate Costs Summary'!$L18)</f>
        <v>0</v>
      </c>
      <c r="O16" s="73">
        <f ca="1">(($I16-$J16)*'Corporate Costs Summary'!$P18)+($H16*'Corporate Costs Summary'!$Q18)</f>
        <v>0</v>
      </c>
      <c r="P16" s="73">
        <f t="shared" ca="1" si="8"/>
        <v>0</v>
      </c>
      <c r="Q16" s="1262">
        <f t="shared" ca="1" si="9"/>
        <v>0</v>
      </c>
      <c r="R16" s="353">
        <f t="shared" ca="1" si="10"/>
        <v>0</v>
      </c>
      <c r="T16" s="1271">
        <f t="shared" si="0"/>
        <v>61516.29</v>
      </c>
      <c r="W16" s="73">
        <f ca="1">SUMIF('Allocation $'!$B$6:$B$62,B16,'Allocation $'!$I$6:$I$62)</f>
        <v>0</v>
      </c>
      <c r="X16" s="73">
        <f>SUMIF('Cost Allocation - Tier 1'!$BU$5:$BU$32,A16,'Cost Allocation - Tier 1'!$H$5:$H$32)</f>
        <v>0</v>
      </c>
      <c r="Y16" s="73">
        <f>SUMIF('Cost Allocation - Tier 1 (2)'!$BU$3:$BU$32,A16,'Cost Allocation - Tier 1 (2)'!$H$3:$H$32)</f>
        <v>0</v>
      </c>
      <c r="Z16" s="1272">
        <f t="shared" ca="1" si="11"/>
        <v>0</v>
      </c>
      <c r="AB16" s="73">
        <f ca="1">SUMIF('Allocation $'!$B$6:$B$62,B16,'Allocation $'!$BJ$6:$BJ$62)</f>
        <v>47789.337842212772</v>
      </c>
      <c r="AC16" s="73">
        <f>SUMIF('Cost Allocation - Tier 1'!$BU$5:$BU$32,A16,'Cost Allocation - Tier 1'!$I$5:$I$32)</f>
        <v>0</v>
      </c>
      <c r="AD16" s="73">
        <f>SUMIF('Cost Allocation - Tier 1 (2)'!$BU$5:$BU$32,A16,'Cost Allocation - Tier 1 (2)'!$I$5:$I$32)</f>
        <v>0</v>
      </c>
      <c r="AE16" s="1267">
        <f t="shared" ca="1" si="12"/>
        <v>47789.337842212772</v>
      </c>
      <c r="AG16" s="73">
        <f ca="1">SUMIF('Allocation $'!$B$6:$B$62,B16,'Allocation $'!$BA$6:$BA$62)</f>
        <v>13726.952157787226</v>
      </c>
      <c r="AH16" s="73">
        <f>SUMIF('Cost Allocation - Tier 1'!$BU$5:$BU$32,A16,'Cost Allocation - Tier 1'!$BK$5:$BK$32)</f>
        <v>0</v>
      </c>
      <c r="AI16" s="73">
        <f>SUMIF('Cost Allocation - Tier 1 (2)'!$BU$5:$BU$32,A16,'Cost Allocation - Tier 1 (2)'!$BK$5:$BK$32)</f>
        <v>0</v>
      </c>
      <c r="AJ16" s="1267">
        <f t="shared" ca="1" si="1"/>
        <v>13726.952157787226</v>
      </c>
      <c r="AL16" s="73">
        <f ca="1">SUMIF('Allocation $'!$B$6:$B$62,B16,'Allocation $'!$AZ$6:$AZ$62)</f>
        <v>0</v>
      </c>
      <c r="AM16" s="73">
        <f>SUMIF('Cost Allocation - Tier 1'!$BU$5:$BU$32,A16,'Cost Allocation - Tier 1'!BV$5:$BV$32)</f>
        <v>0</v>
      </c>
      <c r="AN16" s="73">
        <f>SUMIF('Cost Allocation - Tier 1 (2)'!$BU$5:$BU$32,A16,'Cost Allocation - Tier 1 (2)'!$BV$5:$BV$32)</f>
        <v>0</v>
      </c>
      <c r="AO16" s="1267">
        <f t="shared" ca="1" si="2"/>
        <v>0</v>
      </c>
      <c r="AP16" s="236">
        <f ca="1">AO16-'Corporate Costs Summary'!U18</f>
        <v>0</v>
      </c>
      <c r="AR16" s="221">
        <f t="shared" ca="1" si="3"/>
        <v>61516.289999999994</v>
      </c>
      <c r="AS16" s="221">
        <f t="shared" si="4"/>
        <v>0</v>
      </c>
      <c r="AT16" s="221">
        <f t="shared" si="5"/>
        <v>0</v>
      </c>
    </row>
    <row r="17" spans="1:46" x14ac:dyDescent="0.25">
      <c r="A17" s="423" t="s">
        <v>477</v>
      </c>
      <c r="B17" s="423" t="s">
        <v>227</v>
      </c>
      <c r="C17" s="73">
        <f>SUMIF('RU Summary Q1 2020'!$B$5:$B$34,B17,'RU Summary Q1 2020'!$U$5:$U$34)</f>
        <v>67472.727272727381</v>
      </c>
      <c r="D17" s="73">
        <f>SUMIF('RU Summary Q4 2019'!$B$5:$B$34,A17,'RU Summary Q4 2019'!$W$5:$W$34)</f>
        <v>243119.51794879528</v>
      </c>
      <c r="E17" s="73">
        <f>'RU Summary Q1 2019'!V13</f>
        <v>35479.438760156489</v>
      </c>
      <c r="F17" s="1262">
        <f t="shared" si="6"/>
        <v>275112.80646136613</v>
      </c>
      <c r="G17" s="73"/>
      <c r="H17" s="73">
        <f>SUMIF('RU Summary Q1 2020'!$B$5:$B$34,B17,'RU Summary Q1 2020'!$W$5:$W$34)</f>
        <v>0</v>
      </c>
      <c r="I17" s="73">
        <f>SUMIF('RU Summary Q4 2019'!$B$5:$B$34,A17,'RU Summary Q4 2019'!$X$5:$X$34)</f>
        <v>0</v>
      </c>
      <c r="J17" s="73"/>
      <c r="K17" s="1262">
        <f t="shared" si="7"/>
        <v>0</v>
      </c>
      <c r="L17" s="221"/>
      <c r="M17" s="73">
        <f>(($I17-$J17)*'Corporate Costs Summary'!$E19)+($H17*'Corporate Costs Summary'!$E19)</f>
        <v>0</v>
      </c>
      <c r="N17" s="73">
        <f ca="1">(($I17-$J17)*'Corporate Costs Summary'!$K19)+($H17*'Corporate Costs Summary'!$L19)</f>
        <v>0</v>
      </c>
      <c r="O17" s="73">
        <f ca="1">(($I17-$J17)*'Corporate Costs Summary'!$P19)+($H17*'Corporate Costs Summary'!$Q19)</f>
        <v>0</v>
      </c>
      <c r="P17" s="73">
        <f t="shared" ca="1" si="8"/>
        <v>0</v>
      </c>
      <c r="Q17" s="1262">
        <f t="shared" ca="1" si="9"/>
        <v>0</v>
      </c>
      <c r="R17" s="353">
        <f t="shared" ca="1" si="10"/>
        <v>0</v>
      </c>
      <c r="T17" s="1271">
        <f t="shared" si="0"/>
        <v>275112.80646136613</v>
      </c>
      <c r="W17" s="73">
        <f ca="1">SUMIF('Allocation $'!$B$6:$B$62,B17,'Allocation $'!$I$6:$I$62)</f>
        <v>1349.4545454545453</v>
      </c>
      <c r="X17" s="73">
        <f>SUMIF('Cost Allocation - Tier 1'!$BU$5:$BU$32,A17,'Cost Allocation - Tier 1'!$H$5:$H$32)</f>
        <v>4862.3862891252084</v>
      </c>
      <c r="Y17" s="73">
        <f>SUMIF('Cost Allocation - Tier 1 (2)'!$BU$3:$BU$32,A17,'Cost Allocation - Tier 1 (2)'!$H$3:$H$32)</f>
        <v>709.58471260908823</v>
      </c>
      <c r="Z17" s="1272">
        <f t="shared" ca="1" si="11"/>
        <v>5502.2561219706649</v>
      </c>
      <c r="AB17" s="73">
        <f ca="1">SUMIF('Allocation $'!$B$6:$B$62,B17,'Allocation $'!$BJ$6:$BJ$62)</f>
        <v>24196.648085118832</v>
      </c>
      <c r="AC17" s="73">
        <f>SUMIF('Cost Allocation - Tier 1'!$BU$5:$BU$32,A17,'Cost Allocation - Tier 1'!$I$5:$I$32)</f>
        <v>90739.792463328675</v>
      </c>
      <c r="AD17" s="73">
        <f>SUMIF('Cost Allocation - Tier 1 (2)'!$BU$5:$BU$32,A17,'Cost Allocation - Tier 1 (2)'!$I$5:$I$32)</f>
        <v>13240.580358557621</v>
      </c>
      <c r="AE17" s="1267">
        <f t="shared" ca="1" si="12"/>
        <v>101695.86018988989</v>
      </c>
      <c r="AG17" s="73">
        <f ca="1">SUMIF('Allocation $'!$B$6:$B$62,B17,'Allocation $'!$BA$6:$BA$62)</f>
        <v>6927.74221685661</v>
      </c>
      <c r="AH17" s="73">
        <f>SUMIF('Cost Allocation - Tier 1'!$BU$5:$BU$32,A17,'Cost Allocation - Tier 1'!$BK$5:$BK$32)</f>
        <v>23570.296588172434</v>
      </c>
      <c r="AI17" s="73">
        <f>SUMIF('Cost Allocation - Tier 1 (2)'!$BU$5:$BU$32,A17,'Cost Allocation - Tier 1 (2)'!$BK$5:$BK$32)</f>
        <v>3439.8887801612391</v>
      </c>
      <c r="AJ17" s="1267">
        <f t="shared" ca="1" si="1"/>
        <v>27058.150024867802</v>
      </c>
      <c r="AL17" s="73">
        <f ca="1">SUMIF('Allocation $'!$B$6:$B$62,B17,'Allocation $'!$AZ$6:$AZ$62)</f>
        <v>34998.882425297277</v>
      </c>
      <c r="AM17" s="73">
        <f>SUMIF('Cost Allocation - Tier 1'!$BU$5:$BU$32,A17,'Cost Allocation - Tier 1'!BV$5:$BV$32)</f>
        <v>123946.83911563409</v>
      </c>
      <c r="AN17" s="73">
        <f>SUMIF('Cost Allocation - Tier 1 (2)'!$BU$5:$BU$32,A17,'Cost Allocation - Tier 1 (2)'!$BV$5:$BV$32)</f>
        <v>18089.181779126466</v>
      </c>
      <c r="AO17" s="1267">
        <f t="shared" ca="1" si="2"/>
        <v>140856.53976180492</v>
      </c>
      <c r="AP17" s="236">
        <f ca="1">AO17-'Corporate Costs Summary'!U19</f>
        <v>-3.5557616502046585E-4</v>
      </c>
      <c r="AR17" s="221">
        <f t="shared" ca="1" si="3"/>
        <v>67472.727272727265</v>
      </c>
      <c r="AS17" s="221">
        <f t="shared" si="4"/>
        <v>243119.31445626041</v>
      </c>
      <c r="AT17" s="221">
        <f t="shared" si="5"/>
        <v>35479.235630454416</v>
      </c>
    </row>
    <row r="18" spans="1:46" x14ac:dyDescent="0.25">
      <c r="A18" s="423" t="s">
        <v>1053</v>
      </c>
      <c r="B18" s="423" t="s">
        <v>228</v>
      </c>
      <c r="C18" s="73">
        <f>SUMIF('RU Summary Q1 2020'!$B$5:$B$34,B18,'RU Summary Q1 2020'!$U$5:$U$34)</f>
        <v>36446.183603630408</v>
      </c>
      <c r="D18" s="73">
        <f>'RU Summary Q4 2019'!W14</f>
        <v>95793.326952209405</v>
      </c>
      <c r="E18" s="73">
        <f>'RU Summary Q1 2019'!V14</f>
        <v>14602.324706590431</v>
      </c>
      <c r="F18" s="1262">
        <f t="shared" si="6"/>
        <v>117637.18584924938</v>
      </c>
      <c r="G18" s="73"/>
      <c r="H18" s="73">
        <f>SUMIF('RU Summary Q1 2020'!$B$5:$B$34,B18,'RU Summary Q1 2020'!$W$5:$W$34)</f>
        <v>0</v>
      </c>
      <c r="I18" s="73">
        <f>'RU Summary Q4 2019'!X14</f>
        <v>-1086.1451730817059</v>
      </c>
      <c r="J18" s="73"/>
      <c r="K18" s="1262">
        <f t="shared" si="7"/>
        <v>-1086.1451730817059</v>
      </c>
      <c r="L18" s="221"/>
      <c r="M18" s="73">
        <f>(($I18-$J18)*'Corporate Costs Summary'!$E20)+($H18*'Corporate Costs Summary'!$E20)</f>
        <v>0</v>
      </c>
      <c r="N18" s="73">
        <f ca="1">(($I18-$J18)*'Corporate Costs Summary'!$K20)+($H18*'Corporate Costs Summary'!$L20)</f>
        <v>-413.65675428058751</v>
      </c>
      <c r="O18" s="73">
        <f ca="1">(($I18-$J18)*'Corporate Costs Summary'!$P20)+($H18*'Corporate Costs Summary'!$Q20)</f>
        <v>-107.45023896803107</v>
      </c>
      <c r="P18" s="73">
        <f t="shared" ca="1" si="8"/>
        <v>-565.03817983308738</v>
      </c>
      <c r="Q18" s="1262">
        <f t="shared" ca="1" si="9"/>
        <v>-1086.1451730817059</v>
      </c>
      <c r="R18" s="353">
        <f t="shared" ca="1" si="10"/>
        <v>0</v>
      </c>
      <c r="T18" s="1271">
        <f t="shared" si="0"/>
        <v>116551.04067616767</v>
      </c>
      <c r="W18" s="73">
        <f ca="1">SUMIF('Allocation $'!$B$6:$B$62,B18,'Allocation $'!$I$6:$I$62)</f>
        <v>0</v>
      </c>
      <c r="X18" s="73">
        <f>SUMIF('Cost Allocation - Tier 1'!$BU$5:$BU$32,A18,'Cost Allocation - Tier 1'!$H$5:$H$32)</f>
        <v>0</v>
      </c>
      <c r="Y18" s="73">
        <f>SUMIF('Cost Allocation - Tier 1 (2)'!$BU$3:$BU$32,A18,'Cost Allocation - Tier 1 (2)'!$H$3:$H$32)</f>
        <v>0</v>
      </c>
      <c r="Z18" s="1272">
        <f t="shared" ca="1" si="11"/>
        <v>0</v>
      </c>
      <c r="AB18" s="73">
        <f ca="1">SUMIF('Allocation $'!$B$6:$B$62,B18,'Allocation $'!$BJ$6:$BJ$62)</f>
        <v>13336.83954724977</v>
      </c>
      <c r="AC18" s="73">
        <f>SUMIF('Cost Allocation - Tier 1'!$BU$5:$BU$32,A18,'Cost Allocation - Tier 1'!$I$5:$I$32)</f>
        <v>36482.612342964851</v>
      </c>
      <c r="AD18" s="73">
        <f>SUMIF('Cost Allocation - Tier 1 (2)'!$BU$5:$BU$32,A18,'Cost Allocation - Tier 1 (2)'!$I$5:$I$32)</f>
        <v>5560.5726389631272</v>
      </c>
      <c r="AE18" s="1267">
        <f t="shared" ca="1" si="12"/>
        <v>44258.879251251492</v>
      </c>
      <c r="AG18" s="73">
        <f ca="1">SUMIF('Allocation $'!$B$6:$B$62,B18,'Allocation $'!$BA$6:$BA$62)</f>
        <v>3818.470477642245</v>
      </c>
      <c r="AH18" s="73">
        <f>SUMIF('Cost Allocation - Tier 1'!$BU$5:$BU$32,A18,'Cost Allocation - Tier 1'!$BK$5:$BK$32)</f>
        <v>9476.6140619345369</v>
      </c>
      <c r="AI18" s="73">
        <f>SUMIF('Cost Allocation - Tier 1 (2)'!$BU$5:$BU$32,A18,'Cost Allocation - Tier 1 (2)'!$BK$5:$BK$32)</f>
        <v>1444.6308933639932</v>
      </c>
      <c r="AJ18" s="1267">
        <f t="shared" ca="1" si="1"/>
        <v>11850.453646212789</v>
      </c>
      <c r="AL18" s="73">
        <f ca="1">SUMIF('Allocation $'!$B$6:$B$62,B18,'Allocation $'!$AZ$6:$AZ$62)</f>
        <v>19290.873578738385</v>
      </c>
      <c r="AM18" s="73">
        <f>SUMIF('Cost Allocation - Tier 1'!$BU$5:$BU$32,A18,'Cost Allocation - Tier 1'!BV$5:$BV$32)</f>
        <v>49833.753856324736</v>
      </c>
      <c r="AN18" s="73">
        <f>SUMIF('Cost Allocation - Tier 1 (2)'!$BU$5:$BU$32,A18,'Cost Allocation - Tier 1 (2)'!$BV$5:$BV$32)</f>
        <v>7596.8127180490492</v>
      </c>
      <c r="AO18" s="1267">
        <f t="shared" ca="1" si="2"/>
        <v>61527.81471701408</v>
      </c>
      <c r="AP18" s="236">
        <f ca="1">AO18-'Corporate Costs Summary'!U20</f>
        <v>-3.8234771018323954E-2</v>
      </c>
      <c r="AR18" s="221">
        <f t="shared" ca="1" si="3"/>
        <v>36446.183603630401</v>
      </c>
      <c r="AS18" s="221">
        <f t="shared" si="4"/>
        <v>95792.980261224118</v>
      </c>
      <c r="AT18" s="221">
        <f t="shared" si="5"/>
        <v>14602.016250376169</v>
      </c>
    </row>
    <row r="19" spans="1:46" x14ac:dyDescent="0.25">
      <c r="A19" s="423" t="s">
        <v>1054</v>
      </c>
      <c r="B19" s="423" t="s">
        <v>239</v>
      </c>
      <c r="C19" s="73">
        <f>SUMIF('RU Summary Q1 2020'!$B$5:$B$34,B19,'RU Summary Q1 2020'!$U$5:$U$34)</f>
        <v>59712.229999999996</v>
      </c>
      <c r="D19" s="73">
        <f>'RU Summary Q4 2019'!W33</f>
        <v>206160.63999999996</v>
      </c>
      <c r="E19" s="73">
        <f>'RU Summary Q1 2019'!V37</f>
        <v>74027.789999999994</v>
      </c>
      <c r="F19" s="1262">
        <f t="shared" si="6"/>
        <v>191845.07999999996</v>
      </c>
      <c r="G19" s="73"/>
      <c r="H19" s="73">
        <f>SUMIF('RU Summary Q1 2020'!$B$5:$B$34,B19,'RU Summary Q1 2020'!$W$5:$W$34)</f>
        <v>0</v>
      </c>
      <c r="I19" s="73">
        <f>SUMIF('RU Summary Q4 2019'!$B$5:$B$34,A19,'RU Summary Q4 2019'!$X$5:$X$34)</f>
        <v>0</v>
      </c>
      <c r="J19" s="73"/>
      <c r="K19" s="1262">
        <f t="shared" si="7"/>
        <v>0</v>
      </c>
      <c r="L19" s="221"/>
      <c r="M19" s="73">
        <f>(($I19-$J19)*'Corporate Costs Summary'!$E21)+($H19*'Corporate Costs Summary'!$E21)</f>
        <v>0</v>
      </c>
      <c r="N19" s="73">
        <f ca="1">(($I19-$J19)*'Corporate Costs Summary'!$K21)+($H19*'Corporate Costs Summary'!$L21)</f>
        <v>0</v>
      </c>
      <c r="O19" s="73">
        <f ca="1">(($I19-$J19)*'Corporate Costs Summary'!$P21)+($H19*'Corporate Costs Summary'!$Q21)</f>
        <v>0</v>
      </c>
      <c r="P19" s="73">
        <f t="shared" ca="1" si="8"/>
        <v>0</v>
      </c>
      <c r="Q19" s="1262">
        <f t="shared" ca="1" si="9"/>
        <v>0</v>
      </c>
      <c r="R19" s="353">
        <f t="shared" ca="1" si="10"/>
        <v>0</v>
      </c>
      <c r="T19" s="1271">
        <f t="shared" si="0"/>
        <v>191845.07999999996</v>
      </c>
      <c r="W19" s="73">
        <f ca="1">SUMIF('Allocation $'!$B$6:$B$62,B19,'Allocation $'!$I$6:$I$62)</f>
        <v>0</v>
      </c>
      <c r="X19" s="73">
        <f>SUMIF('Cost Allocation - Tier 1'!$BU$5:$BU$32,A19,'Cost Allocation - Tier 1'!$H$5:$H$32)</f>
        <v>0</v>
      </c>
      <c r="Y19" s="73">
        <f>SUMIF('Cost Allocation - Tier 1 (2)'!$BU$3:$BU$32,A19,'Cost Allocation - Tier 1 (2)'!$H$3:$H$32)</f>
        <v>0</v>
      </c>
      <c r="Z19" s="1272">
        <f t="shared" ca="1" si="11"/>
        <v>0</v>
      </c>
      <c r="AB19" s="73">
        <f ca="1">SUMIF('Allocation $'!$B$6:$B$62,B19,'Allocation $'!$BJ$6:$BJ$62)</f>
        <v>21850.639814017384</v>
      </c>
      <c r="AC19" s="73">
        <f>SUMIF('Cost Allocation - Tier 1'!$BU$5:$BU$32,A19,'Cost Allocation - Tier 1'!$I$5:$I$32)</f>
        <v>78516.106532312464</v>
      </c>
      <c r="AD19" s="73">
        <f>SUMIF('Cost Allocation - Tier 1 (2)'!$BU$5:$BU$32,A19,'Cost Allocation - Tier 1 (2)'!$I$5:$I$32)</f>
        <v>28190.49535755434</v>
      </c>
      <c r="AE19" s="1267">
        <f t="shared" ca="1" si="12"/>
        <v>72176.250988775515</v>
      </c>
      <c r="AG19" s="73">
        <f ca="1">SUMIF('Allocation $'!$B$6:$B$62,B19,'Allocation $'!$BA$6:$BA$62)</f>
        <v>6256.0565981035006</v>
      </c>
      <c r="AH19" s="73">
        <f>SUMIF('Cost Allocation - Tier 1'!$BU$5:$BU$32,A19,'Cost Allocation - Tier 1'!$BK$5:$BK$32)</f>
        <v>20395.108559048811</v>
      </c>
      <c r="AI19" s="73">
        <f>SUMIF('Cost Allocation - Tier 1 (2)'!$BU$5:$BU$32,A19,'Cost Allocation - Tier 1 (2)'!$BK$5:$BK$32)</f>
        <v>7323.8608929225566</v>
      </c>
      <c r="AJ19" s="1267">
        <f t="shared" ca="1" si="1"/>
        <v>19327.304264229755</v>
      </c>
      <c r="AL19" s="73">
        <f ca="1">SUMIF('Allocation $'!$B$6:$B$62,B19,'Allocation $'!$AZ$6:$AZ$62)</f>
        <v>31605.533587879108</v>
      </c>
      <c r="AM19" s="73">
        <f>SUMIF('Cost Allocation - Tier 1'!$BU$5:$BU$32,A19,'Cost Allocation - Tier 1'!BV$5:$BV$32)</f>
        <v>107249.78490863876</v>
      </c>
      <c r="AN19" s="73">
        <f>SUMIF('Cost Allocation - Tier 1 (2)'!$BU$5:$BU$32,A19,'Cost Allocation - Tier 1 (2)'!$BV$5:$BV$32)</f>
        <v>38513.643749523115</v>
      </c>
      <c r="AO19" s="1267">
        <f t="shared" ca="1" si="2"/>
        <v>100341.67474699474</v>
      </c>
      <c r="AP19" s="236">
        <f ca="1">AO19-'Corporate Costs Summary'!U21</f>
        <v>0.15000000005238689</v>
      </c>
      <c r="AR19" s="221">
        <f t="shared" ca="1" si="3"/>
        <v>59712.229999999996</v>
      </c>
      <c r="AS19" s="221">
        <f t="shared" si="4"/>
        <v>206161.00000000003</v>
      </c>
      <c r="AT19" s="221">
        <f t="shared" si="5"/>
        <v>74028.000000000015</v>
      </c>
    </row>
    <row r="20" spans="1:46" x14ac:dyDescent="0.25">
      <c r="A20" s="423" t="s">
        <v>480</v>
      </c>
      <c r="B20" s="423" t="s">
        <v>219</v>
      </c>
      <c r="C20" s="73">
        <f>SUMIF('RU Summary Q1 2020'!$B$5:$B$34,B20,'RU Summary Q1 2020'!$U$5:$U$34)</f>
        <v>7.4393691414968008E-3</v>
      </c>
      <c r="D20" s="73">
        <f>SUMIF('RU Summary Q4 2019'!$B$5:$B$34,A20,'RU Summary Q4 2019'!$W$5:$W$34)</f>
        <v>554591.56033553672</v>
      </c>
      <c r="E20" s="73">
        <f>'RU Summary Q1 2019'!V15</f>
        <v>33170.704182967202</v>
      </c>
      <c r="F20" s="1262">
        <f t="shared" si="6"/>
        <v>521420.86359193863</v>
      </c>
      <c r="G20" s="73"/>
      <c r="H20" s="73">
        <f>SUMIF('RU Summary Q1 2020'!$B$5:$B$34,B20,'RU Summary Q1 2020'!$W$5:$W$34)</f>
        <v>0</v>
      </c>
      <c r="I20" s="73">
        <f>SUMIF('RU Summary Q4 2019'!$B$5:$B$34,A20,'RU Summary Q4 2019'!$X$5:$X$34)</f>
        <v>-554591.56033553672</v>
      </c>
      <c r="J20" s="73">
        <f>'RU Summary Q1 2019'!W15</f>
        <v>-33170.704182967202</v>
      </c>
      <c r="K20" s="1262">
        <f t="shared" si="7"/>
        <v>-521420.85615256953</v>
      </c>
      <c r="L20" s="221"/>
      <c r="M20" s="73">
        <f>(($I20-$J20)*'Corporate Costs Summary'!$E22)+($H20*'Corporate Costs Summary'!$E22)</f>
        <v>0</v>
      </c>
      <c r="N20" s="73">
        <f ca="1">(($I20-$J20)*'Corporate Costs Summary'!$K22)+($H20*'Corporate Costs Summary'!$L22)</f>
        <v>-198582.34821253645</v>
      </c>
      <c r="O20" s="73">
        <f ca="1">(($I20-$J20)*'Corporate Costs Summary'!$P22)+($H20*'Corporate Costs Summary'!$Q22)</f>
        <v>-51583.155718995498</v>
      </c>
      <c r="P20" s="73">
        <f t="shared" ca="1" si="8"/>
        <v>-271255.35222103761</v>
      </c>
      <c r="Q20" s="1262">
        <f t="shared" ca="1" si="9"/>
        <v>-521420.85615256953</v>
      </c>
      <c r="R20" s="353">
        <f t="shared" ca="1" si="10"/>
        <v>0</v>
      </c>
      <c r="T20" s="1271">
        <f t="shared" si="0"/>
        <v>7.4393691029399633E-3</v>
      </c>
      <c r="W20" s="73">
        <f ca="1">SUMIF('Allocation $'!$B$6:$B$62,B20,'Allocation $'!$I$6:$I$62)</f>
        <v>0</v>
      </c>
      <c r="X20" s="73">
        <f>SUMIF('Cost Allocation - Tier 1'!$BU$5:$BU$32,A20,'Cost Allocation - Tier 1'!$H$5:$H$32)</f>
        <v>0</v>
      </c>
      <c r="Y20" s="73">
        <f>SUMIF('Cost Allocation - Tier 1 (2)'!$BU$3:$BU$32,A20,'Cost Allocation - Tier 1 (2)'!$H$3:$H$32)</f>
        <v>0</v>
      </c>
      <c r="Z20" s="1272">
        <f t="shared" ca="1" si="11"/>
        <v>0</v>
      </c>
      <c r="AB20" s="73">
        <f ca="1">SUMIF('Allocation $'!$B$6:$B$62,B20,'Allocation $'!$BJ$6:$BJ$62)</f>
        <v>2.7223062269548857E-3</v>
      </c>
      <c r="AC20" s="73">
        <f>SUMIF('Cost Allocation - Tier 1'!$BU$5:$BU$32,A20,'Cost Allocation - Tier 1'!$I$5:$I$32)</f>
        <v>211215.44134159718</v>
      </c>
      <c r="AD20" s="73">
        <f>SUMIF('Cost Allocation - Tier 1 (2)'!$BU$5:$BU$32,A20,'Cost Allocation - Tier 1 (2)'!$I$5:$I$32)</f>
        <v>12631.831017802218</v>
      </c>
      <c r="AE20" s="1267">
        <f t="shared" ca="1" si="12"/>
        <v>198583.61304610121</v>
      </c>
      <c r="AG20" s="73">
        <f ca="1">SUMIF('Allocation $'!$B$6:$B$62,B20,'Allocation $'!$BA$6:$BA$62)</f>
        <v>7.7942348499442473E-4</v>
      </c>
      <c r="AH20" s="73">
        <f>SUMIF('Cost Allocation - Tier 1'!$BU$5:$BU$32,A20,'Cost Allocation - Tier 1'!$BK$5:$BK$32)</f>
        <v>54864.690135093086</v>
      </c>
      <c r="AI20" s="73">
        <f>SUMIF('Cost Allocation - Tier 1 (2)'!$BU$5:$BU$32,A20,'Cost Allocation - Tier 1 (2)'!$BK$5:$BK$32)</f>
        <v>3281.7363449591335</v>
      </c>
      <c r="AJ20" s="1267">
        <f t="shared" ca="1" si="1"/>
        <v>51582.954569557434</v>
      </c>
      <c r="AL20" s="73">
        <f ca="1">SUMIF('Allocation $'!$B$6:$B$62,B20,'Allocation $'!$AZ$6:$AZ$62)</f>
        <v>3.9376394295474902E-3</v>
      </c>
      <c r="AM20" s="73">
        <f>SUMIF('Cost Allocation - Tier 1'!$BU$5:$BU$32,A20,'Cost Allocation - Tier 1'!BV$5:$BV$32)</f>
        <v>288511.63988814177</v>
      </c>
      <c r="AN20" s="73">
        <f>SUMIF('Cost Allocation - Tier 1 (2)'!$BU$5:$BU$32,A20,'Cost Allocation - Tier 1 (2)'!$BV$5:$BV$32)</f>
        <v>17257.512986320809</v>
      </c>
      <c r="AO20" s="1267">
        <f t="shared" ca="1" si="2"/>
        <v>271254.13083946035</v>
      </c>
      <c r="AP20" s="236">
        <f ca="1">AO20-'Corporate Costs Summary'!U22</f>
        <v>-0.16513681964715943</v>
      </c>
      <c r="AR20" s="221">
        <f t="shared" ca="1" si="3"/>
        <v>7.4393691414968008E-3</v>
      </c>
      <c r="AS20" s="221">
        <f t="shared" si="4"/>
        <v>554591.77136483206</v>
      </c>
      <c r="AT20" s="221">
        <f t="shared" si="5"/>
        <v>33171.080349082164</v>
      </c>
    </row>
    <row r="21" spans="1:46" x14ac:dyDescent="0.25">
      <c r="A21" s="423" t="s">
        <v>1128</v>
      </c>
      <c r="B21" s="423" t="s">
        <v>284</v>
      </c>
      <c r="C21" s="73">
        <f>SUMIF('RU Summary Q1 2020'!$B$5:$B$34,B21,'RU Summary Q1 2020'!$U$5:$U$34)</f>
        <v>153083.41764618357</v>
      </c>
      <c r="D21" s="73">
        <f>SUMIF('RU Summary Q4 2019'!$B$5:$B$34,A21,'RU Summary Q4 2019'!$W$5:$W$34)</f>
        <v>0</v>
      </c>
      <c r="E21" s="73"/>
      <c r="F21" s="1262">
        <f t="shared" si="6"/>
        <v>153083.41764618357</v>
      </c>
      <c r="G21" s="73"/>
      <c r="H21" s="73">
        <f>SUMIF('RU Summary Q1 2020'!$B$5:$B$34,B21,'RU Summary Q1 2020'!$W$5:$W$34)</f>
        <v>0</v>
      </c>
      <c r="I21" s="73">
        <f>SUMIF('RU Summary Q4 2019'!$B$5:$B$34,A21,'RU Summary Q4 2019'!$X$5:$X$34)</f>
        <v>0</v>
      </c>
      <c r="J21" s="73"/>
      <c r="K21" s="1262">
        <f t="shared" si="7"/>
        <v>0</v>
      </c>
      <c r="L21" s="221"/>
      <c r="M21" s="73">
        <f>(($I21-$J21)*'Corporate Costs Summary'!$E23)+($H21*'Corporate Costs Summary'!$E23)</f>
        <v>0</v>
      </c>
      <c r="N21" s="73">
        <f ca="1">(($I21-$J21)*'Corporate Costs Summary'!$K23)+($H21*'Corporate Costs Summary'!$L23)</f>
        <v>0</v>
      </c>
      <c r="O21" s="73">
        <f ca="1">(($I21-$J21)*'Corporate Costs Summary'!$P23)+($H21*'Corporate Costs Summary'!$Q23)</f>
        <v>0</v>
      </c>
      <c r="P21" s="73">
        <f t="shared" ca="1" si="8"/>
        <v>0</v>
      </c>
      <c r="Q21" s="1262">
        <f t="shared" ca="1" si="9"/>
        <v>0</v>
      </c>
      <c r="R21" s="353">
        <f t="shared" ca="1" si="10"/>
        <v>0</v>
      </c>
      <c r="T21" s="1271">
        <f t="shared" si="0"/>
        <v>153083.41764618357</v>
      </c>
      <c r="W21" s="73">
        <f ca="1">SUMIF('Allocation $'!$B$6:$B$62,B21,'Allocation $'!$I$6:$I$62)</f>
        <v>0</v>
      </c>
      <c r="X21" s="73">
        <f>SUMIF('Cost Allocation - Tier 1'!$BU$5:$BU$32,A21,'Cost Allocation - Tier 1'!$H$5:$H$32)</f>
        <v>0</v>
      </c>
      <c r="Y21" s="73">
        <f>SUMIF('Cost Allocation - Tier 1 (2)'!$BU$3:$BU$32,A21,'Cost Allocation - Tier 1 (2)'!$H$3:$H$32)</f>
        <v>0</v>
      </c>
      <c r="Z21" s="1272">
        <f t="shared" ca="1" si="11"/>
        <v>0</v>
      </c>
      <c r="AB21" s="73">
        <f ca="1">SUMIF('Allocation $'!$B$6:$B$62,B21,'Allocation $'!$BJ$6:$BJ$62)</f>
        <v>56018.182882896028</v>
      </c>
      <c r="AC21" s="73">
        <f>SUMIF('Cost Allocation - Tier 1'!$BU$5:$BU$32,A21,'Cost Allocation - Tier 1'!$I$5:$I$32)</f>
        <v>0</v>
      </c>
      <c r="AD21" s="73">
        <f>SUMIF('Cost Allocation - Tier 1 (2)'!$BU$5:$BU$32,A21,'Cost Allocation - Tier 1 (2)'!$I$5:$I$32)</f>
        <v>0</v>
      </c>
      <c r="AE21" s="1267">
        <f t="shared" ca="1" si="12"/>
        <v>56018.182882896028</v>
      </c>
      <c r="AG21" s="73">
        <f ca="1">SUMIF('Allocation $'!$B$6:$B$62,B21,'Allocation $'!$BA$6:$BA$62)</f>
        <v>16038.565718038681</v>
      </c>
      <c r="AH21" s="73">
        <f>SUMIF('Cost Allocation - Tier 1'!$BU$5:$BU$32,A21,'Cost Allocation - Tier 1'!$BK$5:$BK$32)</f>
        <v>0</v>
      </c>
      <c r="AI21" s="73">
        <f>SUMIF('Cost Allocation - Tier 1 (2)'!$BU$5:$BU$32,A21,'Cost Allocation - Tier 1 (2)'!$BK$5:$BK$32)</f>
        <v>0</v>
      </c>
      <c r="AJ21" s="1267">
        <f t="shared" ca="1" si="1"/>
        <v>16038.565718038681</v>
      </c>
      <c r="AL21" s="73">
        <f ca="1">SUMIF('Allocation $'!$B$6:$B$62,B21,'Allocation $'!$AZ$6:$AZ$62)</f>
        <v>81026.669045248884</v>
      </c>
      <c r="AM21" s="73">
        <f>SUMIF('Cost Allocation - Tier 1'!$BU$5:$BU$32,A21,'Cost Allocation - Tier 1'!BV$5:$BV$32)</f>
        <v>0</v>
      </c>
      <c r="AN21" s="73">
        <f>SUMIF('Cost Allocation - Tier 1 (2)'!$BU$5:$BU$32,A21,'Cost Allocation - Tier 1 (2)'!$BV$5:$BV$32)</f>
        <v>0</v>
      </c>
      <c r="AO21" s="1267">
        <f t="shared" ca="1" si="2"/>
        <v>81026.669045248884</v>
      </c>
      <c r="AP21" s="236">
        <f ca="1">AO21-'Corporate Costs Summary'!U23</f>
        <v>0</v>
      </c>
      <c r="AR21" s="221">
        <f t="shared" ca="1" si="3"/>
        <v>153083.41764618357</v>
      </c>
      <c r="AS21" s="221">
        <f t="shared" si="4"/>
        <v>0</v>
      </c>
      <c r="AT21" s="221">
        <f t="shared" si="5"/>
        <v>0</v>
      </c>
    </row>
    <row r="22" spans="1:46" x14ac:dyDescent="0.25">
      <c r="A22" s="423" t="s">
        <v>1127</v>
      </c>
      <c r="B22" s="423" t="s">
        <v>229</v>
      </c>
      <c r="C22" s="73">
        <f>SUMIF('RU Summary Q1 2020'!$B$5:$B$34,B22,'RU Summary Q1 2020'!$U$5:$U$34)</f>
        <v>31168.494271685755</v>
      </c>
      <c r="D22" s="73">
        <f>SUMIF('RU Summary Q4 2019'!$B$5:$B$34,A22,'RU Summary Q4 2019'!$W$5:$W$34)</f>
        <v>0</v>
      </c>
      <c r="E22" s="73"/>
      <c r="F22" s="1262">
        <f t="shared" si="6"/>
        <v>31168.494271685755</v>
      </c>
      <c r="G22" s="73"/>
      <c r="H22" s="73">
        <f>SUMIF('RU Summary Q1 2020'!$B$5:$B$34,B22,'RU Summary Q1 2020'!$W$5:$W$34)</f>
        <v>0</v>
      </c>
      <c r="I22" s="73">
        <f>SUMIF('RU Summary Q4 2019'!$B$5:$B$34,A22,'RU Summary Q4 2019'!$X$5:$X$34)</f>
        <v>0</v>
      </c>
      <c r="J22" s="73"/>
      <c r="K22" s="1262">
        <f t="shared" si="7"/>
        <v>0</v>
      </c>
      <c r="L22" s="221"/>
      <c r="M22" s="73">
        <f>(($I22-$J22)*'Corporate Costs Summary'!$E24)+($H22*'Corporate Costs Summary'!$E24)</f>
        <v>0</v>
      </c>
      <c r="N22" s="73">
        <f ca="1">(($I22-$J22)*'Corporate Costs Summary'!$K24)+($H22*'Corporate Costs Summary'!$L24)</f>
        <v>0</v>
      </c>
      <c r="O22" s="73">
        <f ca="1">(($I22-$J22)*'Corporate Costs Summary'!$P24)+($H22*'Corporate Costs Summary'!$Q24)</f>
        <v>0</v>
      </c>
      <c r="P22" s="73">
        <f t="shared" ca="1" si="8"/>
        <v>0</v>
      </c>
      <c r="Q22" s="1262">
        <f t="shared" ca="1" si="9"/>
        <v>0</v>
      </c>
      <c r="R22" s="353">
        <f t="shared" ca="1" si="10"/>
        <v>0</v>
      </c>
      <c r="T22" s="1271">
        <f t="shared" si="0"/>
        <v>31168.494271685755</v>
      </c>
      <c r="W22" s="73">
        <f ca="1">SUMIF('Allocation $'!$B$6:$B$62,B22,'Allocation $'!$I$6:$I$62)</f>
        <v>623.36988543371524</v>
      </c>
      <c r="X22" s="73">
        <f>SUMIF('Cost Allocation - Tier 1'!$BU$5:$BU$32,A22,'Cost Allocation - Tier 1'!$H$5:$H$32)</f>
        <v>0</v>
      </c>
      <c r="Y22" s="73">
        <f>SUMIF('Cost Allocation - Tier 1 (2)'!$BU$3:$BU$32,A22,'Cost Allocation - Tier 1 (2)'!$H$3:$H$32)</f>
        <v>0</v>
      </c>
      <c r="Z22" s="1272">
        <f t="shared" ca="1" si="11"/>
        <v>623.36988543371524</v>
      </c>
      <c r="AB22" s="73">
        <f ca="1">SUMIF('Allocation $'!$B$6:$B$62,B22,'Allocation $'!$BJ$6:$BJ$62)</f>
        <v>11177.450767428254</v>
      </c>
      <c r="AC22" s="73">
        <f>SUMIF('Cost Allocation - Tier 1'!$BU$5:$BU$32,A22,'Cost Allocation - Tier 1'!$I$5:$I$32)</f>
        <v>0</v>
      </c>
      <c r="AD22" s="73">
        <f>SUMIF('Cost Allocation - Tier 1 (2)'!$BU$5:$BU$32,A22,'Cost Allocation - Tier 1 (2)'!$I$5:$I$32)</f>
        <v>0</v>
      </c>
      <c r="AE22" s="1267">
        <f t="shared" ca="1" si="12"/>
        <v>11177.450767428254</v>
      </c>
      <c r="AG22" s="73">
        <f ca="1">SUMIF('Allocation $'!$B$6:$B$62,B22,'Allocation $'!$BA$6:$BA$62)</f>
        <v>3200.2158846940447</v>
      </c>
      <c r="AH22" s="73">
        <f>SUMIF('Cost Allocation - Tier 1'!$BU$5:$BU$32,A22,'Cost Allocation - Tier 1'!$BK$5:$BK$32)</f>
        <v>0</v>
      </c>
      <c r="AI22" s="73">
        <f>SUMIF('Cost Allocation - Tier 1 (2)'!$BU$5:$BU$32,A22,'Cost Allocation - Tier 1 (2)'!$BK$5:$BK$32)</f>
        <v>0</v>
      </c>
      <c r="AJ22" s="1267">
        <f t="shared" ca="1" si="1"/>
        <v>3200.2158846940447</v>
      </c>
      <c r="AL22" s="73">
        <f ca="1">SUMIF('Allocation $'!$B$6:$B$62,B22,'Allocation $'!$AZ$6:$AZ$62)</f>
        <v>16167.457734129748</v>
      </c>
      <c r="AM22" s="73">
        <f>SUMIF('Cost Allocation - Tier 1'!$BU$5:$BU$32,A22,'Cost Allocation - Tier 1'!BV$5:$BV$32)</f>
        <v>0</v>
      </c>
      <c r="AN22" s="73">
        <f>SUMIF('Cost Allocation - Tier 1 (2)'!$BU$5:$BU$32,A22,'Cost Allocation - Tier 1 (2)'!$BV$5:$BV$32)</f>
        <v>0</v>
      </c>
      <c r="AO22" s="1267">
        <f t="shared" ca="1" si="2"/>
        <v>16167.457734129748</v>
      </c>
      <c r="AP22" s="236">
        <f ca="1">AO22-'Corporate Costs Summary'!U24</f>
        <v>0</v>
      </c>
      <c r="AR22" s="221">
        <f t="shared" ca="1" si="3"/>
        <v>31168.494271685762</v>
      </c>
      <c r="AS22" s="221">
        <f t="shared" si="4"/>
        <v>0</v>
      </c>
      <c r="AT22" s="221">
        <f t="shared" si="5"/>
        <v>0</v>
      </c>
    </row>
    <row r="23" spans="1:46" x14ac:dyDescent="0.25">
      <c r="A23" s="423" t="s">
        <v>1130</v>
      </c>
      <c r="B23" s="423" t="s">
        <v>283</v>
      </c>
      <c r="C23" s="73">
        <f>SUMIF('RU Summary Q1 2020'!$B$5:$B$34,B23,'RU Summary Q1 2020'!$U$5:$U$34)</f>
        <v>51896.116649308133</v>
      </c>
      <c r="D23" s="73">
        <f>SUMIF('RU Summary Q4 2019'!$B$5:$B$34,A23,'RU Summary Q4 2019'!$W$5:$W$34)</f>
        <v>0</v>
      </c>
      <c r="E23" s="73"/>
      <c r="F23" s="1262">
        <f t="shared" si="6"/>
        <v>51896.116649308133</v>
      </c>
      <c r="G23" s="73"/>
      <c r="H23" s="73">
        <f>SUMIF('RU Summary Q1 2020'!$B$5:$B$34,B23,'RU Summary Q1 2020'!$W$5:$W$34)</f>
        <v>0</v>
      </c>
      <c r="I23" s="73">
        <f>SUMIF('RU Summary Q4 2019'!$B$5:$B$34,A23,'RU Summary Q4 2019'!$X$5:$X$34)</f>
        <v>0</v>
      </c>
      <c r="J23" s="73"/>
      <c r="K23" s="1262">
        <f t="shared" si="7"/>
        <v>0</v>
      </c>
      <c r="L23" s="221"/>
      <c r="M23" s="73">
        <f>(($I23-$J23)*'Corporate Costs Summary'!$E25)+($H23*'Corporate Costs Summary'!$E25)</f>
        <v>0</v>
      </c>
      <c r="N23" s="73">
        <f ca="1">(($I23-$J23)*'Corporate Costs Summary'!$K25)+($H23*'Corporate Costs Summary'!$L25)</f>
        <v>0</v>
      </c>
      <c r="O23" s="73">
        <f ca="1">(($I23-$J23)*'Corporate Costs Summary'!$P25)+($H23*'Corporate Costs Summary'!$Q25)</f>
        <v>0</v>
      </c>
      <c r="P23" s="73">
        <f t="shared" ca="1" si="8"/>
        <v>0</v>
      </c>
      <c r="Q23" s="1262">
        <f t="shared" ca="1" si="9"/>
        <v>0</v>
      </c>
      <c r="R23" s="353">
        <f t="shared" ca="1" si="10"/>
        <v>0</v>
      </c>
      <c r="T23" s="1271">
        <f t="shared" si="0"/>
        <v>51896.116649308133</v>
      </c>
      <c r="W23" s="73">
        <f ca="1">SUMIF('Allocation $'!$B$6:$B$62,B23,'Allocation $'!$I$6:$I$62)</f>
        <v>0</v>
      </c>
      <c r="X23" s="73">
        <f>SUMIF('Cost Allocation - Tier 1'!$BU$5:$BU$32,A23,'Cost Allocation - Tier 1'!$H$5:$H$32)</f>
        <v>0</v>
      </c>
      <c r="Y23" s="73">
        <f>SUMIF('Cost Allocation - Tier 1 (2)'!$BU$3:$BU$32,A23,'Cost Allocation - Tier 1 (2)'!$H$3:$H$32)</f>
        <v>0</v>
      </c>
      <c r="Z23" s="1272">
        <f t="shared" ca="1" si="11"/>
        <v>0</v>
      </c>
      <c r="AB23" s="73">
        <f ca="1">SUMIF('Allocation $'!$B$6:$B$62,B23,'Allocation $'!$BJ$6:$BJ$62)</f>
        <v>18990.470673265139</v>
      </c>
      <c r="AC23" s="73">
        <f>SUMIF('Cost Allocation - Tier 1'!$BU$5:$BU$32,A23,'Cost Allocation - Tier 1'!$I$5:$I$32)</f>
        <v>0</v>
      </c>
      <c r="AD23" s="73">
        <f>SUMIF('Cost Allocation - Tier 1 (2)'!$BU$5:$BU$32,A23,'Cost Allocation - Tier 1 (2)'!$I$5:$I$32)</f>
        <v>0</v>
      </c>
      <c r="AE23" s="1267">
        <f t="shared" ca="1" si="12"/>
        <v>18990.470673265139</v>
      </c>
      <c r="AG23" s="73">
        <f ca="1">SUMIF('Allocation $'!$B$6:$B$62,B23,'Allocation $'!$BA$6:$BA$62)</f>
        <v>5437.1615828089671</v>
      </c>
      <c r="AH23" s="73">
        <f>SUMIF('Cost Allocation - Tier 1'!$BU$5:$BU$32,A23,'Cost Allocation - Tier 1'!$BK$5:$BK$32)</f>
        <v>0</v>
      </c>
      <c r="AI23" s="73">
        <f>SUMIF('Cost Allocation - Tier 1 (2)'!$BU$5:$BU$32,A23,'Cost Allocation - Tier 1 (2)'!$BK$5:$BK$32)</f>
        <v>0</v>
      </c>
      <c r="AJ23" s="1267">
        <f t="shared" ca="1" si="1"/>
        <v>5437.1615828089671</v>
      </c>
      <c r="AL23" s="73">
        <f ca="1">SUMIF('Allocation $'!$B$6:$B$62,B23,'Allocation $'!$AZ$6:$AZ$62)</f>
        <v>27468.484393234023</v>
      </c>
      <c r="AM23" s="73">
        <f>SUMIF('Cost Allocation - Tier 1'!$BU$5:$BU$32,A23,'Cost Allocation - Tier 1'!BV$5:$BV$32)</f>
        <v>0</v>
      </c>
      <c r="AN23" s="73">
        <f>SUMIF('Cost Allocation - Tier 1 (2)'!$BU$5:$BU$32,A23,'Cost Allocation - Tier 1 (2)'!$BV$5:$BV$32)</f>
        <v>0</v>
      </c>
      <c r="AO23" s="1267">
        <f t="shared" ca="1" si="2"/>
        <v>27468.484393234023</v>
      </c>
      <c r="AP23" s="236">
        <f ca="1">AO23-'Corporate Costs Summary'!U25</f>
        <v>0</v>
      </c>
      <c r="AR23" s="221">
        <f t="shared" ca="1" si="3"/>
        <v>51896.116649308125</v>
      </c>
      <c r="AS23" s="221">
        <f t="shared" si="4"/>
        <v>0</v>
      </c>
      <c r="AT23" s="221">
        <f t="shared" si="5"/>
        <v>0</v>
      </c>
    </row>
    <row r="24" spans="1:46" x14ac:dyDescent="0.25">
      <c r="A24" s="423" t="s">
        <v>1129</v>
      </c>
      <c r="B24" s="423" t="s">
        <v>322</v>
      </c>
      <c r="C24" s="73">
        <f>SUMIF('RU Summary Q1 2020'!$B$5:$B$34,B24,'RU Summary Q1 2020'!$U$5:$U$34)</f>
        <v>14396.200000000003</v>
      </c>
      <c r="D24" s="73">
        <f>SUMIF('RU Summary Q4 2019'!$B$5:$B$34,A24,'RU Summary Q4 2019'!$W$5:$W$34)</f>
        <v>0</v>
      </c>
      <c r="E24" s="73"/>
      <c r="F24" s="1262">
        <f t="shared" si="6"/>
        <v>14396.200000000003</v>
      </c>
      <c r="G24" s="73"/>
      <c r="H24" s="73">
        <f>SUMIF('RU Summary Q1 2020'!$B$5:$B$34,B24,'RU Summary Q1 2020'!$W$5:$W$34)</f>
        <v>0</v>
      </c>
      <c r="I24" s="73">
        <f>SUMIF('RU Summary Q4 2019'!$B$5:$B$34,A24,'RU Summary Q4 2019'!$X$5:$X$34)</f>
        <v>0</v>
      </c>
      <c r="J24" s="73"/>
      <c r="K24" s="1262">
        <f t="shared" si="7"/>
        <v>0</v>
      </c>
      <c r="L24" s="221"/>
      <c r="M24" s="73">
        <f>(($I24-$J24)*'Corporate Costs Summary'!$E26)+($H24*'Corporate Costs Summary'!$E26)</f>
        <v>0</v>
      </c>
      <c r="N24" s="73">
        <f ca="1">(($I24-$J24)*'Corporate Costs Summary'!$K26)+($H24*'Corporate Costs Summary'!$L26)</f>
        <v>0</v>
      </c>
      <c r="O24" s="73">
        <f ca="1">(($I24-$J24)*'Corporate Costs Summary'!$P26)+($H24*'Corporate Costs Summary'!$Q26)</f>
        <v>0</v>
      </c>
      <c r="P24" s="73">
        <f t="shared" ca="1" si="8"/>
        <v>0</v>
      </c>
      <c r="Q24" s="1262">
        <f t="shared" ca="1" si="9"/>
        <v>0</v>
      </c>
      <c r="R24" s="353">
        <f t="shared" ca="1" si="10"/>
        <v>0</v>
      </c>
      <c r="T24" s="1271">
        <f t="shared" si="0"/>
        <v>14396.200000000003</v>
      </c>
      <c r="W24" s="73">
        <f ca="1">SUMIF('Allocation $'!$B$6:$B$62,B24,'Allocation $'!$I$6:$I$62)</f>
        <v>0</v>
      </c>
      <c r="X24" s="73">
        <f>SUMIF('Cost Allocation - Tier 1'!$BU$5:$BU$32,A24,'Cost Allocation - Tier 1'!$H$5:$H$32)</f>
        <v>0</v>
      </c>
      <c r="Y24" s="73">
        <f>SUMIF('Cost Allocation - Tier 1 (2)'!$BU$3:$BU$32,A24,'Cost Allocation - Tier 1 (2)'!$H$3:$H$32)</f>
        <v>0</v>
      </c>
      <c r="Z24" s="1272">
        <f t="shared" ca="1" si="11"/>
        <v>0</v>
      </c>
      <c r="AB24" s="73">
        <f ca="1">SUMIF('Allocation $'!$B$6:$B$62,B24,'Allocation $'!$BJ$6:$BJ$62)</f>
        <v>11183.783440842475</v>
      </c>
      <c r="AC24" s="73">
        <f>SUMIF('Cost Allocation - Tier 1'!$BU$5:$BU$32,A24,'Cost Allocation - Tier 1'!$I$5:$I$32)</f>
        <v>0</v>
      </c>
      <c r="AD24" s="73">
        <f>SUMIF('Cost Allocation - Tier 1 (2)'!$BU$5:$BU$32,A24,'Cost Allocation - Tier 1 (2)'!$I$5:$I$32)</f>
        <v>0</v>
      </c>
      <c r="AE24" s="1267">
        <f t="shared" ca="1" si="12"/>
        <v>11183.783440842475</v>
      </c>
      <c r="AG24" s="73">
        <f ca="1">SUMIF('Allocation $'!$B$6:$B$62,B24,'Allocation $'!$BA$6:$BA$62)</f>
        <v>3212.4165591575256</v>
      </c>
      <c r="AH24" s="73">
        <f>SUMIF('Cost Allocation - Tier 1'!$BU$5:$BU$32,A24,'Cost Allocation - Tier 1'!$BK$5:$BK$32)</f>
        <v>0</v>
      </c>
      <c r="AI24" s="73">
        <f>SUMIF('Cost Allocation - Tier 1 (2)'!$BU$5:$BU$32,A24,'Cost Allocation - Tier 1 (2)'!$BK$5:$BK$32)</f>
        <v>0</v>
      </c>
      <c r="AJ24" s="1267">
        <f t="shared" ca="1" si="1"/>
        <v>3212.4165591575256</v>
      </c>
      <c r="AL24" s="73">
        <f ca="1">SUMIF('Allocation $'!$B$6:$B$62,B24,'Allocation $'!$AZ$6:$AZ$62)</f>
        <v>0</v>
      </c>
      <c r="AM24" s="73">
        <f>SUMIF('Cost Allocation - Tier 1'!$BU$5:$BU$32,A24,'Cost Allocation - Tier 1'!BV$5:$BV$32)</f>
        <v>0</v>
      </c>
      <c r="AN24" s="73">
        <f>SUMIF('Cost Allocation - Tier 1 (2)'!$BU$5:$BU$32,A24,'Cost Allocation - Tier 1 (2)'!$BV$5:$BV$32)</f>
        <v>0</v>
      </c>
      <c r="AO24" s="1267">
        <f t="shared" ca="1" si="2"/>
        <v>0</v>
      </c>
      <c r="AP24" s="236">
        <f ca="1">AO24-'Corporate Costs Summary'!U26</f>
        <v>0</v>
      </c>
      <c r="AR24" s="221">
        <f t="shared" ca="1" si="3"/>
        <v>14396.2</v>
      </c>
      <c r="AS24" s="221">
        <f t="shared" si="4"/>
        <v>0</v>
      </c>
      <c r="AT24" s="221">
        <f t="shared" si="5"/>
        <v>0</v>
      </c>
    </row>
    <row r="25" spans="1:46" x14ac:dyDescent="0.25">
      <c r="A25" s="423" t="s">
        <v>1131</v>
      </c>
      <c r="B25" s="423" t="s">
        <v>323</v>
      </c>
      <c r="C25" s="73">
        <f>SUMIF('RU Summary Q1 2020'!$B$5:$B$34,B25,'RU Summary Q1 2020'!$U$5:$U$34)</f>
        <v>56623.86</v>
      </c>
      <c r="D25" s="73">
        <f>SUMIF('RU Summary Q4 2019'!$B$5:$B$34,A25,'RU Summary Q4 2019'!$W$5:$W$34)</f>
        <v>0</v>
      </c>
      <c r="E25" s="73"/>
      <c r="F25" s="1262">
        <f t="shared" si="6"/>
        <v>56623.86</v>
      </c>
      <c r="G25" s="73"/>
      <c r="H25" s="73">
        <f>SUMIF('RU Summary Q1 2020'!$B$5:$B$34,B25,'RU Summary Q1 2020'!$W$5:$W$34)</f>
        <v>0</v>
      </c>
      <c r="I25" s="73">
        <f>SUMIF('RU Summary Q4 2019'!$B$5:$B$34,A25,'RU Summary Q4 2019'!$X$5:$X$34)</f>
        <v>0</v>
      </c>
      <c r="J25" s="73"/>
      <c r="K25" s="1262">
        <f t="shared" si="7"/>
        <v>0</v>
      </c>
      <c r="L25" s="221"/>
      <c r="M25" s="73">
        <f>(($I25-$J25)*'Corporate Costs Summary'!$E27)+($H25*'Corporate Costs Summary'!$E27)</f>
        <v>0</v>
      </c>
      <c r="N25" s="73">
        <f ca="1">(($I25-$J25)*'Corporate Costs Summary'!$K27)+($H25*'Corporate Costs Summary'!$L27)</f>
        <v>0</v>
      </c>
      <c r="O25" s="73">
        <f ca="1">(($I25-$J25)*'Corporate Costs Summary'!$P27)+($H25*'Corporate Costs Summary'!$Q27)</f>
        <v>0</v>
      </c>
      <c r="P25" s="73">
        <f t="shared" ca="1" si="8"/>
        <v>0</v>
      </c>
      <c r="Q25" s="1262">
        <f t="shared" ca="1" si="9"/>
        <v>0</v>
      </c>
      <c r="R25" s="353">
        <f t="shared" ca="1" si="10"/>
        <v>0</v>
      </c>
      <c r="T25" s="1271">
        <f t="shared" si="0"/>
        <v>56623.86</v>
      </c>
      <c r="W25" s="73">
        <f ca="1">SUMIF('Allocation $'!$B$6:$B$62,B25,'Allocation $'!$I$6:$I$62)</f>
        <v>0</v>
      </c>
      <c r="X25" s="73">
        <f>SUMIF('Cost Allocation - Tier 1'!$BU$5:$BU$32,A25,'Cost Allocation - Tier 1'!$H$5:$H$32)</f>
        <v>0</v>
      </c>
      <c r="Y25" s="73">
        <f>SUMIF('Cost Allocation - Tier 1 (2)'!$BU$3:$BU$32,A25,'Cost Allocation - Tier 1 (2)'!$H$3:$H$32)</f>
        <v>0</v>
      </c>
      <c r="Z25" s="1272">
        <f t="shared" ca="1" si="11"/>
        <v>0</v>
      </c>
      <c r="AB25" s="73">
        <f ca="1">SUMIF('Allocation $'!$B$6:$B$62,B25,'Allocation $'!$BJ$6:$BJ$62)</f>
        <v>22405.637072971942</v>
      </c>
      <c r="AC25" s="73">
        <f>SUMIF('Cost Allocation - Tier 1'!$BU$5:$BU$32,A25,'Cost Allocation - Tier 1'!$I$5:$I$32)</f>
        <v>0</v>
      </c>
      <c r="AD25" s="73">
        <f>SUMIF('Cost Allocation - Tier 1 (2)'!$BU$5:$BU$32,A25,'Cost Allocation - Tier 1 (2)'!$I$5:$I$32)</f>
        <v>0</v>
      </c>
      <c r="AE25" s="1267">
        <f t="shared" ca="1" si="12"/>
        <v>22405.637072971942</v>
      </c>
      <c r="AG25" s="73">
        <f ca="1">SUMIF('Allocation $'!$B$6:$B$62,B25,'Allocation $'!$BA$6:$BA$62)</f>
        <v>34218.222927028066</v>
      </c>
      <c r="AH25" s="73">
        <f>SUMIF('Cost Allocation - Tier 1'!$BU$5:$BU$32,A25,'Cost Allocation - Tier 1'!$BK$5:$BK$32)</f>
        <v>0</v>
      </c>
      <c r="AI25" s="73">
        <f>SUMIF('Cost Allocation - Tier 1 (2)'!$BU$5:$BU$32,A25,'Cost Allocation - Tier 1 (2)'!$BK$5:$BK$32)</f>
        <v>0</v>
      </c>
      <c r="AJ25" s="1267">
        <f t="shared" ca="1" si="1"/>
        <v>34218.222927028066</v>
      </c>
      <c r="AL25" s="73">
        <f ca="1">SUMIF('Allocation $'!$B$6:$B$62,B25,'Allocation $'!$AZ$6:$AZ$62)</f>
        <v>0</v>
      </c>
      <c r="AM25" s="73">
        <f>SUMIF('Cost Allocation - Tier 1'!$BU$5:$BU$32,A25,'Cost Allocation - Tier 1'!BV$5:$BV$32)</f>
        <v>0</v>
      </c>
      <c r="AN25" s="73">
        <f>SUMIF('Cost Allocation - Tier 1 (2)'!$BU$5:$BU$32,A25,'Cost Allocation - Tier 1 (2)'!$BV$5:$BV$32)</f>
        <v>0</v>
      </c>
      <c r="AO25" s="1267">
        <f t="shared" ca="1" si="2"/>
        <v>0</v>
      </c>
      <c r="AP25" s="236">
        <f ca="1">AO25-'Corporate Costs Summary'!U27</f>
        <v>0</v>
      </c>
      <c r="AR25" s="221">
        <f t="shared" ca="1" si="3"/>
        <v>56623.860000000008</v>
      </c>
      <c r="AS25" s="221">
        <f t="shared" si="4"/>
        <v>0</v>
      </c>
      <c r="AT25" s="221">
        <f t="shared" si="5"/>
        <v>0</v>
      </c>
    </row>
    <row r="26" spans="1:46" x14ac:dyDescent="0.25">
      <c r="A26" s="423" t="s">
        <v>481</v>
      </c>
      <c r="B26" s="423" t="s">
        <v>220</v>
      </c>
      <c r="C26" s="73">
        <f>SUMIF('RU Summary Q1 2020'!$B$5:$B$34,B26,'RU Summary Q1 2020'!$U$5:$U$34)</f>
        <v>90432.904329712823</v>
      </c>
      <c r="D26" s="73">
        <f>SUMIF('RU Summary Q4 2019'!$B$5:$B$34,A26,'RU Summary Q4 2019'!$W$5:$W$34)</f>
        <v>833306.25626493245</v>
      </c>
      <c r="E26" s="73">
        <f>'RU Summary Q1 2019'!V16</f>
        <v>258814.04604273249</v>
      </c>
      <c r="F26" s="1262">
        <f t="shared" si="6"/>
        <v>664925.11455191276</v>
      </c>
      <c r="G26" s="73"/>
      <c r="H26" s="73">
        <f>SUMIF('RU Summary Q1 2020'!$B$5:$B$34,B26,'RU Summary Q1 2020'!$W$5:$W$34)</f>
        <v>-90432.904329712823</v>
      </c>
      <c r="I26" s="73">
        <f>SUMIF('RU Summary Q4 2019'!$B$5:$B$34,A26,'RU Summary Q4 2019'!$X$5:$X$34)</f>
        <v>-833306.25626493245</v>
      </c>
      <c r="J26" s="73">
        <f>'RU Summary Q1 2019'!W16</f>
        <v>-258814.04604273249</v>
      </c>
      <c r="K26" s="1262">
        <f t="shared" si="7"/>
        <v>-664925.11455191276</v>
      </c>
      <c r="L26" s="221"/>
      <c r="M26" s="73">
        <f>(($I26-$J26)*'Corporate Costs Summary'!$E28)+($H26*'Corporate Costs Summary'!$E28)</f>
        <v>0</v>
      </c>
      <c r="N26" s="73">
        <f ca="1">(($I26-$J26)*'Corporate Costs Summary'!$K28)+($H26*'Corporate Costs Summary'!$L28)</f>
        <v>-251886.82351999223</v>
      </c>
      <c r="O26" s="73">
        <f ca="1">(($I26-$J26)*'Corporate Costs Summary'!$P28)+($H26*'Corporate Costs Summary'!$Q28)</f>
        <v>-66308.066888608373</v>
      </c>
      <c r="P26" s="73">
        <f t="shared" ca="1" si="8"/>
        <v>-346730.22414331214</v>
      </c>
      <c r="Q26" s="1262">
        <f t="shared" ca="1" si="9"/>
        <v>-664925.11455191276</v>
      </c>
      <c r="R26" s="353">
        <f t="shared" ca="1" si="10"/>
        <v>0</v>
      </c>
      <c r="T26" s="1271">
        <f t="shared" si="0"/>
        <v>0</v>
      </c>
      <c r="W26" s="73">
        <f ca="1">SUMIF('Allocation $'!$B$6:$B$62,B26,'Allocation $'!$I$6:$I$62)</f>
        <v>0</v>
      </c>
      <c r="X26" s="73">
        <f>SUMIF('Cost Allocation - Tier 1'!$BU$5:$BU$32,A26,'Cost Allocation - Tier 1'!$H$5:$H$32)</f>
        <v>0</v>
      </c>
      <c r="Y26" s="73">
        <f>SUMIF('Cost Allocation - Tier 1 (2)'!$BU$3:$BU$32,A26,'Cost Allocation - Tier 1 (2)'!$H$3:$H$32)</f>
        <v>0</v>
      </c>
      <c r="Z26" s="1272">
        <f t="shared" ca="1" si="11"/>
        <v>0</v>
      </c>
      <c r="AB26" s="73">
        <f ca="1">SUMIF('Allocation $'!$B$6:$B$62,B26,'Allocation $'!$BJ$6:$BJ$62)</f>
        <v>33092.329994107538</v>
      </c>
      <c r="AC26" s="73">
        <f>SUMIF('Cost Allocation - Tier 1'!$BU$5:$BU$32,A26,'Cost Allocation - Tier 1'!$I$5:$I$32)</f>
        <v>317363.50801860844</v>
      </c>
      <c r="AD26" s="73">
        <f>SUMIF('Cost Allocation - Tier 1 (2)'!$BU$5:$BU$32,A26,'Cost Allocation - Tier 1 (2)'!$I$5:$I$32)</f>
        <v>98558.707659618696</v>
      </c>
      <c r="AE26" s="1267">
        <f t="shared" ca="1" si="12"/>
        <v>251897.13035309728</v>
      </c>
      <c r="AG26" s="73">
        <f ca="1">SUMIF('Allocation $'!$B$6:$B$62,B26,'Allocation $'!$BA$6:$BA$62)</f>
        <v>9474.6648687808611</v>
      </c>
      <c r="AH26" s="73">
        <f>SUMIF('Cost Allocation - Tier 1'!$BU$5:$BU$32,A26,'Cost Allocation - Tier 1'!$BK$5:$BK$32)</f>
        <v>82437.393862064753</v>
      </c>
      <c r="AI26" s="73">
        <f>SUMIF('Cost Allocation - Tier 1 (2)'!$BU$5:$BU$32,A26,'Cost Allocation - Tier 1 (2)'!$BK$5:$BK$32)</f>
        <v>25605.448060771159</v>
      </c>
      <c r="AJ26" s="1267">
        <f t="shared" ca="1" si="1"/>
        <v>66306.610670074457</v>
      </c>
      <c r="AL26" s="73">
        <f ca="1">SUMIF('Allocation $'!$B$6:$B$62,B26,'Allocation $'!$AZ$6:$AZ$62)</f>
        <v>47865.909466824414</v>
      </c>
      <c r="AM26" s="73">
        <f>SUMIF('Cost Allocation - Tier 1'!$BU$5:$BU$32,A26,'Cost Allocation - Tier 1'!BV$5:$BV$32)</f>
        <v>433505.55034003343</v>
      </c>
      <c r="AN26" s="73">
        <f>SUMIF('Cost Allocation - Tier 1 (2)'!$BU$5:$BU$32,A26,'Cost Allocation - Tier 1 (2)'!$BV$5:$BV$32)</f>
        <v>134650.16868526774</v>
      </c>
      <c r="AO26" s="1267">
        <f t="shared" ca="1" si="2"/>
        <v>346721.29112159013</v>
      </c>
      <c r="AP26" s="236">
        <f ca="1">AO26-'Corporate Costs Summary'!U28</f>
        <v>-8.2407150883227587E-2</v>
      </c>
      <c r="AR26" s="221">
        <f t="shared" ca="1" si="3"/>
        <v>90432.904329712823</v>
      </c>
      <c r="AS26" s="221">
        <f t="shared" si="4"/>
        <v>833306.45222070662</v>
      </c>
      <c r="AT26" s="221">
        <f t="shared" si="5"/>
        <v>258814.32440565759</v>
      </c>
    </row>
    <row r="27" spans="1:46" x14ac:dyDescent="0.25">
      <c r="A27" s="423" t="s">
        <v>315</v>
      </c>
      <c r="B27" s="423" t="s">
        <v>315</v>
      </c>
      <c r="C27" s="73">
        <f>'RU Summary Q1 2020'!F37</f>
        <v>-60625</v>
      </c>
      <c r="D27" s="73">
        <f>'RU Summary Q4 2019'!W22</f>
        <v>-111875</v>
      </c>
      <c r="E27" s="73">
        <f>'RU Summary Q1 2019'!V22</f>
        <v>-25625</v>
      </c>
      <c r="F27" s="1262">
        <f t="shared" si="6"/>
        <v>-146875</v>
      </c>
      <c r="G27" s="73"/>
      <c r="H27" s="73"/>
      <c r="I27" s="73"/>
      <c r="J27" s="73"/>
      <c r="K27" s="1262">
        <f t="shared" si="7"/>
        <v>0</v>
      </c>
      <c r="L27" s="221"/>
      <c r="M27" s="73">
        <f>(($I27-$J27)*'Corporate Costs Summary'!$E29)+($H27*'Corporate Costs Summary'!$E29)</f>
        <v>0</v>
      </c>
      <c r="N27" s="73">
        <f>(($I27-$J27)*'Corporate Costs Summary'!$K29)+($H27*'Corporate Costs Summary'!$L29)</f>
        <v>0</v>
      </c>
      <c r="O27" s="73">
        <f>(($I27-$J27)*'Corporate Costs Summary'!$P29)+($H27*'Corporate Costs Summary'!$Q29)</f>
        <v>0</v>
      </c>
      <c r="P27" s="73">
        <f t="shared" si="8"/>
        <v>0</v>
      </c>
      <c r="Q27" s="1262">
        <f t="shared" si="9"/>
        <v>0</v>
      </c>
      <c r="R27" s="353">
        <f t="shared" si="10"/>
        <v>0</v>
      </c>
      <c r="T27" s="1271">
        <f t="shared" si="0"/>
        <v>-146875</v>
      </c>
      <c r="W27" s="73">
        <f ca="1">SUMIF('Allocation $'!$B$6:$B$62,B27,'Allocation $'!$I$6:$I$62)</f>
        <v>0</v>
      </c>
      <c r="X27" s="73">
        <f>SUMIF('Cost Allocation - Tier 1'!$BU$5:$BU$32,A27,'Cost Allocation - Tier 1'!$H$5:$H$32)</f>
        <v>0</v>
      </c>
      <c r="Y27" s="73">
        <f>SUMIF('Cost Allocation - Tier 1 (2)'!$BU$3:$BU$32,A27,'Cost Allocation - Tier 1 (2)'!$H$3:$H$32)</f>
        <v>0</v>
      </c>
      <c r="Z27" s="1272">
        <f t="shared" ca="1" si="11"/>
        <v>0</v>
      </c>
      <c r="AB27" s="73"/>
      <c r="AC27" s="73">
        <f>SUMIF('Cost Allocation - Tier 1'!$BU$5:$BU$32,A27,'Cost Allocation - Tier 1'!$I$5:$I$32)</f>
        <v>0</v>
      </c>
      <c r="AD27" s="73">
        <f>SUMIF('Cost Allocation - Tier 1 (2)'!$BU$5:$BU$32,A27,'Cost Allocation - Tier 1 (2)'!$I$5:$I$32)</f>
        <v>0</v>
      </c>
      <c r="AE27" s="1267">
        <f t="shared" si="12"/>
        <v>0</v>
      </c>
      <c r="AG27" s="73">
        <f ca="1">SUMIF('Allocation $'!$B$6:$B$62,B27,'Allocation $'!$BA$6:$BA$62)</f>
        <v>-60625</v>
      </c>
      <c r="AH27" s="73">
        <f>SUMIF('Cost Allocation - Tier 1'!$BU$5:$BU$32,A27,'Cost Allocation - Tier 1'!$BK$5:$BK$32)</f>
        <v>-111875</v>
      </c>
      <c r="AI27" s="73">
        <f>SUMIF('Cost Allocation - Tier 1 (2)'!$BU$5:$BU$32,A27,'Cost Allocation - Tier 1 (2)'!$BK$5:$BK$32)</f>
        <v>-25625</v>
      </c>
      <c r="AJ27" s="1267">
        <f t="shared" ca="1" si="1"/>
        <v>-146875</v>
      </c>
      <c r="AL27" s="73">
        <f ca="1">SUMIF('Allocation $'!$B$6:$B$62,B27,'Allocation $'!$AZ$6:$AZ$62)</f>
        <v>0</v>
      </c>
      <c r="AM27" s="73">
        <f>SUMIF('Cost Allocation - Tier 1'!$BU$5:$BU$32,A27,'Cost Allocation - Tier 1'!$BD$5:$BJ$32)</f>
        <v>0</v>
      </c>
      <c r="AN27" s="73">
        <f>SUMIF('Cost Allocation - Tier 1 (2)'!$BU$5:$BU$32,A27,'Cost Allocation - Tier 1 (2)'!$BV$5:$BV$32)</f>
        <v>0</v>
      </c>
      <c r="AO27" s="1267">
        <f t="shared" ca="1" si="2"/>
        <v>0</v>
      </c>
      <c r="AP27" s="236">
        <f ca="1">AO27-'Corporate Costs Summary'!U29</f>
        <v>0</v>
      </c>
      <c r="AR27" s="221">
        <f t="shared" ca="1" si="3"/>
        <v>-60625</v>
      </c>
      <c r="AS27" s="221">
        <f t="shared" si="4"/>
        <v>-111875</v>
      </c>
      <c r="AT27" s="221">
        <f t="shared" si="5"/>
        <v>-25625</v>
      </c>
    </row>
    <row r="28" spans="1:46" x14ac:dyDescent="0.25">
      <c r="A28" s="423" t="s">
        <v>421</v>
      </c>
      <c r="B28" s="423" t="s">
        <v>421</v>
      </c>
      <c r="C28" s="73">
        <f ca="1">'Allocation $'!F62</f>
        <v>-31875</v>
      </c>
      <c r="D28" s="73">
        <f>'RU Summary Q4 2019'!W21</f>
        <v>-127500</v>
      </c>
      <c r="E28" s="73"/>
      <c r="F28" s="1262">
        <f t="shared" ca="1" si="6"/>
        <v>-159375</v>
      </c>
      <c r="G28" s="73"/>
      <c r="H28" s="73"/>
      <c r="I28" s="73"/>
      <c r="J28" s="73"/>
      <c r="K28" s="1262">
        <f t="shared" si="7"/>
        <v>0</v>
      </c>
      <c r="L28" s="221"/>
      <c r="M28" s="73">
        <f>(($I28-$J28)*'Corporate Costs Summary'!$E30)+($H28*'Corporate Costs Summary'!$E30)</f>
        <v>0</v>
      </c>
      <c r="N28" s="73">
        <f>(($I28-$J28)*'Corporate Costs Summary'!$K30)+($H28*'Corporate Costs Summary'!$L30)</f>
        <v>0</v>
      </c>
      <c r="O28" s="73">
        <f>(($I28-$J28)*'Corporate Costs Summary'!$P30)+($H28*'Corporate Costs Summary'!$Q30)</f>
        <v>0</v>
      </c>
      <c r="P28" s="73">
        <f t="shared" si="8"/>
        <v>0</v>
      </c>
      <c r="Q28" s="1262">
        <f t="shared" si="9"/>
        <v>0</v>
      </c>
      <c r="R28" s="353">
        <f t="shared" si="10"/>
        <v>0</v>
      </c>
      <c r="T28" s="1271">
        <f t="shared" ca="1" si="0"/>
        <v>-159375</v>
      </c>
      <c r="W28" s="73">
        <f>SUMIF('Allocation $'!$B$6:$B$62,B28,'Allocation $'!$I$6:$I$62)</f>
        <v>0</v>
      </c>
      <c r="X28" s="73">
        <f>SUMIF('Cost Allocation - Tier 1'!$BU$5:$BU$32,A28,'Cost Allocation - Tier 1'!$H$5:$H$32)</f>
        <v>0</v>
      </c>
      <c r="Y28" s="73">
        <f>SUMIF('Cost Allocation - Tier 1 (2)'!$BU$3:$BU$32,A28,'Cost Allocation - Tier 1 (2)'!$H$3:$H$32)</f>
        <v>0</v>
      </c>
      <c r="Z28" s="1272">
        <f t="shared" si="11"/>
        <v>0</v>
      </c>
      <c r="AB28" s="81">
        <f ca="1">SUMIF('Allocation $'!$B$6:$B$62,B28,'Allocation $'!$BJ$6:$BJ$62)</f>
        <v>-31875</v>
      </c>
      <c r="AC28" s="73">
        <f>SUMIF('Cost Allocation - Tier 1'!$BU$5:$BU$32,A28,'Cost Allocation - Tier 1'!$I$5:$I$32)</f>
        <v>-127500</v>
      </c>
      <c r="AD28" s="73">
        <f>SUMIF('Cost Allocation - Tier 1 (2)'!$BU$5:$BU$32,A28,'Cost Allocation - Tier 1 (2)'!$I$5:$I$32)</f>
        <v>0</v>
      </c>
      <c r="AE28" s="1267">
        <f ca="1">+AB28+AC28-AD28</f>
        <v>-159375</v>
      </c>
      <c r="AG28" s="73">
        <f>SUMIF('Allocation $'!$B$6:$B$62,B28,'Allocation $'!$BA$6:$BA$62)</f>
        <v>0</v>
      </c>
      <c r="AH28" s="73">
        <f>SUMIF('Cost Allocation - Tier 1'!$BU$5:$BU$32,A28,'Cost Allocation - Tier 1'!$BK$5:$BK$32)</f>
        <v>0</v>
      </c>
      <c r="AI28" s="73">
        <f>SUMIF('Cost Allocation - Tier 1 (2)'!$BU$5:$BU$32,A28,'Cost Allocation - Tier 1 (2)'!$BK$5:$BK$32)</f>
        <v>0</v>
      </c>
      <c r="AJ28" s="1267">
        <f t="shared" si="1"/>
        <v>0</v>
      </c>
      <c r="AL28" s="73">
        <f>SUMIF('Allocation $'!$B$6:$B$62,B28,'Allocation $'!$AZ$6:$AZ$62)</f>
        <v>0</v>
      </c>
      <c r="AM28" s="73">
        <f>SUMIF('Cost Allocation - Tier 1'!$BU$5:$BU$32,A28,'Cost Allocation - Tier 1'!$BD$5:$BJ$32)</f>
        <v>0</v>
      </c>
      <c r="AN28" s="73">
        <f>SUMIF('Cost Allocation - Tier 1 (2)'!$BU$5:$BU$32,A28,'Cost Allocation - Tier 1 (2)'!$BV$5:$BV$32)</f>
        <v>0</v>
      </c>
      <c r="AO28" s="1267">
        <f t="shared" si="2"/>
        <v>0</v>
      </c>
      <c r="AP28" s="236">
        <f ca="1">AO28-'Corporate Costs Summary'!U30</f>
        <v>0</v>
      </c>
      <c r="AR28" s="221">
        <f t="shared" ca="1" si="3"/>
        <v>-31875</v>
      </c>
      <c r="AS28" s="221">
        <f t="shared" si="4"/>
        <v>-127500</v>
      </c>
      <c r="AT28" s="221">
        <f t="shared" si="5"/>
        <v>0</v>
      </c>
    </row>
    <row r="29" spans="1:46" ht="15.75" thickBot="1" x14ac:dyDescent="0.3">
      <c r="C29" s="1256">
        <f ca="1">SUM(C6:C28)</f>
        <v>2479770.5907751834</v>
      </c>
      <c r="D29" s="1256">
        <f t="shared" ref="D29:F29" si="13">SUM(D6:D28)</f>
        <v>11414870.290845776</v>
      </c>
      <c r="E29" s="1256">
        <f t="shared" si="13"/>
        <v>2389927.0680195275</v>
      </c>
      <c r="F29" s="1263">
        <f t="shared" ca="1" si="13"/>
        <v>11504713.813601429</v>
      </c>
      <c r="G29" s="73"/>
      <c r="H29" s="1256">
        <f t="shared" ref="H29" si="14">SUM(H6:H28)</f>
        <v>-91140.388335069176</v>
      </c>
      <c r="I29" s="1256">
        <f t="shared" ref="I29" si="15">SUM(I6:I28)</f>
        <v>-1855459.1168423994</v>
      </c>
      <c r="J29" s="1256">
        <f t="shared" ref="J29" si="16">SUM(J6:J28)</f>
        <v>-413894.95185073733</v>
      </c>
      <c r="K29" s="1263">
        <f t="shared" ref="K29" si="17">SUM(K6:K28)</f>
        <v>-1532704.5533267311</v>
      </c>
      <c r="M29" s="1256">
        <f t="shared" ref="M29" si="18">SUM(M6:M28)</f>
        <v>-2275.5228579804443</v>
      </c>
      <c r="N29" s="1256">
        <f t="shared" ref="N29" ca="1" si="19">SUM(N6:N28)</f>
        <v>-582363.58585551986</v>
      </c>
      <c r="O29" s="1256">
        <f t="shared" ref="O29" ca="1" si="20">SUM(O6:O28)</f>
        <v>-152158.45725067868</v>
      </c>
      <c r="P29" s="1256">
        <f t="shared" ref="P29" ca="1" si="21">SUM(P6:P28)</f>
        <v>-795906.9873625522</v>
      </c>
      <c r="Q29" s="1263">
        <f t="shared" ref="Q29" ca="1" si="22">SUM(Q6:Q28)</f>
        <v>-1532704.5533267311</v>
      </c>
      <c r="T29" s="1270">
        <f ca="1">SUM(T6:T28)</f>
        <v>9972009.2602746952</v>
      </c>
      <c r="W29" s="1258">
        <f ca="1">SUM(W6:W28)</f>
        <v>26850.182859693501</v>
      </c>
      <c r="X29" s="1258">
        <f>SUM(X6:X28)</f>
        <v>126859.85619860872</v>
      </c>
      <c r="Y29" s="1258">
        <f>SUM(Y6:Y28)</f>
        <v>27548.856455010533</v>
      </c>
      <c r="Z29" s="1273">
        <f ca="1">SUM(Z6:Z28)</f>
        <v>126161.18260329169</v>
      </c>
      <c r="AB29" s="1256">
        <f ca="1">SUM(AB6:AB28)</f>
        <v>958490.52986299759</v>
      </c>
      <c r="AC29" s="1256">
        <f>SUM(AC6:AC28)</f>
        <v>4447246.9803830357</v>
      </c>
      <c r="AD29" s="1256">
        <f>SUM(AD6:AD28)</f>
        <v>933314.24248908891</v>
      </c>
      <c r="AE29" s="1263">
        <f ca="1">SUM(AE6:AE28)</f>
        <v>4472423.2677569445</v>
      </c>
      <c r="AG29" s="1256">
        <f ca="1">SUM(AG6:AG28)</f>
        <v>250830.30468403449</v>
      </c>
      <c r="AH29" s="1256">
        <f>SUM(AH6:AH28)</f>
        <v>999017.90099188779</v>
      </c>
      <c r="AI29" s="1256">
        <f>SUM(AI6:AI28)</f>
        <v>206803.40784175857</v>
      </c>
      <c r="AJ29" s="1263">
        <f ca="1">SUM(AJ6:AJ28)</f>
        <v>1043044.7978341635</v>
      </c>
      <c r="AL29" s="1258">
        <f ca="1">SUM(AL6:AL28)</f>
        <v>1243599.5733684569</v>
      </c>
      <c r="AM29" s="1258">
        <f>SUM(AM6:AM28)</f>
        <v>5841745.0607318701</v>
      </c>
      <c r="AN29" s="1258">
        <f>SUM(AN6:AN28)</f>
        <v>1222260.3661870246</v>
      </c>
      <c r="AO29" s="1263">
        <f ca="1">SUM(AO6:AO28)</f>
        <v>5863084.2679133024</v>
      </c>
      <c r="AR29" s="1263">
        <f ca="1">SUM(AR6:AR28)</f>
        <v>2479770.5907751834</v>
      </c>
      <c r="AS29" s="1263">
        <f t="shared" ref="AS29:AT29" si="23">SUM(AS6:AS28)</f>
        <v>11414869.798305403</v>
      </c>
      <c r="AT29" s="1263">
        <f t="shared" si="23"/>
        <v>2389926.8729728828</v>
      </c>
    </row>
    <row r="30" spans="1:46" ht="15.75" thickTop="1" x14ac:dyDescent="0.25">
      <c r="F30" s="725"/>
      <c r="K30" s="725"/>
      <c r="T30" s="330">
        <f ca="1">F29+K29-T29</f>
        <v>0</v>
      </c>
      <c r="AL30" s="76"/>
      <c r="AM30" s="76"/>
      <c r="AN30" s="76"/>
      <c r="AR30" s="330">
        <f ca="1">C29-AR29</f>
        <v>0</v>
      </c>
      <c r="AS30" s="330">
        <f>D29-AS29</f>
        <v>0.49254037253558636</v>
      </c>
      <c r="AT30" s="330">
        <f>E29-AT29</f>
        <v>0.19504664465785027</v>
      </c>
    </row>
    <row r="31" spans="1:46" s="73" customFormat="1" x14ac:dyDescent="0.25">
      <c r="B31" s="1141" t="s">
        <v>1146</v>
      </c>
      <c r="C31" s="73">
        <f>'RU Summary Q1 2020'!U9+'RU Summary Q1 2020'!U23</f>
        <v>264990.88363636355</v>
      </c>
      <c r="D31" s="73">
        <f>'RU Summary Q4 2019'!W5+'RU Summary Q4 2019'!W29</f>
        <v>1516352.4958495814</v>
      </c>
      <c r="E31" s="73">
        <f>'RU Summary Q1 2019'!V5+'RU Summary Q1 2019'!V34</f>
        <v>341578.10850737279</v>
      </c>
      <c r="F31" s="1262">
        <f t="shared" ref="F31:F33" si="24">+C31+D31-E31</f>
        <v>1439765.2709785723</v>
      </c>
      <c r="H31" s="73">
        <f>-C31</f>
        <v>-264990.88363636355</v>
      </c>
      <c r="I31" s="73">
        <f>'RU Summary Q4 2019'!J5/Assumptions!$B$4+'RU Summary Q4 2019'!J29</f>
        <v>-1516352.4958495814</v>
      </c>
      <c r="J31" s="73">
        <f>'RU Summary Q1 2019'!J5/'Assumptions (3)'!$B$4+'RU Summary Q1 2019'!J34</f>
        <v>-341578.10850737285</v>
      </c>
      <c r="K31" s="1262">
        <f t="shared" ref="K31:K33" si="25">+H31+I31-J31</f>
        <v>-1439765.2709785721</v>
      </c>
      <c r="R31" s="236"/>
      <c r="AP31" s="236"/>
    </row>
    <row r="32" spans="1:46" s="73" customFormat="1" x14ac:dyDescent="0.25">
      <c r="B32" s="1141" t="s">
        <v>1147</v>
      </c>
      <c r="C32" s="73">
        <f>'RU Summary Q1 2020'!U27</f>
        <v>179114.31</v>
      </c>
      <c r="D32" s="1261"/>
      <c r="E32" s="1261"/>
      <c r="F32" s="1262">
        <f t="shared" si="24"/>
        <v>179114.31</v>
      </c>
      <c r="H32" s="73">
        <f t="shared" ref="H32:H33" si="26">-C32</f>
        <v>-179114.31</v>
      </c>
      <c r="K32" s="1262">
        <f t="shared" si="25"/>
        <v>-179114.31</v>
      </c>
      <c r="R32" s="236"/>
      <c r="AP32" s="236"/>
    </row>
    <row r="33" spans="2:42" s="73" customFormat="1" x14ac:dyDescent="0.25">
      <c r="B33" s="1141" t="s">
        <v>1148</v>
      </c>
      <c r="C33" s="73">
        <f>'RU Summary Q1 2020'!U24</f>
        <v>26562.22</v>
      </c>
      <c r="D33" s="1261"/>
      <c r="E33" s="1261"/>
      <c r="F33" s="1262">
        <f t="shared" si="24"/>
        <v>26562.22</v>
      </c>
      <c r="H33" s="73">
        <f t="shared" si="26"/>
        <v>-26562.22</v>
      </c>
      <c r="K33" s="1262">
        <f t="shared" si="25"/>
        <v>-26562.22</v>
      </c>
      <c r="R33" s="236"/>
      <c r="AP33" s="236"/>
    </row>
    <row r="34" spans="2:42" s="73" customFormat="1" ht="15.75" thickBot="1" x14ac:dyDescent="0.3">
      <c r="B34" s="1261" t="s">
        <v>1149</v>
      </c>
      <c r="C34" s="1259">
        <f ca="1">C29+SUM(C31:C33)</f>
        <v>2950438.004411547</v>
      </c>
      <c r="D34" s="1259">
        <f t="shared" ref="D34:F34" si="27">D29+SUM(D31:D33)</f>
        <v>12931222.786695357</v>
      </c>
      <c r="E34" s="1259">
        <f t="shared" si="27"/>
        <v>2731505.1765269004</v>
      </c>
      <c r="F34" s="1264">
        <f t="shared" ca="1" si="27"/>
        <v>13150155.614580002</v>
      </c>
      <c r="H34" s="1259">
        <f t="shared" ref="H34" si="28">H29+SUM(H31:H33)</f>
        <v>-561807.80197143275</v>
      </c>
      <c r="I34" s="1259">
        <f t="shared" ref="I34" si="29">I29+SUM(I31:I33)</f>
        <v>-3371811.6126919808</v>
      </c>
      <c r="J34" s="1259">
        <f t="shared" ref="J34" si="30">J29+SUM(J31:J33)</f>
        <v>-755473.06035811012</v>
      </c>
      <c r="K34" s="1264">
        <f t="shared" ref="K34" si="31">K29+SUM(K31:K33)</f>
        <v>-3178146.3543053032</v>
      </c>
      <c r="R34" s="236"/>
      <c r="AP34" s="236"/>
    </row>
    <row r="35" spans="2:42" s="73" customFormat="1" x14ac:dyDescent="0.25">
      <c r="C35" s="236">
        <f ca="1">'RU Summary Q1 2020'!U41-C34</f>
        <v>0</v>
      </c>
      <c r="D35" s="236">
        <f>'RU Summary Q4 2019'!W35-D34</f>
        <v>0</v>
      </c>
      <c r="E35" s="236">
        <f>'RU Summary Q1 2019'!V39-E34</f>
        <v>0</v>
      </c>
      <c r="H35" s="236">
        <f>'RU Summary Q1 2020'!P20/'2020 Assumptions'!$B$4+'RU Summary Q1 2020'!P35-H34</f>
        <v>0</v>
      </c>
      <c r="I35" s="236">
        <f>SUM('RU Summary Q4 2019'!J25:P25)/Assumptions!$B$4+SUM('RU Summary Q4 2019'!J35:P35)-I34</f>
        <v>0</v>
      </c>
      <c r="J35" s="236">
        <f>SUM('RU Summary Q1 2019'!J25:P25)/'Assumptions (3)'!$B$4+SUM('RU Summary Q1 2019'!J39:P39)-J34</f>
        <v>0</v>
      </c>
      <c r="R35" s="236"/>
      <c r="AP35" s="236"/>
    </row>
  </sheetData>
  <mergeCells count="9">
    <mergeCell ref="AR4:AT4"/>
    <mergeCell ref="AL4:AO4"/>
    <mergeCell ref="M4:Q4"/>
    <mergeCell ref="W2:AO3"/>
    <mergeCell ref="C4:F4"/>
    <mergeCell ref="H4:K4"/>
    <mergeCell ref="W4:Z4"/>
    <mergeCell ref="AB4:AE4"/>
    <mergeCell ref="AG4:AJ4"/>
  </mergeCells>
  <pageMargins left="0.7" right="0.7" top="0.75" bottom="0.75" header="0.3" footer="0.3"/>
  <pageSetup orientation="portrait" r:id="rId1"/>
  <ignoredErrors>
    <ignoredError sqref="I7:I28" 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sheetPr>
  <dimension ref="A1:F70"/>
  <sheetViews>
    <sheetView zoomScaleNormal="100" workbookViewId="0">
      <pane xSplit="1" ySplit="2" topLeftCell="B15" activePane="bottomRight" state="frozen"/>
      <selection activeCell="E28" sqref="E28"/>
      <selection pane="topRight" activeCell="E28" sqref="E28"/>
      <selection pane="bottomLeft" activeCell="E28" sqref="E28"/>
      <selection pane="bottomRight" activeCell="E28" sqref="E28"/>
    </sheetView>
  </sheetViews>
  <sheetFormatPr defaultColWidth="8.7109375" defaultRowHeight="15" x14ac:dyDescent="0.25"/>
  <cols>
    <col min="1" max="1" width="44.7109375" style="180" customWidth="1"/>
    <col min="2" max="2" width="12.7109375" style="178" bestFit="1" customWidth="1"/>
    <col min="3" max="16384" width="8.7109375" style="180"/>
  </cols>
  <sheetData>
    <row r="1" spans="1:6" x14ac:dyDescent="0.25">
      <c r="B1" s="178" t="s">
        <v>344</v>
      </c>
    </row>
    <row r="2" spans="1:6" x14ac:dyDescent="0.25">
      <c r="B2" s="181" t="s">
        <v>328</v>
      </c>
    </row>
    <row r="3" spans="1:6" x14ac:dyDescent="0.25">
      <c r="A3" s="198" t="s">
        <v>240</v>
      </c>
      <c r="B3" s="307">
        <v>5.9484400000000006</v>
      </c>
      <c r="C3" s="180" t="s">
        <v>166</v>
      </c>
      <c r="E3" s="180">
        <f t="shared" ref="E3:E20" si="0">B3</f>
        <v>5.9484400000000006</v>
      </c>
      <c r="F3" s="180" t="s">
        <v>166</v>
      </c>
    </row>
    <row r="4" spans="1:6" x14ac:dyDescent="0.25">
      <c r="A4" s="198" t="s">
        <v>280</v>
      </c>
      <c r="B4" s="307">
        <v>0</v>
      </c>
      <c r="C4" s="180" t="s">
        <v>166</v>
      </c>
      <c r="E4" s="180">
        <f t="shared" si="0"/>
        <v>0</v>
      </c>
      <c r="F4" s="180" t="s">
        <v>166</v>
      </c>
    </row>
    <row r="5" spans="1:6" x14ac:dyDescent="0.25">
      <c r="A5" s="198" t="s">
        <v>241</v>
      </c>
      <c r="B5" s="307">
        <v>208.61052000000001</v>
      </c>
      <c r="C5" s="180" t="s">
        <v>166</v>
      </c>
      <c r="E5" s="180">
        <f t="shared" si="0"/>
        <v>208.61052000000001</v>
      </c>
      <c r="F5" s="180" t="s">
        <v>166</v>
      </c>
    </row>
    <row r="6" spans="1:6" x14ac:dyDescent="0.25">
      <c r="A6" s="198" t="s">
        <v>242</v>
      </c>
      <c r="B6" s="307">
        <v>0</v>
      </c>
      <c r="C6" s="180" t="s">
        <v>166</v>
      </c>
      <c r="E6" s="180">
        <f t="shared" si="0"/>
        <v>0</v>
      </c>
      <c r="F6" s="180" t="s">
        <v>166</v>
      </c>
    </row>
    <row r="7" spans="1:6" x14ac:dyDescent="0.25">
      <c r="A7" s="198" t="s">
        <v>281</v>
      </c>
      <c r="B7" s="307">
        <v>0.108</v>
      </c>
      <c r="C7" s="180" t="s">
        <v>166</v>
      </c>
      <c r="E7" s="180">
        <f t="shared" si="0"/>
        <v>0.108</v>
      </c>
      <c r="F7" s="180" t="s">
        <v>166</v>
      </c>
    </row>
    <row r="8" spans="1:6" x14ac:dyDescent="0.25">
      <c r="A8" s="198" t="s">
        <v>243</v>
      </c>
      <c r="B8" s="307">
        <v>18.376090000000001</v>
      </c>
      <c r="C8" s="180" t="s">
        <v>166</v>
      </c>
      <c r="E8" s="180">
        <f t="shared" si="0"/>
        <v>18.376090000000001</v>
      </c>
      <c r="F8" s="180" t="s">
        <v>166</v>
      </c>
    </row>
    <row r="9" spans="1:6" x14ac:dyDescent="0.25">
      <c r="A9" s="198" t="s">
        <v>244</v>
      </c>
      <c r="B9" s="307">
        <v>107.24674</v>
      </c>
      <c r="C9" s="180" t="s">
        <v>166</v>
      </c>
      <c r="E9" s="180">
        <f t="shared" si="0"/>
        <v>107.24674</v>
      </c>
      <c r="F9" s="180" t="s">
        <v>166</v>
      </c>
    </row>
    <row r="10" spans="1:6" x14ac:dyDescent="0.25">
      <c r="A10" s="198" t="s">
        <v>245</v>
      </c>
      <c r="B10" s="307">
        <v>67.681449999999998</v>
      </c>
      <c r="C10" s="180" t="s">
        <v>166</v>
      </c>
      <c r="E10" s="180">
        <f t="shared" si="0"/>
        <v>67.681449999999998</v>
      </c>
      <c r="F10" s="180" t="s">
        <v>166</v>
      </c>
    </row>
    <row r="11" spans="1:6" x14ac:dyDescent="0.25">
      <c r="A11" s="198" t="s">
        <v>246</v>
      </c>
      <c r="B11" s="307">
        <v>31.868449999999999</v>
      </c>
      <c r="C11" s="180" t="s">
        <v>166</v>
      </c>
      <c r="E11" s="180">
        <f t="shared" si="0"/>
        <v>31.868449999999999</v>
      </c>
      <c r="F11" s="180" t="s">
        <v>166</v>
      </c>
    </row>
    <row r="12" spans="1:6" x14ac:dyDescent="0.25">
      <c r="A12" s="198" t="s">
        <v>247</v>
      </c>
      <c r="B12" s="307">
        <v>34.617550000000001</v>
      </c>
      <c r="C12" s="180" t="s">
        <v>166</v>
      </c>
      <c r="E12" s="180">
        <f t="shared" si="0"/>
        <v>34.617550000000001</v>
      </c>
      <c r="F12" s="180" t="s">
        <v>166</v>
      </c>
    </row>
    <row r="13" spans="1:6" x14ac:dyDescent="0.25">
      <c r="A13" s="198" t="s">
        <v>248</v>
      </c>
      <c r="B13" s="307">
        <v>1.1679299999999999</v>
      </c>
      <c r="C13" s="180" t="s">
        <v>166</v>
      </c>
      <c r="E13" s="180">
        <f t="shared" si="0"/>
        <v>1.1679299999999999</v>
      </c>
      <c r="F13" s="180" t="s">
        <v>166</v>
      </c>
    </row>
    <row r="14" spans="1:6" x14ac:dyDescent="0.25">
      <c r="A14" s="198" t="s">
        <v>282</v>
      </c>
      <c r="B14" s="307">
        <v>0</v>
      </c>
      <c r="C14" s="180" t="s">
        <v>166</v>
      </c>
      <c r="E14" s="180">
        <f t="shared" si="0"/>
        <v>0</v>
      </c>
      <c r="F14" s="180" t="s">
        <v>166</v>
      </c>
    </row>
    <row r="15" spans="1:6" x14ac:dyDescent="0.25">
      <c r="A15" s="198" t="s">
        <v>249</v>
      </c>
      <c r="B15" s="307">
        <v>0.75600000000000001</v>
      </c>
      <c r="C15" s="180" t="s">
        <v>166</v>
      </c>
      <c r="E15" s="180">
        <f t="shared" si="0"/>
        <v>0.75600000000000001</v>
      </c>
      <c r="F15" s="180" t="s">
        <v>166</v>
      </c>
    </row>
    <row r="16" spans="1:6" x14ac:dyDescent="0.25">
      <c r="A16" s="198" t="s">
        <v>250</v>
      </c>
      <c r="B16" s="307">
        <v>0.19739999999999999</v>
      </c>
      <c r="C16" s="180" t="s">
        <v>166</v>
      </c>
      <c r="E16" s="180">
        <f t="shared" si="0"/>
        <v>0.19739999999999999</v>
      </c>
      <c r="F16" s="180" t="s">
        <v>166</v>
      </c>
    </row>
    <row r="17" spans="1:6" x14ac:dyDescent="0.25">
      <c r="A17" s="198" t="s">
        <v>251</v>
      </c>
      <c r="B17" s="307">
        <v>0</v>
      </c>
      <c r="C17" s="180" t="s">
        <v>166</v>
      </c>
      <c r="E17" s="180">
        <f t="shared" si="0"/>
        <v>0</v>
      </c>
      <c r="F17" s="180" t="s">
        <v>166</v>
      </c>
    </row>
    <row r="18" spans="1:6" x14ac:dyDescent="0.25">
      <c r="A18" s="198" t="s">
        <v>252</v>
      </c>
      <c r="B18" s="307">
        <v>0</v>
      </c>
      <c r="C18" s="180" t="s">
        <v>166</v>
      </c>
      <c r="E18" s="180">
        <f t="shared" si="0"/>
        <v>0</v>
      </c>
      <c r="F18" s="180" t="s">
        <v>166</v>
      </c>
    </row>
    <row r="19" spans="1:6" x14ac:dyDescent="0.25">
      <c r="A19" s="198" t="s">
        <v>300</v>
      </c>
      <c r="B19" s="307">
        <v>0</v>
      </c>
      <c r="C19" s="180" t="s">
        <v>166</v>
      </c>
      <c r="E19" s="180">
        <f t="shared" si="0"/>
        <v>0</v>
      </c>
      <c r="F19" s="180" t="s">
        <v>166</v>
      </c>
    </row>
    <row r="20" spans="1:6" x14ac:dyDescent="0.25">
      <c r="A20" s="198" t="s">
        <v>307</v>
      </c>
      <c r="B20" s="307">
        <v>15.837</v>
      </c>
      <c r="C20" s="180" t="s">
        <v>166</v>
      </c>
      <c r="E20" s="180">
        <f t="shared" si="0"/>
        <v>15.837</v>
      </c>
      <c r="F20" s="180" t="s">
        <v>166</v>
      </c>
    </row>
    <row r="21" spans="1:6" x14ac:dyDescent="0.25">
      <c r="B21" s="180"/>
    </row>
    <row r="22" spans="1:6" x14ac:dyDescent="0.25">
      <c r="B22" s="180"/>
    </row>
    <row r="23" spans="1:6" x14ac:dyDescent="0.25">
      <c r="A23" s="198" t="s">
        <v>218</v>
      </c>
      <c r="B23" s="302">
        <v>277.69156999999996</v>
      </c>
      <c r="C23" s="180" t="s">
        <v>167</v>
      </c>
      <c r="E23" s="180">
        <f>B23/'2020 Assumptions'!$B$4</f>
        <v>206.58500967117985</v>
      </c>
      <c r="F23" s="180" t="s">
        <v>166</v>
      </c>
    </row>
    <row r="24" spans="1:6" x14ac:dyDescent="0.25">
      <c r="A24" s="198" t="s">
        <v>219</v>
      </c>
      <c r="B24" s="302">
        <v>0</v>
      </c>
      <c r="C24" s="180" t="s">
        <v>167</v>
      </c>
      <c r="E24" s="180">
        <f>B24/'2020 Assumptions'!$B$4</f>
        <v>0</v>
      </c>
      <c r="F24" s="180" t="s">
        <v>166</v>
      </c>
    </row>
    <row r="25" spans="1:6" x14ac:dyDescent="0.25">
      <c r="A25" s="198" t="s">
        <v>220</v>
      </c>
      <c r="B25" s="302">
        <v>55.330889999999997</v>
      </c>
      <c r="C25" s="180" t="s">
        <v>167</v>
      </c>
      <c r="E25" s="180">
        <f>B25/'2020 Assumptions'!$B$4</f>
        <v>41.162691563755388</v>
      </c>
      <c r="F25" s="180" t="s">
        <v>166</v>
      </c>
    </row>
    <row r="26" spans="1:6" x14ac:dyDescent="0.25">
      <c r="A26" s="198" t="s">
        <v>301</v>
      </c>
      <c r="B26" s="302">
        <v>0</v>
      </c>
      <c r="C26" s="180" t="s">
        <v>167</v>
      </c>
      <c r="E26" s="180">
        <f>B26/'2020 Assumptions'!$B$4</f>
        <v>0</v>
      </c>
      <c r="F26" s="180" t="s">
        <v>166</v>
      </c>
    </row>
    <row r="27" spans="1:6" x14ac:dyDescent="0.25">
      <c r="A27" s="198" t="s">
        <v>221</v>
      </c>
      <c r="B27" s="302">
        <v>60.306429999999999</v>
      </c>
      <c r="C27" s="180" t="s">
        <v>167</v>
      </c>
      <c r="E27" s="180">
        <f>B27/'2020 Assumptions'!$B$4</f>
        <v>44.864179437583687</v>
      </c>
      <c r="F27" s="180" t="s">
        <v>166</v>
      </c>
    </row>
    <row r="28" spans="1:6" x14ac:dyDescent="0.25">
      <c r="A28" s="198" t="s">
        <v>222</v>
      </c>
      <c r="B28" s="302">
        <v>12.824529999999999</v>
      </c>
      <c r="C28" s="180" t="s">
        <v>167</v>
      </c>
      <c r="E28" s="180">
        <f>B28/'2020 Assumptions'!$B$4</f>
        <v>9.5406412736199968</v>
      </c>
      <c r="F28" s="180" t="s">
        <v>166</v>
      </c>
    </row>
    <row r="29" spans="1:6" x14ac:dyDescent="0.25">
      <c r="A29" s="198" t="s">
        <v>223</v>
      </c>
      <c r="B29" s="302">
        <v>213.00848999999999</v>
      </c>
      <c r="C29" s="180" t="s">
        <v>167</v>
      </c>
      <c r="E29" s="180">
        <f>B29/'2020 Assumptions'!$B$4</f>
        <v>158.46487873828298</v>
      </c>
      <c r="F29" s="180" t="s">
        <v>166</v>
      </c>
    </row>
    <row r="30" spans="1:6" x14ac:dyDescent="0.25">
      <c r="A30" s="198" t="s">
        <v>224</v>
      </c>
      <c r="B30" s="302">
        <v>444.24162000000001</v>
      </c>
      <c r="C30" s="180" t="s">
        <v>167</v>
      </c>
      <c r="E30" s="180">
        <f>B30/'2020 Assumptions'!$B$4</f>
        <v>330.48773991965481</v>
      </c>
      <c r="F30" s="180" t="s">
        <v>166</v>
      </c>
    </row>
    <row r="31" spans="1:6" x14ac:dyDescent="0.25">
      <c r="A31" s="198" t="s">
        <v>225</v>
      </c>
      <c r="B31" s="302">
        <v>34.085520000000002</v>
      </c>
      <c r="C31" s="180" t="s">
        <v>167</v>
      </c>
      <c r="E31" s="180">
        <f>B31/'2020 Assumptions'!$B$4</f>
        <v>25.357476565987206</v>
      </c>
      <c r="F31" s="180" t="s">
        <v>166</v>
      </c>
    </row>
    <row r="32" spans="1:6" x14ac:dyDescent="0.25">
      <c r="A32" s="198" t="s">
        <v>283</v>
      </c>
      <c r="B32" s="302">
        <v>5.9947800000000004</v>
      </c>
      <c r="C32" s="180" t="s">
        <v>167</v>
      </c>
      <c r="E32" s="180">
        <f>B32/'2020 Assumptions'!$B$4</f>
        <v>4.4597381342062192</v>
      </c>
      <c r="F32" s="180" t="s">
        <v>166</v>
      </c>
    </row>
    <row r="33" spans="1:6" x14ac:dyDescent="0.25">
      <c r="A33" s="198" t="s">
        <v>226</v>
      </c>
      <c r="B33" s="302">
        <v>4.1342100000000013</v>
      </c>
      <c r="C33" s="180" t="s">
        <v>167</v>
      </c>
      <c r="E33" s="180">
        <f>B33/'2020 Assumptions'!$B$4</f>
        <v>3.0755914298467499</v>
      </c>
      <c r="F33" s="180" t="s">
        <v>166</v>
      </c>
    </row>
    <row r="34" spans="1:6" x14ac:dyDescent="0.25">
      <c r="A34" s="198" t="s">
        <v>227</v>
      </c>
      <c r="B34" s="302">
        <v>7.5285300000000008</v>
      </c>
      <c r="C34" s="180" t="s">
        <v>167</v>
      </c>
      <c r="E34" s="180">
        <f>B34/'2020 Assumptions'!$B$4</f>
        <v>5.6007513762832914</v>
      </c>
      <c r="F34" s="180" t="s">
        <v>166</v>
      </c>
    </row>
    <row r="35" spans="1:6" x14ac:dyDescent="0.25">
      <c r="A35" s="198" t="s">
        <v>228</v>
      </c>
      <c r="B35" s="302">
        <v>29.572140000000001</v>
      </c>
      <c r="C35" s="180" t="s">
        <v>167</v>
      </c>
      <c r="E35" s="180">
        <f>B35/'2020 Assumptions'!$B$4</f>
        <v>21.999806576402321</v>
      </c>
      <c r="F35" s="180" t="s">
        <v>166</v>
      </c>
    </row>
    <row r="36" spans="1:6" x14ac:dyDescent="0.25">
      <c r="A36" s="198" t="s">
        <v>229</v>
      </c>
      <c r="B36" s="302">
        <v>2.6519999999999998E-2</v>
      </c>
      <c r="C36" s="180" t="s">
        <v>167</v>
      </c>
      <c r="E36" s="180">
        <f>B36/'2020 Assumptions'!$B$4</f>
        <v>1.9729206963249514E-2</v>
      </c>
      <c r="F36" s="180" t="s">
        <v>166</v>
      </c>
    </row>
    <row r="37" spans="1:6" x14ac:dyDescent="0.25">
      <c r="A37" s="198" t="s">
        <v>284</v>
      </c>
      <c r="B37" s="302">
        <v>6.2989800000000011</v>
      </c>
      <c r="C37" s="180" t="s">
        <v>167</v>
      </c>
      <c r="E37" s="180">
        <f>B37/'2020 Assumptions'!$B$4</f>
        <v>4.6860437434905524</v>
      </c>
      <c r="F37" s="180" t="s">
        <v>166</v>
      </c>
    </row>
    <row r="38" spans="1:6" x14ac:dyDescent="0.25">
      <c r="B38" s="180"/>
    </row>
    <row r="39" spans="1:6" x14ac:dyDescent="0.25">
      <c r="B39" s="180"/>
    </row>
    <row r="40" spans="1:6" x14ac:dyDescent="0.25">
      <c r="B40" s="180"/>
    </row>
    <row r="41" spans="1:6" x14ac:dyDescent="0.25">
      <c r="A41" s="198" t="s">
        <v>230</v>
      </c>
      <c r="B41" s="304">
        <v>-5.7437100000000001</v>
      </c>
      <c r="C41" s="180" t="s">
        <v>167</v>
      </c>
      <c r="E41" s="180">
        <f>B41/'2020 Assumptions'!$B$4</f>
        <v>-4.2729578931706591</v>
      </c>
      <c r="F41" s="180" t="s">
        <v>166</v>
      </c>
    </row>
    <row r="42" spans="1:6" x14ac:dyDescent="0.25">
      <c r="A42" s="198" t="s">
        <v>289</v>
      </c>
      <c r="B42" s="304">
        <v>0</v>
      </c>
      <c r="C42" s="180" t="s">
        <v>167</v>
      </c>
      <c r="E42" s="180">
        <f>B42/'2020 Assumptions'!$B$4</f>
        <v>0</v>
      </c>
      <c r="F42" s="180" t="s">
        <v>166</v>
      </c>
    </row>
    <row r="43" spans="1:6" x14ac:dyDescent="0.25">
      <c r="A43" s="198" t="s">
        <v>231</v>
      </c>
      <c r="B43" s="304">
        <v>68.61439</v>
      </c>
      <c r="C43" s="180" t="s">
        <v>167</v>
      </c>
      <c r="E43" s="180">
        <f>B43/'2020 Assumptions'!$B$4</f>
        <v>51.04477756286267</v>
      </c>
      <c r="F43" s="180" t="s">
        <v>166</v>
      </c>
    </row>
    <row r="44" spans="1:6" x14ac:dyDescent="0.25">
      <c r="A44" s="198" t="s">
        <v>232</v>
      </c>
      <c r="B44" s="304">
        <v>1.4509399999999999</v>
      </c>
      <c r="C44" s="180" t="s">
        <v>167</v>
      </c>
      <c r="E44" s="180">
        <f>B44/'2020 Assumptions'!$B$4</f>
        <v>1.0794078262163367</v>
      </c>
      <c r="F44" s="180" t="s">
        <v>166</v>
      </c>
    </row>
    <row r="45" spans="1:6" x14ac:dyDescent="0.25">
      <c r="A45" s="198" t="s">
        <v>233</v>
      </c>
      <c r="B45" s="304">
        <v>189.24713</v>
      </c>
      <c r="C45" s="180" t="s">
        <v>167</v>
      </c>
      <c r="E45" s="180">
        <f>B45/'2020 Assumptions'!$B$4</f>
        <v>140.78792590388335</v>
      </c>
      <c r="F45" s="180" t="s">
        <v>166</v>
      </c>
    </row>
    <row r="46" spans="1:6" x14ac:dyDescent="0.25">
      <c r="A46" s="198" t="s">
        <v>234</v>
      </c>
      <c r="B46" s="304">
        <v>0.97826000000000002</v>
      </c>
      <c r="C46" s="180" t="s">
        <v>167</v>
      </c>
      <c r="E46" s="180">
        <f>B46/'2020 Assumptions'!$B$4</f>
        <v>0.72776372563606606</v>
      </c>
      <c r="F46" s="180" t="s">
        <v>166</v>
      </c>
    </row>
    <row r="47" spans="1:6" x14ac:dyDescent="0.25">
      <c r="A47" s="198" t="s">
        <v>302</v>
      </c>
      <c r="B47" s="304">
        <v>12.91442</v>
      </c>
      <c r="C47" s="180" t="s">
        <v>167</v>
      </c>
      <c r="E47" s="180">
        <f>B47/'2020 Assumptions'!$B$4</f>
        <v>9.6075137628329106</v>
      </c>
      <c r="F47" s="180" t="s">
        <v>166</v>
      </c>
    </row>
    <row r="48" spans="1:6" x14ac:dyDescent="0.25">
      <c r="A48" s="198" t="s">
        <v>235</v>
      </c>
      <c r="B48" s="304">
        <v>5.7494699999999996</v>
      </c>
      <c r="C48" s="180" t="s">
        <v>167</v>
      </c>
      <c r="E48" s="180">
        <f>B48/'2020 Assumptions'!$B$4</f>
        <v>4.2772429697961609</v>
      </c>
      <c r="F48" s="180" t="s">
        <v>166</v>
      </c>
    </row>
    <row r="49" spans="1:6" x14ac:dyDescent="0.25">
      <c r="A49" s="198" t="s">
        <v>236</v>
      </c>
      <c r="B49" s="304">
        <v>4.6376100000000013</v>
      </c>
      <c r="C49" s="180" t="s">
        <v>167</v>
      </c>
      <c r="E49" s="180">
        <f>B49/'2020 Assumptions'!$B$4</f>
        <v>3.450089272429699</v>
      </c>
      <c r="F49" s="180" t="s">
        <v>166</v>
      </c>
    </row>
    <row r="50" spans="1:6" x14ac:dyDescent="0.25">
      <c r="A50" s="198"/>
      <c r="B50" s="180"/>
    </row>
    <row r="51" spans="1:6" x14ac:dyDescent="0.25">
      <c r="A51" s="198" t="s">
        <v>290</v>
      </c>
      <c r="B51" s="306">
        <v>0</v>
      </c>
      <c r="C51" s="180" t="s">
        <v>166</v>
      </c>
      <c r="E51" s="180">
        <f>B51</f>
        <v>0</v>
      </c>
      <c r="F51" s="180" t="s">
        <v>166</v>
      </c>
    </row>
    <row r="52" spans="1:6" x14ac:dyDescent="0.25">
      <c r="A52" s="198" t="s">
        <v>237</v>
      </c>
      <c r="B52" s="306">
        <v>-28.000299999999999</v>
      </c>
      <c r="C52" s="180" t="s">
        <v>166</v>
      </c>
      <c r="E52" s="180">
        <f t="shared" ref="E52:E64" si="1">B52</f>
        <v>-28.000299999999999</v>
      </c>
      <c r="F52" s="180" t="s">
        <v>166</v>
      </c>
    </row>
    <row r="53" spans="1:6" x14ac:dyDescent="0.25">
      <c r="A53" s="198" t="s">
        <v>238</v>
      </c>
      <c r="B53" s="306">
        <v>7.4519799999999998</v>
      </c>
      <c r="C53" s="180" t="s">
        <v>166</v>
      </c>
      <c r="E53" s="180">
        <f t="shared" si="1"/>
        <v>7.4519799999999998</v>
      </c>
      <c r="F53" s="180" t="s">
        <v>166</v>
      </c>
    </row>
    <row r="54" spans="1:6" x14ac:dyDescent="0.25">
      <c r="A54" s="198" t="s">
        <v>239</v>
      </c>
      <c r="B54" s="306">
        <v>2.75223</v>
      </c>
      <c r="C54" s="180" t="s">
        <v>166</v>
      </c>
      <c r="E54" s="180">
        <f t="shared" si="1"/>
        <v>2.75223</v>
      </c>
      <c r="F54" s="180" t="s">
        <v>166</v>
      </c>
    </row>
    <row r="55" spans="1:6" x14ac:dyDescent="0.25">
      <c r="A55" s="198" t="s">
        <v>304</v>
      </c>
      <c r="B55" s="306">
        <v>-3.145</v>
      </c>
      <c r="C55" s="180" t="s">
        <v>166</v>
      </c>
      <c r="E55" s="180">
        <f t="shared" si="1"/>
        <v>-3.145</v>
      </c>
      <c r="F55" s="180" t="s">
        <v>166</v>
      </c>
    </row>
    <row r="56" spans="1:6" x14ac:dyDescent="0.25">
      <c r="A56" s="198" t="s">
        <v>308</v>
      </c>
      <c r="B56" s="306">
        <v>0</v>
      </c>
      <c r="C56" s="180" t="s">
        <v>166</v>
      </c>
      <c r="E56" s="180">
        <f t="shared" si="1"/>
        <v>0</v>
      </c>
      <c r="F56" s="180" t="s">
        <v>166</v>
      </c>
    </row>
    <row r="57" spans="1:6" x14ac:dyDescent="0.25">
      <c r="A57" s="198" t="s">
        <v>321</v>
      </c>
      <c r="B57" s="306">
        <v>0</v>
      </c>
      <c r="C57" s="180" t="s">
        <v>166</v>
      </c>
      <c r="E57" s="180">
        <f t="shared" si="1"/>
        <v>0</v>
      </c>
      <c r="F57" s="180" t="s">
        <v>166</v>
      </c>
    </row>
    <row r="58" spans="1:6" x14ac:dyDescent="0.25">
      <c r="A58" s="198" t="s">
        <v>322</v>
      </c>
      <c r="B58" s="306">
        <v>1.79512</v>
      </c>
      <c r="C58" s="180" t="s">
        <v>166</v>
      </c>
      <c r="E58" s="180">
        <f t="shared" si="1"/>
        <v>1.79512</v>
      </c>
      <c r="F58" s="180" t="s">
        <v>166</v>
      </c>
    </row>
    <row r="59" spans="1:6" x14ac:dyDescent="0.25">
      <c r="A59" s="198" t="s">
        <v>323</v>
      </c>
      <c r="B59" s="306">
        <v>0.52761999999999998</v>
      </c>
      <c r="C59" s="180" t="s">
        <v>166</v>
      </c>
      <c r="E59" s="180">
        <f t="shared" si="1"/>
        <v>0.52761999999999998</v>
      </c>
      <c r="F59" s="180" t="s">
        <v>166</v>
      </c>
    </row>
    <row r="60" spans="1:6" x14ac:dyDescent="0.25">
      <c r="A60" s="198" t="s">
        <v>324</v>
      </c>
      <c r="B60" s="306">
        <v>1.3729999999999999E-2</v>
      </c>
      <c r="C60" s="180" t="s">
        <v>166</v>
      </c>
      <c r="E60" s="180">
        <f t="shared" si="1"/>
        <v>1.3729999999999999E-2</v>
      </c>
      <c r="F60" s="180" t="s">
        <v>166</v>
      </c>
    </row>
    <row r="61" spans="1:6" x14ac:dyDescent="0.25">
      <c r="A61" s="198" t="s">
        <v>325</v>
      </c>
      <c r="B61" s="306">
        <v>0</v>
      </c>
      <c r="C61" s="180" t="s">
        <v>166</v>
      </c>
      <c r="E61" s="180">
        <f t="shared" si="1"/>
        <v>0</v>
      </c>
      <c r="F61" s="180" t="s">
        <v>166</v>
      </c>
    </row>
    <row r="62" spans="1:6" x14ac:dyDescent="0.25">
      <c r="A62" s="198" t="s">
        <v>326</v>
      </c>
      <c r="B62" s="306">
        <v>0</v>
      </c>
      <c r="C62" s="180" t="s">
        <v>166</v>
      </c>
      <c r="E62" s="180">
        <f t="shared" si="1"/>
        <v>0</v>
      </c>
      <c r="F62" s="180" t="s">
        <v>166</v>
      </c>
    </row>
    <row r="63" spans="1:6" x14ac:dyDescent="0.25">
      <c r="A63" s="198" t="s">
        <v>327</v>
      </c>
      <c r="B63" s="306">
        <v>0</v>
      </c>
      <c r="C63" s="180" t="s">
        <v>166</v>
      </c>
      <c r="E63" s="180">
        <f t="shared" si="1"/>
        <v>0</v>
      </c>
      <c r="F63" s="180" t="s">
        <v>166</v>
      </c>
    </row>
    <row r="64" spans="1:6" x14ac:dyDescent="0.25">
      <c r="A64" s="179" t="s">
        <v>315</v>
      </c>
      <c r="B64" s="180">
        <v>0</v>
      </c>
      <c r="C64" s="180" t="s">
        <v>166</v>
      </c>
      <c r="E64" s="180">
        <f t="shared" si="1"/>
        <v>0</v>
      </c>
      <c r="F64" s="180" t="s">
        <v>166</v>
      </c>
    </row>
    <row r="65" spans="1:6" x14ac:dyDescent="0.25">
      <c r="A65" s="179" t="s">
        <v>421</v>
      </c>
      <c r="B65" s="180">
        <v>0</v>
      </c>
      <c r="C65" s="180" t="s">
        <v>166</v>
      </c>
      <c r="E65" s="180">
        <f t="shared" ref="E65" si="2">B65</f>
        <v>0</v>
      </c>
      <c r="F65" s="180" t="s">
        <v>166</v>
      </c>
    </row>
    <row r="66" spans="1:6" ht="15.75" thickBot="1" x14ac:dyDescent="0.3">
      <c r="B66" s="308">
        <f>SUM(B3:B65)</f>
        <v>1902.7036700000001</v>
      </c>
      <c r="E66" s="308">
        <f>SUM(E3:E65)</f>
        <v>1536.8169907677429</v>
      </c>
    </row>
    <row r="67" spans="1:6" x14ac:dyDescent="0.25">
      <c r="B67" s="310"/>
    </row>
    <row r="68" spans="1:6" x14ac:dyDescent="0.25">
      <c r="B68" s="310"/>
    </row>
    <row r="69" spans="1:6" x14ac:dyDescent="0.25">
      <c r="B69" s="73"/>
    </row>
    <row r="70" spans="1:6" x14ac:dyDescent="0.25">
      <c r="B70" s="310"/>
    </row>
  </sheetData>
  <pageMargins left="0.7" right="0.7" top="0.75" bottom="0.75" header="0.3" footer="0.3"/>
  <pageSetup orientation="portrait" r:id="rId1"/>
  <customProperties>
    <customPr name="AdaptiveCustomXmlPartId" r:id="rId2"/>
    <customPr name="AdaptiveReportingSheetKey" r:id="rId3"/>
    <customPr name="CurrentId" r:id="rId4"/>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7" tint="0.59999389629810485"/>
  </sheetPr>
  <dimension ref="A1:AK74"/>
  <sheetViews>
    <sheetView zoomScale="85" zoomScaleNormal="85" workbookViewId="0">
      <pane xSplit="12" ySplit="5" topLeftCell="Q6" activePane="bottomRight" state="frozen"/>
      <selection activeCell="W6" sqref="W6"/>
      <selection pane="topRight" activeCell="W6" sqref="W6"/>
      <selection pane="bottomLeft" activeCell="W6" sqref="W6"/>
      <selection pane="bottomRight" activeCell="W6" sqref="W6"/>
    </sheetView>
  </sheetViews>
  <sheetFormatPr defaultRowHeight="15" x14ac:dyDescent="0.25"/>
  <cols>
    <col min="1" max="1" width="4.42578125" customWidth="1"/>
    <col min="2" max="2" width="51.42578125" bestFit="1" customWidth="1"/>
    <col min="5" max="5" width="16.42578125" bestFit="1" customWidth="1"/>
    <col min="6" max="6" width="21.5703125" style="131" bestFit="1" customWidth="1"/>
    <col min="7" max="12" width="10.5703125" customWidth="1"/>
    <col min="14" max="14" width="8.7109375" style="131"/>
    <col min="16" max="18" width="8.7109375" style="131"/>
    <col min="21" max="21" width="8.7109375" style="166"/>
    <col min="24" max="24" width="9.140625" customWidth="1"/>
    <col min="27" max="27" width="11.28515625" customWidth="1"/>
    <col min="28" max="28" width="11.28515625" style="177" customWidth="1"/>
    <col min="29" max="29" width="10.5703125" style="131" customWidth="1"/>
    <col min="30" max="31" width="8.7109375" style="131"/>
    <col min="32" max="32" width="9.5703125" style="131" customWidth="1"/>
    <col min="33" max="33" width="10.5703125" style="131" customWidth="1"/>
    <col min="34" max="35" width="10.5703125" style="166" customWidth="1"/>
    <col min="36" max="36" width="10.5703125" style="177" customWidth="1"/>
    <col min="37" max="37" width="10.5703125" customWidth="1"/>
  </cols>
  <sheetData>
    <row r="1" spans="1:37" s="131" customFormat="1" ht="15.75" thickBot="1" x14ac:dyDescent="0.3">
      <c r="M1" s="131" t="s">
        <v>287</v>
      </c>
      <c r="N1" s="131" t="s">
        <v>287</v>
      </c>
      <c r="O1" s="131" t="s">
        <v>287</v>
      </c>
      <c r="P1" s="131" t="s">
        <v>287</v>
      </c>
      <c r="Q1" s="131" t="s">
        <v>287</v>
      </c>
      <c r="R1" s="131" t="s">
        <v>287</v>
      </c>
      <c r="S1" s="131" t="s">
        <v>287</v>
      </c>
      <c r="T1" s="131" t="s">
        <v>287</v>
      </c>
      <c r="U1" s="166" t="s">
        <v>287</v>
      </c>
      <c r="V1" s="131" t="s">
        <v>287</v>
      </c>
      <c r="W1" s="131" t="s">
        <v>287</v>
      </c>
      <c r="X1" s="131" t="s">
        <v>287</v>
      </c>
      <c r="Y1" s="131" t="s">
        <v>287</v>
      </c>
      <c r="Z1" s="131" t="s">
        <v>287</v>
      </c>
      <c r="AA1" s="131" t="s">
        <v>287</v>
      </c>
      <c r="AB1" s="172" t="s">
        <v>287</v>
      </c>
      <c r="AC1" s="131" t="s">
        <v>287</v>
      </c>
      <c r="AD1" s="131" t="s">
        <v>287</v>
      </c>
      <c r="AE1" s="131" t="s">
        <v>287</v>
      </c>
      <c r="AF1" s="131" t="s">
        <v>287</v>
      </c>
      <c r="AG1" s="131" t="s">
        <v>288</v>
      </c>
      <c r="AH1" s="166" t="s">
        <v>288</v>
      </c>
      <c r="AI1" s="166" t="s">
        <v>287</v>
      </c>
      <c r="AJ1" s="177" t="s">
        <v>288</v>
      </c>
      <c r="AK1" s="172" t="s">
        <v>287</v>
      </c>
    </row>
    <row r="2" spans="1:37" ht="15.75" thickBot="1" x14ac:dyDescent="0.3">
      <c r="B2" t="s">
        <v>193</v>
      </c>
      <c r="C2" s="139" t="s">
        <v>197</v>
      </c>
      <c r="K2" s="117" t="s">
        <v>198</v>
      </c>
      <c r="L2" s="118"/>
      <c r="M2" s="158" t="str">
        <f>'2020 Assumptions'!B16</f>
        <v>Yes</v>
      </c>
      <c r="AB2" s="172"/>
      <c r="AK2" s="172"/>
    </row>
    <row r="3" spans="1:37" ht="34.5" thickBot="1" x14ac:dyDescent="0.3">
      <c r="B3" t="s">
        <v>129</v>
      </c>
      <c r="O3" s="155" t="s">
        <v>191</v>
      </c>
      <c r="P3" s="157"/>
      <c r="Q3" s="155" t="s">
        <v>192</v>
      </c>
      <c r="R3" s="157"/>
      <c r="S3" s="155" t="s">
        <v>203</v>
      </c>
      <c r="T3" s="156"/>
      <c r="U3" s="156"/>
      <c r="V3" s="156"/>
      <c r="W3" s="156"/>
      <c r="X3" s="156"/>
      <c r="Y3" s="156"/>
      <c r="Z3" s="156"/>
      <c r="AA3" s="157"/>
      <c r="AB3" s="324"/>
      <c r="AC3" s="155" t="s">
        <v>204</v>
      </c>
      <c r="AD3" s="156"/>
      <c r="AE3" s="157"/>
      <c r="AF3" s="3" t="s">
        <v>181</v>
      </c>
      <c r="AG3" s="3" t="s">
        <v>181</v>
      </c>
      <c r="AH3" s="167" t="s">
        <v>201</v>
      </c>
      <c r="AK3" s="172" t="s">
        <v>99</v>
      </c>
    </row>
    <row r="4" spans="1:37" ht="15.75" thickBot="1" x14ac:dyDescent="0.3">
      <c r="J4" s="155" t="s">
        <v>183</v>
      </c>
      <c r="K4" s="156"/>
      <c r="L4" s="156"/>
      <c r="M4" s="156"/>
      <c r="N4" s="157"/>
      <c r="O4" s="3" t="s">
        <v>167</v>
      </c>
      <c r="P4" s="3" t="s">
        <v>166</v>
      </c>
      <c r="Q4" s="3" t="s">
        <v>0</v>
      </c>
      <c r="R4" s="3" t="s">
        <v>181</v>
      </c>
      <c r="S4" t="s">
        <v>99</v>
      </c>
      <c r="T4" t="s">
        <v>106</v>
      </c>
      <c r="U4" s="166" t="s">
        <v>18</v>
      </c>
      <c r="V4" t="s">
        <v>297</v>
      </c>
      <c r="W4" t="s">
        <v>1</v>
      </c>
      <c r="X4" t="s">
        <v>109</v>
      </c>
      <c r="Y4" t="s">
        <v>156</v>
      </c>
      <c r="Z4" t="s">
        <v>110</v>
      </c>
      <c r="AA4" t="s">
        <v>178</v>
      </c>
      <c r="AB4" s="172" t="s">
        <v>297</v>
      </c>
      <c r="AC4" s="131" t="s">
        <v>201</v>
      </c>
      <c r="AD4" s="131" t="s">
        <v>182</v>
      </c>
      <c r="AE4" s="131" t="s">
        <v>202</v>
      </c>
      <c r="AF4" s="3" t="s">
        <v>166</v>
      </c>
      <c r="AG4" s="3" t="s">
        <v>166</v>
      </c>
      <c r="AH4" s="3" t="s">
        <v>167</v>
      </c>
      <c r="AI4" s="109" t="s">
        <v>178</v>
      </c>
      <c r="AJ4" s="109" t="s">
        <v>178</v>
      </c>
      <c r="AK4" s="327" t="s">
        <v>1</v>
      </c>
    </row>
    <row r="5" spans="1:37" ht="75" x14ac:dyDescent="0.25">
      <c r="B5" t="s">
        <v>66</v>
      </c>
      <c r="C5" t="s">
        <v>179</v>
      </c>
      <c r="D5" t="s">
        <v>180</v>
      </c>
      <c r="E5" t="s">
        <v>199</v>
      </c>
      <c r="F5" s="152" t="s">
        <v>200</v>
      </c>
      <c r="G5" s="319" t="s">
        <v>175</v>
      </c>
      <c r="H5" s="319" t="s">
        <v>177</v>
      </c>
      <c r="I5" s="319" t="s">
        <v>176</v>
      </c>
      <c r="J5" s="319" t="s">
        <v>184</v>
      </c>
      <c r="K5" s="319" t="s">
        <v>185</v>
      </c>
      <c r="L5" s="319" t="s">
        <v>186</v>
      </c>
      <c r="M5" s="152" t="s">
        <v>132</v>
      </c>
      <c r="N5" s="152" t="s">
        <v>196</v>
      </c>
      <c r="O5" s="152" t="s">
        <v>188</v>
      </c>
      <c r="P5" s="152" t="s">
        <v>187</v>
      </c>
      <c r="Q5" s="152" t="s">
        <v>189</v>
      </c>
      <c r="R5" s="152" t="s">
        <v>190</v>
      </c>
      <c r="S5" s="152" t="s">
        <v>99</v>
      </c>
      <c r="T5" s="152" t="s">
        <v>106</v>
      </c>
      <c r="U5" s="152" t="s">
        <v>18</v>
      </c>
      <c r="V5" s="152" t="s">
        <v>297</v>
      </c>
      <c r="W5" s="152" t="s">
        <v>1</v>
      </c>
      <c r="X5" s="152" t="s">
        <v>109</v>
      </c>
      <c r="Y5" s="152" t="s">
        <v>156</v>
      </c>
      <c r="Z5" s="152" t="s">
        <v>110</v>
      </c>
      <c r="AA5" s="152" t="s">
        <v>178</v>
      </c>
      <c r="AB5" s="325" t="s">
        <v>408</v>
      </c>
      <c r="AC5" s="152" t="s">
        <v>210</v>
      </c>
      <c r="AD5" s="152" t="s">
        <v>182</v>
      </c>
      <c r="AE5" s="152" t="s">
        <v>202</v>
      </c>
      <c r="AF5" s="152" t="s">
        <v>209</v>
      </c>
      <c r="AG5" s="152" t="s">
        <v>205</v>
      </c>
      <c r="AH5" s="152" t="s">
        <v>211</v>
      </c>
      <c r="AI5" s="152" t="s">
        <v>285</v>
      </c>
      <c r="AJ5" s="152" t="s">
        <v>286</v>
      </c>
      <c r="AK5" s="325" t="s">
        <v>409</v>
      </c>
    </row>
    <row r="6" spans="1:37" x14ac:dyDescent="0.25">
      <c r="A6">
        <v>1</v>
      </c>
      <c r="B6" t="s">
        <v>72</v>
      </c>
      <c r="C6" t="s">
        <v>167</v>
      </c>
      <c r="D6" s="131" t="s">
        <v>0</v>
      </c>
      <c r="E6" s="131" t="s">
        <v>99</v>
      </c>
      <c r="F6" s="131" t="s">
        <v>201</v>
      </c>
      <c r="G6" s="320">
        <f>IF($C6="CAD",VLOOKUP($B6,Canada!$B$4:$H$49,4,FALSE)/'2020 Assumptions'!$B$4/1000,VLOOKUP($B6,US!$B$5:$E$17,2,FALSE))</f>
        <v>1213.5715167896826</v>
      </c>
      <c r="H6" s="320">
        <f>IF($C6="CAD",VLOOKUP($B6,Canada!$B$4:$H$49,5,FALSE)/'2020 Assumptions'!$B$5/1000,VLOOKUP($B6,US!$B$5:$E$17,3,FALSE))</f>
        <v>3341.6324319657319</v>
      </c>
      <c r="I6" s="320">
        <f>IF($C6="CAD",VLOOKUP($B6,Canada!$B$4:$H$49,7,FALSE),VLOOKUP($B6,US!$B$5:$E$17,4,FALSE))</f>
        <v>1.7558885879002362</v>
      </c>
      <c r="J6" s="321">
        <f>G6/SUM(G:G)</f>
        <v>3.6019357877769944E-3</v>
      </c>
      <c r="K6" s="321">
        <f t="shared" ref="K6:K53" si="0">H6/SUM(H:H)</f>
        <v>1.5298654647651817E-3</v>
      </c>
      <c r="L6" s="321">
        <f t="shared" ref="L6:L53" si="1">I6/SUM(I:I)</f>
        <v>2.131553593158488E-3</v>
      </c>
      <c r="M6" s="44">
        <f>AVERAGE(J6:L6)</f>
        <v>2.4211182819002214E-3</v>
      </c>
      <c r="N6" s="44">
        <f>M6*(1-$N$54)</f>
        <v>2.3726959162622169E-3</v>
      </c>
      <c r="O6" s="77">
        <f>IF($C6=O$4,AVERAGE($G6/SUMIFS($G:$G,$C:$C,O$4),$H6/SUMIFS($H:$H,$C:$C,O$4),$I6/SUMIFS($I:$I,$C:$C,O$4)),0)</f>
        <v>2.6124008399521715E-2</v>
      </c>
      <c r="P6" s="77">
        <f t="shared" ref="O6:P25" si="2">IF($C6=P$4,AVERAGE($G6/SUMIFS($G:$G,$C:$C,P$4),$H6/SUMIFS($H:$H,$C:$C,P$4),$I6/SUMIFS($I:$I,$C:$C,P$4)),0)</f>
        <v>0</v>
      </c>
      <c r="Q6" s="77">
        <f t="shared" ref="Q6:R25" si="3">IF($D6=Q$4,AVERAGE($G6/SUMIFS($G:$G,$D:$D,Q$4),$H6/SUMIFS($H:$H,$D:$D,Q$4),$I6/SUMIFS($I:$I,$D:$D,Q$4)),0)</f>
        <v>3.4430233121855946E-3</v>
      </c>
      <c r="R6" s="77">
        <f t="shared" si="3"/>
        <v>0</v>
      </c>
      <c r="S6" s="77">
        <f t="shared" ref="S6:Z15" si="4">IF($E6=S$4,AVERAGE($G6/SUMIFS($G:$G,$E:$E,S$4),$H6/SUMIFS($H:$H,$E:$E,S$4),$I6/SUMIFS($I:$I,$E:$E,S$4)),0)</f>
        <v>3.6186393279133575E-2</v>
      </c>
      <c r="T6" s="77">
        <f t="shared" si="4"/>
        <v>0</v>
      </c>
      <c r="U6" s="77">
        <f t="shared" si="4"/>
        <v>0</v>
      </c>
      <c r="V6" s="77">
        <f t="shared" si="4"/>
        <v>0</v>
      </c>
      <c r="W6" s="77">
        <f t="shared" si="4"/>
        <v>0</v>
      </c>
      <c r="X6" s="77">
        <f t="shared" si="4"/>
        <v>0</v>
      </c>
      <c r="Y6" s="77">
        <f t="shared" si="4"/>
        <v>0</v>
      </c>
      <c r="Z6" s="77">
        <f t="shared" si="4"/>
        <v>0</v>
      </c>
      <c r="AA6" s="77">
        <f t="shared" ref="AA6:AA53" si="5">IFERROR(IF($E6=AA$4,AVERAGE($G6/SUMIFS($G:$G,$E:$E,AA$4),$H6/SUMIFS($H:$H,$E:$E,AA$4),$I6/SUMIFS($I:$I,$E:$E,AA$4)),0),1)</f>
        <v>0</v>
      </c>
      <c r="AB6" s="175">
        <f t="shared" ref="AB6:AB53" si="6">IF($E6&lt;&gt;AB$4,AVERAGE($G6/SUMIFS($G:$G,$E:$E,"&lt;&gt;"&amp;AB$4),$H6/SUMIFS($H:$H,$E:$E,"&lt;&gt;"&amp;AB$4),$I6/SUMIFS($I:$I,$E:$E,"&lt;&gt;"&amp;AB$4)),0)</f>
        <v>5.1172532602285952E-3</v>
      </c>
      <c r="AC6" s="77">
        <f t="shared" ref="AC6:AE25" si="7">IF($F6=AC$4,AVERAGE($G6/SUMIFS($G:$G,$F:$F,AC$4),$H6/SUMIFS($H:$H,$F:$F,AC$4),$I6/SUMIFS($I:$I,$F:$F,AC$4)),0)</f>
        <v>6.4996145167699635E-3</v>
      </c>
      <c r="AD6" s="77">
        <f t="shared" si="7"/>
        <v>0</v>
      </c>
      <c r="AE6" s="77">
        <f t="shared" si="7"/>
        <v>0</v>
      </c>
      <c r="AF6" s="77">
        <f t="shared" ref="AF6:AF53" si="8">IF(AND($C6=AF$4,$D6=AF$3),AVERAGE($G6/SUMIFS($G:$G,$C:$C,AF$4,$D:$D,AF$3),$H6/SUMIFS($H:$H,$C:$C,AF$4,$D:$D,AF$3),$I6/SUMIFS($I:$I,$C:$C,AF$4,$D:$D,AF$3)),0)</f>
        <v>0</v>
      </c>
      <c r="AG6" s="77">
        <f t="shared" ref="AG6:AG53" si="9">IF(AND($C6=AG$4,$D6=AG$3),$I6/SUMIFS($I:$I,$C:$C,AG$4,$D:$D,AG$3),0)</f>
        <v>0</v>
      </c>
      <c r="AH6" s="77">
        <f t="shared" ref="AH6:AH53" si="10">IF(AND($C6=AH$4,$F6=AH$3),$I6/SUMIFS($I:$I,$C:$C,AH$4,$F:$F,AH$3),0)</f>
        <v>1.3690071634962079E-2</v>
      </c>
      <c r="AI6" s="77">
        <f t="shared" ref="AI6:AI53" si="11">IF($E6&lt;&gt;AI$4,AVERAGE($G6/SUMIFS($G:$G,$E:$E,"&lt;&gt;"&amp;AI$4),$H6/SUMIFS($H:$H,$E:$E,"&lt;&gt;"&amp;AI$4),$I6/SUMIFS($I:$I,$E:$E,"&lt;&gt;"&amp;AI$4)),0)</f>
        <v>2.846116201173894E-3</v>
      </c>
      <c r="AJ6" s="77">
        <f t="shared" ref="AJ6:AJ53" si="12">IF($E6&lt;&gt;AJ$4,$I6/SUMIFS($I:$I,$E:$E,"&lt;&gt;"&amp;AJ$4),0)</f>
        <v>2.3719890145357525E-3</v>
      </c>
      <c r="AK6" s="175">
        <f>IF(OR($E6=AK$4,$E6=AK$3),AVERAGE($G6/(SUMIFS($G:$G,$E:$E,AK$4)+SUMIFS($G:$G,$E:$E,AK$3)),$H6/(SUMIFS($H:$H,$E:$E,AK$4)+SUMIFS($H:$H,$E:$E,AK$3)),$I6/(SUMIFS($I:$I,$E:$E,AK$4)+SUMIFS($I:$I,$E:$E,AK$3))),0)</f>
        <v>1.3815665907148394E-2</v>
      </c>
    </row>
    <row r="7" spans="1:37" x14ac:dyDescent="0.25">
      <c r="A7">
        <v>2</v>
      </c>
      <c r="B7" t="s">
        <v>73</v>
      </c>
      <c r="C7" s="131" t="s">
        <v>167</v>
      </c>
      <c r="D7" s="131" t="s">
        <v>0</v>
      </c>
      <c r="E7" s="131" t="s">
        <v>99</v>
      </c>
      <c r="F7" s="131" t="s">
        <v>201</v>
      </c>
      <c r="G7" s="320">
        <f>IF($C7="CAD",VLOOKUP($B7,Canada!$B$4:$H$49,4,FALSE)/'2020 Assumptions'!$B$4/1000,VLOOKUP($B7,US!$B$5:$E$17,2,FALSE))</f>
        <v>508.78900150032143</v>
      </c>
      <c r="H7" s="320">
        <f>IF($C7="CAD",VLOOKUP($B7,Canada!$B$4:$H$49,5,FALSE)/'2020 Assumptions'!$B$5/1000,VLOOKUP($B7,US!$B$5:$E$17,3,FALSE))</f>
        <v>451.87153409596527</v>
      </c>
      <c r="I7" s="320">
        <f>IF($C7="CAD",VLOOKUP($B7,Canada!$B$4:$H$49,7,FALSE),VLOOKUP($B7,US!$B$5:$E$17,4,FALSE))</f>
        <v>0.46927114412435894</v>
      </c>
      <c r="J7" s="321">
        <f t="shared" ref="J7:J53" si="13">G7/SUM(G:G)</f>
        <v>1.5101090356662787E-3</v>
      </c>
      <c r="K7" s="321">
        <f t="shared" si="0"/>
        <v>2.0687573172648951E-4</v>
      </c>
      <c r="L7" s="321">
        <f t="shared" si="1"/>
        <v>5.6966973890982685E-4</v>
      </c>
      <c r="M7" s="44">
        <f t="shared" ref="M7:M53" si="14">AVERAGE(J7:L7)</f>
        <v>7.622181687675318E-4</v>
      </c>
      <c r="N7" s="44">
        <f t="shared" ref="N7:N53" si="15">M7*(1-$N$54)</f>
        <v>7.4697380539218117E-4</v>
      </c>
      <c r="O7" s="77">
        <f t="shared" si="2"/>
        <v>7.1383046045861162E-3</v>
      </c>
      <c r="P7" s="77">
        <f t="shared" si="2"/>
        <v>0</v>
      </c>
      <c r="Q7" s="77">
        <f t="shared" si="3"/>
        <v>1.0864078704483438E-3</v>
      </c>
      <c r="R7" s="77">
        <f t="shared" si="3"/>
        <v>0</v>
      </c>
      <c r="S7" s="77">
        <f t="shared" si="4"/>
        <v>9.7640168633579636E-3</v>
      </c>
      <c r="T7" s="77">
        <f t="shared" si="4"/>
        <v>0</v>
      </c>
      <c r="U7" s="77">
        <f t="shared" si="4"/>
        <v>0</v>
      </c>
      <c r="V7" s="77">
        <f t="shared" si="4"/>
        <v>0</v>
      </c>
      <c r="W7" s="77">
        <f t="shared" si="4"/>
        <v>0</v>
      </c>
      <c r="X7" s="77">
        <f t="shared" si="4"/>
        <v>0</v>
      </c>
      <c r="Y7" s="77">
        <f t="shared" si="4"/>
        <v>0</v>
      </c>
      <c r="Z7" s="77">
        <f t="shared" si="4"/>
        <v>0</v>
      </c>
      <c r="AA7" s="77">
        <f t="shared" si="5"/>
        <v>0</v>
      </c>
      <c r="AB7" s="175">
        <f t="shared" si="6"/>
        <v>1.6022327683892796E-3</v>
      </c>
      <c r="AC7" s="77">
        <f>IF($F7=AC$4,AVERAGE($G7/SUMIFS($G:$G,$F:$F,AC$4),$H7/SUMIFS($H:$H,$F:$F,AC$4),$I7/SUMIFS($I:$I,$F:$F,AC$4)),0)</f>
        <v>2.0012433329298796E-3</v>
      </c>
      <c r="AD7" s="77">
        <f t="shared" si="7"/>
        <v>0</v>
      </c>
      <c r="AE7" s="77">
        <f t="shared" si="7"/>
        <v>0</v>
      </c>
      <c r="AF7" s="77">
        <f t="shared" si="8"/>
        <v>0</v>
      </c>
      <c r="AG7" s="77">
        <f t="shared" si="9"/>
        <v>0</v>
      </c>
      <c r="AH7" s="77">
        <f t="shared" si="10"/>
        <v>3.6587489796067285E-3</v>
      </c>
      <c r="AI7" s="77">
        <f t="shared" si="11"/>
        <v>8.945445667720922E-4</v>
      </c>
      <c r="AJ7" s="77">
        <f t="shared" si="12"/>
        <v>6.3392746349169072E-4</v>
      </c>
      <c r="AK7" s="175">
        <f t="shared" ref="AK7:AK53" si="16">IF(OR($E7=AK$4,$E7=AK$3),AVERAGE($G7/(SUMIFS($G:$G,$E:$E,AK$4)+SUMIFS($G:$G,$E:$E,AK$3)),$H7/(SUMIFS($H:$H,$E:$E,AK$4)+SUMIFS($H:$H,$E:$E,AK$3)),$I7/(SUMIFS($I:$I,$E:$E,AK$4)+SUMIFS($I:$I,$E:$E,AK$3))),0)</f>
        <v>4.3133763894536801E-3</v>
      </c>
    </row>
    <row r="8" spans="1:37" x14ac:dyDescent="0.25">
      <c r="A8">
        <v>3</v>
      </c>
      <c r="B8" t="s">
        <v>74</v>
      </c>
      <c r="C8" s="131" t="s">
        <v>167</v>
      </c>
      <c r="D8" s="131" t="s">
        <v>0</v>
      </c>
      <c r="E8" s="131" t="s">
        <v>99</v>
      </c>
      <c r="F8" s="131" t="s">
        <v>201</v>
      </c>
      <c r="G8" s="320">
        <f>IF($C8="CAD",VLOOKUP($B8,Canada!$B$4:$H$49,4,FALSE)/'2020 Assumptions'!$B$4/1000,VLOOKUP($B8,US!$B$5:$E$17,2,FALSE))</f>
        <v>618.97442828242799</v>
      </c>
      <c r="H8" s="320">
        <f>IF($C8="CAD",VLOOKUP($B8,Canada!$B$4:$H$49,5,FALSE)/'2020 Assumptions'!$B$5/1000,VLOOKUP($B8,US!$B$5:$E$17,3,FALSE))</f>
        <v>161.53015291340714</v>
      </c>
      <c r="I8" s="320">
        <f>IF($C8="CAD",VLOOKUP($B8,Canada!$B$4:$H$49,7,FALSE),VLOOKUP($B8,US!$B$5:$E$17,4,FALSE))</f>
        <v>0.46173829906009267</v>
      </c>
      <c r="J8" s="321">
        <f>G8/SUM(G:G)</f>
        <v>1.8371444237972054E-3</v>
      </c>
      <c r="K8" s="321">
        <f>H8/SUM(H:H)</f>
        <v>7.3951700999948475E-5</v>
      </c>
      <c r="L8" s="321">
        <f>I8/SUM(I:I)</f>
        <v>5.605252732107564E-4</v>
      </c>
      <c r="M8" s="44">
        <f>AVERAGE(J8:L8)</f>
        <v>8.2387379933597006E-4</v>
      </c>
      <c r="N8" s="44">
        <f>M8*(1-$N$54)</f>
        <v>8.0739632334925063E-4</v>
      </c>
      <c r="O8" s="77">
        <f t="shared" si="2"/>
        <v>7.1241447289112731E-3</v>
      </c>
      <c r="P8" s="77">
        <f t="shared" si="2"/>
        <v>0</v>
      </c>
      <c r="Q8" s="77">
        <f t="shared" si="3"/>
        <v>1.1756340561173398E-3</v>
      </c>
      <c r="R8" s="77">
        <f t="shared" si="3"/>
        <v>0</v>
      </c>
      <c r="S8" s="77">
        <f t="shared" si="4"/>
        <v>9.6669538663387549E-3</v>
      </c>
      <c r="T8" s="77">
        <f t="shared" si="4"/>
        <v>0</v>
      </c>
      <c r="U8" s="77">
        <f t="shared" si="4"/>
        <v>0</v>
      </c>
      <c r="V8" s="77">
        <f t="shared" si="4"/>
        <v>0</v>
      </c>
      <c r="W8" s="77">
        <f t="shared" si="4"/>
        <v>0</v>
      </c>
      <c r="X8" s="77">
        <f t="shared" si="4"/>
        <v>0</v>
      </c>
      <c r="Y8" s="77">
        <f t="shared" si="4"/>
        <v>0</v>
      </c>
      <c r="Z8" s="77">
        <f t="shared" si="4"/>
        <v>0</v>
      </c>
      <c r="AA8" s="77">
        <f t="shared" si="5"/>
        <v>0</v>
      </c>
      <c r="AB8" s="175">
        <f t="shared" si="6"/>
        <v>1.7270521084689289E-3</v>
      </c>
      <c r="AC8" s="77">
        <f t="shared" si="7"/>
        <v>2.1386286599310482E-3</v>
      </c>
      <c r="AD8" s="77">
        <f t="shared" si="7"/>
        <v>0</v>
      </c>
      <c r="AE8" s="77">
        <f t="shared" si="7"/>
        <v>0</v>
      </c>
      <c r="AF8" s="77">
        <f t="shared" si="8"/>
        <v>0</v>
      </c>
      <c r="AG8" s="77">
        <f t="shared" si="9"/>
        <v>0</v>
      </c>
      <c r="AH8" s="77">
        <f t="shared" si="10"/>
        <v>3.6000179249968244E-3</v>
      </c>
      <c r="AI8" s="77">
        <f t="shared" si="11"/>
        <v>9.6610239704206539E-4</v>
      </c>
      <c r="AJ8" s="77">
        <f t="shared" si="12"/>
        <v>6.2375151846660989E-4</v>
      </c>
      <c r="AK8" s="175">
        <f t="shared" si="16"/>
        <v>4.6426311000868185E-3</v>
      </c>
    </row>
    <row r="9" spans="1:37" x14ac:dyDescent="0.25">
      <c r="A9">
        <v>4</v>
      </c>
      <c r="B9" t="s">
        <v>75</v>
      </c>
      <c r="C9" s="131" t="s">
        <v>167</v>
      </c>
      <c r="D9" s="131" t="s">
        <v>0</v>
      </c>
      <c r="E9" s="131" t="s">
        <v>99</v>
      </c>
      <c r="F9" s="131" t="s">
        <v>201</v>
      </c>
      <c r="G9" s="320">
        <f>IF($C9="CAD",VLOOKUP($B9,Canada!$B$4:$H$49,4,FALSE)/'2020 Assumptions'!$B$4/1000,VLOOKUP($B9,US!$B$5:$E$17,2,FALSE))</f>
        <v>363.92114120639343</v>
      </c>
      <c r="H9" s="320">
        <f>IF($C9="CAD",VLOOKUP($B9,Canada!$B$4:$H$49,5,FALSE)/'2020 Assumptions'!$B$5/1000,VLOOKUP($B9,US!$B$5:$E$17,3,FALSE))</f>
        <v>3311.4275725577836</v>
      </c>
      <c r="I9" s="320">
        <f>IF($C9="CAD",VLOOKUP($B9,Canada!$B$4:$H$49,7,FALSE),VLOOKUP($B9,US!$B$5:$E$17,4,FALSE))</f>
        <v>1.1759277021030807</v>
      </c>
      <c r="J9" s="321">
        <f>G9/SUM(G:G)</f>
        <v>1.0801345980066576E-3</v>
      </c>
      <c r="K9" s="321">
        <f t="shared" si="0"/>
        <v>1.5160370823152527E-3</v>
      </c>
      <c r="L9" s="321">
        <f t="shared" si="1"/>
        <v>1.4275125061948635E-3</v>
      </c>
      <c r="M9" s="44">
        <f>AVERAGE(J9:L9)</f>
        <v>1.3412280621722579E-3</v>
      </c>
      <c r="N9" s="44">
        <f t="shared" si="15"/>
        <v>1.3144035009288128E-3</v>
      </c>
      <c r="O9" s="77">
        <f t="shared" si="2"/>
        <v>1.7114551766562385E-2</v>
      </c>
      <c r="P9" s="77">
        <f t="shared" si="2"/>
        <v>0</v>
      </c>
      <c r="Q9" s="77">
        <f t="shared" si="3"/>
        <v>1.9013164064331613E-3</v>
      </c>
      <c r="R9" s="77">
        <f t="shared" si="3"/>
        <v>0</v>
      </c>
      <c r="S9" s="77">
        <f t="shared" si="4"/>
        <v>2.4007931791270615E-2</v>
      </c>
      <c r="T9" s="77">
        <f t="shared" si="4"/>
        <v>0</v>
      </c>
      <c r="U9" s="77">
        <f t="shared" si="4"/>
        <v>0</v>
      </c>
      <c r="V9" s="77">
        <f t="shared" si="4"/>
        <v>0</v>
      </c>
      <c r="W9" s="77">
        <f t="shared" si="4"/>
        <v>0</v>
      </c>
      <c r="X9" s="77">
        <f t="shared" si="4"/>
        <v>0</v>
      </c>
      <c r="Y9" s="77">
        <f t="shared" si="4"/>
        <v>0</v>
      </c>
      <c r="Z9" s="77">
        <f t="shared" si="4"/>
        <v>0</v>
      </c>
      <c r="AA9" s="77">
        <f t="shared" si="5"/>
        <v>0</v>
      </c>
      <c r="AB9" s="175">
        <f t="shared" si="6"/>
        <v>2.8561816411568608E-3</v>
      </c>
      <c r="AC9" s="77">
        <f t="shared" si="7"/>
        <v>3.7100147989414141E-3</v>
      </c>
      <c r="AD9" s="77">
        <f t="shared" si="7"/>
        <v>0</v>
      </c>
      <c r="AE9" s="77">
        <f t="shared" si="7"/>
        <v>0</v>
      </c>
      <c r="AF9" s="77">
        <f t="shared" si="8"/>
        <v>0</v>
      </c>
      <c r="AG9" s="77">
        <f t="shared" si="9"/>
        <v>0</v>
      </c>
      <c r="AH9" s="77">
        <f t="shared" si="10"/>
        <v>9.1683120388514026E-3</v>
      </c>
      <c r="AI9" s="77">
        <f t="shared" si="11"/>
        <v>1.5802454018164949E-3</v>
      </c>
      <c r="AJ9" s="77">
        <f t="shared" si="12"/>
        <v>1.5885333559871946E-3</v>
      </c>
      <c r="AK9" s="175">
        <f t="shared" si="16"/>
        <v>7.7412637166120535E-3</v>
      </c>
    </row>
    <row r="10" spans="1:37" x14ac:dyDescent="0.25">
      <c r="A10" s="131">
        <v>5</v>
      </c>
      <c r="B10" t="s">
        <v>76</v>
      </c>
      <c r="C10" s="131" t="s">
        <v>167</v>
      </c>
      <c r="D10" s="131" t="s">
        <v>0</v>
      </c>
      <c r="E10" s="131" t="s">
        <v>99</v>
      </c>
      <c r="F10" s="131" t="s">
        <v>201</v>
      </c>
      <c r="G10" s="320">
        <f>IF($C10="CAD",VLOOKUP($B10,Canada!$B$4:$H$49,4,FALSE)/'2020 Assumptions'!$B$4/1000,VLOOKUP($B10,US!$B$5:$E$17,2,FALSE))</f>
        <v>705.448966669745</v>
      </c>
      <c r="H10" s="320">
        <f>IF($C10="CAD",VLOOKUP($B10,Canada!$B$4:$H$49,5,FALSE)/'2020 Assumptions'!$B$5/1000,VLOOKUP($B10,US!$B$5:$E$17,3,FALSE))</f>
        <v>1065.1554949767717</v>
      </c>
      <c r="I10" s="320">
        <f>IF($C10="CAD",VLOOKUP($B10,Canada!$B$4:$H$49,7,FALSE),VLOOKUP($B10,US!$B$5:$E$17,4,FALSE))</f>
        <v>0.77399542227112328</v>
      </c>
      <c r="J10" s="321">
        <f t="shared" si="13"/>
        <v>2.0938048103006182E-3</v>
      </c>
      <c r="K10" s="321">
        <f t="shared" si="0"/>
        <v>4.8764926710124075E-4</v>
      </c>
      <c r="L10" s="321">
        <f t="shared" si="1"/>
        <v>9.3958849940653012E-4</v>
      </c>
      <c r="M10" s="44">
        <f t="shared" si="14"/>
        <v>1.1736808589361295E-3</v>
      </c>
      <c r="N10" s="44">
        <f>M10*(1-$N$54)</f>
        <v>1.1502072417574069E-3</v>
      </c>
      <c r="O10" s="77">
        <f t="shared" si="2"/>
        <v>1.1660139129980851E-2</v>
      </c>
      <c r="P10" s="77">
        <f t="shared" si="2"/>
        <v>0</v>
      </c>
      <c r="Q10" s="77">
        <f t="shared" si="3"/>
        <v>1.6713536415665232E-3</v>
      </c>
      <c r="R10" s="77">
        <f t="shared" si="3"/>
        <v>0</v>
      </c>
      <c r="S10" s="77">
        <f t="shared" si="4"/>
        <v>1.6036923004038979E-2</v>
      </c>
      <c r="T10" s="77">
        <f t="shared" si="4"/>
        <v>0</v>
      </c>
      <c r="U10" s="77">
        <f t="shared" si="4"/>
        <v>0</v>
      </c>
      <c r="V10" s="77">
        <f t="shared" si="4"/>
        <v>0</v>
      </c>
      <c r="W10" s="77">
        <f t="shared" si="4"/>
        <v>0</v>
      </c>
      <c r="X10" s="77">
        <f t="shared" si="4"/>
        <v>0</v>
      </c>
      <c r="Y10" s="77">
        <f t="shared" si="4"/>
        <v>0</v>
      </c>
      <c r="Z10" s="77">
        <f t="shared" si="4"/>
        <v>0</v>
      </c>
      <c r="AA10" s="77">
        <f t="shared" si="5"/>
        <v>0</v>
      </c>
      <c r="AB10" s="175">
        <f t="shared" si="6"/>
        <v>2.4725607910472645E-3</v>
      </c>
      <c r="AC10" s="77">
        <f t="shared" si="7"/>
        <v>3.1092363245730868E-3</v>
      </c>
      <c r="AD10" s="77">
        <f t="shared" si="7"/>
        <v>0</v>
      </c>
      <c r="AE10" s="77">
        <f t="shared" si="7"/>
        <v>0</v>
      </c>
      <c r="AF10" s="77">
        <f t="shared" si="8"/>
        <v>0</v>
      </c>
      <c r="AG10" s="77">
        <f t="shared" si="9"/>
        <v>0</v>
      </c>
      <c r="AH10" s="77">
        <f t="shared" si="10"/>
        <v>6.0345814928358284E-3</v>
      </c>
      <c r="AI10" s="77">
        <f t="shared" si="11"/>
        <v>1.3783458287727785E-3</v>
      </c>
      <c r="AJ10" s="77">
        <f t="shared" si="12"/>
        <v>1.0455723965513784E-3</v>
      </c>
      <c r="AK10" s="175">
        <f t="shared" si="16"/>
        <v>6.664040944050713E-3</v>
      </c>
    </row>
    <row r="11" spans="1:37" x14ac:dyDescent="0.25">
      <c r="A11" s="131">
        <v>6</v>
      </c>
      <c r="B11" t="s">
        <v>77</v>
      </c>
      <c r="C11" s="131" t="s">
        <v>167</v>
      </c>
      <c r="D11" s="131" t="s">
        <v>0</v>
      </c>
      <c r="E11" s="131" t="s">
        <v>99</v>
      </c>
      <c r="F11" s="131" t="s">
        <v>201</v>
      </c>
      <c r="G11" s="320">
        <f>IF($C11="CAD",VLOOKUP($B11,Canada!$B$4:$H$49,4,FALSE)/'2020 Assumptions'!$B$4/1000,VLOOKUP($B11,US!$B$5:$E$17,2,FALSE))</f>
        <v>1204.6515225197916</v>
      </c>
      <c r="H11" s="320">
        <f>IF($C11="CAD",VLOOKUP($B11,Canada!$B$4:$H$49,5,FALSE)/'2020 Assumptions'!$B$5/1000,VLOOKUP($B11,US!$B$5:$E$17,3,FALSE))</f>
        <v>5613.7443683666152</v>
      </c>
      <c r="I11" s="320">
        <f>IF($C11="CAD",VLOOKUP($B11,Canada!$B$4:$H$49,7,FALSE),VLOOKUP($B11,US!$B$5:$E$17,4,FALSE))</f>
        <v>1.7189557410076588</v>
      </c>
      <c r="J11" s="321">
        <f t="shared" si="13"/>
        <v>3.5754608366571137E-3</v>
      </c>
      <c r="K11" s="321">
        <f t="shared" si="0"/>
        <v>2.5700832787680416E-3</v>
      </c>
      <c r="L11" s="321">
        <f t="shared" si="1"/>
        <v>2.0867191184418504E-3</v>
      </c>
      <c r="M11" s="44">
        <f t="shared" si="14"/>
        <v>2.7440877446223352E-3</v>
      </c>
      <c r="N11" s="44">
        <f t="shared" si="15"/>
        <v>2.6892059897298884E-3</v>
      </c>
      <c r="O11" s="77">
        <f>IF($C11=O$4,AVERAGE($G11/SUMIFS($G:$G,$C:$C,O$4),$H11/SUMIFS($H:$H,$C:$C,O$4),$I11/SUMIFS($I:$I,$C:$C,O$4)),0)</f>
        <v>3.3420787412103845E-2</v>
      </c>
      <c r="P11" s="77">
        <f t="shared" si="2"/>
        <v>0</v>
      </c>
      <c r="Q11" s="77">
        <f t="shared" si="3"/>
        <v>3.9141993236248909E-3</v>
      </c>
      <c r="R11" s="77">
        <f t="shared" si="3"/>
        <v>0</v>
      </c>
      <c r="S11" s="77">
        <f t="shared" si="4"/>
        <v>4.6004716925785359E-2</v>
      </c>
      <c r="T11" s="77">
        <f t="shared" si="4"/>
        <v>0</v>
      </c>
      <c r="U11" s="77">
        <f t="shared" si="4"/>
        <v>0</v>
      </c>
      <c r="V11" s="77">
        <f t="shared" si="4"/>
        <v>0</v>
      </c>
      <c r="W11" s="77">
        <f t="shared" si="4"/>
        <v>0</v>
      </c>
      <c r="X11" s="77">
        <f t="shared" si="4"/>
        <v>0</v>
      </c>
      <c r="Y11" s="77">
        <f t="shared" si="4"/>
        <v>0</v>
      </c>
      <c r="Z11" s="77">
        <f t="shared" si="4"/>
        <v>0</v>
      </c>
      <c r="AA11" s="77">
        <f t="shared" si="5"/>
        <v>0</v>
      </c>
      <c r="AB11" s="175">
        <f t="shared" si="6"/>
        <v>5.8122020011239159E-3</v>
      </c>
      <c r="AC11" s="77">
        <f t="shared" si="7"/>
        <v>7.4351902623472493E-3</v>
      </c>
      <c r="AD11" s="77">
        <f t="shared" si="7"/>
        <v>0</v>
      </c>
      <c r="AE11" s="77">
        <f t="shared" si="7"/>
        <v>0</v>
      </c>
      <c r="AF11" s="77">
        <f t="shared" si="8"/>
        <v>0</v>
      </c>
      <c r="AG11" s="77">
        <f t="shared" si="9"/>
        <v>0</v>
      </c>
      <c r="AH11" s="77">
        <f t="shared" si="10"/>
        <v>1.3402118673067667E-2</v>
      </c>
      <c r="AI11" s="77">
        <f t="shared" si="11"/>
        <v>3.2463459887399431E-3</v>
      </c>
      <c r="AJ11" s="77">
        <f t="shared" si="12"/>
        <v>2.3220972915025243E-3</v>
      </c>
      <c r="AK11" s="175">
        <f t="shared" si="16"/>
        <v>1.5959046350955772E-2</v>
      </c>
    </row>
    <row r="12" spans="1:37" x14ac:dyDescent="0.25">
      <c r="A12" s="131">
        <v>7</v>
      </c>
      <c r="B12" t="s">
        <v>78</v>
      </c>
      <c r="C12" s="131" t="s">
        <v>167</v>
      </c>
      <c r="D12" s="131" t="s">
        <v>0</v>
      </c>
      <c r="E12" s="131" t="s">
        <v>99</v>
      </c>
      <c r="F12" s="131" t="s">
        <v>201</v>
      </c>
      <c r="G12" s="320">
        <f>IF($C12="CAD",VLOOKUP($B12,Canada!$B$4:$H$49,4,FALSE)/'2020 Assumptions'!$B$4/1000,VLOOKUP($B12,US!$B$5:$E$17,2,FALSE))</f>
        <v>127.89636627049876</v>
      </c>
      <c r="H12" s="320">
        <f>IF($C12="CAD",VLOOKUP($B12,Canada!$B$4:$H$49,5,FALSE)/'2020 Assumptions'!$B$5/1000,VLOOKUP($B12,US!$B$5:$E$17,3,FALSE))</f>
        <v>1097.9755588124178</v>
      </c>
      <c r="I12" s="320">
        <f>IF($C12="CAD",VLOOKUP($B12,Canada!$B$4:$H$49,7,FALSE),VLOOKUP($B12,US!$B$5:$E$17,4,FALSE))</f>
        <v>0.25789846315185938</v>
      </c>
      <c r="J12" s="321">
        <f t="shared" si="13"/>
        <v>3.7960226688163191E-4</v>
      </c>
      <c r="K12" s="321">
        <f t="shared" si="0"/>
        <v>5.0267494189815641E-4</v>
      </c>
      <c r="L12" s="321">
        <f t="shared" si="1"/>
        <v>3.1307475860913297E-4</v>
      </c>
      <c r="M12" s="44">
        <f t="shared" si="14"/>
        <v>3.9845065579630708E-4</v>
      </c>
      <c r="N12" s="44">
        <f t="shared" si="15"/>
        <v>3.9048164268038095E-4</v>
      </c>
      <c r="O12" s="77">
        <f t="shared" si="2"/>
        <v>5.3946298545420645E-3</v>
      </c>
      <c r="P12" s="77">
        <f t="shared" si="2"/>
        <v>0</v>
      </c>
      <c r="Q12" s="77">
        <f t="shared" si="3"/>
        <v>5.68337161545383E-4</v>
      </c>
      <c r="R12" s="77">
        <f t="shared" si="3"/>
        <v>0</v>
      </c>
      <c r="S12" s="77">
        <f t="shared" si="4"/>
        <v>7.4495373983794431E-3</v>
      </c>
      <c r="T12" s="77">
        <f t="shared" si="4"/>
        <v>0</v>
      </c>
      <c r="U12" s="77">
        <f t="shared" si="4"/>
        <v>0</v>
      </c>
      <c r="V12" s="77">
        <f t="shared" si="4"/>
        <v>0</v>
      </c>
      <c r="W12" s="77">
        <f t="shared" si="4"/>
        <v>0</v>
      </c>
      <c r="X12" s="77">
        <f t="shared" si="4"/>
        <v>0</v>
      </c>
      <c r="Y12" s="77">
        <f t="shared" si="4"/>
        <v>0</v>
      </c>
      <c r="Z12" s="77">
        <f t="shared" si="4"/>
        <v>0</v>
      </c>
      <c r="AA12" s="77">
        <f t="shared" si="5"/>
        <v>0</v>
      </c>
      <c r="AB12" s="175">
        <f t="shared" si="6"/>
        <v>8.4723909286091173E-4</v>
      </c>
      <c r="AC12" s="77">
        <f t="shared" si="7"/>
        <v>1.0967695229736872E-3</v>
      </c>
      <c r="AD12" s="77">
        <f t="shared" si="7"/>
        <v>0</v>
      </c>
      <c r="AE12" s="77">
        <f t="shared" si="7"/>
        <v>0</v>
      </c>
      <c r="AF12" s="77">
        <f t="shared" si="8"/>
        <v>0</v>
      </c>
      <c r="AG12" s="77">
        <f t="shared" si="9"/>
        <v>0</v>
      </c>
      <c r="AH12" s="77">
        <f t="shared" si="10"/>
        <v>2.0107474126918714E-3</v>
      </c>
      <c r="AI12" s="77">
        <f t="shared" si="11"/>
        <v>4.7302509116217733E-4</v>
      </c>
      <c r="AJ12" s="77">
        <f t="shared" si="12"/>
        <v>3.483890297353084E-4</v>
      </c>
      <c r="AK12" s="175">
        <f t="shared" si="16"/>
        <v>2.3455817047018774E-3</v>
      </c>
    </row>
    <row r="13" spans="1:37" x14ac:dyDescent="0.25">
      <c r="A13" s="131">
        <v>8</v>
      </c>
      <c r="B13" t="s">
        <v>79</v>
      </c>
      <c r="C13" s="131" t="s">
        <v>167</v>
      </c>
      <c r="D13" s="131" t="s">
        <v>0</v>
      </c>
      <c r="E13" s="131" t="s">
        <v>99</v>
      </c>
      <c r="F13" s="131" t="s">
        <v>201</v>
      </c>
      <c r="G13" s="320">
        <f>IF($C13="CAD",VLOOKUP($B13,Canada!$B$4:$H$49,4,FALSE)/'2020 Assumptions'!$B$4/1000,VLOOKUP($B13,US!$B$5:$E$17,2,FALSE))</f>
        <v>280.2306951084143</v>
      </c>
      <c r="H13" s="320">
        <f>IF($C13="CAD",VLOOKUP($B13,Canada!$B$4:$H$49,5,FALSE)/'2020 Assumptions'!$B$5/1000,VLOOKUP($B13,US!$B$5:$E$17,3,FALSE))</f>
        <v>2389.3075429006994</v>
      </c>
      <c r="I13" s="320">
        <f>IF($C13="CAD",VLOOKUP($B13,Canada!$B$4:$H$49,7,FALSE),VLOOKUP($B13,US!$B$5:$E$17,4,FALSE))</f>
        <v>0.56260572128775888</v>
      </c>
      <c r="J13" s="321">
        <f t="shared" si="13"/>
        <v>8.317375248018035E-4</v>
      </c>
      <c r="K13" s="321">
        <f t="shared" si="0"/>
        <v>1.093872282187683E-3</v>
      </c>
      <c r="L13" s="321">
        <f t="shared" si="1"/>
        <v>6.8297285773496997E-4</v>
      </c>
      <c r="M13" s="44">
        <f>AVERAGE(J13:L13)</f>
        <v>8.6952755490815213E-4</v>
      </c>
      <c r="N13" s="44">
        <f t="shared" si="15"/>
        <v>8.521370038099891E-4</v>
      </c>
      <c r="O13" s="77">
        <f t="shared" si="2"/>
        <v>1.1759572324023563E-2</v>
      </c>
      <c r="P13" s="77">
        <f t="shared" si="2"/>
        <v>0</v>
      </c>
      <c r="Q13" s="77">
        <f t="shared" si="3"/>
        <v>1.2402664747129066E-3</v>
      </c>
      <c r="R13" s="77">
        <f t="shared" si="3"/>
        <v>0</v>
      </c>
      <c r="S13" s="77">
        <f t="shared" si="4"/>
        <v>1.6238486367473531E-2</v>
      </c>
      <c r="T13" s="77">
        <f t="shared" si="4"/>
        <v>0</v>
      </c>
      <c r="U13" s="77">
        <f t="shared" si="4"/>
        <v>0</v>
      </c>
      <c r="V13" s="77">
        <f t="shared" si="4"/>
        <v>0</v>
      </c>
      <c r="W13" s="77">
        <f t="shared" si="4"/>
        <v>0</v>
      </c>
      <c r="X13" s="77">
        <f t="shared" si="4"/>
        <v>0</v>
      </c>
      <c r="Y13" s="77">
        <f t="shared" si="4"/>
        <v>0</v>
      </c>
      <c r="Z13" s="77">
        <f t="shared" si="4"/>
        <v>0</v>
      </c>
      <c r="AA13" s="77">
        <f t="shared" si="5"/>
        <v>0</v>
      </c>
      <c r="AB13" s="175">
        <f t="shared" si="6"/>
        <v>1.8488270800710825E-3</v>
      </c>
      <c r="AC13" s="77">
        <f t="shared" si="7"/>
        <v>2.3930381701487299E-3</v>
      </c>
      <c r="AD13" s="77">
        <f t="shared" si="7"/>
        <v>0</v>
      </c>
      <c r="AE13" s="77">
        <f t="shared" si="7"/>
        <v>0</v>
      </c>
      <c r="AF13" s="77">
        <f t="shared" si="8"/>
        <v>0</v>
      </c>
      <c r="AG13" s="77">
        <f t="shared" si="9"/>
        <v>0</v>
      </c>
      <c r="AH13" s="77">
        <f t="shared" si="10"/>
        <v>4.3864472266315216E-3</v>
      </c>
      <c r="AI13" s="77">
        <f t="shared" si="11"/>
        <v>1.0322298376073782E-3</v>
      </c>
      <c r="AJ13" s="77">
        <f t="shared" si="12"/>
        <v>7.6001097085856171E-4</v>
      </c>
      <c r="AK13" s="175">
        <f t="shared" si="16"/>
        <v>5.118019247306445E-3</v>
      </c>
    </row>
    <row r="14" spans="1:37" x14ac:dyDescent="0.25">
      <c r="A14" s="131">
        <v>9</v>
      </c>
      <c r="B14" t="s">
        <v>80</v>
      </c>
      <c r="C14" s="131" t="s">
        <v>167</v>
      </c>
      <c r="D14" s="131" t="s">
        <v>0</v>
      </c>
      <c r="E14" s="131" t="s">
        <v>99</v>
      </c>
      <c r="F14" s="131" t="s">
        <v>201</v>
      </c>
      <c r="G14" s="320">
        <f>IF($C14="CAD",VLOOKUP($B14,Canada!$B$4:$H$49,4,FALSE)/'2020 Assumptions'!$B$4/1000,VLOOKUP($B14,US!$B$5:$E$17,2,FALSE))</f>
        <v>210.6764323155266</v>
      </c>
      <c r="H14" s="320">
        <f>IF($C14="CAD",VLOOKUP($B14,Canada!$B$4:$H$49,5,FALSE)/'2020 Assumptions'!$B$5/1000,VLOOKUP($B14,US!$B$5:$E$17,3,FALSE))</f>
        <v>2493.5351879515724</v>
      </c>
      <c r="I14" s="320">
        <f>IF($C14="CAD",VLOOKUP($B14,Canada!$B$4:$H$49,7,FALSE),VLOOKUP($B14,US!$B$5:$E$17,4,FALSE))</f>
        <v>0.52769789617976692</v>
      </c>
      <c r="J14" s="321">
        <f t="shared" si="13"/>
        <v>6.2529729043565201E-4</v>
      </c>
      <c r="K14" s="321">
        <f t="shared" si="0"/>
        <v>1.141589760959977E-3</v>
      </c>
      <c r="L14" s="321">
        <f t="shared" si="1"/>
        <v>6.4059664972779316E-4</v>
      </c>
      <c r="M14" s="44">
        <f t="shared" si="14"/>
        <v>8.0249456704114066E-4</v>
      </c>
      <c r="N14" s="44">
        <f t="shared" si="15"/>
        <v>7.8644467570031782E-4</v>
      </c>
      <c r="O14" s="77">
        <f t="shared" si="2"/>
        <v>1.1405523910277457E-2</v>
      </c>
      <c r="P14" s="77">
        <f t="shared" si="2"/>
        <v>0</v>
      </c>
      <c r="Q14" s="77">
        <f t="shared" si="3"/>
        <v>1.1446348214912462E-3</v>
      </c>
      <c r="R14" s="77">
        <f t="shared" si="3"/>
        <v>0</v>
      </c>
      <c r="S14" s="77">
        <f t="shared" si="4"/>
        <v>1.577132462941927E-2</v>
      </c>
      <c r="T14" s="77">
        <f t="shared" si="4"/>
        <v>0</v>
      </c>
      <c r="U14" s="77">
        <f t="shared" si="4"/>
        <v>0</v>
      </c>
      <c r="V14" s="77">
        <f t="shared" si="4"/>
        <v>0</v>
      </c>
      <c r="W14" s="77">
        <f t="shared" si="4"/>
        <v>0</v>
      </c>
      <c r="X14" s="77">
        <f t="shared" si="4"/>
        <v>0</v>
      </c>
      <c r="Y14" s="77">
        <f t="shared" si="4"/>
        <v>0</v>
      </c>
      <c r="Z14" s="77">
        <f t="shared" si="4"/>
        <v>0</v>
      </c>
      <c r="AA14" s="77">
        <f t="shared" si="5"/>
        <v>0</v>
      </c>
      <c r="AB14" s="175">
        <f t="shared" si="6"/>
        <v>1.7096515803307379E-3</v>
      </c>
      <c r="AC14" s="77">
        <f t="shared" si="7"/>
        <v>2.2260495211750895E-3</v>
      </c>
      <c r="AD14" s="77">
        <f t="shared" si="7"/>
        <v>0</v>
      </c>
      <c r="AE14" s="77">
        <f t="shared" si="7"/>
        <v>0</v>
      </c>
      <c r="AF14" s="77">
        <f t="shared" si="8"/>
        <v>0</v>
      </c>
      <c r="AG14" s="77">
        <f t="shared" si="9"/>
        <v>0</v>
      </c>
      <c r="AH14" s="77">
        <f t="shared" si="10"/>
        <v>4.1142826772163337E-3</v>
      </c>
      <c r="AI14" s="77">
        <f t="shared" si="11"/>
        <v>9.5433125073610613E-4</v>
      </c>
      <c r="AJ14" s="77">
        <f t="shared" si="12"/>
        <v>7.1285480260957902E-4</v>
      </c>
      <c r="AK14" s="175">
        <f t="shared" si="16"/>
        <v>4.7522977212529497E-3</v>
      </c>
    </row>
    <row r="15" spans="1:37" x14ac:dyDescent="0.25">
      <c r="A15" s="131">
        <v>10</v>
      </c>
      <c r="B15" t="s">
        <v>81</v>
      </c>
      <c r="C15" s="131" t="s">
        <v>167</v>
      </c>
      <c r="D15" s="131" t="s">
        <v>0</v>
      </c>
      <c r="E15" s="131" t="s">
        <v>99</v>
      </c>
      <c r="F15" s="131" t="s">
        <v>201</v>
      </c>
      <c r="G15" s="320">
        <f>IF($C15="CAD",VLOOKUP($B15,Canada!$B$4:$H$49,4,FALSE)/'2020 Assumptions'!$B$4/1000,VLOOKUP($B15,US!$B$5:$E$17,2,FALSE))</f>
        <v>241.23240787936854</v>
      </c>
      <c r="H15" s="320">
        <f>IF($C15="CAD",VLOOKUP($B15,Canada!$B$4:$H$49,5,FALSE)/'2020 Assumptions'!$B$5/1000,VLOOKUP($B15,US!$B$5:$E$17,3,FALSE))</f>
        <v>2166.1963201501549</v>
      </c>
      <c r="I15" s="320">
        <f>IF($C15="CAD",VLOOKUP($B15,Canada!$B$4:$H$49,7,FALSE),VLOOKUP($B15,US!$B$5:$E$17,4,FALSE))</f>
        <v>0.50074274995903201</v>
      </c>
      <c r="J15" s="321">
        <f t="shared" si="13"/>
        <v>7.159888239721264E-4</v>
      </c>
      <c r="K15" s="321">
        <f t="shared" si="0"/>
        <v>9.9172754860703586E-4</v>
      </c>
      <c r="L15" s="321">
        <f t="shared" si="1"/>
        <v>6.0787456292977571E-4</v>
      </c>
      <c r="M15" s="44">
        <f t="shared" si="14"/>
        <v>7.7186364516964592E-4</v>
      </c>
      <c r="N15" s="44">
        <f t="shared" si="15"/>
        <v>7.5642637226625302E-4</v>
      </c>
      <c r="O15" s="77">
        <f t="shared" si="2"/>
        <v>1.0525442520387528E-2</v>
      </c>
      <c r="P15" s="77">
        <f t="shared" si="2"/>
        <v>0</v>
      </c>
      <c r="Q15" s="77">
        <f t="shared" si="3"/>
        <v>1.1009589641612968E-3</v>
      </c>
      <c r="R15" s="77">
        <f t="shared" si="3"/>
        <v>0</v>
      </c>
      <c r="S15" s="77">
        <f t="shared" si="4"/>
        <v>1.4537718764737667E-2</v>
      </c>
      <c r="T15" s="77">
        <f t="shared" si="4"/>
        <v>0</v>
      </c>
      <c r="U15" s="77">
        <f t="shared" si="4"/>
        <v>0</v>
      </c>
      <c r="V15" s="77">
        <f t="shared" si="4"/>
        <v>0</v>
      </c>
      <c r="W15" s="77">
        <f t="shared" si="4"/>
        <v>0</v>
      </c>
      <c r="X15" s="77">
        <f t="shared" si="4"/>
        <v>0</v>
      </c>
      <c r="Y15" s="77">
        <f t="shared" si="4"/>
        <v>0</v>
      </c>
      <c r="Z15" s="77">
        <f t="shared" si="4"/>
        <v>0</v>
      </c>
      <c r="AA15" s="77">
        <f t="shared" si="5"/>
        <v>0</v>
      </c>
      <c r="AB15" s="175">
        <f t="shared" si="6"/>
        <v>1.6416959101517292E-3</v>
      </c>
      <c r="AC15" s="77">
        <f t="shared" si="7"/>
        <v>2.1270007125524658E-3</v>
      </c>
      <c r="AD15" s="77">
        <f t="shared" si="7"/>
        <v>0</v>
      </c>
      <c r="AE15" s="77">
        <f t="shared" si="7"/>
        <v>0</v>
      </c>
      <c r="AF15" s="77">
        <f t="shared" si="8"/>
        <v>0</v>
      </c>
      <c r="AG15" s="77">
        <f t="shared" si="9"/>
        <v>0</v>
      </c>
      <c r="AH15" s="77">
        <f t="shared" si="10"/>
        <v>3.90412248525676E-3</v>
      </c>
      <c r="AI15" s="77">
        <f t="shared" si="11"/>
        <v>9.1655463757259463E-4</v>
      </c>
      <c r="AJ15" s="77">
        <f t="shared" si="12"/>
        <v>6.7644172312300002E-4</v>
      </c>
      <c r="AK15" s="175">
        <f t="shared" si="16"/>
        <v>4.5476954690727642E-3</v>
      </c>
    </row>
    <row r="16" spans="1:37" x14ac:dyDescent="0.25">
      <c r="A16" s="131">
        <v>11</v>
      </c>
      <c r="B16" t="s">
        <v>82</v>
      </c>
      <c r="C16" s="131" t="s">
        <v>167</v>
      </c>
      <c r="D16" s="131" t="s">
        <v>0</v>
      </c>
      <c r="E16" s="131" t="s">
        <v>99</v>
      </c>
      <c r="F16" s="131" t="s">
        <v>201</v>
      </c>
      <c r="G16" s="320">
        <f>IF($C16="CAD",VLOOKUP($B16,Canada!$B$4:$H$49,4,FALSE)/'2020 Assumptions'!$B$4/1000,VLOOKUP($B16,US!$B$5:$E$17,2,FALSE))</f>
        <v>770.73361730143858</v>
      </c>
      <c r="H16" s="320">
        <f>IF($C16="CAD",VLOOKUP($B16,Canada!$B$4:$H$49,5,FALSE)/'2020 Assumptions'!$B$5/1000,VLOOKUP($B16,US!$B$5:$E$17,3,FALSE))</f>
        <v>8346.5488377961356</v>
      </c>
      <c r="I16" s="320">
        <f>IF($C16="CAD",VLOOKUP($B16,Canada!$B$4:$H$49,7,FALSE),VLOOKUP($B16,US!$B$5:$E$17,4,FALSE))</f>
        <v>1.8139965207764486</v>
      </c>
      <c r="J16" s="321">
        <f t="shared" si="13"/>
        <v>2.2875726404198277E-3</v>
      </c>
      <c r="K16" s="321">
        <f t="shared" si="0"/>
        <v>3.8212152523935095E-3</v>
      </c>
      <c r="L16" s="321">
        <f t="shared" si="1"/>
        <v>2.2020934747698949E-3</v>
      </c>
      <c r="M16" s="44">
        <f t="shared" si="14"/>
        <v>2.7702937891944108E-3</v>
      </c>
      <c r="N16" s="44">
        <f t="shared" si="15"/>
        <v>2.7148879134105226E-3</v>
      </c>
      <c r="O16" s="77">
        <f t="shared" si="2"/>
        <v>3.887231178105769E-2</v>
      </c>
      <c r="P16" s="77">
        <f t="shared" si="2"/>
        <v>0</v>
      </c>
      <c r="Q16" s="77">
        <f t="shared" si="3"/>
        <v>3.9514133887233911E-3</v>
      </c>
      <c r="R16" s="77">
        <f t="shared" si="3"/>
        <v>0</v>
      </c>
      <c r="S16" s="77">
        <f t="shared" ref="S16:Z25" si="17">IF($E16=S$4,AVERAGE($G16/SUMIFS($G:$G,$E:$E,S$4),$H16/SUMIFS($H:$H,$E:$E,S$4),$I16/SUMIFS($I:$I,$E:$E,S$4)),0)</f>
        <v>5.3733092483280176E-2</v>
      </c>
      <c r="T16" s="77">
        <f t="shared" si="17"/>
        <v>0</v>
      </c>
      <c r="U16" s="77">
        <f t="shared" si="17"/>
        <v>0</v>
      </c>
      <c r="V16" s="77">
        <f t="shared" si="17"/>
        <v>0</v>
      </c>
      <c r="W16" s="77">
        <f t="shared" si="17"/>
        <v>0</v>
      </c>
      <c r="X16" s="77">
        <f t="shared" si="17"/>
        <v>0</v>
      </c>
      <c r="Y16" s="77">
        <f t="shared" si="17"/>
        <v>0</v>
      </c>
      <c r="Z16" s="77">
        <f t="shared" si="17"/>
        <v>0</v>
      </c>
      <c r="AA16" s="77">
        <f t="shared" si="5"/>
        <v>0</v>
      </c>
      <c r="AB16" s="175">
        <f t="shared" si="6"/>
        <v>5.89885441248567E-3</v>
      </c>
      <c r="AC16" s="77">
        <f t="shared" si="7"/>
        <v>7.6686977336114523E-3</v>
      </c>
      <c r="AD16" s="77">
        <f t="shared" si="7"/>
        <v>0</v>
      </c>
      <c r="AE16" s="77">
        <f t="shared" si="7"/>
        <v>0</v>
      </c>
      <c r="AF16" s="77">
        <f t="shared" si="8"/>
        <v>0</v>
      </c>
      <c r="AG16" s="77">
        <f t="shared" si="9"/>
        <v>0</v>
      </c>
      <c r="AH16" s="77">
        <f t="shared" si="10"/>
        <v>1.4143119606864561E-2</v>
      </c>
      <c r="AI16" s="77">
        <f t="shared" si="11"/>
        <v>3.2929295128088301E-3</v>
      </c>
      <c r="AJ16" s="77">
        <f t="shared" si="12"/>
        <v>2.450485668246898E-3</v>
      </c>
      <c r="AK16" s="175">
        <f t="shared" si="16"/>
        <v>1.6379289720218345E-2</v>
      </c>
    </row>
    <row r="17" spans="1:37" x14ac:dyDescent="0.25">
      <c r="A17" s="131">
        <v>12</v>
      </c>
      <c r="B17" t="s">
        <v>83</v>
      </c>
      <c r="C17" s="131" t="s">
        <v>167</v>
      </c>
      <c r="D17" s="131" t="s">
        <v>0</v>
      </c>
      <c r="E17" s="131" t="s">
        <v>99</v>
      </c>
      <c r="F17" s="131" t="s">
        <v>201</v>
      </c>
      <c r="G17" s="320">
        <f>IF($C17="CAD",VLOOKUP($B17,Canada!$B$4:$H$49,4,FALSE)/'2020 Assumptions'!$B$4/1000,VLOOKUP($B17,US!$B$5:$E$17,2,FALSE))</f>
        <v>610.17184529025599</v>
      </c>
      <c r="H17" s="320">
        <f>IF($C17="CAD",VLOOKUP($B17,Canada!$B$4:$H$49,5,FALSE)/'2020 Assumptions'!$B$5/1000,VLOOKUP($B17,US!$B$5:$E$17,3,FALSE))</f>
        <v>4634.0982231397766</v>
      </c>
      <c r="I17" s="320">
        <f>IF($C17="CAD",VLOOKUP($B17,Canada!$B$4:$H$49,7,FALSE),VLOOKUP($B17,US!$B$5:$E$17,4,FALSE))</f>
        <v>1.1396418579063812</v>
      </c>
      <c r="J17" s="321">
        <f t="shared" si="13"/>
        <v>1.8110179547216492E-3</v>
      </c>
      <c r="K17" s="321">
        <f t="shared" si="0"/>
        <v>2.1215818843788202E-3</v>
      </c>
      <c r="L17" s="321">
        <f t="shared" si="1"/>
        <v>1.3834634576895956E-3</v>
      </c>
      <c r="M17" s="44">
        <f t="shared" si="14"/>
        <v>1.7720210989300219E-3</v>
      </c>
      <c r="N17" s="44">
        <f t="shared" si="15"/>
        <v>1.7365806769514215E-3</v>
      </c>
      <c r="O17" s="77">
        <f t="shared" si="2"/>
        <v>2.351461105612394E-2</v>
      </c>
      <c r="P17" s="77">
        <f t="shared" si="2"/>
        <v>0</v>
      </c>
      <c r="Q17" s="77">
        <f t="shared" si="3"/>
        <v>2.5275692035112915E-3</v>
      </c>
      <c r="R17" s="77">
        <f t="shared" si="3"/>
        <v>0</v>
      </c>
      <c r="S17" s="77">
        <f t="shared" si="17"/>
        <v>3.2452996011485345E-2</v>
      </c>
      <c r="T17" s="77">
        <f t="shared" si="17"/>
        <v>0</v>
      </c>
      <c r="U17" s="77">
        <f t="shared" si="17"/>
        <v>0</v>
      </c>
      <c r="V17" s="77">
        <f t="shared" si="17"/>
        <v>0</v>
      </c>
      <c r="W17" s="77">
        <f t="shared" si="17"/>
        <v>0</v>
      </c>
      <c r="X17" s="77">
        <f t="shared" si="17"/>
        <v>0</v>
      </c>
      <c r="Y17" s="77">
        <f t="shared" si="17"/>
        <v>0</v>
      </c>
      <c r="Z17" s="77">
        <f t="shared" si="17"/>
        <v>0</v>
      </c>
      <c r="AA17" s="77">
        <f t="shared" si="5"/>
        <v>0</v>
      </c>
      <c r="AB17" s="175">
        <f t="shared" si="6"/>
        <v>3.7650147941489984E-3</v>
      </c>
      <c r="AC17" s="77">
        <f t="shared" si="7"/>
        <v>4.8625428312870393E-3</v>
      </c>
      <c r="AD17" s="77">
        <f t="shared" si="7"/>
        <v>0</v>
      </c>
      <c r="AE17" s="77">
        <f t="shared" si="7"/>
        <v>0</v>
      </c>
      <c r="AF17" s="77">
        <f t="shared" si="8"/>
        <v>0</v>
      </c>
      <c r="AG17" s="77">
        <f t="shared" si="9"/>
        <v>0</v>
      </c>
      <c r="AH17" s="77">
        <f t="shared" si="10"/>
        <v>8.8854035389551011E-3</v>
      </c>
      <c r="AI17" s="77">
        <f t="shared" si="11"/>
        <v>2.1022268807145898E-3</v>
      </c>
      <c r="AJ17" s="77">
        <f t="shared" si="12"/>
        <v>1.5395156538329522E-3</v>
      </c>
      <c r="AK17" s="175">
        <f t="shared" si="16"/>
        <v>1.0406572843411085E-2</v>
      </c>
    </row>
    <row r="18" spans="1:37" x14ac:dyDescent="0.25">
      <c r="A18" s="131">
        <v>13</v>
      </c>
      <c r="B18" t="s">
        <v>87</v>
      </c>
      <c r="C18" s="131" t="s">
        <v>167</v>
      </c>
      <c r="D18" s="131" t="s">
        <v>0</v>
      </c>
      <c r="E18" s="131" t="s">
        <v>99</v>
      </c>
      <c r="F18" s="131" t="s">
        <v>201</v>
      </c>
      <c r="G18" s="320">
        <f>IF($C18="CAD",VLOOKUP($B18,Canada!$B$4:$H$49,4,FALSE)/'2020 Assumptions'!$B$4/1000,VLOOKUP($B18,US!$B$5:$E$17,2,FALSE))</f>
        <v>685.83210685178665</v>
      </c>
      <c r="H18" s="320">
        <f>IF($C18="CAD",VLOOKUP($B18,Canada!$B$4:$H$49,5,FALSE)/'2020 Assumptions'!$B$5/1000,VLOOKUP($B18,US!$B$5:$E$17,3,FALSE))</f>
        <v>1463.8416942312847</v>
      </c>
      <c r="I18" s="320">
        <f>IF($C18="CAD",VLOOKUP($B18,Canada!$B$4:$H$49,7,FALSE),VLOOKUP($B18,US!$B$5:$E$17,4,FALSE))</f>
        <v>2.4186103152405045</v>
      </c>
      <c r="J18" s="321">
        <f t="shared" si="13"/>
        <v>2.0355810728079769E-3</v>
      </c>
      <c r="K18" s="321">
        <f t="shared" si="0"/>
        <v>6.7017569989599648E-4</v>
      </c>
      <c r="L18" s="321">
        <f t="shared" si="1"/>
        <v>2.9360618569006804E-3</v>
      </c>
      <c r="M18" s="44">
        <f t="shared" si="14"/>
        <v>1.880606209868218E-3</v>
      </c>
      <c r="N18" s="44">
        <f t="shared" si="15"/>
        <v>1.8429940856708536E-3</v>
      </c>
      <c r="O18" s="77">
        <f t="shared" si="2"/>
        <v>1.7074230642983339E-2</v>
      </c>
      <c r="P18" s="77">
        <f t="shared" si="2"/>
        <v>0</v>
      </c>
      <c r="Q18" s="77">
        <f t="shared" si="3"/>
        <v>2.6342386834373216E-3</v>
      </c>
      <c r="R18" s="77">
        <f t="shared" si="3"/>
        <v>0</v>
      </c>
      <c r="S18" s="77">
        <f t="shared" si="17"/>
        <v>2.4953674044173108E-2</v>
      </c>
      <c r="T18" s="77">
        <f t="shared" si="17"/>
        <v>0</v>
      </c>
      <c r="U18" s="77">
        <f t="shared" si="17"/>
        <v>0</v>
      </c>
      <c r="V18" s="77">
        <f t="shared" si="17"/>
        <v>0</v>
      </c>
      <c r="W18" s="77">
        <f t="shared" si="17"/>
        <v>0</v>
      </c>
      <c r="X18" s="77">
        <f t="shared" si="17"/>
        <v>0</v>
      </c>
      <c r="Y18" s="77">
        <f t="shared" si="17"/>
        <v>0</v>
      </c>
      <c r="Z18" s="77">
        <f t="shared" si="17"/>
        <v>0</v>
      </c>
      <c r="AA18" s="77">
        <f t="shared" si="5"/>
        <v>0</v>
      </c>
      <c r="AB18" s="175">
        <f t="shared" si="6"/>
        <v>3.9915165245644445E-3</v>
      </c>
      <c r="AC18" s="77">
        <f t="shared" si="7"/>
        <v>5.1213922420902036E-3</v>
      </c>
      <c r="AD18" s="77">
        <f t="shared" si="7"/>
        <v>0</v>
      </c>
      <c r="AE18" s="77">
        <f t="shared" si="7"/>
        <v>0</v>
      </c>
      <c r="AF18" s="77">
        <f t="shared" si="8"/>
        <v>0</v>
      </c>
      <c r="AG18" s="77">
        <f t="shared" si="9"/>
        <v>0</v>
      </c>
      <c r="AH18" s="77">
        <f t="shared" si="10"/>
        <v>1.8857089624516644E-2</v>
      </c>
      <c r="AI18" s="77">
        <f t="shared" si="11"/>
        <v>2.1708238447119377E-3</v>
      </c>
      <c r="AJ18" s="77">
        <f t="shared" si="12"/>
        <v>3.2672443671689739E-3</v>
      </c>
      <c r="AK18" s="175">
        <f t="shared" si="16"/>
        <v>1.0223438891440216E-2</v>
      </c>
    </row>
    <row r="19" spans="1:37" x14ac:dyDescent="0.25">
      <c r="A19" s="131">
        <v>14</v>
      </c>
      <c r="B19" t="s">
        <v>86</v>
      </c>
      <c r="C19" s="131" t="s">
        <v>167</v>
      </c>
      <c r="D19" s="131" t="s">
        <v>0</v>
      </c>
      <c r="E19" s="131" t="s">
        <v>99</v>
      </c>
      <c r="F19" s="131" t="s">
        <v>201</v>
      </c>
      <c r="G19" s="320">
        <f>IF($C19="CAD",VLOOKUP($B19,Canada!$B$4:$H$49,4,FALSE)/'2020 Assumptions'!$B$4/1000,VLOOKUP($B19,US!$B$5:$E$17,2,FALSE))</f>
        <v>958.37174452193813</v>
      </c>
      <c r="H19" s="320">
        <f>IF($C19="CAD",VLOOKUP($B19,Canada!$B$4:$H$49,5,FALSE)/'2020 Assumptions'!$B$5/1000,VLOOKUP($B19,US!$B$5:$E$17,3,FALSE))</f>
        <v>3036.813969404318</v>
      </c>
      <c r="I19" s="320">
        <f>IF($C19="CAD",VLOOKUP($B19,Canada!$B$4:$H$49,7,FALSE),VLOOKUP($B19,US!$B$5:$E$17,4,FALSE))</f>
        <v>4.0379034110772967</v>
      </c>
      <c r="J19" s="321">
        <f t="shared" si="13"/>
        <v>2.8444911872351447E-3</v>
      </c>
      <c r="K19" s="321">
        <f t="shared" si="0"/>
        <v>1.3903135396537761E-3</v>
      </c>
      <c r="L19" s="321">
        <f t="shared" si="1"/>
        <v>4.9017959248777512E-3</v>
      </c>
      <c r="M19" s="44">
        <f t="shared" si="14"/>
        <v>3.0455335505888905E-3</v>
      </c>
      <c r="N19" s="44">
        <f t="shared" si="15"/>
        <v>2.9846228795771127E-3</v>
      </c>
      <c r="O19" s="77">
        <f t="shared" si="2"/>
        <v>2.8828972972183911E-2</v>
      </c>
      <c r="P19" s="77">
        <f t="shared" si="2"/>
        <v>0</v>
      </c>
      <c r="Q19" s="77">
        <f t="shared" si="3"/>
        <v>4.2622037859156468E-3</v>
      </c>
      <c r="R19" s="77">
        <f t="shared" si="3"/>
        <v>0</v>
      </c>
      <c r="S19" s="77">
        <f t="shared" si="17"/>
        <v>4.2216521502739988E-2</v>
      </c>
      <c r="T19" s="77">
        <f t="shared" si="17"/>
        <v>0</v>
      </c>
      <c r="U19" s="77">
        <f t="shared" si="17"/>
        <v>0</v>
      </c>
      <c r="V19" s="77">
        <f t="shared" si="17"/>
        <v>0</v>
      </c>
      <c r="W19" s="77">
        <f t="shared" si="17"/>
        <v>0</v>
      </c>
      <c r="X19" s="77">
        <f t="shared" si="17"/>
        <v>0</v>
      </c>
      <c r="Y19" s="77">
        <f t="shared" si="17"/>
        <v>0</v>
      </c>
      <c r="Z19" s="77">
        <f t="shared" si="17"/>
        <v>0</v>
      </c>
      <c r="AA19" s="77">
        <f t="shared" si="5"/>
        <v>0</v>
      </c>
      <c r="AB19" s="175">
        <f t="shared" si="6"/>
        <v>6.4745615966068509E-3</v>
      </c>
      <c r="AC19" s="77">
        <f t="shared" si="7"/>
        <v>8.34741158738702E-3</v>
      </c>
      <c r="AD19" s="77">
        <f t="shared" si="7"/>
        <v>0</v>
      </c>
      <c r="AE19" s="77">
        <f t="shared" si="7"/>
        <v>0</v>
      </c>
      <c r="AF19" s="77">
        <f t="shared" si="8"/>
        <v>0</v>
      </c>
      <c r="AG19" s="77">
        <f t="shared" si="9"/>
        <v>0</v>
      </c>
      <c r="AH19" s="77">
        <f t="shared" si="10"/>
        <v>3.1482172236685618E-2</v>
      </c>
      <c r="AI19" s="77">
        <f t="shared" si="11"/>
        <v>3.5162886042285051E-3</v>
      </c>
      <c r="AJ19" s="77">
        <f t="shared" si="12"/>
        <v>5.4547097115571512E-3</v>
      </c>
      <c r="AK19" s="175">
        <f t="shared" si="16"/>
        <v>1.6586022753918513E-2</v>
      </c>
    </row>
    <row r="20" spans="1:37" x14ac:dyDescent="0.25">
      <c r="A20" s="131">
        <v>15</v>
      </c>
      <c r="B20" t="s">
        <v>88</v>
      </c>
      <c r="C20" s="131" t="s">
        <v>167</v>
      </c>
      <c r="D20" s="131" t="s">
        <v>0</v>
      </c>
      <c r="E20" s="131" t="s">
        <v>99</v>
      </c>
      <c r="F20" s="131" t="s">
        <v>201</v>
      </c>
      <c r="G20" s="320">
        <f>IF($C20="CAD",VLOOKUP($B20,Canada!$B$4:$H$49,4,FALSE)/'2020 Assumptions'!$B$4/1000,VLOOKUP($B20,US!$B$5:$E$17,2,FALSE))</f>
        <v>36.065584540798703</v>
      </c>
      <c r="H20" s="320">
        <f>IF($C20="CAD",VLOOKUP($B20,Canada!$B$4:$H$49,5,FALSE)/'2020 Assumptions'!$B$5/1000,VLOOKUP($B20,US!$B$5:$E$17,3,FALSE))</f>
        <v>170.81384293222774</v>
      </c>
      <c r="I20" s="320">
        <f>IF($C20="CAD",VLOOKUP($B20,Canada!$B$4:$H$49,7,FALSE),VLOOKUP($B20,US!$B$5:$E$17,4,FALSE))</f>
        <v>2.1717500722966195E-2</v>
      </c>
      <c r="J20" s="321">
        <f t="shared" si="13"/>
        <v>1.0704430506761214E-4</v>
      </c>
      <c r="K20" s="321">
        <f t="shared" si="0"/>
        <v>7.8201958032863373E-5</v>
      </c>
      <c r="L20" s="321">
        <f t="shared" si="1"/>
        <v>2.6363868994569044E-5</v>
      </c>
      <c r="M20" s="44">
        <f t="shared" si="14"/>
        <v>7.0536710698348184E-5</v>
      </c>
      <c r="N20" s="44">
        <f t="shared" si="15"/>
        <v>6.9125976484381215E-5</v>
      </c>
      <c r="O20" s="77">
        <f t="shared" si="2"/>
        <v>9.3229530336012964E-4</v>
      </c>
      <c r="P20" s="77">
        <f t="shared" si="2"/>
        <v>0</v>
      </c>
      <c r="Q20" s="77">
        <f t="shared" si="3"/>
        <v>1.0147179858117316E-4</v>
      </c>
      <c r="R20" s="77">
        <f t="shared" si="3"/>
        <v>0</v>
      </c>
      <c r="S20" s="77">
        <f t="shared" si="17"/>
        <v>1.2562839448813669E-3</v>
      </c>
      <c r="T20" s="77">
        <f t="shared" si="17"/>
        <v>0</v>
      </c>
      <c r="U20" s="77">
        <f t="shared" si="17"/>
        <v>0</v>
      </c>
      <c r="V20" s="77">
        <f t="shared" si="17"/>
        <v>0</v>
      </c>
      <c r="W20" s="77">
        <f t="shared" si="17"/>
        <v>0</v>
      </c>
      <c r="X20" s="77">
        <f t="shared" si="17"/>
        <v>0</v>
      </c>
      <c r="Y20" s="77">
        <f t="shared" si="17"/>
        <v>0</v>
      </c>
      <c r="Z20" s="77">
        <f t="shared" si="17"/>
        <v>0</v>
      </c>
      <c r="AA20" s="77">
        <f t="shared" si="5"/>
        <v>0</v>
      </c>
      <c r="AB20" s="175">
        <f t="shared" si="6"/>
        <v>1.4907309291810621E-4</v>
      </c>
      <c r="AC20" s="77">
        <f t="shared" si="7"/>
        <v>1.8970694355845589E-4</v>
      </c>
      <c r="AD20" s="77">
        <f t="shared" si="7"/>
        <v>0</v>
      </c>
      <c r="AE20" s="77">
        <f t="shared" si="7"/>
        <v>0</v>
      </c>
      <c r="AF20" s="77">
        <f t="shared" si="8"/>
        <v>0</v>
      </c>
      <c r="AG20" s="77">
        <f t="shared" si="9"/>
        <v>0</v>
      </c>
      <c r="AH20" s="77">
        <f t="shared" si="10"/>
        <v>1.6932403495217681E-4</v>
      </c>
      <c r="AI20" s="77">
        <f t="shared" si="11"/>
        <v>8.4313350430737085E-5</v>
      </c>
      <c r="AJ20" s="77">
        <f t="shared" si="12"/>
        <v>2.9337666121317099E-5</v>
      </c>
      <c r="AK20" s="175">
        <f t="shared" si="16"/>
        <v>4.2131214571854944E-4</v>
      </c>
    </row>
    <row r="21" spans="1:37" x14ac:dyDescent="0.25">
      <c r="A21" s="131">
        <v>16</v>
      </c>
      <c r="B21" t="s">
        <v>89</v>
      </c>
      <c r="C21" s="131" t="s">
        <v>167</v>
      </c>
      <c r="D21" s="131" t="s">
        <v>0</v>
      </c>
      <c r="E21" s="131" t="s">
        <v>99</v>
      </c>
      <c r="F21" s="131" t="s">
        <v>201</v>
      </c>
      <c r="G21" s="320">
        <f>IF($C21="CAD",VLOOKUP($B21,Canada!$B$4:$H$49,4,FALSE)/'2020 Assumptions'!$B$4/1000,VLOOKUP($B21,US!$B$5:$E$17,2,FALSE))</f>
        <v>36.56645626661723</v>
      </c>
      <c r="H21" s="320">
        <f>IF($C21="CAD",VLOOKUP($B21,Canada!$B$4:$H$49,5,FALSE)/'2020 Assumptions'!$B$5/1000,VLOOKUP($B21,US!$B$5:$E$17,3,FALSE))</f>
        <v>87.953545635166833</v>
      </c>
      <c r="I21" s="320">
        <f>IF($C21="CAD",VLOOKUP($B21,Canada!$B$4:$H$49,7,FALSE),VLOOKUP($B21,US!$B$5:$E$17,4,FALSE))</f>
        <v>1.497218203037431E-2</v>
      </c>
      <c r="J21" s="321">
        <f t="shared" si="13"/>
        <v>1.0853091526680655E-4</v>
      </c>
      <c r="K21" s="321">
        <f t="shared" si="0"/>
        <v>4.0266873963674167E-5</v>
      </c>
      <c r="L21" s="321">
        <f t="shared" si="1"/>
        <v>1.8175417634231219E-5</v>
      </c>
      <c r="M21" s="44">
        <f t="shared" si="14"/>
        <v>5.5657735621570649E-5</v>
      </c>
      <c r="N21" s="44">
        <f t="shared" si="15"/>
        <v>5.4544580909139237E-5</v>
      </c>
      <c r="O21" s="77">
        <f t="shared" si="2"/>
        <v>6.46692445008282E-4</v>
      </c>
      <c r="P21" s="77">
        <f t="shared" si="2"/>
        <v>0</v>
      </c>
      <c r="Q21" s="77">
        <f t="shared" si="3"/>
        <v>8.0099497077844536E-5</v>
      </c>
      <c r="R21" s="77">
        <f t="shared" si="3"/>
        <v>0</v>
      </c>
      <c r="S21" s="77">
        <f t="shared" si="17"/>
        <v>8.6393552007724703E-4</v>
      </c>
      <c r="T21" s="77">
        <f t="shared" si="17"/>
        <v>0</v>
      </c>
      <c r="U21" s="77">
        <f t="shared" si="17"/>
        <v>0</v>
      </c>
      <c r="V21" s="77">
        <f t="shared" si="17"/>
        <v>0</v>
      </c>
      <c r="W21" s="77">
        <f t="shared" si="17"/>
        <v>0</v>
      </c>
      <c r="X21" s="77">
        <f t="shared" si="17"/>
        <v>0</v>
      </c>
      <c r="Y21" s="77">
        <f t="shared" si="17"/>
        <v>0</v>
      </c>
      <c r="Z21" s="77">
        <f t="shared" si="17"/>
        <v>0</v>
      </c>
      <c r="AA21" s="77">
        <f t="shared" si="5"/>
        <v>0</v>
      </c>
      <c r="AB21" s="175">
        <f t="shared" si="6"/>
        <v>1.1706163715330224E-4</v>
      </c>
      <c r="AC21" s="77">
        <f t="shared" si="7"/>
        <v>1.4674723097091139E-4</v>
      </c>
      <c r="AD21" s="77">
        <f t="shared" si="7"/>
        <v>0</v>
      </c>
      <c r="AE21" s="77">
        <f t="shared" si="7"/>
        <v>0</v>
      </c>
      <c r="AF21" s="77">
        <f t="shared" si="8"/>
        <v>0</v>
      </c>
      <c r="AG21" s="77">
        <f t="shared" si="9"/>
        <v>0</v>
      </c>
      <c r="AH21" s="77">
        <f t="shared" si="10"/>
        <v>1.1673305808805793E-4</v>
      </c>
      <c r="AI21" s="77">
        <f t="shared" si="11"/>
        <v>6.6280196995269973E-5</v>
      </c>
      <c r="AJ21" s="77">
        <f t="shared" si="12"/>
        <v>2.022557213732244E-5</v>
      </c>
      <c r="AK21" s="175">
        <f t="shared" si="16"/>
        <v>3.2804602512210846E-4</v>
      </c>
    </row>
    <row r="22" spans="1:37" x14ac:dyDescent="0.25">
      <c r="A22" s="131">
        <v>17</v>
      </c>
      <c r="B22" t="s">
        <v>90</v>
      </c>
      <c r="C22" s="131" t="s">
        <v>167</v>
      </c>
      <c r="D22" s="131" t="s">
        <v>0</v>
      </c>
      <c r="E22" s="131" t="s">
        <v>99</v>
      </c>
      <c r="F22" s="131" t="s">
        <v>201</v>
      </c>
      <c r="G22" s="320">
        <f>IF($C22="CAD",VLOOKUP($B22,Canada!$B$4:$H$49,4,FALSE)/'2020 Assumptions'!$B$4/1000,VLOOKUP($B22,US!$B$5:$E$17,2,FALSE))</f>
        <v>112.91753485062286</v>
      </c>
      <c r="H22" s="320">
        <f>IF($C22="CAD",VLOOKUP($B22,Canada!$B$4:$H$49,5,FALSE)/'2020 Assumptions'!$B$5/1000,VLOOKUP($B22,US!$B$5:$E$17,3,FALSE))</f>
        <v>220.1956849555371</v>
      </c>
      <c r="I22" s="320">
        <f>IF($C22="CAD",VLOOKUP($B22,Canada!$B$4:$H$49,7,FALSE),VLOOKUP($B22,US!$B$5:$E$17,4,FALSE))</f>
        <v>4.1984070134051837E-2</v>
      </c>
      <c r="J22" s="321">
        <f t="shared" si="13"/>
        <v>3.3514440988359251E-4</v>
      </c>
      <c r="K22" s="321">
        <f t="shared" si="0"/>
        <v>1.0080994267392388E-4</v>
      </c>
      <c r="L22" s="321">
        <f t="shared" si="1"/>
        <v>5.0966386003267747E-5</v>
      </c>
      <c r="M22" s="44">
        <f t="shared" si="14"/>
        <v>1.6230691285359472E-4</v>
      </c>
      <c r="N22" s="44">
        <f t="shared" si="15"/>
        <v>1.5906077459652281E-4</v>
      </c>
      <c r="O22" s="77">
        <f t="shared" si="2"/>
        <v>1.8169295238156336E-3</v>
      </c>
      <c r="P22" s="77">
        <f t="shared" si="2"/>
        <v>0</v>
      </c>
      <c r="Q22" s="77">
        <f t="shared" si="3"/>
        <v>2.3360790181176561E-4</v>
      </c>
      <c r="R22" s="77">
        <f t="shared" si="3"/>
        <v>0</v>
      </c>
      <c r="S22" s="77">
        <f t="shared" si="17"/>
        <v>2.4206836650614411E-3</v>
      </c>
      <c r="T22" s="77">
        <f t="shared" si="17"/>
        <v>0</v>
      </c>
      <c r="U22" s="77">
        <f t="shared" si="17"/>
        <v>0</v>
      </c>
      <c r="V22" s="77">
        <f t="shared" si="17"/>
        <v>0</v>
      </c>
      <c r="W22" s="77">
        <f t="shared" si="17"/>
        <v>0</v>
      </c>
      <c r="X22" s="77">
        <f t="shared" si="17"/>
        <v>0</v>
      </c>
      <c r="Y22" s="77">
        <f t="shared" si="17"/>
        <v>0</v>
      </c>
      <c r="Z22" s="77">
        <f t="shared" si="17"/>
        <v>0</v>
      </c>
      <c r="AA22" s="77">
        <f t="shared" si="5"/>
        <v>0</v>
      </c>
      <c r="AB22" s="175">
        <f t="shared" si="6"/>
        <v>3.409318911493024E-4</v>
      </c>
      <c r="AC22" s="77">
        <f t="shared" si="7"/>
        <v>4.2565777536802198E-4</v>
      </c>
      <c r="AD22" s="77">
        <f t="shared" si="7"/>
        <v>0</v>
      </c>
      <c r="AE22" s="77">
        <f t="shared" si="7"/>
        <v>0</v>
      </c>
      <c r="AF22" s="77">
        <f t="shared" si="8"/>
        <v>0</v>
      </c>
      <c r="AG22" s="77">
        <f t="shared" si="9"/>
        <v>0</v>
      </c>
      <c r="AH22" s="77">
        <f t="shared" si="10"/>
        <v>3.2733564738852207E-4</v>
      </c>
      <c r="AI22" s="77">
        <f t="shared" si="11"/>
        <v>1.9309141722367623E-4</v>
      </c>
      <c r="AJ22" s="77">
        <f t="shared" si="12"/>
        <v>5.671530291256023E-5</v>
      </c>
      <c r="AK22" s="175">
        <f t="shared" si="16"/>
        <v>9.532291815457398E-4</v>
      </c>
    </row>
    <row r="23" spans="1:37" x14ac:dyDescent="0.25">
      <c r="A23" s="131">
        <v>18</v>
      </c>
      <c r="B23" t="s">
        <v>91</v>
      </c>
      <c r="C23" s="131" t="s">
        <v>167</v>
      </c>
      <c r="D23" s="131" t="s">
        <v>0</v>
      </c>
      <c r="E23" s="131" t="s">
        <v>99</v>
      </c>
      <c r="F23" s="131" t="s">
        <v>201</v>
      </c>
      <c r="G23" s="320">
        <f>IF($C23="CAD",VLOOKUP($B23,Canada!$B$4:$H$49,4,FALSE)/'2020 Assumptions'!$B$4/1000,VLOOKUP($B23,US!$B$5:$E$17,2,FALSE))</f>
        <v>110.95888892780953</v>
      </c>
      <c r="H23" s="320">
        <f>IF($C23="CAD",VLOOKUP($B23,Canada!$B$4:$H$49,5,FALSE)/'2020 Assumptions'!$B$5/1000,VLOOKUP($B23,US!$B$5:$E$17,3,FALSE))</f>
        <v>155.11105347778548</v>
      </c>
      <c r="I23" s="320">
        <f>IF($C23="CAD",VLOOKUP($B23,Canada!$B$4:$H$49,7,FALSE),VLOOKUP($B23,US!$B$5:$E$17,4,FALSE))</f>
        <v>3.6190489720238569E-2</v>
      </c>
      <c r="J23" s="321">
        <f t="shared" si="13"/>
        <v>3.2933105916848384E-4</v>
      </c>
      <c r="K23" s="321">
        <f t="shared" si="0"/>
        <v>7.1012910231846429E-5</v>
      </c>
      <c r="L23" s="321">
        <f t="shared" si="1"/>
        <v>4.393329333815501E-5</v>
      </c>
      <c r="M23" s="44">
        <f t="shared" si="14"/>
        <v>1.4809242091282841E-4</v>
      </c>
      <c r="N23" s="44">
        <f t="shared" si="15"/>
        <v>1.4513057249457184E-4</v>
      </c>
      <c r="O23" s="77">
        <f t="shared" si="2"/>
        <v>1.5708153228121407E-3</v>
      </c>
      <c r="P23" s="77">
        <f t="shared" si="2"/>
        <v>0</v>
      </c>
      <c r="Q23" s="77">
        <f t="shared" si="3"/>
        <v>2.13180420820812E-4</v>
      </c>
      <c r="R23" s="77">
        <f t="shared" si="3"/>
        <v>0</v>
      </c>
      <c r="S23" s="77">
        <f t="shared" si="17"/>
        <v>2.0841338881991502E-3</v>
      </c>
      <c r="T23" s="77">
        <f t="shared" si="17"/>
        <v>0</v>
      </c>
      <c r="U23" s="77">
        <f t="shared" si="17"/>
        <v>0</v>
      </c>
      <c r="V23" s="77">
        <f t="shared" si="17"/>
        <v>0</v>
      </c>
      <c r="W23" s="77">
        <f t="shared" si="17"/>
        <v>0</v>
      </c>
      <c r="X23" s="77">
        <f t="shared" si="17"/>
        <v>0</v>
      </c>
      <c r="Y23" s="77">
        <f t="shared" si="17"/>
        <v>0</v>
      </c>
      <c r="Z23" s="77">
        <f t="shared" si="17"/>
        <v>0</v>
      </c>
      <c r="AA23" s="77">
        <f t="shared" si="5"/>
        <v>0</v>
      </c>
      <c r="AB23" s="175">
        <f t="shared" si="6"/>
        <v>3.1052017971651619E-4</v>
      </c>
      <c r="AC23" s="77">
        <f t="shared" si="7"/>
        <v>3.8550118579871746E-4</v>
      </c>
      <c r="AD23" s="77">
        <f t="shared" si="7"/>
        <v>0</v>
      </c>
      <c r="AE23" s="77">
        <f t="shared" si="7"/>
        <v>0</v>
      </c>
      <c r="AF23" s="77">
        <f t="shared" si="8"/>
        <v>0</v>
      </c>
      <c r="AG23" s="77">
        <f t="shared" si="9"/>
        <v>0</v>
      </c>
      <c r="AH23" s="77">
        <f t="shared" si="10"/>
        <v>2.8216505317510193E-4</v>
      </c>
      <c r="AI23" s="77">
        <f t="shared" si="11"/>
        <v>1.7593819297007099E-4</v>
      </c>
      <c r="AJ23" s="77">
        <f t="shared" si="12"/>
        <v>4.8888890011939815E-5</v>
      </c>
      <c r="AK23" s="175">
        <f t="shared" si="16"/>
        <v>8.6544917004547489E-4</v>
      </c>
    </row>
    <row r="24" spans="1:37" x14ac:dyDescent="0.25">
      <c r="A24" s="131">
        <v>19</v>
      </c>
      <c r="B24" t="s">
        <v>141</v>
      </c>
      <c r="C24" s="131" t="s">
        <v>167</v>
      </c>
      <c r="D24" s="131" t="s">
        <v>0</v>
      </c>
      <c r="E24" s="131" t="s">
        <v>99</v>
      </c>
      <c r="F24" s="131" t="s">
        <v>201</v>
      </c>
      <c r="G24" s="320">
        <f>IF($C24="CAD",VLOOKUP($B24,Canada!$B$4:$H$49,4,FALSE)/'2020 Assumptions'!$B$4/1000,VLOOKUP($B24,US!$B$5:$E$17,2,FALSE))</f>
        <v>132.41885755430496</v>
      </c>
      <c r="H24" s="320">
        <f>IF($C24="CAD",VLOOKUP($B24,Canada!$B$4:$H$49,5,FALSE)/'2020 Assumptions'!$B$5/1000,VLOOKUP($B24,US!$B$5:$E$17,3,FALSE))</f>
        <v>5.4086237294421426</v>
      </c>
      <c r="I24" s="320">
        <f>IF($C24="CAD",VLOOKUP($B24,Canada!$B$4:$H$49,7,FALSE),VLOOKUP($B24,US!$B$5:$E$17,4,FALSE))</f>
        <v>2.8332375865783667E-2</v>
      </c>
      <c r="J24" s="321">
        <f t="shared" si="13"/>
        <v>3.9302522793475806E-4</v>
      </c>
      <c r="K24" s="321">
        <f t="shared" si="0"/>
        <v>2.4761749905316477E-6</v>
      </c>
      <c r="L24" s="321">
        <f t="shared" si="1"/>
        <v>3.439396895428725E-5</v>
      </c>
      <c r="M24" s="44">
        <f t="shared" si="14"/>
        <v>1.4329845729319231E-4</v>
      </c>
      <c r="N24" s="44">
        <f t="shared" si="15"/>
        <v>1.4043248814732845E-4</v>
      </c>
      <c r="O24" s="77">
        <f t="shared" si="2"/>
        <v>1.2451639085465781E-3</v>
      </c>
      <c r="P24" s="77">
        <f t="shared" si="2"/>
        <v>0</v>
      </c>
      <c r="Q24" s="77">
        <f t="shared" si="3"/>
        <v>2.063786532208033E-4</v>
      </c>
      <c r="R24" s="77">
        <f t="shared" si="3"/>
        <v>0</v>
      </c>
      <c r="S24" s="77">
        <f t="shared" si="17"/>
        <v>1.6232150357270655E-3</v>
      </c>
      <c r="T24" s="77">
        <f t="shared" si="17"/>
        <v>0</v>
      </c>
      <c r="U24" s="77">
        <f t="shared" si="17"/>
        <v>0</v>
      </c>
      <c r="V24" s="77">
        <f t="shared" si="17"/>
        <v>0</v>
      </c>
      <c r="W24" s="77">
        <f t="shared" si="17"/>
        <v>0</v>
      </c>
      <c r="X24" s="77">
        <f t="shared" si="17"/>
        <v>0</v>
      </c>
      <c r="Y24" s="77">
        <f t="shared" si="17"/>
        <v>0</v>
      </c>
      <c r="Z24" s="77">
        <f t="shared" si="17"/>
        <v>0</v>
      </c>
      <c r="AA24" s="77">
        <f t="shared" si="5"/>
        <v>0</v>
      </c>
      <c r="AB24" s="175">
        <f t="shared" si="6"/>
        <v>2.9871931679897342E-4</v>
      </c>
      <c r="AC24" s="77">
        <f t="shared" si="7"/>
        <v>3.6392924880616814E-4</v>
      </c>
      <c r="AD24" s="77">
        <f t="shared" si="7"/>
        <v>0</v>
      </c>
      <c r="AE24" s="77">
        <f t="shared" si="7"/>
        <v>0</v>
      </c>
      <c r="AF24" s="77">
        <f t="shared" si="8"/>
        <v>0</v>
      </c>
      <c r="AG24" s="77">
        <f t="shared" si="9"/>
        <v>0</v>
      </c>
      <c r="AH24" s="77">
        <f t="shared" si="10"/>
        <v>2.2089798741449921E-4</v>
      </c>
      <c r="AI24" s="77">
        <f t="shared" si="11"/>
        <v>1.6947617102383195E-4</v>
      </c>
      <c r="AJ24" s="77">
        <f t="shared" si="12"/>
        <v>3.8273546950779004E-5</v>
      </c>
      <c r="AK24" s="175">
        <f t="shared" si="16"/>
        <v>8.238553958758864E-4</v>
      </c>
    </row>
    <row r="25" spans="1:37" x14ac:dyDescent="0.25">
      <c r="A25" s="131">
        <v>20</v>
      </c>
      <c r="B25" t="s">
        <v>142</v>
      </c>
      <c r="C25" s="131" t="s">
        <v>167</v>
      </c>
      <c r="D25" s="131" t="s">
        <v>0</v>
      </c>
      <c r="E25" s="131" t="s">
        <v>99</v>
      </c>
      <c r="F25" s="131" t="s">
        <v>201</v>
      </c>
      <c r="G25" s="320">
        <f>IF($C25="CAD",VLOOKUP($B25,Canada!$B$4:$H$49,4,FALSE)/'2020 Assumptions'!$B$4/1000,VLOOKUP($B25,US!$B$5:$E$17,2,FALSE))</f>
        <v>107.06871705381346</v>
      </c>
      <c r="H25" s="320">
        <f>IF($C25="CAD",VLOOKUP($B25,Canada!$B$4:$H$49,5,FALSE)/'2020 Assumptions'!$B$5/1000,VLOOKUP($B25,US!$B$5:$E$17,3,FALSE))</f>
        <v>252.92441471352478</v>
      </c>
      <c r="I25" s="320">
        <f>IF($C25="CAD",VLOOKUP($B25,Canada!$B$4:$H$49,7,FALSE),VLOOKUP($B25,US!$B$5:$E$17,4,FALSE))</f>
        <v>4.3458380573991345E-2</v>
      </c>
      <c r="J25" s="321">
        <f t="shared" si="13"/>
        <v>3.1778485105491756E-4</v>
      </c>
      <c r="K25" s="321">
        <f t="shared" si="0"/>
        <v>1.1579380292240836E-4</v>
      </c>
      <c r="L25" s="321">
        <f t="shared" si="1"/>
        <v>5.2756118983674063E-5</v>
      </c>
      <c r="M25" s="44">
        <f t="shared" si="14"/>
        <v>1.6211159098699997E-4</v>
      </c>
      <c r="N25" s="44">
        <f t="shared" si="15"/>
        <v>1.5886935916725997E-4</v>
      </c>
      <c r="O25" s="77">
        <f t="shared" si="2"/>
        <v>1.877409971198697E-3</v>
      </c>
      <c r="P25" s="77">
        <f t="shared" si="2"/>
        <v>0</v>
      </c>
      <c r="Q25" s="77">
        <f t="shared" si="3"/>
        <v>2.3330415639393073E-4</v>
      </c>
      <c r="R25" s="77">
        <f t="shared" si="3"/>
        <v>0</v>
      </c>
      <c r="S25" s="77">
        <f t="shared" si="17"/>
        <v>2.5074951192713825E-3</v>
      </c>
      <c r="T25" s="77">
        <f t="shared" si="17"/>
        <v>0</v>
      </c>
      <c r="U25" s="77">
        <f t="shared" si="17"/>
        <v>0</v>
      </c>
      <c r="V25" s="77">
        <f t="shared" si="17"/>
        <v>0</v>
      </c>
      <c r="W25" s="77">
        <f t="shared" si="17"/>
        <v>0</v>
      </c>
      <c r="X25" s="77">
        <f t="shared" si="17"/>
        <v>0</v>
      </c>
      <c r="Y25" s="77">
        <f t="shared" si="17"/>
        <v>0</v>
      </c>
      <c r="Z25" s="77">
        <f t="shared" si="17"/>
        <v>0</v>
      </c>
      <c r="AA25" s="77">
        <f t="shared" si="5"/>
        <v>0</v>
      </c>
      <c r="AB25" s="175">
        <f t="shared" si="6"/>
        <v>3.4092043199740381E-4</v>
      </c>
      <c r="AC25" s="77">
        <f t="shared" si="7"/>
        <v>4.2721907401647275E-4</v>
      </c>
      <c r="AD25" s="77">
        <f t="shared" si="7"/>
        <v>0</v>
      </c>
      <c r="AE25" s="77">
        <f t="shared" si="7"/>
        <v>0</v>
      </c>
      <c r="AF25" s="77">
        <f t="shared" si="8"/>
        <v>0</v>
      </c>
      <c r="AG25" s="77">
        <f t="shared" si="9"/>
        <v>0</v>
      </c>
      <c r="AH25" s="77">
        <f t="shared" si="10"/>
        <v>3.3883034908772296E-4</v>
      </c>
      <c r="AI25" s="77">
        <f t="shared" si="11"/>
        <v>1.9303387919380219E-4</v>
      </c>
      <c r="AJ25" s="77">
        <f t="shared" si="12"/>
        <v>5.870691456243934E-5</v>
      </c>
      <c r="AK25" s="175">
        <f t="shared" si="16"/>
        <v>9.5517842652435197E-4</v>
      </c>
    </row>
    <row r="26" spans="1:37" x14ac:dyDescent="0.25">
      <c r="A26" s="131">
        <v>21</v>
      </c>
      <c r="B26" t="s">
        <v>92</v>
      </c>
      <c r="C26" s="131" t="s">
        <v>167</v>
      </c>
      <c r="D26" s="131" t="s">
        <v>0</v>
      </c>
      <c r="E26" s="131" t="s">
        <v>99</v>
      </c>
      <c r="F26" s="131" t="s">
        <v>201</v>
      </c>
      <c r="G26" s="320">
        <f>IF($C26="CAD",VLOOKUP($B26,Canada!$B$4:$H$49,4,FALSE)/'2020 Assumptions'!$B$4/1000,VLOOKUP($B26,US!$B$5:$E$17,2,FALSE))</f>
        <v>332.52289121762004</v>
      </c>
      <c r="H26" s="320">
        <f>IF($C26="CAD",VLOOKUP($B26,Canada!$B$4:$H$49,5,FALSE)/'2020 Assumptions'!$B$5/1000,VLOOKUP($B26,US!$B$5:$E$17,3,FALSE))</f>
        <v>4.9645345834851353</v>
      </c>
      <c r="I26" s="320">
        <f>IF($C26="CAD",VLOOKUP($B26,Canada!$B$4:$H$49,7,FALSE),VLOOKUP($B26,US!$B$5:$E$17,4,FALSE))</f>
        <v>7.0434222429603788E-2</v>
      </c>
      <c r="J26" s="321">
        <f t="shared" si="13"/>
        <v>9.8694315543942793E-4</v>
      </c>
      <c r="K26" s="321">
        <f t="shared" si="0"/>
        <v>2.2728621901237851E-6</v>
      </c>
      <c r="L26" s="321">
        <f t="shared" si="1"/>
        <v>8.5503329160925253E-5</v>
      </c>
      <c r="M26" s="44">
        <f t="shared" si="14"/>
        <v>3.5823978226349231E-4</v>
      </c>
      <c r="N26" s="44">
        <f t="shared" si="15"/>
        <v>3.5107498661822244E-4</v>
      </c>
      <c r="O26" s="77">
        <f t="shared" ref="O26:P45" si="18">IF($C26=O$4,AVERAGE($G26/SUMIFS($G:$G,$C:$C,O$4),$H26/SUMIFS($H:$H,$C:$C,O$4),$I26/SUMIFS($I:$I,$C:$C,O$4)),0)</f>
        <v>3.0966020802998414E-3</v>
      </c>
      <c r="P26" s="77">
        <f t="shared" si="18"/>
        <v>0</v>
      </c>
      <c r="Q26" s="77">
        <f t="shared" ref="Q26:R45" si="19">IF($D26=Q$4,AVERAGE($G26/SUMIFS($G:$G,$D:$D,Q$4),$H26/SUMIFS($H:$H,$D:$D,Q$4),$I26/SUMIFS($I:$I,$D:$D,Q$4)),0)</f>
        <v>5.1594333816621827E-4</v>
      </c>
      <c r="R26" s="77">
        <f t="shared" si="19"/>
        <v>0</v>
      </c>
      <c r="S26" s="77">
        <f t="shared" ref="S26:Z35" si="20">IF($E26=S$4,AVERAGE($G26/SUMIFS($G:$G,$E:$E,S$4),$H26/SUMIFS($H:$H,$E:$E,S$4),$I26/SUMIFS($I:$I,$E:$E,S$4)),0)</f>
        <v>4.0346958467641645E-3</v>
      </c>
      <c r="T26" s="77">
        <f t="shared" si="20"/>
        <v>0</v>
      </c>
      <c r="U26" s="77">
        <f t="shared" si="20"/>
        <v>0</v>
      </c>
      <c r="V26" s="77">
        <f t="shared" si="20"/>
        <v>0</v>
      </c>
      <c r="W26" s="77">
        <f t="shared" si="20"/>
        <v>0</v>
      </c>
      <c r="X26" s="77">
        <f t="shared" si="20"/>
        <v>0</v>
      </c>
      <c r="Y26" s="77">
        <f t="shared" si="20"/>
        <v>0</v>
      </c>
      <c r="Z26" s="77">
        <f t="shared" si="20"/>
        <v>0</v>
      </c>
      <c r="AA26" s="77">
        <f t="shared" si="5"/>
        <v>0</v>
      </c>
      <c r="AB26" s="175">
        <f t="shared" si="6"/>
        <v>7.4668159912324647E-4</v>
      </c>
      <c r="AC26" s="77">
        <f t="shared" ref="AC26:AE45" si="21">IF($F26=AC$4,AVERAGE($G26/SUMIFS($G:$G,$F:$F,AC$4),$H26/SUMIFS($H:$H,$F:$F,AC$4),$I26/SUMIFS($I:$I,$F:$F,AC$4)),0)</f>
        <v>9.0926920330215667E-4</v>
      </c>
      <c r="AD26" s="77">
        <f t="shared" si="21"/>
        <v>0</v>
      </c>
      <c r="AE26" s="77">
        <f t="shared" si="21"/>
        <v>0</v>
      </c>
      <c r="AF26" s="77">
        <f t="shared" si="8"/>
        <v>0</v>
      </c>
      <c r="AG26" s="77">
        <f t="shared" si="9"/>
        <v>0</v>
      </c>
      <c r="AH26" s="77">
        <f t="shared" si="10"/>
        <v>5.4915189793859186E-4</v>
      </c>
      <c r="AI26" s="77">
        <f t="shared" si="11"/>
        <v>4.2363756306629951E-4</v>
      </c>
      <c r="AJ26" s="77">
        <f t="shared" si="12"/>
        <v>9.5147951300359046E-5</v>
      </c>
      <c r="AK26" s="175">
        <f t="shared" si="16"/>
        <v>2.0587988878949092E-3</v>
      </c>
    </row>
    <row r="27" spans="1:37" x14ac:dyDescent="0.25">
      <c r="A27" s="131">
        <v>22</v>
      </c>
      <c r="B27" t="s">
        <v>93</v>
      </c>
      <c r="C27" s="131" t="s">
        <v>167</v>
      </c>
      <c r="D27" s="131" t="s">
        <v>0</v>
      </c>
      <c r="E27" s="131" t="s">
        <v>99</v>
      </c>
      <c r="F27" s="131" t="s">
        <v>201</v>
      </c>
      <c r="G27" s="320">
        <f>IF($C27="CAD",VLOOKUP($B27,Canada!$B$4:$H$49,4,FALSE)/'2020 Assumptions'!$B$4/1000,VLOOKUP($B27,US!$B$5:$E$17,2,FALSE))</f>
        <v>190.53390171284346</v>
      </c>
      <c r="H27" s="320">
        <f>IF($C27="CAD",VLOOKUP($B27,Canada!$B$4:$H$49,5,FALSE)/'2020 Assumptions'!$B$5/1000,VLOOKUP($B27,US!$B$5:$E$17,3,FALSE))</f>
        <v>742.70069436862582</v>
      </c>
      <c r="I27" s="320">
        <f>IF($C27="CAD",VLOOKUP($B27,Canada!$B$4:$H$49,7,FALSE),VLOOKUP($B27,US!$B$5:$E$17,4,FALSE))</f>
        <v>0.10152889119901833</v>
      </c>
      <c r="J27" s="321">
        <f t="shared" si="13"/>
        <v>5.6551333800232266E-4</v>
      </c>
      <c r="K27" s="321">
        <f t="shared" si="0"/>
        <v>3.4002307737457724E-4</v>
      </c>
      <c r="L27" s="321">
        <f t="shared" si="1"/>
        <v>1.2325057201007371E-4</v>
      </c>
      <c r="M27" s="44">
        <f t="shared" si="14"/>
        <v>3.4292899579565789E-4</v>
      </c>
      <c r="N27" s="44">
        <f t="shared" si="15"/>
        <v>3.360704158797447E-4</v>
      </c>
      <c r="O27" s="77">
        <f t="shared" si="18"/>
        <v>4.3658865239116799E-3</v>
      </c>
      <c r="P27" s="77">
        <f t="shared" si="18"/>
        <v>0</v>
      </c>
      <c r="Q27" s="77">
        <f t="shared" si="19"/>
        <v>4.9338656170764465E-4</v>
      </c>
      <c r="R27" s="77">
        <f t="shared" si="19"/>
        <v>0</v>
      </c>
      <c r="S27" s="77">
        <f t="shared" si="20"/>
        <v>5.8690657308364917E-3</v>
      </c>
      <c r="T27" s="77">
        <f t="shared" si="20"/>
        <v>0</v>
      </c>
      <c r="U27" s="77">
        <f t="shared" si="20"/>
        <v>0</v>
      </c>
      <c r="V27" s="77">
        <f t="shared" si="20"/>
        <v>0</v>
      </c>
      <c r="W27" s="77">
        <f t="shared" si="20"/>
        <v>0</v>
      </c>
      <c r="X27" s="77">
        <f t="shared" si="20"/>
        <v>0</v>
      </c>
      <c r="Y27" s="77">
        <f t="shared" si="20"/>
        <v>0</v>
      </c>
      <c r="Z27" s="77">
        <f t="shared" si="20"/>
        <v>0</v>
      </c>
      <c r="AA27" s="77">
        <f t="shared" si="5"/>
        <v>0</v>
      </c>
      <c r="AB27" s="175">
        <f t="shared" si="6"/>
        <v>7.2368940607585536E-4</v>
      </c>
      <c r="AC27" s="77">
        <f t="shared" si="21"/>
        <v>9.1678548141716453E-4</v>
      </c>
      <c r="AD27" s="77">
        <f t="shared" si="21"/>
        <v>0</v>
      </c>
      <c r="AE27" s="77">
        <f t="shared" si="21"/>
        <v>0</v>
      </c>
      <c r="AF27" s="77">
        <f t="shared" si="8"/>
        <v>0</v>
      </c>
      <c r="AG27" s="77">
        <f t="shared" si="9"/>
        <v>0</v>
      </c>
      <c r="AH27" s="77">
        <f t="shared" si="10"/>
        <v>7.9158655230795517E-4</v>
      </c>
      <c r="AI27" s="77">
        <f t="shared" si="11"/>
        <v>4.0944205596630552E-4</v>
      </c>
      <c r="AJ27" s="77">
        <f t="shared" si="12"/>
        <v>1.37153015425686E-4</v>
      </c>
      <c r="AK27" s="175">
        <f t="shared" si="16"/>
        <v>2.0400624768410528E-3</v>
      </c>
    </row>
    <row r="28" spans="1:37" x14ac:dyDescent="0.25">
      <c r="A28" s="131">
        <v>23</v>
      </c>
      <c r="B28" t="s">
        <v>94</v>
      </c>
      <c r="C28" s="131" t="s">
        <v>167</v>
      </c>
      <c r="D28" s="131" t="s">
        <v>181</v>
      </c>
      <c r="E28" s="131" t="s">
        <v>106</v>
      </c>
      <c r="F28" s="131" t="s">
        <v>201</v>
      </c>
      <c r="G28" s="320">
        <f>IF($C28="CAD",VLOOKUP($B28,Canada!$B$4:$H$49,4,FALSE)/'2020 Assumptions'!$B$4/1000,VLOOKUP($B28,US!$B$5:$E$17,2,FALSE))</f>
        <v>281.49580560004881</v>
      </c>
      <c r="H28" s="320">
        <f>IF($C28="CAD",VLOOKUP($B28,Canada!$B$4:$H$49,5,FALSE)/'2020 Assumptions'!$B$5/1000,VLOOKUP($B28,US!$B$5:$E$17,3,FALSE))</f>
        <v>5049.1826525516381</v>
      </c>
      <c r="I28" s="320">
        <f>IF($C28="CAD",VLOOKUP($B28,Canada!$B$4:$H$49,7,FALSE),VLOOKUP($B28,US!$B$5:$E$17,4,FALSE))</f>
        <v>1.585586934908072</v>
      </c>
      <c r="J28" s="321">
        <f t="shared" si="13"/>
        <v>8.3549243062504253E-4</v>
      </c>
      <c r="K28" s="321">
        <f t="shared" si="0"/>
        <v>2.3116157514925083E-3</v>
      </c>
      <c r="L28" s="321">
        <f t="shared" si="1"/>
        <v>1.9248166151646985E-3</v>
      </c>
      <c r="M28" s="44">
        <f t="shared" si="14"/>
        <v>1.690641599094083E-3</v>
      </c>
      <c r="N28" s="44">
        <f t="shared" si="15"/>
        <v>1.6568287671122014E-3</v>
      </c>
      <c r="O28" s="77">
        <f t="shared" si="18"/>
        <v>2.3174617846510034E-2</v>
      </c>
      <c r="P28" s="77">
        <f t="shared" si="18"/>
        <v>0</v>
      </c>
      <c r="Q28" s="77">
        <f t="shared" si="19"/>
        <v>0</v>
      </c>
      <c r="R28" s="77">
        <f t="shared" si="19"/>
        <v>5.8111448156490941E-3</v>
      </c>
      <c r="S28" s="77">
        <f t="shared" si="20"/>
        <v>0</v>
      </c>
      <c r="T28" s="77">
        <f t="shared" si="20"/>
        <v>0.14200382416305507</v>
      </c>
      <c r="U28" s="77">
        <f t="shared" si="20"/>
        <v>0</v>
      </c>
      <c r="V28" s="77">
        <f t="shared" si="20"/>
        <v>0</v>
      </c>
      <c r="W28" s="77">
        <f t="shared" si="20"/>
        <v>0</v>
      </c>
      <c r="X28" s="77">
        <f t="shared" si="20"/>
        <v>0</v>
      </c>
      <c r="Y28" s="77">
        <f t="shared" si="20"/>
        <v>0</v>
      </c>
      <c r="Z28" s="77">
        <f t="shared" si="20"/>
        <v>0</v>
      </c>
      <c r="AA28" s="77">
        <f t="shared" si="5"/>
        <v>0</v>
      </c>
      <c r="AB28" s="175">
        <f t="shared" si="6"/>
        <v>3.6125693736195306E-3</v>
      </c>
      <c r="AC28" s="77">
        <f t="shared" si="21"/>
        <v>4.7397082021939469E-3</v>
      </c>
      <c r="AD28" s="77">
        <f t="shared" si="21"/>
        <v>0</v>
      </c>
      <c r="AE28" s="77">
        <f t="shared" si="21"/>
        <v>0</v>
      </c>
      <c r="AF28" s="77">
        <f t="shared" si="8"/>
        <v>0</v>
      </c>
      <c r="AG28" s="77">
        <f t="shared" si="9"/>
        <v>0</v>
      </c>
      <c r="AH28" s="77">
        <f t="shared" si="10"/>
        <v>1.2362287033432654E-2</v>
      </c>
      <c r="AI28" s="77">
        <f t="shared" si="11"/>
        <v>1.9946387578129534E-3</v>
      </c>
      <c r="AJ28" s="77">
        <f t="shared" si="12"/>
        <v>2.1419324763030179E-3</v>
      </c>
      <c r="AK28" s="175">
        <f t="shared" si="16"/>
        <v>0</v>
      </c>
    </row>
    <row r="29" spans="1:37" x14ac:dyDescent="0.25">
      <c r="A29" s="131">
        <v>24</v>
      </c>
      <c r="B29" t="s">
        <v>95</v>
      </c>
      <c r="C29" s="131" t="s">
        <v>167</v>
      </c>
      <c r="D29" s="131" t="s">
        <v>0</v>
      </c>
      <c r="E29" s="131" t="s">
        <v>99</v>
      </c>
      <c r="F29" s="131" t="s">
        <v>201</v>
      </c>
      <c r="G29" s="320">
        <f>IF($C29="CAD",VLOOKUP($B29,Canada!$B$4:$H$49,4,FALSE)/'2020 Assumptions'!$B$4/1000,VLOOKUP($B29,US!$B$5:$E$17,2,FALSE))</f>
        <v>327.7714275666242</v>
      </c>
      <c r="H29" s="320">
        <f>IF($C29="CAD",VLOOKUP($B29,Canada!$B$4:$H$49,5,FALSE)/'2020 Assumptions'!$B$5/1000,VLOOKUP($B29,US!$B$5:$E$17,3,FALSE))</f>
        <v>136.93144139153316</v>
      </c>
      <c r="I29" s="320">
        <f>IF($C29="CAD",VLOOKUP($B29,Canada!$B$4:$H$49,7,FALSE),VLOOKUP($B29,US!$B$5:$E$17,4,FALSE))</f>
        <v>5.7223158146597166</v>
      </c>
      <c r="J29" s="321">
        <f t="shared" si="13"/>
        <v>9.728405939240447E-4</v>
      </c>
      <c r="K29" s="321">
        <f t="shared" si="0"/>
        <v>6.2689924008845141E-5</v>
      </c>
      <c r="L29" s="321">
        <f t="shared" si="1"/>
        <v>6.9465813036075031E-3</v>
      </c>
      <c r="M29" s="44">
        <f t="shared" si="14"/>
        <v>2.6607039405134644E-3</v>
      </c>
      <c r="N29" s="44">
        <f t="shared" si="15"/>
        <v>2.6074898617031951E-3</v>
      </c>
      <c r="O29" s="77">
        <f t="shared" si="18"/>
        <v>1.8177702911877758E-2</v>
      </c>
      <c r="P29" s="77">
        <f t="shared" si="18"/>
        <v>0</v>
      </c>
      <c r="Q29" s="77">
        <f t="shared" si="19"/>
        <v>3.6399641694559097E-3</v>
      </c>
      <c r="R29" s="77">
        <f t="shared" si="19"/>
        <v>0</v>
      </c>
      <c r="S29" s="77">
        <f t="shared" si="20"/>
        <v>2.9880180815644485E-2</v>
      </c>
      <c r="T29" s="77">
        <f t="shared" si="20"/>
        <v>0</v>
      </c>
      <c r="U29" s="77">
        <f t="shared" si="20"/>
        <v>0</v>
      </c>
      <c r="V29" s="77">
        <f t="shared" si="20"/>
        <v>0</v>
      </c>
      <c r="W29" s="77">
        <f t="shared" si="20"/>
        <v>0</v>
      </c>
      <c r="X29" s="77">
        <f t="shared" si="20"/>
        <v>0</v>
      </c>
      <c r="Y29" s="77">
        <f t="shared" si="20"/>
        <v>0</v>
      </c>
      <c r="Z29" s="77">
        <f t="shared" si="20"/>
        <v>0</v>
      </c>
      <c r="AA29" s="77">
        <f t="shared" si="5"/>
        <v>0</v>
      </c>
      <c r="AB29" s="175">
        <f t="shared" si="6"/>
        <v>5.6894172765100158E-3</v>
      </c>
      <c r="AC29" s="77">
        <f t="shared" si="21"/>
        <v>7.4349825867435701E-3</v>
      </c>
      <c r="AD29" s="77">
        <f t="shared" si="21"/>
        <v>0</v>
      </c>
      <c r="AE29" s="77">
        <f t="shared" si="21"/>
        <v>0</v>
      </c>
      <c r="AF29" s="77">
        <f t="shared" si="8"/>
        <v>0</v>
      </c>
      <c r="AG29" s="77">
        <f t="shared" si="9"/>
        <v>0</v>
      </c>
      <c r="AH29" s="77">
        <f t="shared" si="10"/>
        <v>4.4614968147978461E-2</v>
      </c>
      <c r="AI29" s="77">
        <f t="shared" si="11"/>
        <v>2.987870016166017E-3</v>
      </c>
      <c r="AJ29" s="77">
        <f t="shared" si="12"/>
        <v>7.7301432127356833E-3</v>
      </c>
      <c r="AK29" s="175">
        <f t="shared" si="16"/>
        <v>1.341559199639549E-2</v>
      </c>
    </row>
    <row r="30" spans="1:37" x14ac:dyDescent="0.25">
      <c r="A30" s="131">
        <v>25</v>
      </c>
      <c r="B30" t="s">
        <v>40</v>
      </c>
      <c r="C30" s="131" t="s">
        <v>167</v>
      </c>
      <c r="D30" s="131" t="s">
        <v>0</v>
      </c>
      <c r="E30" s="131" t="s">
        <v>99</v>
      </c>
      <c r="F30" s="131" t="s">
        <v>201</v>
      </c>
      <c r="G30" s="320">
        <f>IF($C30="CAD",VLOOKUP($B30,Canada!$B$4:$H$49,4,FALSE)/'2020 Assumptions'!$B$4/1000,VLOOKUP($B30,US!$B$5:$E$17,2,FALSE))</f>
        <v>14025.779349599614</v>
      </c>
      <c r="H30" s="320">
        <f>IF($C30="CAD",VLOOKUP($B30,Canada!$B$4:$H$49,5,FALSE)/'2020 Assumptions'!$B$5/1000,VLOOKUP($B30,US!$B$5:$E$17,3,FALSE))</f>
        <v>31905.176033472198</v>
      </c>
      <c r="I30" s="320">
        <f>IF($C30="CAD",VLOOKUP($B30,Canada!$B$4:$H$49,7,FALSE),VLOOKUP($B30,US!$B$5:$E$17,4,FALSE))</f>
        <v>11.835632495075831</v>
      </c>
      <c r="J30" s="321">
        <f t="shared" si="13"/>
        <v>4.1629154847362591E-2</v>
      </c>
      <c r="K30" s="321">
        <f t="shared" si="0"/>
        <v>1.4606821053669802E-2</v>
      </c>
      <c r="L30" s="321">
        <f t="shared" si="1"/>
        <v>1.4367816469694853E-2</v>
      </c>
      <c r="M30" s="44">
        <f t="shared" si="14"/>
        <v>2.3534597456909084E-2</v>
      </c>
      <c r="N30" s="44">
        <f t="shared" si="15"/>
        <v>2.3063905507770901E-2</v>
      </c>
      <c r="O30" s="77">
        <f t="shared" si="18"/>
        <v>0.25786536585359759</v>
      </c>
      <c r="P30" s="77">
        <f t="shared" si="18"/>
        <v>0</v>
      </c>
      <c r="Q30" s="77">
        <f t="shared" si="19"/>
        <v>3.3660849517300119E-2</v>
      </c>
      <c r="R30" s="77">
        <f t="shared" si="19"/>
        <v>0</v>
      </c>
      <c r="S30" s="77">
        <f t="shared" si="20"/>
        <v>0.35054062211011922</v>
      </c>
      <c r="T30" s="77">
        <f t="shared" si="20"/>
        <v>0</v>
      </c>
      <c r="U30" s="77">
        <f t="shared" si="20"/>
        <v>0</v>
      </c>
      <c r="V30" s="77">
        <f t="shared" si="20"/>
        <v>0</v>
      </c>
      <c r="W30" s="77">
        <f t="shared" si="20"/>
        <v>0</v>
      </c>
      <c r="X30" s="77">
        <f t="shared" si="20"/>
        <v>0</v>
      </c>
      <c r="Y30" s="77">
        <f t="shared" si="20"/>
        <v>0</v>
      </c>
      <c r="Z30" s="77">
        <f t="shared" si="20"/>
        <v>0</v>
      </c>
      <c r="AA30" s="77">
        <f t="shared" si="5"/>
        <v>0</v>
      </c>
      <c r="AB30" s="175">
        <f t="shared" si="6"/>
        <v>4.9592734343036286E-2</v>
      </c>
      <c r="AC30" s="77">
        <f t="shared" si="21"/>
        <v>6.24666558361315E-2</v>
      </c>
      <c r="AD30" s="77">
        <f t="shared" si="21"/>
        <v>0</v>
      </c>
      <c r="AE30" s="77">
        <f t="shared" si="21"/>
        <v>0</v>
      </c>
      <c r="AF30" s="77">
        <f t="shared" si="8"/>
        <v>0</v>
      </c>
      <c r="AG30" s="77">
        <f t="shared" si="9"/>
        <v>0</v>
      </c>
      <c r="AH30" s="77">
        <f t="shared" si="10"/>
        <v>9.2278438290003373E-2</v>
      </c>
      <c r="AI30" s="77">
        <f t="shared" si="11"/>
        <v>2.7822181686532384E-2</v>
      </c>
      <c r="AJ30" s="77">
        <f t="shared" si="12"/>
        <v>1.5988480392126862E-2</v>
      </c>
      <c r="AK30" s="175">
        <f t="shared" si="16"/>
        <v>0.13613060223813897</v>
      </c>
    </row>
    <row r="31" spans="1:37" x14ac:dyDescent="0.25">
      <c r="A31" s="131">
        <v>26</v>
      </c>
      <c r="B31" t="s">
        <v>39</v>
      </c>
      <c r="C31" s="131" t="s">
        <v>167</v>
      </c>
      <c r="D31" s="131" t="s">
        <v>0</v>
      </c>
      <c r="E31" s="131" t="s">
        <v>99</v>
      </c>
      <c r="F31" s="131" t="s">
        <v>201</v>
      </c>
      <c r="G31" s="320">
        <f>IF($C31="CAD",VLOOKUP($B31,Canada!$B$4:$H$49,4,FALSE)/'2020 Assumptions'!$B$4/1000,VLOOKUP($B31,US!$B$5:$E$17,2,FALSE))</f>
        <v>47.315541477865999</v>
      </c>
      <c r="H31" s="320">
        <f>IF($C31="CAD",VLOOKUP($B31,Canada!$B$4:$H$49,5,FALSE)/'2020 Assumptions'!$B$5/1000,VLOOKUP($B31,US!$B$5:$E$17,3,FALSE))</f>
        <v>477.98701741175722</v>
      </c>
      <c r="I31" s="320">
        <f>IF($C31="CAD",VLOOKUP($B31,Canada!$B$4:$H$49,7,FALSE),VLOOKUP($B31,US!$B$5:$E$17,4,FALSE))</f>
        <v>4.9483277648922096E-2</v>
      </c>
      <c r="J31" s="321">
        <f t="shared" si="13"/>
        <v>1.4043469198915632E-4</v>
      </c>
      <c r="K31" s="321">
        <f t="shared" si="0"/>
        <v>2.1883191686471512E-4</v>
      </c>
      <c r="L31" s="321">
        <f t="shared" si="1"/>
        <v>6.0070017540208427E-5</v>
      </c>
      <c r="M31" s="44">
        <f t="shared" si="14"/>
        <v>1.397788754646933E-4</v>
      </c>
      <c r="N31" s="44">
        <f t="shared" si="15"/>
        <v>1.3698329795539942E-4</v>
      </c>
      <c r="O31" s="77">
        <f t="shared" si="18"/>
        <v>2.1124302342379287E-3</v>
      </c>
      <c r="P31" s="77">
        <f t="shared" si="18"/>
        <v>0</v>
      </c>
      <c r="Q31" s="77">
        <f t="shared" si="19"/>
        <v>2.0098567412457841E-4</v>
      </c>
      <c r="R31" s="77">
        <f t="shared" si="19"/>
        <v>0</v>
      </c>
      <c r="S31" s="77">
        <f t="shared" si="20"/>
        <v>2.8688582167167432E-3</v>
      </c>
      <c r="T31" s="77">
        <f t="shared" si="20"/>
        <v>0</v>
      </c>
      <c r="U31" s="77">
        <f t="shared" si="20"/>
        <v>0</v>
      </c>
      <c r="V31" s="77">
        <f t="shared" si="20"/>
        <v>0</v>
      </c>
      <c r="W31" s="77">
        <f t="shared" si="20"/>
        <v>0</v>
      </c>
      <c r="X31" s="77">
        <f t="shared" si="20"/>
        <v>0</v>
      </c>
      <c r="Y31" s="77">
        <f t="shared" si="20"/>
        <v>0</v>
      </c>
      <c r="Z31" s="77">
        <f t="shared" si="20"/>
        <v>0</v>
      </c>
      <c r="AA31" s="77">
        <f t="shared" si="5"/>
        <v>0</v>
      </c>
      <c r="AB31" s="175">
        <f t="shared" si="6"/>
        <v>2.9709645816717196E-4</v>
      </c>
      <c r="AC31" s="77">
        <f t="shared" si="21"/>
        <v>3.8469895990031E-4</v>
      </c>
      <c r="AD31" s="77">
        <f t="shared" si="21"/>
        <v>0</v>
      </c>
      <c r="AE31" s="77">
        <f t="shared" si="21"/>
        <v>0</v>
      </c>
      <c r="AF31" s="77">
        <f t="shared" si="8"/>
        <v>0</v>
      </c>
      <c r="AG31" s="77">
        <f t="shared" si="9"/>
        <v>0</v>
      </c>
      <c r="AH31" s="77">
        <f t="shared" si="10"/>
        <v>3.8580444136068997E-4</v>
      </c>
      <c r="AI31" s="77">
        <f t="shared" si="11"/>
        <v>1.678184804158616E-4</v>
      </c>
      <c r="AJ31" s="77">
        <f t="shared" si="12"/>
        <v>6.6845807755278004E-5</v>
      </c>
      <c r="AK31" s="175">
        <f t="shared" si="16"/>
        <v>8.4798319324657463E-4</v>
      </c>
    </row>
    <row r="32" spans="1:37" x14ac:dyDescent="0.25">
      <c r="A32" s="131">
        <v>27</v>
      </c>
      <c r="B32" t="s">
        <v>38</v>
      </c>
      <c r="C32" s="131" t="s">
        <v>167</v>
      </c>
      <c r="D32" s="131" t="s">
        <v>181</v>
      </c>
      <c r="E32" s="131" t="s">
        <v>106</v>
      </c>
      <c r="F32" s="131" t="s">
        <v>201</v>
      </c>
      <c r="G32" s="320">
        <f>IF($C32="CAD",VLOOKUP($B32,Canada!$B$4:$H$49,4,FALSE)/'2020 Assumptions'!$B$4/1000,VLOOKUP($B32,US!$B$5:$E$17,2,FALSE))</f>
        <v>842.85517503558174</v>
      </c>
      <c r="H32" s="320">
        <f>IF($C32="CAD",VLOOKUP($B32,Canada!$B$4:$H$49,5,FALSE)/'2020 Assumptions'!$B$5/1000,VLOOKUP($B32,US!$B$5:$E$17,3,FALSE))</f>
        <v>7966.5897592412921</v>
      </c>
      <c r="I32" s="320">
        <f>IF($C32="CAD",VLOOKUP($B32,Canada!$B$4:$H$49,7,FALSE),VLOOKUP($B32,US!$B$5:$E$17,4,FALSE))</f>
        <v>3.0249158528003566</v>
      </c>
      <c r="J32" s="321">
        <f t="shared" si="13"/>
        <v>2.5016327236360488E-3</v>
      </c>
      <c r="K32" s="321">
        <f t="shared" si="0"/>
        <v>3.6472624661012388E-3</v>
      </c>
      <c r="L32" s="321">
        <f t="shared" si="1"/>
        <v>3.6720839234732892E-3</v>
      </c>
      <c r="M32" s="44">
        <f t="shared" si="14"/>
        <v>3.2736597044035255E-3</v>
      </c>
      <c r="N32" s="44">
        <f t="shared" si="15"/>
        <v>3.2081865103154548E-3</v>
      </c>
      <c r="O32" s="77">
        <f t="shared" si="18"/>
        <v>4.139847249623288E-2</v>
      </c>
      <c r="P32" s="77">
        <f t="shared" si="18"/>
        <v>0</v>
      </c>
      <c r="Q32" s="77">
        <f t="shared" si="19"/>
        <v>0</v>
      </c>
      <c r="R32" s="77">
        <f t="shared" si="19"/>
        <v>1.1250958871784544E-2</v>
      </c>
      <c r="S32" s="77">
        <f t="shared" si="20"/>
        <v>0</v>
      </c>
      <c r="T32" s="77">
        <f t="shared" si="20"/>
        <v>0.27741951704821527</v>
      </c>
      <c r="U32" s="77">
        <f t="shared" si="20"/>
        <v>0</v>
      </c>
      <c r="V32" s="77">
        <f t="shared" si="20"/>
        <v>0</v>
      </c>
      <c r="W32" s="77">
        <f t="shared" si="20"/>
        <v>0</v>
      </c>
      <c r="X32" s="77">
        <f t="shared" si="20"/>
        <v>0</v>
      </c>
      <c r="Y32" s="77">
        <f t="shared" si="20"/>
        <v>0</v>
      </c>
      <c r="Z32" s="77">
        <f t="shared" si="20"/>
        <v>0</v>
      </c>
      <c r="AA32" s="77">
        <f t="shared" si="5"/>
        <v>0</v>
      </c>
      <c r="AB32" s="175">
        <f t="shared" si="6"/>
        <v>6.9743370342690665E-3</v>
      </c>
      <c r="AC32" s="77">
        <f t="shared" si="21"/>
        <v>9.0689056265655047E-3</v>
      </c>
      <c r="AD32" s="77">
        <f t="shared" si="21"/>
        <v>0</v>
      </c>
      <c r="AE32" s="77">
        <f t="shared" si="21"/>
        <v>0</v>
      </c>
      <c r="AF32" s="77">
        <f t="shared" si="8"/>
        <v>0</v>
      </c>
      <c r="AG32" s="77">
        <f t="shared" si="9"/>
        <v>0</v>
      </c>
      <c r="AH32" s="77">
        <f t="shared" si="10"/>
        <v>2.358424959301697E-2</v>
      </c>
      <c r="AI32" s="77">
        <f t="shared" si="11"/>
        <v>3.8515348709852481E-3</v>
      </c>
      <c r="AJ32" s="77">
        <f t="shared" si="12"/>
        <v>4.0862884024536741E-3</v>
      </c>
      <c r="AK32" s="175">
        <f t="shared" si="16"/>
        <v>0</v>
      </c>
    </row>
    <row r="33" spans="1:37" x14ac:dyDescent="0.25">
      <c r="A33" s="131">
        <v>28</v>
      </c>
      <c r="B33" t="s">
        <v>37</v>
      </c>
      <c r="C33" s="131" t="s">
        <v>167</v>
      </c>
      <c r="D33" s="131" t="s">
        <v>181</v>
      </c>
      <c r="E33" s="131" t="s">
        <v>106</v>
      </c>
      <c r="F33" s="131" t="s">
        <v>201</v>
      </c>
      <c r="G33" s="320">
        <f>IF($C33="CAD",VLOOKUP($B33,Canada!$B$4:$H$49,4,FALSE)/'2020 Assumptions'!$B$4/1000,VLOOKUP($B33,US!$B$5:$E$17,2,FALSE))</f>
        <v>955.88620103357664</v>
      </c>
      <c r="H33" s="320">
        <f>IF($C33="CAD",VLOOKUP($B33,Canada!$B$4:$H$49,5,FALSE)/'2020 Assumptions'!$B$5/1000,VLOOKUP($B33,US!$B$5:$E$17,3,FALSE))</f>
        <v>5970.0011166331269</v>
      </c>
      <c r="I33" s="320">
        <f>IF($C33="CAD",VLOOKUP($B33,Canada!$B$4:$H$49,7,FALSE),VLOOKUP($B33,US!$B$5:$E$17,4,FALSE))</f>
        <v>2.6923070458134242</v>
      </c>
      <c r="J33" s="321">
        <f t="shared" si="13"/>
        <v>2.8371139804377337E-3</v>
      </c>
      <c r="K33" s="321">
        <f t="shared" si="0"/>
        <v>2.7331846691390541E-3</v>
      </c>
      <c r="L33" s="321">
        <f t="shared" si="1"/>
        <v>3.2683148560423234E-3</v>
      </c>
      <c r="M33" s="44">
        <f t="shared" si="14"/>
        <v>2.9462045018730371E-3</v>
      </c>
      <c r="N33" s="44">
        <f t="shared" si="15"/>
        <v>2.8872804118355764E-3</v>
      </c>
      <c r="O33" s="77">
        <f t="shared" si="18"/>
        <v>3.4954295735623399E-2</v>
      </c>
      <c r="P33" s="77">
        <f t="shared" si="18"/>
        <v>0</v>
      </c>
      <c r="Q33" s="77">
        <f t="shared" si="19"/>
        <v>0</v>
      </c>
      <c r="R33" s="77">
        <f t="shared" si="19"/>
        <v>1.0124626724862815E-2</v>
      </c>
      <c r="S33" s="77">
        <f t="shared" si="20"/>
        <v>0</v>
      </c>
      <c r="T33" s="77">
        <f t="shared" si="20"/>
        <v>0.25129466842520659</v>
      </c>
      <c r="U33" s="77">
        <f t="shared" si="20"/>
        <v>0</v>
      </c>
      <c r="V33" s="77">
        <f t="shared" si="20"/>
        <v>0</v>
      </c>
      <c r="W33" s="77">
        <f t="shared" si="20"/>
        <v>0</v>
      </c>
      <c r="X33" s="77">
        <f t="shared" si="20"/>
        <v>0</v>
      </c>
      <c r="Y33" s="77">
        <f t="shared" si="20"/>
        <v>0</v>
      </c>
      <c r="Z33" s="77">
        <f t="shared" si="20"/>
        <v>0</v>
      </c>
      <c r="AA33" s="77">
        <f t="shared" si="5"/>
        <v>0</v>
      </c>
      <c r="AB33" s="175">
        <f t="shared" si="6"/>
        <v>6.2629083379405074E-3</v>
      </c>
      <c r="AC33" s="77">
        <f t="shared" si="21"/>
        <v>8.0896741169269679E-3</v>
      </c>
      <c r="AD33" s="77">
        <f t="shared" si="21"/>
        <v>0</v>
      </c>
      <c r="AE33" s="77">
        <f t="shared" si="21"/>
        <v>0</v>
      </c>
      <c r="AF33" s="77">
        <f t="shared" si="8"/>
        <v>0</v>
      </c>
      <c r="AG33" s="77">
        <f t="shared" si="9"/>
        <v>0</v>
      </c>
      <c r="AH33" s="77">
        <f t="shared" si="10"/>
        <v>2.0991010804720291E-2</v>
      </c>
      <c r="AI33" s="77">
        <f t="shared" si="11"/>
        <v>3.45914103519549E-3</v>
      </c>
      <c r="AJ33" s="77">
        <f t="shared" si="12"/>
        <v>3.6369749085637805E-3</v>
      </c>
      <c r="AK33" s="175">
        <f t="shared" si="16"/>
        <v>0</v>
      </c>
    </row>
    <row r="34" spans="1:37" x14ac:dyDescent="0.25">
      <c r="A34" s="131">
        <v>29</v>
      </c>
      <c r="B34" t="s">
        <v>36</v>
      </c>
      <c r="C34" s="131" t="s">
        <v>167</v>
      </c>
      <c r="D34" s="131" t="s">
        <v>181</v>
      </c>
      <c r="E34" s="131" t="s">
        <v>106</v>
      </c>
      <c r="F34" s="131" t="s">
        <v>201</v>
      </c>
      <c r="G34" s="320">
        <f>IF($C34="CAD",VLOOKUP($B34,Canada!$B$4:$H$49,4,FALSE)/'2020 Assumptions'!$B$4/1000,VLOOKUP($B34,US!$B$5:$E$17,2,FALSE))</f>
        <v>0</v>
      </c>
      <c r="H34" s="320">
        <f>IF($C34="CAD",VLOOKUP($B34,Canada!$B$4:$H$49,5,FALSE)/'2020 Assumptions'!$B$5/1000,VLOOKUP($B34,US!$B$5:$E$17,3,FALSE))</f>
        <v>0</v>
      </c>
      <c r="I34" s="320">
        <f>IF($C34="CAD",VLOOKUP($B34,Canada!$B$4:$H$49,7,FALSE),VLOOKUP($B34,US!$B$5:$E$17,4,FALSE))</f>
        <v>0</v>
      </c>
      <c r="J34" s="321">
        <f t="shared" si="13"/>
        <v>0</v>
      </c>
      <c r="K34" s="321">
        <f t="shared" si="0"/>
        <v>0</v>
      </c>
      <c r="L34" s="321">
        <f t="shared" si="1"/>
        <v>0</v>
      </c>
      <c r="M34" s="44">
        <f t="shared" si="14"/>
        <v>0</v>
      </c>
      <c r="N34" s="44">
        <f t="shared" si="15"/>
        <v>0</v>
      </c>
      <c r="O34" s="77">
        <f t="shared" si="18"/>
        <v>0</v>
      </c>
      <c r="P34" s="77">
        <f t="shared" si="18"/>
        <v>0</v>
      </c>
      <c r="Q34" s="77">
        <f t="shared" si="19"/>
        <v>0</v>
      </c>
      <c r="R34" s="77">
        <f t="shared" si="19"/>
        <v>0</v>
      </c>
      <c r="S34" s="77">
        <f t="shared" si="20"/>
        <v>0</v>
      </c>
      <c r="T34" s="77">
        <f t="shared" si="20"/>
        <v>0</v>
      </c>
      <c r="U34" s="77">
        <f t="shared" si="20"/>
        <v>0</v>
      </c>
      <c r="V34" s="77">
        <f t="shared" si="20"/>
        <v>0</v>
      </c>
      <c r="W34" s="77">
        <f t="shared" si="20"/>
        <v>0</v>
      </c>
      <c r="X34" s="77">
        <f t="shared" si="20"/>
        <v>0</v>
      </c>
      <c r="Y34" s="77">
        <f t="shared" si="20"/>
        <v>0</v>
      </c>
      <c r="Z34" s="77">
        <f t="shared" si="20"/>
        <v>0</v>
      </c>
      <c r="AA34" s="77">
        <f t="shared" si="5"/>
        <v>0</v>
      </c>
      <c r="AB34" s="175">
        <f t="shared" si="6"/>
        <v>0</v>
      </c>
      <c r="AC34" s="77">
        <f t="shared" si="21"/>
        <v>0</v>
      </c>
      <c r="AD34" s="77">
        <f t="shared" si="21"/>
        <v>0</v>
      </c>
      <c r="AE34" s="77">
        <f t="shared" si="21"/>
        <v>0</v>
      </c>
      <c r="AF34" s="77">
        <f t="shared" si="8"/>
        <v>0</v>
      </c>
      <c r="AG34" s="77">
        <f t="shared" si="9"/>
        <v>0</v>
      </c>
      <c r="AH34" s="77">
        <f t="shared" si="10"/>
        <v>0</v>
      </c>
      <c r="AI34" s="77">
        <f t="shared" si="11"/>
        <v>0</v>
      </c>
      <c r="AJ34" s="77">
        <f t="shared" si="12"/>
        <v>0</v>
      </c>
      <c r="AK34" s="175">
        <f t="shared" si="16"/>
        <v>0</v>
      </c>
    </row>
    <row r="35" spans="1:37" x14ac:dyDescent="0.25">
      <c r="A35" s="131">
        <v>30</v>
      </c>
      <c r="B35" t="s">
        <v>35</v>
      </c>
      <c r="C35" s="131" t="s">
        <v>167</v>
      </c>
      <c r="D35" s="131" t="s">
        <v>0</v>
      </c>
      <c r="E35" s="131" t="s">
        <v>99</v>
      </c>
      <c r="F35" s="131" t="s">
        <v>201</v>
      </c>
      <c r="G35" s="320">
        <f>IF($C35="CAD",VLOOKUP($B35,Canada!$B$4:$H$49,4,FALSE)/'2020 Assumptions'!$B$4/1000,VLOOKUP($B35,US!$B$5:$E$17,2,FALSE))</f>
        <v>260.73705474776102</v>
      </c>
      <c r="H35" s="320">
        <f>IF($C35="CAD",VLOOKUP($B35,Canada!$B$4:$H$49,5,FALSE)/'2020 Assumptions'!$B$5/1000,VLOOKUP($B35,US!$B$5:$E$17,3,FALSE))</f>
        <v>570.21747817606217</v>
      </c>
      <c r="I35" s="320">
        <f>IF($C35="CAD",VLOOKUP($B35,Canada!$B$4:$H$49,7,FALSE),VLOOKUP($B35,US!$B$5:$E$17,4,FALSE))</f>
        <v>0.10205178772228828</v>
      </c>
      <c r="J35" s="321">
        <f t="shared" si="13"/>
        <v>7.7387950829624678E-4</v>
      </c>
      <c r="K35" s="321">
        <f t="shared" si="0"/>
        <v>2.6105684722298536E-4</v>
      </c>
      <c r="L35" s="321">
        <f t="shared" si="1"/>
        <v>1.23885340053278E-4</v>
      </c>
      <c r="M35" s="44">
        <f t="shared" si="14"/>
        <v>3.8627389852417007E-4</v>
      </c>
      <c r="N35" s="44">
        <f t="shared" si="15"/>
        <v>3.7854842055368664E-4</v>
      </c>
      <c r="O35" s="77">
        <f t="shared" si="18"/>
        <v>4.4118084166232018E-3</v>
      </c>
      <c r="P35" s="77">
        <f t="shared" si="18"/>
        <v>0</v>
      </c>
      <c r="Q35" s="77">
        <f t="shared" si="19"/>
        <v>5.5593132488391953E-4</v>
      </c>
      <c r="R35" s="77">
        <f t="shared" si="19"/>
        <v>0</v>
      </c>
      <c r="S35" s="77">
        <f t="shared" si="20"/>
        <v>5.8865483560875754E-3</v>
      </c>
      <c r="T35" s="77">
        <f t="shared" si="20"/>
        <v>0</v>
      </c>
      <c r="U35" s="77">
        <f t="shared" si="20"/>
        <v>0</v>
      </c>
      <c r="V35" s="77">
        <f t="shared" si="20"/>
        <v>0</v>
      </c>
      <c r="W35" s="77">
        <f t="shared" si="20"/>
        <v>0</v>
      </c>
      <c r="X35" s="77">
        <f t="shared" si="20"/>
        <v>0</v>
      </c>
      <c r="Y35" s="77">
        <f t="shared" si="20"/>
        <v>0</v>
      </c>
      <c r="Z35" s="77">
        <f t="shared" si="20"/>
        <v>0</v>
      </c>
      <c r="AA35" s="77">
        <f t="shared" si="5"/>
        <v>0</v>
      </c>
      <c r="AB35" s="175">
        <f t="shared" si="6"/>
        <v>8.1194127372404576E-4</v>
      </c>
      <c r="AC35" s="77">
        <f t="shared" si="21"/>
        <v>1.015923979061804E-3</v>
      </c>
      <c r="AD35" s="77">
        <f t="shared" si="21"/>
        <v>0</v>
      </c>
      <c r="AE35" s="77">
        <f t="shared" si="21"/>
        <v>0</v>
      </c>
      <c r="AF35" s="77">
        <f t="shared" si="8"/>
        <v>0</v>
      </c>
      <c r="AG35" s="77">
        <f t="shared" si="9"/>
        <v>0</v>
      </c>
      <c r="AH35" s="77">
        <f t="shared" si="10"/>
        <v>7.9566340029852084E-4</v>
      </c>
      <c r="AI35" s="77">
        <f t="shared" si="11"/>
        <v>4.5978255141432403E-4</v>
      </c>
      <c r="AJ35" s="77">
        <f t="shared" si="12"/>
        <v>1.3785938416541253E-4</v>
      </c>
      <c r="AK35" s="175">
        <f t="shared" si="16"/>
        <v>2.2729215545550774E-3</v>
      </c>
    </row>
    <row r="36" spans="1:37" x14ac:dyDescent="0.25">
      <c r="A36" s="131">
        <v>31</v>
      </c>
      <c r="B36" t="s">
        <v>34</v>
      </c>
      <c r="C36" s="131" t="s">
        <v>167</v>
      </c>
      <c r="D36" s="131" t="s">
        <v>181</v>
      </c>
      <c r="E36" s="131" t="s">
        <v>106</v>
      </c>
      <c r="F36" s="131" t="s">
        <v>201</v>
      </c>
      <c r="G36" s="320">
        <f>IF($C36="CAD",VLOOKUP($B36,Canada!$B$4:$H$49,4,FALSE)/'2020 Assumptions'!$B$4/1000,VLOOKUP($B36,US!$B$5:$E$17,2,FALSE))</f>
        <v>0</v>
      </c>
      <c r="H36" s="320">
        <f>IF($C36="CAD",VLOOKUP($B36,Canada!$B$4:$H$49,5,FALSE)/'2020 Assumptions'!$B$5/1000,VLOOKUP($B36,US!$B$5:$E$17,3,FALSE))</f>
        <v>0</v>
      </c>
      <c r="I36" s="320">
        <f>IF($C36="CAD",VLOOKUP($B36,Canada!$B$4:$H$49,7,FALSE),VLOOKUP($B36,US!$B$5:$E$17,4,FALSE))</f>
        <v>0</v>
      </c>
      <c r="J36" s="321">
        <f t="shared" si="13"/>
        <v>0</v>
      </c>
      <c r="K36" s="321">
        <f t="shared" si="0"/>
        <v>0</v>
      </c>
      <c r="L36" s="321">
        <f t="shared" si="1"/>
        <v>0</v>
      </c>
      <c r="M36" s="44">
        <f t="shared" si="14"/>
        <v>0</v>
      </c>
      <c r="N36" s="44">
        <f t="shared" si="15"/>
        <v>0</v>
      </c>
      <c r="O36" s="77">
        <f t="shared" si="18"/>
        <v>0</v>
      </c>
      <c r="P36" s="77">
        <f t="shared" si="18"/>
        <v>0</v>
      </c>
      <c r="Q36" s="77">
        <f t="shared" si="19"/>
        <v>0</v>
      </c>
      <c r="R36" s="77">
        <f t="shared" si="19"/>
        <v>0</v>
      </c>
      <c r="S36" s="77">
        <f t="shared" ref="S36:Z45" si="22">IF($E36=S$4,AVERAGE($G36/SUMIFS($G:$G,$E:$E,S$4),$H36/SUMIFS($H:$H,$E:$E,S$4),$I36/SUMIFS($I:$I,$E:$E,S$4)),0)</f>
        <v>0</v>
      </c>
      <c r="T36" s="77">
        <f t="shared" si="22"/>
        <v>0</v>
      </c>
      <c r="U36" s="77">
        <f t="shared" si="22"/>
        <v>0</v>
      </c>
      <c r="V36" s="77">
        <f t="shared" si="22"/>
        <v>0</v>
      </c>
      <c r="W36" s="77">
        <f t="shared" si="22"/>
        <v>0</v>
      </c>
      <c r="X36" s="77">
        <f t="shared" si="22"/>
        <v>0</v>
      </c>
      <c r="Y36" s="77">
        <f t="shared" si="22"/>
        <v>0</v>
      </c>
      <c r="Z36" s="77">
        <f t="shared" si="22"/>
        <v>0</v>
      </c>
      <c r="AA36" s="77">
        <f t="shared" si="5"/>
        <v>0</v>
      </c>
      <c r="AB36" s="175">
        <f t="shared" si="6"/>
        <v>0</v>
      </c>
      <c r="AC36" s="77">
        <f t="shared" si="21"/>
        <v>0</v>
      </c>
      <c r="AD36" s="77">
        <f t="shared" si="21"/>
        <v>0</v>
      </c>
      <c r="AE36" s="77">
        <f t="shared" si="21"/>
        <v>0</v>
      </c>
      <c r="AF36" s="77">
        <f t="shared" si="8"/>
        <v>0</v>
      </c>
      <c r="AG36" s="77">
        <f t="shared" si="9"/>
        <v>0</v>
      </c>
      <c r="AH36" s="77">
        <f t="shared" si="10"/>
        <v>0</v>
      </c>
      <c r="AI36" s="77">
        <f t="shared" si="11"/>
        <v>0</v>
      </c>
      <c r="AJ36" s="77">
        <f t="shared" si="12"/>
        <v>0</v>
      </c>
      <c r="AK36" s="175">
        <f t="shared" si="16"/>
        <v>0</v>
      </c>
    </row>
    <row r="37" spans="1:37" x14ac:dyDescent="0.25">
      <c r="A37" s="131">
        <v>32</v>
      </c>
      <c r="B37" t="s">
        <v>33</v>
      </c>
      <c r="C37" s="131" t="s">
        <v>167</v>
      </c>
      <c r="D37" s="131" t="s">
        <v>181</v>
      </c>
      <c r="E37" s="131" t="s">
        <v>106</v>
      </c>
      <c r="F37" s="131" t="s">
        <v>201</v>
      </c>
      <c r="G37" s="320">
        <f>IF($C37="CAD",VLOOKUP($B37,Canada!$B$4:$H$49,4,FALSE)/'2020 Assumptions'!$B$4/1000,VLOOKUP($B37,US!$B$5:$E$17,2,FALSE))</f>
        <v>1303.9405222596997</v>
      </c>
      <c r="H37" s="320">
        <f>IF($C37="CAD",VLOOKUP($B37,Canada!$B$4:$H$49,5,FALSE)/'2020 Assumptions'!$B$5/1000,VLOOKUP($B37,US!$B$5:$E$17,3,FALSE))</f>
        <v>4774.1943249337392</v>
      </c>
      <c r="I37" s="320">
        <f>IF($C37="CAD",VLOOKUP($B37,Canada!$B$4:$H$49,7,FALSE),VLOOKUP($B37,US!$B$5:$E$17,4,FALSE))</f>
        <v>2.8609774932910512</v>
      </c>
      <c r="J37" s="321">
        <f t="shared" si="13"/>
        <v>3.8701551307699306E-3</v>
      </c>
      <c r="K37" s="321">
        <f t="shared" si="0"/>
        <v>2.1857206525546877E-3</v>
      </c>
      <c r="L37" s="321">
        <f t="shared" si="1"/>
        <v>3.4730716389373742E-3</v>
      </c>
      <c r="M37" s="44">
        <f t="shared" si="14"/>
        <v>3.1763158074206641E-3</v>
      </c>
      <c r="N37" s="44">
        <f t="shared" si="15"/>
        <v>3.1127894912722507E-3</v>
      </c>
      <c r="O37" s="77">
        <f t="shared" si="18"/>
        <v>3.4493507238099616E-2</v>
      </c>
      <c r="P37" s="77">
        <f t="shared" si="18"/>
        <v>0</v>
      </c>
      <c r="Q37" s="77">
        <f t="shared" si="19"/>
        <v>0</v>
      </c>
      <c r="R37" s="77">
        <f t="shared" si="19"/>
        <v>1.0914115978128846E-2</v>
      </c>
      <c r="S37" s="77">
        <f t="shared" si="22"/>
        <v>0</v>
      </c>
      <c r="T37" s="77">
        <f t="shared" si="22"/>
        <v>0.2731726896571815</v>
      </c>
      <c r="U37" s="77">
        <f t="shared" si="22"/>
        <v>0</v>
      </c>
      <c r="V37" s="77">
        <f t="shared" si="22"/>
        <v>0</v>
      </c>
      <c r="W37" s="77">
        <f t="shared" si="22"/>
        <v>0</v>
      </c>
      <c r="X37" s="77">
        <f t="shared" si="22"/>
        <v>0</v>
      </c>
      <c r="Y37" s="77">
        <f t="shared" si="22"/>
        <v>0</v>
      </c>
      <c r="Z37" s="77">
        <f t="shared" si="22"/>
        <v>0</v>
      </c>
      <c r="AA37" s="77">
        <f t="shared" si="5"/>
        <v>0</v>
      </c>
      <c r="AB37" s="175">
        <f t="shared" si="6"/>
        <v>6.7329431632141079E-3</v>
      </c>
      <c r="AC37" s="77">
        <f t="shared" si="21"/>
        <v>8.6216334700042266E-3</v>
      </c>
      <c r="AD37" s="77">
        <f t="shared" si="21"/>
        <v>0</v>
      </c>
      <c r="AE37" s="77">
        <f t="shared" si="21"/>
        <v>0</v>
      </c>
      <c r="AF37" s="77">
        <f t="shared" si="8"/>
        <v>0</v>
      </c>
      <c r="AG37" s="77">
        <f t="shared" si="9"/>
        <v>0</v>
      </c>
      <c r="AH37" s="77">
        <f t="shared" si="10"/>
        <v>2.230607744652309E-2</v>
      </c>
      <c r="AI37" s="77">
        <f t="shared" si="11"/>
        <v>3.719429518805295E-3</v>
      </c>
      <c r="AJ37" s="77">
        <f t="shared" si="12"/>
        <v>3.8648278892430381E-3</v>
      </c>
      <c r="AK37" s="175">
        <f t="shared" si="16"/>
        <v>0</v>
      </c>
    </row>
    <row r="38" spans="1:37" x14ac:dyDescent="0.25">
      <c r="A38" s="131">
        <v>33</v>
      </c>
      <c r="B38" t="s">
        <v>32</v>
      </c>
      <c r="C38" s="131" t="s">
        <v>167</v>
      </c>
      <c r="D38" s="131" t="s">
        <v>181</v>
      </c>
      <c r="E38" s="131" t="s">
        <v>106</v>
      </c>
      <c r="F38" s="131" t="s">
        <v>201</v>
      </c>
      <c r="G38" s="320">
        <f>IF($C38="CAD",VLOOKUP($B38,Canada!$B$4:$H$49,4,FALSE)/'2020 Assumptions'!$B$4/1000,VLOOKUP($B38,US!$B$5:$E$17,2,FALSE))</f>
        <v>190.96553803238234</v>
      </c>
      <c r="H38" s="320">
        <f>IF($C38="CAD",VLOOKUP($B38,Canada!$B$4:$H$49,5,FALSE)/'2020 Assumptions'!$B$5/1000,VLOOKUP($B38,US!$B$5:$E$17,3,FALSE))</f>
        <v>1478.5168111312762</v>
      </c>
      <c r="I38" s="320">
        <f>IF($C38="CAD",VLOOKUP($B38,Canada!$B$4:$H$49,7,FALSE),VLOOKUP($B38,US!$B$5:$E$17,4,FALSE))</f>
        <v>0.60671614972585997</v>
      </c>
      <c r="J38" s="321">
        <f t="shared" si="13"/>
        <v>5.6679445434787131E-4</v>
      </c>
      <c r="K38" s="321">
        <f t="shared" si="0"/>
        <v>6.7689425886194538E-4</v>
      </c>
      <c r="L38" s="321">
        <f t="shared" si="1"/>
        <v>7.3652052749084685E-4</v>
      </c>
      <c r="M38" s="44">
        <f t="shared" si="14"/>
        <v>6.6006974690022114E-4</v>
      </c>
      <c r="N38" s="44">
        <f t="shared" si="15"/>
        <v>6.4686835196221674E-4</v>
      </c>
      <c r="O38" s="77">
        <f t="shared" si="18"/>
        <v>8.1018637633967633E-3</v>
      </c>
      <c r="P38" s="77">
        <f t="shared" si="18"/>
        <v>0</v>
      </c>
      <c r="Q38" s="77">
        <f t="shared" si="19"/>
        <v>0</v>
      </c>
      <c r="R38" s="77">
        <f t="shared" si="19"/>
        <v>2.2684378022248641E-3</v>
      </c>
      <c r="S38" s="77">
        <f t="shared" si="22"/>
        <v>0</v>
      </c>
      <c r="T38" s="77">
        <f t="shared" si="22"/>
        <v>5.6109300706341625E-2</v>
      </c>
      <c r="U38" s="77">
        <f t="shared" si="22"/>
        <v>0</v>
      </c>
      <c r="V38" s="77">
        <f t="shared" si="22"/>
        <v>0</v>
      </c>
      <c r="W38" s="77">
        <f t="shared" si="22"/>
        <v>0</v>
      </c>
      <c r="X38" s="77">
        <f t="shared" si="22"/>
        <v>0</v>
      </c>
      <c r="Y38" s="77">
        <f t="shared" si="22"/>
        <v>0</v>
      </c>
      <c r="Z38" s="77">
        <f t="shared" si="22"/>
        <v>0</v>
      </c>
      <c r="AA38" s="77">
        <f t="shared" si="5"/>
        <v>0</v>
      </c>
      <c r="AB38" s="175">
        <f t="shared" si="6"/>
        <v>1.4047688161748144E-3</v>
      </c>
      <c r="AC38" s="77">
        <f t="shared" si="21"/>
        <v>1.8208889851713636E-3</v>
      </c>
      <c r="AD38" s="77">
        <f t="shared" si="21"/>
        <v>0</v>
      </c>
      <c r="AE38" s="77">
        <f t="shared" si="21"/>
        <v>0</v>
      </c>
      <c r="AF38" s="77">
        <f t="shared" si="8"/>
        <v>0</v>
      </c>
      <c r="AG38" s="77">
        <f t="shared" si="9"/>
        <v>0</v>
      </c>
      <c r="AH38" s="77">
        <f t="shared" si="10"/>
        <v>4.7303613731939807E-3</v>
      </c>
      <c r="AI38" s="77">
        <f t="shared" si="11"/>
        <v>7.7582697954550848E-4</v>
      </c>
      <c r="AJ38" s="77">
        <f t="shared" si="12"/>
        <v>8.1959872170029441E-4</v>
      </c>
      <c r="AK38" s="175">
        <f t="shared" si="16"/>
        <v>0</v>
      </c>
    </row>
    <row r="39" spans="1:37" x14ac:dyDescent="0.25">
      <c r="A39" s="131">
        <v>34</v>
      </c>
      <c r="B39" t="s">
        <v>31</v>
      </c>
      <c r="C39" s="131" t="s">
        <v>167</v>
      </c>
      <c r="D39" s="131" t="s">
        <v>0</v>
      </c>
      <c r="E39" s="131" t="s">
        <v>99</v>
      </c>
      <c r="F39" s="131" t="s">
        <v>201</v>
      </c>
      <c r="G39" s="320">
        <f>IF($C39="CAD",VLOOKUP($B39,Canada!$B$4:$H$49,4,FALSE)/'2020 Assumptions'!$B$4/1000,VLOOKUP($B39,US!$B$5:$E$17,2,FALSE))</f>
        <v>668.69690178942585</v>
      </c>
      <c r="H39" s="320">
        <f>IF($C39="CAD",VLOOKUP($B39,Canada!$B$4:$H$49,5,FALSE)/'2020 Assumptions'!$B$5/1000,VLOOKUP($B39,US!$B$5:$E$17,3,FALSE))</f>
        <v>120.149290501942</v>
      </c>
      <c r="I39" s="320">
        <f>IF($C39="CAD",VLOOKUP($B39,Canada!$B$4:$H$49,7,FALSE),VLOOKUP($B39,US!$B$5:$E$17,4,FALSE))</f>
        <v>5.533642184235485</v>
      </c>
      <c r="J39" s="321">
        <f t="shared" si="13"/>
        <v>1.984723000175978E-3</v>
      </c>
      <c r="K39" s="321">
        <f t="shared" si="0"/>
        <v>5.5006723180152957E-5</v>
      </c>
      <c r="L39" s="321">
        <f t="shared" si="1"/>
        <v>6.7175417405985786E-3</v>
      </c>
      <c r="M39" s="44">
        <f t="shared" si="14"/>
        <v>2.9190904879849034E-3</v>
      </c>
      <c r="N39" s="44">
        <f t="shared" si="15"/>
        <v>2.8607086782252052E-3</v>
      </c>
      <c r="O39" s="77">
        <f t="shared" si="18"/>
        <v>2.0602622418104958E-2</v>
      </c>
      <c r="P39" s="77">
        <f t="shared" si="18"/>
        <v>0</v>
      </c>
      <c r="Q39" s="77">
        <f t="shared" si="19"/>
        <v>4.0209258846221627E-3</v>
      </c>
      <c r="R39" s="77">
        <f t="shared" si="19"/>
        <v>0</v>
      </c>
      <c r="S39" s="77">
        <f t="shared" si="22"/>
        <v>3.2751349159562126E-2</v>
      </c>
      <c r="T39" s="77">
        <f t="shared" si="22"/>
        <v>0</v>
      </c>
      <c r="U39" s="77">
        <f t="shared" si="22"/>
        <v>0</v>
      </c>
      <c r="V39" s="77">
        <f t="shared" si="22"/>
        <v>0</v>
      </c>
      <c r="W39" s="77">
        <f t="shared" si="22"/>
        <v>0</v>
      </c>
      <c r="X39" s="77">
        <f t="shared" si="22"/>
        <v>0</v>
      </c>
      <c r="Y39" s="77">
        <f t="shared" si="22"/>
        <v>0</v>
      </c>
      <c r="Z39" s="77">
        <f t="shared" si="22"/>
        <v>0</v>
      </c>
      <c r="AA39" s="77">
        <f t="shared" si="5"/>
        <v>0</v>
      </c>
      <c r="AB39" s="175">
        <f t="shared" si="6"/>
        <v>6.2211850691584495E-3</v>
      </c>
      <c r="AC39" s="77">
        <f t="shared" si="21"/>
        <v>8.0585140698211603E-3</v>
      </c>
      <c r="AD39" s="77">
        <f t="shared" si="21"/>
        <v>0</v>
      </c>
      <c r="AE39" s="77">
        <f t="shared" si="21"/>
        <v>0</v>
      </c>
      <c r="AF39" s="77">
        <f t="shared" si="8"/>
        <v>0</v>
      </c>
      <c r="AG39" s="77">
        <f t="shared" si="9"/>
        <v>0</v>
      </c>
      <c r="AH39" s="77">
        <f t="shared" si="10"/>
        <v>4.3143943429249071E-2</v>
      </c>
      <c r="AI39" s="77">
        <f t="shared" si="11"/>
        <v>3.3006230571251821E-3</v>
      </c>
      <c r="AJ39" s="77">
        <f t="shared" si="12"/>
        <v>7.4752683979081476E-3</v>
      </c>
      <c r="AK39" s="175">
        <f t="shared" si="16"/>
        <v>1.4985175960936533E-2</v>
      </c>
    </row>
    <row r="40" spans="1:37" x14ac:dyDescent="0.25">
      <c r="A40" s="131">
        <v>35</v>
      </c>
      <c r="B40" t="s">
        <v>29</v>
      </c>
      <c r="C40" s="131" t="s">
        <v>167</v>
      </c>
      <c r="D40" s="131" t="s">
        <v>0</v>
      </c>
      <c r="E40" s="131" t="s">
        <v>99</v>
      </c>
      <c r="F40" s="131" t="s">
        <v>201</v>
      </c>
      <c r="G40" s="320">
        <f>IF($C40="CAD",VLOOKUP($B40,Canada!$B$4:$H$49,4,FALSE)/'2020 Assumptions'!$B$4/1000,VLOOKUP($B40,US!$B$5:$E$17,2,FALSE))</f>
        <v>57.737374256965467</v>
      </c>
      <c r="H40" s="320">
        <f>IF($C40="CAD",VLOOKUP($B40,Canada!$B$4:$H$49,5,FALSE)/'2020 Assumptions'!$B$5/1000,VLOOKUP($B40,US!$B$5:$E$17,3,FALSE))</f>
        <v>60.234629753637535</v>
      </c>
      <c r="I40" s="320">
        <f>IF($C40="CAD",VLOOKUP($B40,Canada!$B$4:$H$49,7,FALSE),VLOOKUP($B40,US!$B$5:$E$17,4,FALSE))</f>
        <v>1.7138655313096343E-2</v>
      </c>
      <c r="J40" s="321">
        <f t="shared" si="13"/>
        <v>1.7136716851972686E-4</v>
      </c>
      <c r="K40" s="321">
        <f t="shared" si="0"/>
        <v>2.757660566180198E-5</v>
      </c>
      <c r="L40" s="321">
        <f t="shared" si="1"/>
        <v>2.0805398797096659E-5</v>
      </c>
      <c r="M40" s="44">
        <f t="shared" si="14"/>
        <v>7.3249724326208499E-5</v>
      </c>
      <c r="N40" s="44">
        <f t="shared" si="15"/>
        <v>7.1784729839684323E-5</v>
      </c>
      <c r="O40" s="77">
        <f t="shared" si="18"/>
        <v>7.4564522298549202E-4</v>
      </c>
      <c r="P40" s="77">
        <f t="shared" si="18"/>
        <v>0</v>
      </c>
      <c r="Q40" s="77">
        <f t="shared" si="19"/>
        <v>1.0545496380058709E-4</v>
      </c>
      <c r="R40" s="77">
        <f t="shared" si="19"/>
        <v>0</v>
      </c>
      <c r="S40" s="77">
        <f t="shared" si="22"/>
        <v>9.8602329762120604E-4</v>
      </c>
      <c r="T40" s="77">
        <f t="shared" si="22"/>
        <v>0</v>
      </c>
      <c r="U40" s="77">
        <f t="shared" si="22"/>
        <v>0</v>
      </c>
      <c r="V40" s="77">
        <f t="shared" si="22"/>
        <v>0</v>
      </c>
      <c r="W40" s="77">
        <f t="shared" si="22"/>
        <v>0</v>
      </c>
      <c r="X40" s="77">
        <f t="shared" si="22"/>
        <v>0</v>
      </c>
      <c r="Y40" s="77">
        <f t="shared" si="22"/>
        <v>0</v>
      </c>
      <c r="Z40" s="77">
        <f t="shared" si="22"/>
        <v>0</v>
      </c>
      <c r="AA40" s="77">
        <f t="shared" si="5"/>
        <v>0</v>
      </c>
      <c r="AB40" s="175">
        <f t="shared" si="6"/>
        <v>1.5339073006712136E-4</v>
      </c>
      <c r="AC40" s="77">
        <f t="shared" si="21"/>
        <v>1.896411210111788E-4</v>
      </c>
      <c r="AD40" s="77">
        <f t="shared" si="21"/>
        <v>0</v>
      </c>
      <c r="AE40" s="77">
        <f t="shared" si="21"/>
        <v>0</v>
      </c>
      <c r="AF40" s="77">
        <f t="shared" si="8"/>
        <v>0</v>
      </c>
      <c r="AG40" s="77">
        <f t="shared" si="9"/>
        <v>0</v>
      </c>
      <c r="AH40" s="77">
        <f t="shared" si="10"/>
        <v>1.3362432023309172E-4</v>
      </c>
      <c r="AI40" s="77">
        <f t="shared" si="11"/>
        <v>8.6935486219596493E-5</v>
      </c>
      <c r="AJ40" s="77">
        <f t="shared" si="12"/>
        <v>2.3152210457266829E-5</v>
      </c>
      <c r="AK40" s="175">
        <f t="shared" si="16"/>
        <v>4.2652270711662261E-4</v>
      </c>
    </row>
    <row r="41" spans="1:37" x14ac:dyDescent="0.25">
      <c r="A41" s="131">
        <v>36</v>
      </c>
      <c r="B41" t="s">
        <v>28</v>
      </c>
      <c r="C41" s="131" t="s">
        <v>167</v>
      </c>
      <c r="D41" s="131" t="s">
        <v>0</v>
      </c>
      <c r="E41" s="131" t="s">
        <v>99</v>
      </c>
      <c r="F41" s="131" t="s">
        <v>201</v>
      </c>
      <c r="G41" s="320">
        <f>IF($C41="CAD",VLOOKUP($B41,Canada!$B$4:$H$49,4,FALSE)/'2020 Assumptions'!$B$4/1000,VLOOKUP($B41,US!$B$5:$E$17,2,FALSE))</f>
        <v>1047.1425219130288</v>
      </c>
      <c r="H41" s="320">
        <f>IF($C41="CAD",VLOOKUP($B41,Canada!$B$4:$H$49,5,FALSE)/'2020 Assumptions'!$B$5/1000,VLOOKUP($B41,US!$B$5:$E$17,3,FALSE))</f>
        <v>78.368447180159805</v>
      </c>
      <c r="I41" s="320">
        <f>IF($C41="CAD",VLOOKUP($B41,Canada!$B$4:$H$49,7,FALSE),VLOOKUP($B41,US!$B$5:$E$17,4,FALSE))</f>
        <v>10.66980058564045</v>
      </c>
      <c r="J41" s="321">
        <f t="shared" si="13"/>
        <v>3.1079669161642441E-3</v>
      </c>
      <c r="K41" s="321">
        <f t="shared" si="0"/>
        <v>3.5878626183213393E-5</v>
      </c>
      <c r="L41" s="321">
        <f t="shared" si="1"/>
        <v>1.295255970870211E-2</v>
      </c>
      <c r="M41" s="44">
        <f t="shared" si="14"/>
        <v>5.3654684170165228E-3</v>
      </c>
      <c r="N41" s="44">
        <f t="shared" si="15"/>
        <v>5.2581590486761925E-3</v>
      </c>
      <c r="O41" s="77">
        <f t="shared" si="18"/>
        <v>3.7110897143760174E-2</v>
      </c>
      <c r="P41" s="77">
        <f t="shared" si="18"/>
        <v>0</v>
      </c>
      <c r="Q41" s="77">
        <f t="shared" si="19"/>
        <v>7.3721379604566603E-3</v>
      </c>
      <c r="R41" s="77">
        <f t="shared" si="19"/>
        <v>0</v>
      </c>
      <c r="S41" s="77">
        <f t="shared" si="22"/>
        <v>5.9776709516968347E-2</v>
      </c>
      <c r="T41" s="77">
        <f t="shared" si="22"/>
        <v>0</v>
      </c>
      <c r="U41" s="77">
        <f t="shared" si="22"/>
        <v>0</v>
      </c>
      <c r="V41" s="77">
        <f t="shared" si="22"/>
        <v>0</v>
      </c>
      <c r="W41" s="77">
        <f t="shared" si="22"/>
        <v>0</v>
      </c>
      <c r="X41" s="77">
        <f t="shared" si="22"/>
        <v>0</v>
      </c>
      <c r="Y41" s="77">
        <f t="shared" si="22"/>
        <v>0</v>
      </c>
      <c r="Z41" s="77">
        <f t="shared" si="22"/>
        <v>0</v>
      </c>
      <c r="AA41" s="77">
        <f t="shared" si="5"/>
        <v>0</v>
      </c>
      <c r="AB41" s="175">
        <f t="shared" si="6"/>
        <v>1.144705746079263E-2</v>
      </c>
      <c r="AC41" s="77">
        <f t="shared" si="21"/>
        <v>1.4868780352819017E-2</v>
      </c>
      <c r="AD41" s="77">
        <f t="shared" si="21"/>
        <v>0</v>
      </c>
      <c r="AE41" s="77">
        <f t="shared" si="21"/>
        <v>0</v>
      </c>
      <c r="AF41" s="77">
        <f t="shared" si="8"/>
        <v>0</v>
      </c>
      <c r="AG41" s="77">
        <f t="shared" si="9"/>
        <v>0</v>
      </c>
      <c r="AH41" s="77">
        <f t="shared" si="10"/>
        <v>8.3188839744584839E-2</v>
      </c>
      <c r="AI41" s="77">
        <f t="shared" si="11"/>
        <v>6.0505218007300297E-3</v>
      </c>
      <c r="AJ41" s="77">
        <f t="shared" si="12"/>
        <v>1.4413585207414219E-2</v>
      </c>
      <c r="AK41" s="175">
        <f t="shared" si="16"/>
        <v>2.7346994175896436E-2</v>
      </c>
    </row>
    <row r="42" spans="1:37" x14ac:dyDescent="0.25">
      <c r="A42" s="131">
        <v>37</v>
      </c>
      <c r="B42" t="s">
        <v>27</v>
      </c>
      <c r="C42" s="131" t="s">
        <v>167</v>
      </c>
      <c r="D42" s="131" t="s">
        <v>0</v>
      </c>
      <c r="E42" s="131" t="s">
        <v>99</v>
      </c>
      <c r="F42" s="131" t="s">
        <v>201</v>
      </c>
      <c r="G42" s="320">
        <f>IF($C42="CAD",VLOOKUP($B42,Canada!$B$4:$H$49,4,FALSE)/'2020 Assumptions'!$B$4/1000,VLOOKUP($B42,US!$B$5:$E$17,2,FALSE))</f>
        <v>500.2520082626354</v>
      </c>
      <c r="H42" s="320">
        <f>IF($C42="CAD",VLOOKUP($B42,Canada!$B$4:$H$49,5,FALSE)/'2020 Assumptions'!$B$5/1000,VLOOKUP($B42,US!$B$5:$E$17,3,FALSE))</f>
        <v>42.143572618949655</v>
      </c>
      <c r="I42" s="320">
        <f>IF($C42="CAD",VLOOKUP($B42,Canada!$B$4:$H$49,7,FALSE),VLOOKUP($B42,US!$B$5:$E$17,4,FALSE))</f>
        <v>6.5682994822896994</v>
      </c>
      <c r="J42" s="321">
        <f t="shared" si="13"/>
        <v>1.4847708491338729E-3</v>
      </c>
      <c r="K42" s="321">
        <f t="shared" si="0"/>
        <v>1.9294161648301768E-5</v>
      </c>
      <c r="L42" s="321">
        <f t="shared" si="1"/>
        <v>7.973559631797732E-3</v>
      </c>
      <c r="M42" s="44">
        <f t="shared" si="14"/>
        <v>3.1592082141933021E-3</v>
      </c>
      <c r="N42" s="44">
        <f t="shared" si="15"/>
        <v>3.0960240499094361E-3</v>
      </c>
      <c r="O42" s="77">
        <f t="shared" si="18"/>
        <v>2.1567466970996419E-2</v>
      </c>
      <c r="P42" s="77">
        <f t="shared" si="18"/>
        <v>0</v>
      </c>
      <c r="Q42" s="77">
        <f t="shared" si="19"/>
        <v>4.3301743290100744E-3</v>
      </c>
      <c r="R42" s="77">
        <f t="shared" si="19"/>
        <v>0</v>
      </c>
      <c r="S42" s="77">
        <f t="shared" si="22"/>
        <v>3.516614697610667E-2</v>
      </c>
      <c r="T42" s="77">
        <f t="shared" si="22"/>
        <v>0</v>
      </c>
      <c r="U42" s="77">
        <f t="shared" si="22"/>
        <v>0</v>
      </c>
      <c r="V42" s="77">
        <f t="shared" si="22"/>
        <v>0</v>
      </c>
      <c r="W42" s="77">
        <f t="shared" si="22"/>
        <v>0</v>
      </c>
      <c r="X42" s="77">
        <f t="shared" si="22"/>
        <v>0</v>
      </c>
      <c r="Y42" s="77">
        <f t="shared" si="22"/>
        <v>0</v>
      </c>
      <c r="Z42" s="77">
        <f t="shared" si="22"/>
        <v>0</v>
      </c>
      <c r="AA42" s="77">
        <f t="shared" si="5"/>
        <v>0</v>
      </c>
      <c r="AB42" s="175">
        <f t="shared" si="6"/>
        <v>6.7478692639013115E-3</v>
      </c>
      <c r="AC42" s="77">
        <f t="shared" si="21"/>
        <v>8.7917377652163703E-3</v>
      </c>
      <c r="AD42" s="77">
        <f t="shared" si="21"/>
        <v>0</v>
      </c>
      <c r="AE42" s="77">
        <f t="shared" si="21"/>
        <v>0</v>
      </c>
      <c r="AF42" s="77">
        <f t="shared" si="8"/>
        <v>0</v>
      </c>
      <c r="AG42" s="77">
        <f t="shared" si="9"/>
        <v>0</v>
      </c>
      <c r="AH42" s="77">
        <f t="shared" si="10"/>
        <v>5.1210817731870417E-2</v>
      </c>
      <c r="AI42" s="77">
        <f t="shared" si="11"/>
        <v>3.5537882938728202E-3</v>
      </c>
      <c r="AJ42" s="77">
        <f t="shared" si="12"/>
        <v>8.8729628539833301E-3</v>
      </c>
      <c r="AK42" s="175">
        <f t="shared" si="16"/>
        <v>1.5997841286542479E-2</v>
      </c>
    </row>
    <row r="43" spans="1:37" x14ac:dyDescent="0.25">
      <c r="A43" s="131">
        <v>38</v>
      </c>
      <c r="B43" t="s">
        <v>24</v>
      </c>
      <c r="C43" s="131" t="s">
        <v>167</v>
      </c>
      <c r="D43" s="131" t="s">
        <v>0</v>
      </c>
      <c r="E43" s="131" t="s">
        <v>99</v>
      </c>
      <c r="F43" s="131" t="s">
        <v>201</v>
      </c>
      <c r="G43" s="320">
        <f>IF($C43="CAD",VLOOKUP($B43,Canada!$B$4:$H$49,4,FALSE)/'2020 Assumptions'!$B$4/1000,VLOOKUP($B43,US!$B$5:$E$17,2,FALSE))</f>
        <v>1148.3454712597513</v>
      </c>
      <c r="H43" s="320">
        <f>IF($C43="CAD",VLOOKUP($B43,Canada!$B$4:$H$49,5,FALSE)/'2020 Assumptions'!$B$5/1000,VLOOKUP($B43,US!$B$5:$E$17,3,FALSE))</f>
        <v>319.00865776889401</v>
      </c>
      <c r="I43" s="320">
        <f>IF($C43="CAD",VLOOKUP($B43,Canada!$B$4:$H$49,7,FALSE),VLOOKUP($B43,US!$B$5:$E$17,4,FALSE))</f>
        <v>6.4041798706482407</v>
      </c>
      <c r="J43" s="321">
        <f t="shared" si="13"/>
        <v>3.4083419002812424E-3</v>
      </c>
      <c r="K43" s="321">
        <f t="shared" si="0"/>
        <v>1.4604847732897829E-4</v>
      </c>
      <c r="L43" s="321">
        <f t="shared" si="1"/>
        <v>7.7743273169955333E-3</v>
      </c>
      <c r="M43" s="44">
        <f t="shared" si="14"/>
        <v>3.7762392315352513E-3</v>
      </c>
      <c r="N43" s="44">
        <f t="shared" si="15"/>
        <v>3.7007144469045463E-3</v>
      </c>
      <c r="O43" s="77">
        <f t="shared" si="18"/>
        <v>2.7697997626869687E-2</v>
      </c>
      <c r="P43" s="77">
        <f t="shared" si="18"/>
        <v>0</v>
      </c>
      <c r="Q43" s="77">
        <f t="shared" si="19"/>
        <v>5.2296557406376195E-3</v>
      </c>
      <c r="R43" s="77">
        <f t="shared" si="19"/>
        <v>0</v>
      </c>
      <c r="S43" s="77">
        <f t="shared" si="22"/>
        <v>4.2865699721987109E-2</v>
      </c>
      <c r="T43" s="77">
        <f t="shared" si="22"/>
        <v>0</v>
      </c>
      <c r="U43" s="77">
        <f t="shared" si="22"/>
        <v>0</v>
      </c>
      <c r="V43" s="77">
        <f t="shared" si="22"/>
        <v>0</v>
      </c>
      <c r="W43" s="77">
        <f t="shared" si="22"/>
        <v>0</v>
      </c>
      <c r="X43" s="77">
        <f t="shared" si="22"/>
        <v>0</v>
      </c>
      <c r="Y43" s="77">
        <f t="shared" si="22"/>
        <v>0</v>
      </c>
      <c r="Z43" s="77">
        <f t="shared" si="22"/>
        <v>0</v>
      </c>
      <c r="AA43" s="77">
        <f t="shared" si="5"/>
        <v>0</v>
      </c>
      <c r="AB43" s="175">
        <f t="shared" si="6"/>
        <v>8.0290250176452537E-3</v>
      </c>
      <c r="AC43" s="77">
        <f t="shared" si="21"/>
        <v>1.0335997502078885E-2</v>
      </c>
      <c r="AD43" s="77">
        <f t="shared" si="21"/>
        <v>0</v>
      </c>
      <c r="AE43" s="77">
        <f t="shared" si="21"/>
        <v>0</v>
      </c>
      <c r="AF43" s="77">
        <f t="shared" si="8"/>
        <v>0</v>
      </c>
      <c r="AG43" s="77">
        <f t="shared" si="9"/>
        <v>0</v>
      </c>
      <c r="AH43" s="77">
        <f t="shared" si="10"/>
        <v>4.993123242357899E-2</v>
      </c>
      <c r="AI43" s="77">
        <f t="shared" si="11"/>
        <v>4.2940032361529707E-3</v>
      </c>
      <c r="AJ43" s="77">
        <f t="shared" si="12"/>
        <v>8.6512574914871E-3</v>
      </c>
      <c r="AK43" s="175">
        <f t="shared" si="16"/>
        <v>1.9677158639489146E-2</v>
      </c>
    </row>
    <row r="44" spans="1:37" x14ac:dyDescent="0.25">
      <c r="A44" s="131">
        <v>39</v>
      </c>
      <c r="B44" t="s">
        <v>23</v>
      </c>
      <c r="C44" s="131" t="s">
        <v>167</v>
      </c>
      <c r="D44" s="131" t="s">
        <v>0</v>
      </c>
      <c r="E44" s="131" t="s">
        <v>99</v>
      </c>
      <c r="F44" s="131" t="s">
        <v>201</v>
      </c>
      <c r="G44" s="320">
        <f>IF($C44="CAD",VLOOKUP($B44,Canada!$B$4:$H$49,4,FALSE)/'2020 Assumptions'!$B$4/1000,VLOOKUP($B44,US!$B$5:$E$17,2,FALSE))</f>
        <v>1976.2234757456858</v>
      </c>
      <c r="H44" s="320">
        <f>IF($C44="CAD",VLOOKUP($B44,Canada!$B$4:$H$49,5,FALSE)/'2020 Assumptions'!$B$5/1000,VLOOKUP($B44,US!$B$5:$E$17,3,FALSE))</f>
        <v>184.9432150777003</v>
      </c>
      <c r="I44" s="320">
        <f>IF($C44="CAD",VLOOKUP($B44,Canada!$B$4:$H$49,7,FALSE),VLOOKUP($B44,US!$B$5:$E$17,4,FALSE))</f>
        <v>9.4752236831045114</v>
      </c>
      <c r="J44" s="321">
        <f t="shared" si="13"/>
        <v>5.8655216964580825E-3</v>
      </c>
      <c r="K44" s="321">
        <f t="shared" si="0"/>
        <v>8.4670664248842319E-5</v>
      </c>
      <c r="L44" s="321">
        <f t="shared" si="1"/>
        <v>1.1502408083792017E-2</v>
      </c>
      <c r="M44" s="44">
        <f t="shared" si="14"/>
        <v>5.817533481499648E-3</v>
      </c>
      <c r="N44" s="44">
        <f t="shared" si="15"/>
        <v>5.7011828118696548E-3</v>
      </c>
      <c r="O44" s="77">
        <f t="shared" si="18"/>
        <v>4.2451694445498879E-2</v>
      </c>
      <c r="P44" s="77">
        <f t="shared" si="18"/>
        <v>0</v>
      </c>
      <c r="Q44" s="77">
        <f t="shared" si="19"/>
        <v>8.0707417721438985E-3</v>
      </c>
      <c r="R44" s="77">
        <f t="shared" si="19"/>
        <v>0</v>
      </c>
      <c r="S44" s="77">
        <f t="shared" si="22"/>
        <v>6.5229741068689437E-2</v>
      </c>
      <c r="T44" s="77">
        <f t="shared" si="22"/>
        <v>0</v>
      </c>
      <c r="U44" s="77">
        <f t="shared" si="22"/>
        <v>0</v>
      </c>
      <c r="V44" s="77">
        <f t="shared" si="22"/>
        <v>0</v>
      </c>
      <c r="W44" s="77">
        <f t="shared" si="22"/>
        <v>0</v>
      </c>
      <c r="X44" s="77">
        <f t="shared" si="22"/>
        <v>0</v>
      </c>
      <c r="Y44" s="77">
        <f t="shared" si="22"/>
        <v>0</v>
      </c>
      <c r="Z44" s="77">
        <f t="shared" si="22"/>
        <v>0</v>
      </c>
      <c r="AA44" s="77">
        <f t="shared" si="5"/>
        <v>0</v>
      </c>
      <c r="AB44" s="175">
        <f t="shared" si="6"/>
        <v>1.2355180416458221E-2</v>
      </c>
      <c r="AC44" s="77">
        <f t="shared" si="21"/>
        <v>1.5855016698069373E-2</v>
      </c>
      <c r="AD44" s="77">
        <f t="shared" si="21"/>
        <v>0</v>
      </c>
      <c r="AE44" s="77">
        <f t="shared" si="21"/>
        <v>0</v>
      </c>
      <c r="AF44" s="77">
        <f t="shared" si="8"/>
        <v>0</v>
      </c>
      <c r="AG44" s="77">
        <f t="shared" si="9"/>
        <v>0</v>
      </c>
      <c r="AH44" s="77">
        <f t="shared" si="10"/>
        <v>7.387512617421263E-2</v>
      </c>
      <c r="AI44" s="77">
        <f t="shared" si="11"/>
        <v>6.6250922339474924E-3</v>
      </c>
      <c r="AJ44" s="77">
        <f t="shared" si="12"/>
        <v>1.2799859080734487E-2</v>
      </c>
      <c r="AK44" s="175">
        <f t="shared" si="16"/>
        <v>3.0421798872064698E-2</v>
      </c>
    </row>
    <row r="45" spans="1:37" x14ac:dyDescent="0.25">
      <c r="A45" s="131">
        <v>40</v>
      </c>
      <c r="B45" t="s">
        <v>19</v>
      </c>
      <c r="C45" s="131" t="s">
        <v>167</v>
      </c>
      <c r="D45" s="131" t="s">
        <v>181</v>
      </c>
      <c r="E45" s="131" t="s">
        <v>18</v>
      </c>
      <c r="F45" s="131" t="s">
        <v>201</v>
      </c>
      <c r="G45" s="320">
        <f>IF($C45="CAD",VLOOKUP($B45,Canada!$B$4:$H$49,4,FALSE)/'2020 Assumptions'!$B$4/1000,VLOOKUP($B45,US!$B$5:$E$17,2,FALSE))</f>
        <v>4702.8655682120034</v>
      </c>
      <c r="H45" s="320">
        <f>IF($C45="CAD",VLOOKUP($B45,Canada!$B$4:$H$49,5,FALSE)/'2020 Assumptions'!$B$5/1000,VLOOKUP($B45,US!$B$5:$E$17,3,FALSE))</f>
        <v>1028.9924643083107</v>
      </c>
      <c r="I45" s="320">
        <f>IF($C45="CAD",VLOOKUP($B45,Canada!$B$4:$H$49,7,FALSE),VLOOKUP($B45,US!$B$5:$E$17,4,FALSE))</f>
        <v>43.061978310073684</v>
      </c>
      <c r="J45" s="321">
        <f t="shared" si="13"/>
        <v>1.3958320182116372E-2</v>
      </c>
      <c r="K45" s="321">
        <f t="shared" si="0"/>
        <v>4.7109311592444068E-4</v>
      </c>
      <c r="L45" s="321">
        <f t="shared" si="1"/>
        <v>5.2274908116531134E-2</v>
      </c>
      <c r="M45" s="44">
        <f t="shared" si="14"/>
        <v>2.2234773804857316E-2</v>
      </c>
      <c r="N45" s="44">
        <f t="shared" si="15"/>
        <v>2.1790078328760169E-2</v>
      </c>
      <c r="O45" s="77">
        <f t="shared" si="18"/>
        <v>0.15627192520921407</v>
      </c>
      <c r="P45" s="77">
        <f t="shared" si="18"/>
        <v>0</v>
      </c>
      <c r="Q45" s="77">
        <f t="shared" si="19"/>
        <v>0</v>
      </c>
      <c r="R45" s="77">
        <f t="shared" si="19"/>
        <v>8.1905068665561312E-2</v>
      </c>
      <c r="S45" s="77">
        <f t="shared" si="22"/>
        <v>0</v>
      </c>
      <c r="T45" s="77">
        <f t="shared" si="22"/>
        <v>0</v>
      </c>
      <c r="U45" s="77">
        <f t="shared" si="22"/>
        <v>1</v>
      </c>
      <c r="V45" s="77">
        <f t="shared" si="22"/>
        <v>0</v>
      </c>
      <c r="W45" s="77">
        <f t="shared" si="22"/>
        <v>0</v>
      </c>
      <c r="X45" s="77">
        <f t="shared" si="22"/>
        <v>0</v>
      </c>
      <c r="Y45" s="77">
        <f t="shared" si="22"/>
        <v>0</v>
      </c>
      <c r="Z45" s="77">
        <f t="shared" si="22"/>
        <v>0</v>
      </c>
      <c r="AA45" s="77">
        <f t="shared" si="5"/>
        <v>0</v>
      </c>
      <c r="AB45" s="175">
        <f t="shared" si="6"/>
        <v>4.7413148073942944E-2</v>
      </c>
      <c r="AC45" s="77">
        <f t="shared" si="21"/>
        <v>6.150693454463315E-2</v>
      </c>
      <c r="AD45" s="77">
        <f t="shared" si="21"/>
        <v>0</v>
      </c>
      <c r="AE45" s="77">
        <f t="shared" si="21"/>
        <v>0</v>
      </c>
      <c r="AF45" s="77">
        <f t="shared" si="8"/>
        <v>0</v>
      </c>
      <c r="AG45" s="77">
        <f t="shared" si="9"/>
        <v>0</v>
      </c>
      <c r="AH45" s="77">
        <f t="shared" si="10"/>
        <v>0.33573973421233189</v>
      </c>
      <c r="AI45" s="77">
        <f t="shared" si="11"/>
        <v>2.5113746204186299E-2</v>
      </c>
      <c r="AJ45" s="77">
        <f t="shared" si="12"/>
        <v>5.8171423972757791E-2</v>
      </c>
      <c r="AK45" s="175">
        <f t="shared" si="16"/>
        <v>0</v>
      </c>
    </row>
    <row r="46" spans="1:37" x14ac:dyDescent="0.25">
      <c r="A46" s="131">
        <v>41</v>
      </c>
      <c r="B46" t="s">
        <v>17</v>
      </c>
      <c r="C46" s="131" t="s">
        <v>167</v>
      </c>
      <c r="D46" s="131" t="s">
        <v>0</v>
      </c>
      <c r="E46" s="131" t="s">
        <v>99</v>
      </c>
      <c r="F46" s="131" t="s">
        <v>201</v>
      </c>
      <c r="G46" s="320">
        <f>IF($C46="CAD",VLOOKUP($B46,Canada!$B$4:$H$49,4,FALSE)/'2020 Assumptions'!$B$4/1000,VLOOKUP($B46,US!$B$5:$E$17,2,FALSE))</f>
        <v>360.0192281907963</v>
      </c>
      <c r="H46" s="320">
        <f>IF($C46="CAD",VLOOKUP($B46,Canada!$B$4:$H$49,5,FALSE)/'2020 Assumptions'!$B$5/1000,VLOOKUP($B46,US!$B$5:$E$17,3,FALSE))</f>
        <v>5.3750522333306536</v>
      </c>
      <c r="I46" s="320">
        <f>IF($C46="CAD",VLOOKUP($B46,Canada!$B$4:$H$49,7,FALSE),VLOOKUP($B46,US!$B$5:$E$17,4,FALSE))</f>
        <v>7.6258432327684353E-2</v>
      </c>
      <c r="J46" s="321">
        <f t="shared" si="13"/>
        <v>1.0685535416476133E-3</v>
      </c>
      <c r="K46" s="321">
        <f t="shared" si="0"/>
        <v>2.4608052951665437E-6</v>
      </c>
      <c r="L46" s="321">
        <f t="shared" si="1"/>
        <v>9.2573604360110171E-5</v>
      </c>
      <c r="M46" s="44">
        <f t="shared" si="14"/>
        <v>3.8786265043429675E-4</v>
      </c>
      <c r="N46" s="44">
        <f t="shared" si="15"/>
        <v>3.8010539742561081E-4</v>
      </c>
      <c r="O46" s="77">
        <f t="shared" ref="O46:P53" si="23">IF($C46=O$4,AVERAGE($G46/SUMIFS($G:$G,$C:$C,O$4),$H46/SUMIFS($H:$H,$C:$C,O$4),$I46/SUMIFS($I:$I,$C:$C,O$4)),0)</f>
        <v>3.3526602841726081E-3</v>
      </c>
      <c r="P46" s="77">
        <f t="shared" si="23"/>
        <v>0</v>
      </c>
      <c r="Q46" s="77">
        <f t="shared" ref="Q46:R53" si="24">IF($D46=Q$4,AVERAGE($G46/SUMIFS($G:$G,$D:$D,Q$4),$H46/SUMIFS($H:$H,$D:$D,Q$4),$I46/SUMIFS($I:$I,$D:$D,Q$4)),0)</f>
        <v>5.5860672243229401E-4</v>
      </c>
      <c r="R46" s="77">
        <f t="shared" si="24"/>
        <v>0</v>
      </c>
      <c r="S46" s="77">
        <f t="shared" ref="S46:Z53" si="25">IF($E46=S$4,AVERAGE($G46/SUMIFS($G:$G,$E:$E,S$4),$H46/SUMIFS($H:$H,$E:$E,S$4),$I46/SUMIFS($I:$I,$E:$E,S$4)),0)</f>
        <v>4.3683250780651084E-3</v>
      </c>
      <c r="T46" s="77">
        <f t="shared" si="25"/>
        <v>0</v>
      </c>
      <c r="U46" s="77">
        <f t="shared" si="25"/>
        <v>0</v>
      </c>
      <c r="V46" s="77">
        <f t="shared" si="25"/>
        <v>0</v>
      </c>
      <c r="W46" s="77">
        <f t="shared" si="25"/>
        <v>0</v>
      </c>
      <c r="X46" s="77">
        <f t="shared" si="25"/>
        <v>0</v>
      </c>
      <c r="Y46" s="77">
        <f t="shared" si="25"/>
        <v>0</v>
      </c>
      <c r="Z46" s="77">
        <f t="shared" si="25"/>
        <v>0</v>
      </c>
      <c r="AA46" s="77">
        <f t="shared" si="5"/>
        <v>0</v>
      </c>
      <c r="AB46" s="175">
        <f t="shared" si="6"/>
        <v>8.084247434402683E-4</v>
      </c>
      <c r="AC46" s="77">
        <f t="shared" ref="AC46:AE53" si="26">IF($F46=AC$4,AVERAGE($G46/SUMIFS($G:$G,$F:$F,AC$4),$H46/SUMIFS($H:$H,$F:$F,AC$4),$I46/SUMIFS($I:$I,$F:$F,AC$4)),0)</f>
        <v>9.8445672594692181E-4</v>
      </c>
      <c r="AD46" s="77">
        <f t="shared" si="26"/>
        <v>0</v>
      </c>
      <c r="AE46" s="77">
        <f t="shared" si="26"/>
        <v>0</v>
      </c>
      <c r="AF46" s="77">
        <f t="shared" si="8"/>
        <v>0</v>
      </c>
      <c r="AG46" s="77">
        <f t="shared" si="9"/>
        <v>0</v>
      </c>
      <c r="AH46" s="77">
        <f t="shared" si="10"/>
        <v>5.9456129991957243E-4</v>
      </c>
      <c r="AI46" s="77">
        <f t="shared" si="11"/>
        <v>4.5866817748779759E-4</v>
      </c>
      <c r="AJ46" s="77">
        <f t="shared" si="12"/>
        <v>1.0301574085819084E-4</v>
      </c>
      <c r="AK46" s="175">
        <f t="shared" si="16"/>
        <v>2.2290410861816757E-3</v>
      </c>
    </row>
    <row r="47" spans="1:37" x14ac:dyDescent="0.25">
      <c r="A47" s="131">
        <v>42</v>
      </c>
      <c r="B47" t="s">
        <v>168</v>
      </c>
      <c r="C47" s="131" t="s">
        <v>167</v>
      </c>
      <c r="D47" s="131" t="s">
        <v>181</v>
      </c>
      <c r="E47" s="131" t="s">
        <v>106</v>
      </c>
      <c r="F47" s="131" t="s">
        <v>201</v>
      </c>
      <c r="G47" s="320">
        <f>IF($C47="CAD",VLOOKUP($B47,Canada!$B$4:$H$49,4,FALSE)/'2020 Assumptions'!$B$4/1000,VLOOKUP($B47,US!$B$5:$E$17,2,FALSE))</f>
        <v>0</v>
      </c>
      <c r="H47" s="320">
        <f>IF($C47="CAD",VLOOKUP($B47,Canada!$B$4:$H$49,5,FALSE)/'2020 Assumptions'!$B$5/1000,VLOOKUP($B47,US!$B$5:$E$17,3,FALSE))</f>
        <v>0</v>
      </c>
      <c r="I47" s="320">
        <f>IF($C47="CAD",VLOOKUP($B47,Canada!$B$4:$H$49,7,FALSE),VLOOKUP($B47,US!$B$5:$E$17,4,FALSE))</f>
        <v>0</v>
      </c>
      <c r="J47" s="321">
        <f t="shared" si="13"/>
        <v>0</v>
      </c>
      <c r="K47" s="321">
        <f t="shared" si="0"/>
        <v>0</v>
      </c>
      <c r="L47" s="321">
        <f t="shared" si="1"/>
        <v>0</v>
      </c>
      <c r="M47" s="44">
        <f t="shared" si="14"/>
        <v>0</v>
      </c>
      <c r="N47" s="44">
        <f t="shared" si="15"/>
        <v>0</v>
      </c>
      <c r="O47" s="77">
        <f t="shared" si="23"/>
        <v>0</v>
      </c>
      <c r="P47" s="77">
        <f t="shared" si="23"/>
        <v>0</v>
      </c>
      <c r="Q47" s="77">
        <f t="shared" si="24"/>
        <v>0</v>
      </c>
      <c r="R47" s="77">
        <f t="shared" si="24"/>
        <v>0</v>
      </c>
      <c r="S47" s="77">
        <f t="shared" si="25"/>
        <v>0</v>
      </c>
      <c r="T47" s="77">
        <f t="shared" si="25"/>
        <v>0</v>
      </c>
      <c r="U47" s="77">
        <f t="shared" si="25"/>
        <v>0</v>
      </c>
      <c r="V47" s="77">
        <f t="shared" si="25"/>
        <v>0</v>
      </c>
      <c r="W47" s="77">
        <f t="shared" si="25"/>
        <v>0</v>
      </c>
      <c r="X47" s="77">
        <f t="shared" si="25"/>
        <v>0</v>
      </c>
      <c r="Y47" s="77">
        <f t="shared" si="25"/>
        <v>0</v>
      </c>
      <c r="Z47" s="77">
        <f t="shared" si="25"/>
        <v>0</v>
      </c>
      <c r="AA47" s="77">
        <f t="shared" si="5"/>
        <v>0</v>
      </c>
      <c r="AB47" s="175">
        <f t="shared" si="6"/>
        <v>0</v>
      </c>
      <c r="AC47" s="77">
        <f t="shared" si="26"/>
        <v>0</v>
      </c>
      <c r="AD47" s="77">
        <f t="shared" si="26"/>
        <v>0</v>
      </c>
      <c r="AE47" s="77">
        <f t="shared" si="26"/>
        <v>0</v>
      </c>
      <c r="AF47" s="77">
        <f t="shared" si="8"/>
        <v>0</v>
      </c>
      <c r="AG47" s="77">
        <f t="shared" si="9"/>
        <v>0</v>
      </c>
      <c r="AH47" s="77">
        <f t="shared" si="10"/>
        <v>0</v>
      </c>
      <c r="AI47" s="77">
        <f t="shared" si="11"/>
        <v>0</v>
      </c>
      <c r="AJ47" s="77">
        <f t="shared" si="12"/>
        <v>0</v>
      </c>
      <c r="AK47" s="175">
        <f t="shared" si="16"/>
        <v>0</v>
      </c>
    </row>
    <row r="48" spans="1:37" x14ac:dyDescent="0.25">
      <c r="A48" s="131">
        <v>43</v>
      </c>
      <c r="B48" t="s">
        <v>182</v>
      </c>
      <c r="C48" s="131" t="s">
        <v>166</v>
      </c>
      <c r="D48" s="131" t="s">
        <v>0</v>
      </c>
      <c r="E48" s="131" t="s">
        <v>297</v>
      </c>
      <c r="F48" s="131" t="s">
        <v>182</v>
      </c>
      <c r="G48" s="320">
        <f>IF($C48="CAD",VLOOKUP($B48,Canada!$B$4:$H$49,4,FALSE)/'2020 Assumptions'!$B$4/1000,VLOOKUP($B48,US!$B$5:$E$17,2,FALSE))</f>
        <v>174843.96</v>
      </c>
      <c r="H48" s="320">
        <f>IF($C48="CAD",VLOOKUP($B48,Canada!$B$4:$H$49,5,FALSE)/'2020 Assumptions'!$B$5/1000,VLOOKUP($B48,US!$B$5:$E$17,3,FALSE))</f>
        <v>1168170.22</v>
      </c>
      <c r="I48" s="320">
        <f>IF($C48="CAD",VLOOKUP($B48,Canada!$B$4:$H$49,7,FALSE),VLOOKUP($B48,US!$B$5:$E$17,4,FALSE))</f>
        <v>440</v>
      </c>
      <c r="J48" s="321">
        <f t="shared" si="13"/>
        <v>0.51894487311850146</v>
      </c>
      <c r="K48" s="321">
        <f t="shared" si="0"/>
        <v>0.53481144707883044</v>
      </c>
      <c r="L48" s="321">
        <f t="shared" si="1"/>
        <v>0.53413615616198895</v>
      </c>
      <c r="M48" s="44">
        <f>AVERAGE(J48:L48)</f>
        <v>0.52929749211977362</v>
      </c>
      <c r="N48" s="44">
        <f t="shared" si="15"/>
        <v>0.51871154227737815</v>
      </c>
      <c r="O48" s="77">
        <f t="shared" si="23"/>
        <v>0</v>
      </c>
      <c r="P48" s="77">
        <f t="shared" si="23"/>
        <v>0.59296683746852852</v>
      </c>
      <c r="Q48" s="77">
        <f t="shared" si="24"/>
        <v>0.75107630192609431</v>
      </c>
      <c r="R48" s="77">
        <f t="shared" si="24"/>
        <v>0</v>
      </c>
      <c r="S48" s="77">
        <f t="shared" si="25"/>
        <v>0</v>
      </c>
      <c r="T48" s="77">
        <f t="shared" si="25"/>
        <v>0</v>
      </c>
      <c r="U48" s="77">
        <f t="shared" si="25"/>
        <v>0</v>
      </c>
      <c r="V48" s="77">
        <f t="shared" si="25"/>
        <v>1</v>
      </c>
      <c r="W48" s="77">
        <f t="shared" si="25"/>
        <v>0</v>
      </c>
      <c r="X48" s="77">
        <f t="shared" si="25"/>
        <v>0</v>
      </c>
      <c r="Y48" s="77">
        <f t="shared" si="25"/>
        <v>0</v>
      </c>
      <c r="Z48" s="77">
        <f t="shared" si="25"/>
        <v>0</v>
      </c>
      <c r="AA48" s="77">
        <f t="shared" si="5"/>
        <v>0</v>
      </c>
      <c r="AB48" s="175">
        <f t="shared" si="6"/>
        <v>0</v>
      </c>
      <c r="AC48" s="77">
        <f t="shared" si="26"/>
        <v>0</v>
      </c>
      <c r="AD48" s="77">
        <f t="shared" si="26"/>
        <v>1</v>
      </c>
      <c r="AE48" s="77">
        <f t="shared" si="26"/>
        <v>0</v>
      </c>
      <c r="AF48" s="77">
        <f t="shared" si="8"/>
        <v>0</v>
      </c>
      <c r="AG48" s="77">
        <f t="shared" si="9"/>
        <v>0</v>
      </c>
      <c r="AH48" s="77">
        <f t="shared" si="10"/>
        <v>0</v>
      </c>
      <c r="AI48" s="77">
        <f t="shared" si="11"/>
        <v>0.62342854430986061</v>
      </c>
      <c r="AJ48" s="77">
        <f t="shared" si="12"/>
        <v>0.59438575635587498</v>
      </c>
      <c r="AK48" s="175">
        <f t="shared" si="16"/>
        <v>0</v>
      </c>
    </row>
    <row r="49" spans="1:37" x14ac:dyDescent="0.25">
      <c r="A49" s="131">
        <v>44</v>
      </c>
      <c r="B49" t="s">
        <v>1</v>
      </c>
      <c r="C49" s="131" t="s">
        <v>166</v>
      </c>
      <c r="D49" s="131" t="s">
        <v>0</v>
      </c>
      <c r="E49" s="131" t="s">
        <v>1</v>
      </c>
      <c r="F49" s="131" t="s">
        <v>202</v>
      </c>
      <c r="G49" s="320">
        <f>IF($C49="CAD",VLOOKUP($B49,Canada!$B$4:$H$49,4,FALSE)/'2020 Assumptions'!$B$4/1000,VLOOKUP($B49,US!$B$5:$E$17,2,FALSE))</f>
        <v>27942.73</v>
      </c>
      <c r="H49" s="320">
        <f>IF($C49="CAD",VLOOKUP($B49,Canada!$B$4:$H$49,5,FALSE)/'2020 Assumptions'!$B$5/1000,VLOOKUP($B49,US!$B$5:$E$17,3,FALSE))</f>
        <v>258787.53</v>
      </c>
      <c r="I49" s="320">
        <f>IF($C49="CAD",VLOOKUP($B49,Canada!$B$4:$H$49,7,FALSE),VLOOKUP($B49,US!$B$5:$E$17,4,FALSE))</f>
        <v>93</v>
      </c>
      <c r="J49" s="321">
        <f t="shared" si="13"/>
        <v>8.2935301136136161E-2</v>
      </c>
      <c r="K49" s="321">
        <f t="shared" si="0"/>
        <v>0.11847805314302245</v>
      </c>
      <c r="L49" s="321">
        <f t="shared" si="1"/>
        <v>0.11289696027969312</v>
      </c>
      <c r="M49" s="44">
        <f t="shared" si="14"/>
        <v>0.10477010485295057</v>
      </c>
      <c r="N49" s="44">
        <f t="shared" si="15"/>
        <v>0.10267470275589156</v>
      </c>
      <c r="O49" s="77">
        <f t="shared" si="23"/>
        <v>0</v>
      </c>
      <c r="P49" s="77">
        <f t="shared" si="23"/>
        <v>0.11717350604649901</v>
      </c>
      <c r="Q49" s="77">
        <f t="shared" si="24"/>
        <v>0.14847934059338339</v>
      </c>
      <c r="R49" s="77">
        <f t="shared" si="24"/>
        <v>0</v>
      </c>
      <c r="S49" s="77">
        <f t="shared" si="25"/>
        <v>0</v>
      </c>
      <c r="T49" s="77">
        <f t="shared" si="25"/>
        <v>0</v>
      </c>
      <c r="U49" s="77">
        <f t="shared" si="25"/>
        <v>0</v>
      </c>
      <c r="V49" s="77">
        <f t="shared" si="25"/>
        <v>0</v>
      </c>
      <c r="W49" s="77">
        <f t="shared" si="25"/>
        <v>1</v>
      </c>
      <c r="X49" s="77">
        <f t="shared" si="25"/>
        <v>0</v>
      </c>
      <c r="Y49" s="77">
        <f t="shared" si="25"/>
        <v>0</v>
      </c>
      <c r="Z49" s="77">
        <f t="shared" si="25"/>
        <v>0</v>
      </c>
      <c r="AA49" s="77">
        <f t="shared" si="5"/>
        <v>0</v>
      </c>
      <c r="AB49" s="175">
        <f t="shared" si="6"/>
        <v>0.22314336833035978</v>
      </c>
      <c r="AC49" s="77">
        <f t="shared" si="26"/>
        <v>0</v>
      </c>
      <c r="AD49" s="77">
        <f t="shared" si="26"/>
        <v>0</v>
      </c>
      <c r="AE49" s="77">
        <f t="shared" si="26"/>
        <v>1</v>
      </c>
      <c r="AF49" s="77">
        <f t="shared" si="8"/>
        <v>0</v>
      </c>
      <c r="AG49" s="77">
        <f t="shared" si="9"/>
        <v>0</v>
      </c>
      <c r="AH49" s="77">
        <f>IF(AND($C49=AH$4,$F49=AH$3),$I49/SUMIFS($I:$I,$C:$C,AH$4,$F:$F,AH$3),0)</f>
        <v>0</v>
      </c>
      <c r="AI49" s="77">
        <f t="shared" si="11"/>
        <v>0.12340674672727971</v>
      </c>
      <c r="AJ49" s="77">
        <f t="shared" si="12"/>
        <v>0.12563153486612813</v>
      </c>
      <c r="AK49" s="175">
        <f t="shared" si="16"/>
        <v>0.60430749382023874</v>
      </c>
    </row>
    <row r="50" spans="1:37" x14ac:dyDescent="0.25">
      <c r="A50" s="131">
        <v>45</v>
      </c>
      <c r="B50" t="s">
        <v>109</v>
      </c>
      <c r="C50" s="131" t="s">
        <v>166</v>
      </c>
      <c r="D50" s="131" t="s">
        <v>181</v>
      </c>
      <c r="E50" s="131" t="s">
        <v>109</v>
      </c>
      <c r="F50" s="131" t="s">
        <v>201</v>
      </c>
      <c r="G50" s="320">
        <f>IF($C50="CAD",VLOOKUP($B50,Canada!$B$4:$H$49,4,FALSE)/'2020 Assumptions'!$B$4/1000,VLOOKUP($B50,US!$B$5:$E$17,2,FALSE))</f>
        <v>17990.436000000002</v>
      </c>
      <c r="H50" s="320">
        <f>IF($C50="CAD",VLOOKUP($B50,Canada!$B$4:$H$49,5,FALSE)/'2020 Assumptions'!$B$5/1000,VLOOKUP($B50,US!$B$5:$E$17,3,FALSE))</f>
        <v>208972.337</v>
      </c>
      <c r="I50" s="320">
        <f>IF($C50="CAD",VLOOKUP($B50,Canada!$B$4:$H$49,7,FALSE),VLOOKUP($B50,US!$B$5:$E$17,4,FALSE))</f>
        <v>46</v>
      </c>
      <c r="J50" s="321">
        <f t="shared" si="13"/>
        <v>5.339643718528523E-2</v>
      </c>
      <c r="K50" s="321">
        <f t="shared" si="0"/>
        <v>9.5671671847973511E-2</v>
      </c>
      <c r="L50" s="321">
        <f t="shared" si="1"/>
        <v>5.5841507235117022E-2</v>
      </c>
      <c r="M50" s="44">
        <f t="shared" si="14"/>
        <v>6.8303205422791918E-2</v>
      </c>
      <c r="N50" s="44">
        <f t="shared" si="15"/>
        <v>6.6937141314336077E-2</v>
      </c>
      <c r="O50" s="77">
        <f t="shared" si="23"/>
        <v>0</v>
      </c>
      <c r="P50" s="77">
        <f t="shared" si="23"/>
        <v>7.5568040506487841E-2</v>
      </c>
      <c r="Q50" s="77">
        <f t="shared" si="24"/>
        <v>0</v>
      </c>
      <c r="R50" s="77">
        <f t="shared" si="24"/>
        <v>0.23056201856233174</v>
      </c>
      <c r="S50" s="77">
        <f t="shared" si="25"/>
        <v>0</v>
      </c>
      <c r="T50" s="77">
        <f t="shared" si="25"/>
        <v>0</v>
      </c>
      <c r="U50" s="77">
        <f t="shared" si="25"/>
        <v>0</v>
      </c>
      <c r="V50" s="77">
        <f t="shared" si="25"/>
        <v>0</v>
      </c>
      <c r="W50" s="77">
        <f t="shared" si="25"/>
        <v>0</v>
      </c>
      <c r="X50" s="77">
        <f t="shared" si="25"/>
        <v>1</v>
      </c>
      <c r="Y50" s="77">
        <f t="shared" si="25"/>
        <v>0</v>
      </c>
      <c r="Z50" s="77">
        <f t="shared" si="25"/>
        <v>0</v>
      </c>
      <c r="AA50" s="77">
        <f t="shared" si="5"/>
        <v>0</v>
      </c>
      <c r="AB50" s="175">
        <f t="shared" si="6"/>
        <v>0.14550910088654823</v>
      </c>
      <c r="AC50" s="77">
        <f t="shared" si="26"/>
        <v>0.18942289639905677</v>
      </c>
      <c r="AD50" s="77">
        <f t="shared" si="26"/>
        <v>0</v>
      </c>
      <c r="AE50" s="77">
        <f t="shared" si="26"/>
        <v>0</v>
      </c>
      <c r="AF50" s="77">
        <f t="shared" si="8"/>
        <v>0.2631025151646052</v>
      </c>
      <c r="AG50" s="77">
        <f t="shared" si="9"/>
        <v>0.28307692307692306</v>
      </c>
      <c r="AH50" s="77">
        <f t="shared" si="10"/>
        <v>0</v>
      </c>
      <c r="AI50" s="77">
        <f t="shared" si="11"/>
        <v>8.1171424273235399E-2</v>
      </c>
      <c r="AJ50" s="77">
        <f t="shared" si="12"/>
        <v>6.2140329073568749E-2</v>
      </c>
      <c r="AK50" s="175">
        <f t="shared" si="16"/>
        <v>0</v>
      </c>
    </row>
    <row r="51" spans="1:37" x14ac:dyDescent="0.25">
      <c r="A51" s="131">
        <v>46</v>
      </c>
      <c r="B51" t="s">
        <v>114</v>
      </c>
      <c r="C51" s="131" t="s">
        <v>166</v>
      </c>
      <c r="D51" s="131" t="s">
        <v>181</v>
      </c>
      <c r="E51" s="131" t="s">
        <v>156</v>
      </c>
      <c r="F51" s="131" t="s">
        <v>201</v>
      </c>
      <c r="G51" s="320">
        <f>IF($C51="CAD",VLOOKUP($B51,Canada!$B$4:$H$49,4,FALSE)/'2020 Assumptions'!$B$4/1000,VLOOKUP($B51,US!$B$5:$E$17,2,FALSE))</f>
        <v>901.93700000000001</v>
      </c>
      <c r="H51" s="320">
        <f>IF($C51="CAD",VLOOKUP($B51,Canada!$B$4:$H$49,5,FALSE)/'2020 Assumptions'!$B$5/1000,VLOOKUP($B51,US!$B$5:$E$17,3,FALSE))</f>
        <v>76.411000000000001</v>
      </c>
      <c r="I51" s="320">
        <f>IF($C51="CAD",VLOOKUP($B51,Canada!$B$4:$H$49,7,FALSE),VLOOKUP($B51,US!$B$5:$E$17,4,FALSE))</f>
        <v>3</v>
      </c>
      <c r="J51" s="321">
        <f t="shared" si="13"/>
        <v>2.6769902833697081E-3</v>
      </c>
      <c r="K51" s="321">
        <f t="shared" si="0"/>
        <v>3.4982468122445814E-5</v>
      </c>
      <c r="L51" s="321">
        <f t="shared" si="1"/>
        <v>3.6418374283771972E-3</v>
      </c>
      <c r="M51" s="44">
        <f t="shared" si="14"/>
        <v>2.1179367266231171E-3</v>
      </c>
      <c r="N51" s="44">
        <f t="shared" si="15"/>
        <v>2.0755779920906547E-3</v>
      </c>
      <c r="O51" s="77">
        <f t="shared" si="23"/>
        <v>0</v>
      </c>
      <c r="P51" s="77">
        <f t="shared" si="23"/>
        <v>2.4566765212568763E-3</v>
      </c>
      <c r="Q51" s="77">
        <f t="shared" si="24"/>
        <v>0</v>
      </c>
      <c r="R51" s="77">
        <f t="shared" si="24"/>
        <v>7.5463507741466629E-3</v>
      </c>
      <c r="S51" s="77">
        <f t="shared" si="25"/>
        <v>0</v>
      </c>
      <c r="T51" s="77">
        <f t="shared" si="25"/>
        <v>0</v>
      </c>
      <c r="U51" s="77">
        <f t="shared" si="25"/>
        <v>0</v>
      </c>
      <c r="V51" s="77">
        <f t="shared" si="25"/>
        <v>0</v>
      </c>
      <c r="W51" s="77">
        <f t="shared" si="25"/>
        <v>0</v>
      </c>
      <c r="X51" s="77">
        <f t="shared" si="25"/>
        <v>0</v>
      </c>
      <c r="Y51" s="77">
        <f t="shared" si="25"/>
        <v>1</v>
      </c>
      <c r="Z51" s="77">
        <f t="shared" si="25"/>
        <v>0</v>
      </c>
      <c r="AA51" s="77">
        <f t="shared" si="5"/>
        <v>0</v>
      </c>
      <c r="AB51" s="175">
        <f t="shared" si="6"/>
        <v>4.4858056909239255E-3</v>
      </c>
      <c r="AC51" s="77">
        <f t="shared" si="26"/>
        <v>5.7142559655088436E-3</v>
      </c>
      <c r="AD51" s="77">
        <f t="shared" si="26"/>
        <v>0</v>
      </c>
      <c r="AE51" s="77">
        <f t="shared" si="26"/>
        <v>0</v>
      </c>
      <c r="AF51" s="77">
        <f t="shared" si="8"/>
        <v>9.3283958997746833E-3</v>
      </c>
      <c r="AG51" s="77">
        <f t="shared" si="9"/>
        <v>1.8461538461538463E-2</v>
      </c>
      <c r="AH51" s="77">
        <f t="shared" si="10"/>
        <v>0</v>
      </c>
      <c r="AI51" s="77">
        <f t="shared" si="11"/>
        <v>2.425766062505118E-3</v>
      </c>
      <c r="AJ51" s="77">
        <f t="shared" si="12"/>
        <v>4.0526301569718745E-3</v>
      </c>
      <c r="AK51" s="175">
        <f t="shared" si="16"/>
        <v>0</v>
      </c>
    </row>
    <row r="52" spans="1:37" x14ac:dyDescent="0.25">
      <c r="A52" s="131">
        <v>47</v>
      </c>
      <c r="B52" t="s">
        <v>110</v>
      </c>
      <c r="C52" s="131" t="s">
        <v>166</v>
      </c>
      <c r="D52" s="131" t="s">
        <v>181</v>
      </c>
      <c r="E52" s="131" t="s">
        <v>110</v>
      </c>
      <c r="F52" s="131" t="s">
        <v>201</v>
      </c>
      <c r="G52" s="320">
        <f>IF($C52="CAD",VLOOKUP($B52,Canada!$B$4:$H$49,4,FALSE)/'2020 Assumptions'!$B$4/1000,VLOOKUP($B52,US!$B$5:$E$17,2,FALSE))</f>
        <v>23552.903999999999</v>
      </c>
      <c r="H52" s="320">
        <f>IF($C52="CAD",VLOOKUP($B52,Canada!$B$4:$H$49,5,FALSE)/'2020 Assumptions'!$B$5/1000,VLOOKUP($B52,US!$B$5:$E$17,3,FALSE))</f>
        <v>34866.254000000001</v>
      </c>
      <c r="I52" s="320">
        <f>IF($C52="CAD",VLOOKUP($B52,Canada!$B$4:$H$49,7,FALSE),VLOOKUP($B52,US!$B$5:$E$17,4,FALSE))</f>
        <v>30</v>
      </c>
      <c r="J52" s="321">
        <f t="shared" si="13"/>
        <v>6.9906096715335472E-2</v>
      </c>
      <c r="K52" s="321">
        <f t="shared" si="0"/>
        <v>1.596246115224377E-2</v>
      </c>
      <c r="L52" s="321">
        <f t="shared" si="1"/>
        <v>3.6418374283771975E-2</v>
      </c>
      <c r="M52" s="44">
        <f t="shared" si="14"/>
        <v>4.0762310717117077E-2</v>
      </c>
      <c r="N52" s="44">
        <f t="shared" si="15"/>
        <v>3.9947064502774736E-2</v>
      </c>
      <c r="O52" s="77">
        <f t="shared" si="23"/>
        <v>0</v>
      </c>
      <c r="P52" s="77">
        <f t="shared" si="23"/>
        <v>4.6244868545243289E-2</v>
      </c>
      <c r="Q52" s="77">
        <f t="shared" si="24"/>
        <v>0</v>
      </c>
      <c r="R52" s="77">
        <f t="shared" si="24"/>
        <v>0.13863867091732091</v>
      </c>
      <c r="S52" s="77">
        <f t="shared" si="25"/>
        <v>0</v>
      </c>
      <c r="T52" s="77">
        <f t="shared" si="25"/>
        <v>0</v>
      </c>
      <c r="U52" s="77">
        <f t="shared" si="25"/>
        <v>0</v>
      </c>
      <c r="V52" s="77">
        <f t="shared" si="25"/>
        <v>0</v>
      </c>
      <c r="W52" s="77">
        <f t="shared" si="25"/>
        <v>0</v>
      </c>
      <c r="X52" s="77">
        <f t="shared" si="25"/>
        <v>0</v>
      </c>
      <c r="Y52" s="77">
        <f t="shared" si="25"/>
        <v>0</v>
      </c>
      <c r="Z52" s="77">
        <f t="shared" si="25"/>
        <v>1</v>
      </c>
      <c r="AA52" s="77">
        <f t="shared" si="5"/>
        <v>0</v>
      </c>
      <c r="AB52" s="175">
        <f t="shared" si="6"/>
        <v>8.5935361258005924E-2</v>
      </c>
      <c r="AC52" s="77">
        <f t="shared" si="26"/>
        <v>0.10826940413720394</v>
      </c>
      <c r="AD52" s="77">
        <f t="shared" si="26"/>
        <v>0</v>
      </c>
      <c r="AE52" s="77">
        <f t="shared" si="26"/>
        <v>0</v>
      </c>
      <c r="AF52" s="77">
        <f t="shared" si="8"/>
        <v>0.1611422389656065</v>
      </c>
      <c r="AG52" s="77">
        <f t="shared" si="9"/>
        <v>0.18461538461538463</v>
      </c>
      <c r="AH52" s="77">
        <f t="shared" si="10"/>
        <v>0</v>
      </c>
      <c r="AI52" s="77">
        <f t="shared" si="11"/>
        <v>4.7760593369794511E-2</v>
      </c>
      <c r="AJ52" s="77">
        <f t="shared" si="12"/>
        <v>4.0526301569718745E-2</v>
      </c>
      <c r="AK52" s="175">
        <f t="shared" si="16"/>
        <v>0</v>
      </c>
    </row>
    <row r="53" spans="1:37" x14ac:dyDescent="0.25">
      <c r="A53" s="131">
        <v>48</v>
      </c>
      <c r="B53" t="s">
        <v>178</v>
      </c>
      <c r="C53" s="131" t="s">
        <v>166</v>
      </c>
      <c r="D53" s="131" t="s">
        <v>181</v>
      </c>
      <c r="E53" s="131" t="s">
        <v>178</v>
      </c>
      <c r="F53" s="131" t="s">
        <v>201</v>
      </c>
      <c r="G53" s="320">
        <f>IF($C53="CAD",VLOOKUP($B53,Canada!$B$4:$H$49,4,FALSE)/'2020 Assumptions'!$B$4/1000,VLOOKUP($B53,US!$B$5:$E$17,2,FALSE))</f>
        <v>53432.478999999999</v>
      </c>
      <c r="H53" s="320">
        <f>IF($C53="CAD",VLOOKUP($B53,Canada!$B$4:$H$49,5,FALSE)/'2020 Assumptions'!$B$5/1000,VLOOKUP($B53,US!$B$5:$E$17,3,FALSE))</f>
        <v>412011.0355</v>
      </c>
      <c r="I53" s="320">
        <f>IF($C53="CAD",VLOOKUP($B53,Canada!$B$4:$H$49,7,FALSE),VLOOKUP($B53,US!$B$5:$E$17,4,FALSE))</f>
        <v>83.5</v>
      </c>
      <c r="J53" s="322">
        <f t="shared" si="13"/>
        <v>0.15859004243018746</v>
      </c>
      <c r="K53" s="321">
        <f t="shared" si="0"/>
        <v>0.18862680655238959</v>
      </c>
      <c r="L53" s="321">
        <f t="shared" si="1"/>
        <v>0.10136447508983198</v>
      </c>
      <c r="M53" s="44">
        <f t="shared" si="14"/>
        <v>0.14952710802413635</v>
      </c>
      <c r="N53" s="44">
        <f t="shared" si="15"/>
        <v>0.14653656586365363</v>
      </c>
      <c r="O53" s="77">
        <f t="shared" si="23"/>
        <v>0</v>
      </c>
      <c r="P53" s="77">
        <f t="shared" si="23"/>
        <v>0.16559007091198441</v>
      </c>
      <c r="Q53" s="77">
        <f t="shared" si="24"/>
        <v>0</v>
      </c>
      <c r="R53" s="77">
        <f t="shared" si="24"/>
        <v>0.50097860688798923</v>
      </c>
      <c r="S53" s="77">
        <f t="shared" si="25"/>
        <v>0</v>
      </c>
      <c r="T53" s="77">
        <f t="shared" si="25"/>
        <v>0</v>
      </c>
      <c r="U53" s="77">
        <f t="shared" si="25"/>
        <v>0</v>
      </c>
      <c r="V53" s="77">
        <f t="shared" si="25"/>
        <v>0</v>
      </c>
      <c r="W53" s="77">
        <f t="shared" si="25"/>
        <v>0</v>
      </c>
      <c r="X53" s="77">
        <f t="shared" si="25"/>
        <v>0</v>
      </c>
      <c r="Y53" s="77">
        <f t="shared" si="25"/>
        <v>0</v>
      </c>
      <c r="Z53" s="77">
        <f t="shared" si="25"/>
        <v>0</v>
      </c>
      <c r="AA53" s="77">
        <f t="shared" si="5"/>
        <v>1</v>
      </c>
      <c r="AB53" s="175">
        <f t="shared" si="6"/>
        <v>0.31757992586553246</v>
      </c>
      <c r="AC53" s="77">
        <f t="shared" si="26"/>
        <v>0.40985764659597884</v>
      </c>
      <c r="AD53" s="77">
        <f t="shared" si="26"/>
        <v>0</v>
      </c>
      <c r="AE53" s="77">
        <f t="shared" si="26"/>
        <v>0</v>
      </c>
      <c r="AF53" s="77">
        <f t="shared" si="8"/>
        <v>0.56642684997001358</v>
      </c>
      <c r="AG53" s="77">
        <f t="shared" si="9"/>
        <v>0.51384615384615384</v>
      </c>
      <c r="AH53" s="77">
        <f t="shared" si="10"/>
        <v>0</v>
      </c>
      <c r="AI53" s="77">
        <f t="shared" si="11"/>
        <v>0</v>
      </c>
      <c r="AJ53" s="77">
        <f t="shared" si="12"/>
        <v>0</v>
      </c>
      <c r="AK53" s="175">
        <f t="shared" si="16"/>
        <v>0</v>
      </c>
    </row>
    <row r="54" spans="1:37" s="131" customFormat="1" x14ac:dyDescent="0.25">
      <c r="A54" s="131">
        <v>49</v>
      </c>
      <c r="B54" s="131" t="s">
        <v>2</v>
      </c>
      <c r="C54" s="131" t="s">
        <v>166</v>
      </c>
      <c r="E54" s="131" t="s">
        <v>2</v>
      </c>
      <c r="G54" s="320"/>
      <c r="H54" s="320"/>
      <c r="I54" s="320"/>
      <c r="J54" s="322"/>
      <c r="K54" s="321"/>
      <c r="L54" s="321"/>
      <c r="M54" s="44"/>
      <c r="N54" s="44">
        <v>0.02</v>
      </c>
      <c r="O54" s="77"/>
      <c r="P54" s="77"/>
      <c r="Q54" s="77"/>
      <c r="R54" s="77"/>
      <c r="U54" s="166"/>
      <c r="AB54" s="172"/>
      <c r="AH54" s="166"/>
      <c r="AI54" s="166"/>
      <c r="AJ54" s="177"/>
      <c r="AK54" s="172"/>
    </row>
    <row r="55" spans="1:37" ht="15.75" thickBot="1" x14ac:dyDescent="0.3">
      <c r="G55" s="242"/>
      <c r="H55" s="242"/>
      <c r="I55" s="242"/>
      <c r="J55" s="323">
        <f>SUM(J6:J54)</f>
        <v>0.99999999999999989</v>
      </c>
      <c r="K55" s="323">
        <f t="shared" ref="K55:AK55" si="27">SUM(K6:K54)</f>
        <v>1</v>
      </c>
      <c r="L55" s="323">
        <f t="shared" si="27"/>
        <v>1</v>
      </c>
      <c r="M55" s="318">
        <f t="shared" si="27"/>
        <v>0.99999999999999989</v>
      </c>
      <c r="N55" s="318">
        <f t="shared" si="27"/>
        <v>0.99999999999999989</v>
      </c>
      <c r="O55" s="318">
        <f t="shared" si="27"/>
        <v>0.99999999999999989</v>
      </c>
      <c r="P55" s="318">
        <f t="shared" si="27"/>
        <v>1</v>
      </c>
      <c r="Q55" s="318">
        <f t="shared" si="27"/>
        <v>1</v>
      </c>
      <c r="R55" s="318">
        <f t="shared" si="27"/>
        <v>1</v>
      </c>
      <c r="S55" s="318">
        <f t="shared" si="27"/>
        <v>1</v>
      </c>
      <c r="T55" s="318">
        <f t="shared" si="27"/>
        <v>1</v>
      </c>
      <c r="U55" s="318">
        <f t="shared" si="27"/>
        <v>1</v>
      </c>
      <c r="V55" s="318">
        <f t="shared" si="27"/>
        <v>1</v>
      </c>
      <c r="W55" s="318">
        <f t="shared" si="27"/>
        <v>1</v>
      </c>
      <c r="X55" s="318">
        <f t="shared" si="27"/>
        <v>1</v>
      </c>
      <c r="Y55" s="318">
        <f t="shared" si="27"/>
        <v>1</v>
      </c>
      <c r="Z55" s="318">
        <f t="shared" si="27"/>
        <v>1</v>
      </c>
      <c r="AA55" s="318">
        <f t="shared" si="27"/>
        <v>1</v>
      </c>
      <c r="AB55" s="326">
        <f t="shared" si="27"/>
        <v>1</v>
      </c>
      <c r="AC55" s="318">
        <f t="shared" si="27"/>
        <v>1</v>
      </c>
      <c r="AD55" s="318">
        <f t="shared" si="27"/>
        <v>1</v>
      </c>
      <c r="AE55" s="318">
        <f t="shared" si="27"/>
        <v>1</v>
      </c>
      <c r="AF55" s="318">
        <f t="shared" si="27"/>
        <v>1</v>
      </c>
      <c r="AG55" s="318">
        <f t="shared" si="27"/>
        <v>1</v>
      </c>
      <c r="AH55" s="318">
        <f t="shared" si="27"/>
        <v>1.0000000000000002</v>
      </c>
      <c r="AI55" s="318">
        <f t="shared" si="27"/>
        <v>1</v>
      </c>
      <c r="AJ55" s="318">
        <f t="shared" ref="AJ55" si="28">SUM(AJ6:AJ54)</f>
        <v>0.99999999999999989</v>
      </c>
      <c r="AK55" s="326">
        <f t="shared" si="27"/>
        <v>1</v>
      </c>
    </row>
    <row r="56" spans="1:37" x14ac:dyDescent="0.25">
      <c r="M56" s="131"/>
    </row>
    <row r="65" spans="3:36" x14ac:dyDescent="0.25">
      <c r="C65" t="s">
        <v>167</v>
      </c>
      <c r="D65" t="s">
        <v>0</v>
      </c>
      <c r="E65" t="s">
        <v>99</v>
      </c>
      <c r="F65" s="131" t="s">
        <v>201</v>
      </c>
    </row>
    <row r="66" spans="3:36" x14ac:dyDescent="0.25">
      <c r="C66" t="s">
        <v>166</v>
      </c>
      <c r="D66" t="s">
        <v>181</v>
      </c>
      <c r="E66" t="s">
        <v>106</v>
      </c>
      <c r="F66" s="131" t="s">
        <v>182</v>
      </c>
    </row>
    <row r="67" spans="3:36" x14ac:dyDescent="0.25">
      <c r="E67" s="166" t="s">
        <v>18</v>
      </c>
      <c r="F67" s="131" t="s">
        <v>202</v>
      </c>
    </row>
    <row r="68" spans="3:36" x14ac:dyDescent="0.25">
      <c r="E68" t="s">
        <v>297</v>
      </c>
    </row>
    <row r="69" spans="3:36" x14ac:dyDescent="0.25">
      <c r="E69" t="s">
        <v>1</v>
      </c>
    </row>
    <row r="70" spans="3:36" x14ac:dyDescent="0.25">
      <c r="E70" t="s">
        <v>109</v>
      </c>
    </row>
    <row r="71" spans="3:36" x14ac:dyDescent="0.25">
      <c r="E71" t="s">
        <v>156</v>
      </c>
    </row>
    <row r="72" spans="3:36" s="131" customFormat="1" x14ac:dyDescent="0.25">
      <c r="E72" t="s">
        <v>110</v>
      </c>
      <c r="U72" s="166"/>
      <c r="AB72" s="177"/>
      <c r="AH72" s="166"/>
      <c r="AI72" s="166"/>
      <c r="AJ72" s="177"/>
    </row>
    <row r="73" spans="3:36" x14ac:dyDescent="0.25">
      <c r="E73" s="131" t="s">
        <v>178</v>
      </c>
    </row>
    <row r="74" spans="3:36" x14ac:dyDescent="0.25">
      <c r="E74" t="s">
        <v>2</v>
      </c>
    </row>
  </sheetData>
  <dataValidations count="5">
    <dataValidation type="list" allowBlank="1" showInputMessage="1" showErrorMessage="1" sqref="C6:D6 D7:D54" xr:uid="{00000000-0002-0000-1400-000000000000}">
      <formula1>C$65:C$66</formula1>
    </dataValidation>
    <dataValidation type="list" allowBlank="1" showInputMessage="1" showErrorMessage="1" sqref="C7:C54" xr:uid="{00000000-0002-0000-1400-000001000000}">
      <formula1>$C$65:$C$66</formula1>
    </dataValidation>
    <dataValidation type="list" allowBlank="1" showInputMessage="1" showErrorMessage="1" sqref="F7:F54" xr:uid="{00000000-0002-0000-1400-000002000000}">
      <formula1>F$65:F$73</formula1>
    </dataValidation>
    <dataValidation type="list" allowBlank="1" showInputMessage="1" showErrorMessage="1" sqref="F6" xr:uid="{00000000-0002-0000-1400-000003000000}">
      <formula1>$F$65:$F$67</formula1>
    </dataValidation>
    <dataValidation type="list" allowBlank="1" showInputMessage="1" showErrorMessage="1" sqref="E6:E54" xr:uid="{00000000-0002-0000-1400-000004000000}">
      <formula1>E$65:E$74</formula1>
    </dataValidation>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7" tint="0.59999389629810485"/>
    <pageSetUpPr fitToPage="1"/>
  </sheetPr>
  <dimension ref="A2:H16"/>
  <sheetViews>
    <sheetView zoomScale="85" zoomScaleNormal="85" workbookViewId="0">
      <selection activeCell="W6" sqref="W6"/>
    </sheetView>
  </sheetViews>
  <sheetFormatPr defaultRowHeight="15" outlineLevelRow="1" x14ac:dyDescent="0.25"/>
  <cols>
    <col min="2" max="2" width="13.42578125" bestFit="1" customWidth="1"/>
    <col min="3" max="6" width="14.5703125" customWidth="1"/>
  </cols>
  <sheetData>
    <row r="2" spans="1:8" ht="30" x14ac:dyDescent="0.25">
      <c r="C2" s="152" t="s">
        <v>174</v>
      </c>
      <c r="D2" s="161">
        <v>43646</v>
      </c>
      <c r="E2" s="161">
        <v>43646</v>
      </c>
      <c r="F2" s="161">
        <v>43646</v>
      </c>
    </row>
    <row r="3" spans="1:8" x14ac:dyDescent="0.25">
      <c r="C3" s="35" t="s">
        <v>97</v>
      </c>
      <c r="D3" s="35" t="s">
        <v>97</v>
      </c>
      <c r="E3" s="35" t="s">
        <v>97</v>
      </c>
      <c r="F3" s="35" t="s">
        <v>97</v>
      </c>
    </row>
    <row r="4" spans="1:8" x14ac:dyDescent="0.25">
      <c r="B4" s="1" t="s">
        <v>66</v>
      </c>
      <c r="C4" s="35" t="s">
        <v>63</v>
      </c>
      <c r="D4" s="35" t="s">
        <v>120</v>
      </c>
      <c r="E4" s="35" t="s">
        <v>69</v>
      </c>
      <c r="F4" s="35" t="s">
        <v>121</v>
      </c>
    </row>
    <row r="5" spans="1:8" outlineLevel="1" x14ac:dyDescent="0.25">
      <c r="A5">
        <v>1</v>
      </c>
      <c r="B5" t="s">
        <v>122</v>
      </c>
      <c r="C5" s="148">
        <v>55096.9</v>
      </c>
      <c r="D5" s="148">
        <v>328244.34000000003</v>
      </c>
      <c r="E5" s="148">
        <v>121</v>
      </c>
      <c r="F5" s="148">
        <v>87161.670000000027</v>
      </c>
      <c r="H5" t="s">
        <v>213</v>
      </c>
    </row>
    <row r="6" spans="1:8" outlineLevel="1" x14ac:dyDescent="0.25">
      <c r="A6">
        <f>A5+1</f>
        <v>2</v>
      </c>
      <c r="B6" t="s">
        <v>123</v>
      </c>
      <c r="C6" s="148">
        <v>29128.54</v>
      </c>
      <c r="D6" s="148">
        <v>209838.62</v>
      </c>
      <c r="E6" s="148">
        <v>80</v>
      </c>
      <c r="F6" s="148">
        <v>50168.900000000016</v>
      </c>
      <c r="H6" t="s">
        <v>213</v>
      </c>
    </row>
    <row r="7" spans="1:8" outlineLevel="1" x14ac:dyDescent="0.25">
      <c r="A7" s="131">
        <f t="shared" ref="A7:A10" si="0">A6+1</f>
        <v>3</v>
      </c>
      <c r="B7" t="s">
        <v>124</v>
      </c>
      <c r="C7" s="148">
        <v>37058.980000000003</v>
      </c>
      <c r="D7" s="148">
        <v>254157.93</v>
      </c>
      <c r="E7" s="148">
        <v>79</v>
      </c>
      <c r="F7" s="148">
        <v>67472.900000000023</v>
      </c>
      <c r="H7" t="s">
        <v>213</v>
      </c>
    </row>
    <row r="8" spans="1:8" outlineLevel="1" x14ac:dyDescent="0.25">
      <c r="A8" s="131">
        <f t="shared" si="0"/>
        <v>4</v>
      </c>
      <c r="B8" t="s">
        <v>125</v>
      </c>
      <c r="C8" s="148">
        <v>26779.93</v>
      </c>
      <c r="D8" s="148">
        <v>163297.29</v>
      </c>
      <c r="E8" s="148">
        <v>79</v>
      </c>
      <c r="F8" s="148">
        <v>51150.829999999994</v>
      </c>
      <c r="H8" t="s">
        <v>213</v>
      </c>
    </row>
    <row r="9" spans="1:8" outlineLevel="1" x14ac:dyDescent="0.25">
      <c r="A9" s="131">
        <f t="shared" si="0"/>
        <v>5</v>
      </c>
      <c r="B9" t="s">
        <v>126</v>
      </c>
      <c r="C9" s="148">
        <v>17206.8</v>
      </c>
      <c r="D9" s="148">
        <v>148696.6</v>
      </c>
      <c r="E9" s="148">
        <v>44</v>
      </c>
      <c r="F9" s="148">
        <v>33618.899999999994</v>
      </c>
      <c r="H9" t="s">
        <v>213</v>
      </c>
    </row>
    <row r="10" spans="1:8" outlineLevel="1" x14ac:dyDescent="0.25">
      <c r="A10" s="131">
        <f t="shared" si="0"/>
        <v>6</v>
      </c>
      <c r="B10" t="s">
        <v>127</v>
      </c>
      <c r="C10" s="148">
        <v>9572.81</v>
      </c>
      <c r="D10" s="148">
        <v>63935.44</v>
      </c>
      <c r="E10" s="148">
        <v>37</v>
      </c>
      <c r="F10" s="148">
        <v>7027</v>
      </c>
      <c r="H10" t="s">
        <v>213</v>
      </c>
    </row>
    <row r="11" spans="1:8" s="131" customFormat="1" ht="15.75" thickBot="1" x14ac:dyDescent="0.3">
      <c r="B11" s="153" t="s">
        <v>182</v>
      </c>
      <c r="C11" s="154">
        <f>SUM(C5:C10)</f>
        <v>174843.96</v>
      </c>
      <c r="D11" s="154">
        <f>SUM(D5:D10)</f>
        <v>1168170.22</v>
      </c>
      <c r="E11" s="154">
        <f>SUM(E5:E10)</f>
        <v>440</v>
      </c>
      <c r="F11" s="154">
        <f>SUM(F5:F10)</f>
        <v>296600.20000000007</v>
      </c>
    </row>
    <row r="12" spans="1:8" ht="15.75" thickTop="1" x14ac:dyDescent="0.25">
      <c r="A12" s="131">
        <f>A10+1</f>
        <v>7</v>
      </c>
      <c r="B12" t="s">
        <v>1</v>
      </c>
      <c r="C12" s="148">
        <v>27942.73</v>
      </c>
      <c r="D12" s="148">
        <v>258787.53</v>
      </c>
      <c r="E12" s="148">
        <v>93</v>
      </c>
      <c r="F12" s="148"/>
      <c r="H12" t="s">
        <v>213</v>
      </c>
    </row>
    <row r="13" spans="1:8" x14ac:dyDescent="0.25">
      <c r="A13" s="131">
        <f t="shared" ref="A13:A16" si="1">A12+1</f>
        <v>8</v>
      </c>
      <c r="B13" t="s">
        <v>109</v>
      </c>
      <c r="C13" s="148">
        <v>17990.436000000002</v>
      </c>
      <c r="D13" s="148">
        <v>208972.337</v>
      </c>
      <c r="E13" s="148">
        <v>46</v>
      </c>
      <c r="F13" s="148"/>
      <c r="H13" t="s">
        <v>213</v>
      </c>
    </row>
    <row r="14" spans="1:8" x14ac:dyDescent="0.25">
      <c r="A14" s="131">
        <f t="shared" si="1"/>
        <v>9</v>
      </c>
      <c r="B14" t="s">
        <v>114</v>
      </c>
      <c r="C14" s="148">
        <v>901.93700000000001</v>
      </c>
      <c r="D14" s="148">
        <v>76.411000000000001</v>
      </c>
      <c r="E14" s="148">
        <v>3</v>
      </c>
      <c r="F14" s="148"/>
      <c r="H14" t="s">
        <v>213</v>
      </c>
    </row>
    <row r="15" spans="1:8" x14ac:dyDescent="0.25">
      <c r="A15" s="131">
        <f t="shared" si="1"/>
        <v>10</v>
      </c>
      <c r="B15" t="s">
        <v>110</v>
      </c>
      <c r="C15" s="148">
        <v>23552.903999999999</v>
      </c>
      <c r="D15" s="148">
        <v>34866.254000000001</v>
      </c>
      <c r="E15" s="148">
        <v>30</v>
      </c>
      <c r="F15" s="148"/>
      <c r="H15" t="s">
        <v>213</v>
      </c>
    </row>
    <row r="16" spans="1:8" x14ac:dyDescent="0.25">
      <c r="A16" s="131">
        <f t="shared" si="1"/>
        <v>11</v>
      </c>
      <c r="B16" t="s">
        <v>178</v>
      </c>
      <c r="C16" s="148">
        <f>IF('2020 Assumptions'!$B$16="Yes",106864.958*$G16,0)</f>
        <v>53432.478999999999</v>
      </c>
      <c r="D16" s="148">
        <f>IF('2020 Assumptions'!$B$16="Yes",824022.071*$G16,0)</f>
        <v>412011.0355</v>
      </c>
      <c r="E16" s="148">
        <f>IF('2020 Assumptions'!$B$16="Yes",167*$G16,0)</f>
        <v>83.5</v>
      </c>
      <c r="F16" s="148"/>
      <c r="G16" s="80">
        <v>0.5</v>
      </c>
      <c r="H16" t="s">
        <v>213</v>
      </c>
    </row>
  </sheetData>
  <pageMargins left="0.7" right="0.7" top="0.75" bottom="0.75" header="0.3" footer="0.3"/>
  <pageSetup scale="37"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7" tint="0.59999389629810485"/>
    <pageSetUpPr fitToPage="1"/>
  </sheetPr>
  <dimension ref="A1:L417"/>
  <sheetViews>
    <sheetView zoomScale="85" zoomScaleNormal="85" workbookViewId="0">
      <pane ySplit="5" topLeftCell="A6" activePane="bottomLeft" state="frozen"/>
      <selection activeCell="W6" sqref="W6"/>
      <selection pane="bottomLeft" activeCell="W6" sqref="W6"/>
    </sheetView>
  </sheetViews>
  <sheetFormatPr defaultRowHeight="15" x14ac:dyDescent="0.25"/>
  <cols>
    <col min="1" max="1" width="5.7109375" customWidth="1"/>
    <col min="2" max="2" width="56.7109375" customWidth="1"/>
    <col min="3" max="3" width="35.5703125" bestFit="1" customWidth="1"/>
    <col min="4" max="4" width="8" customWidth="1"/>
    <col min="5" max="5" width="18.42578125" bestFit="1" customWidth="1"/>
    <col min="6" max="6" width="21.5703125" bestFit="1" customWidth="1"/>
    <col min="7" max="8" width="17.5703125" bestFit="1" customWidth="1"/>
    <col min="9" max="9" width="20.140625" customWidth="1"/>
    <col min="10" max="10" width="17.5703125" bestFit="1" customWidth="1"/>
    <col min="11" max="11" width="27" customWidth="1"/>
    <col min="12" max="12" width="12.42578125" customWidth="1"/>
  </cols>
  <sheetData>
    <row r="1" spans="1:12" x14ac:dyDescent="0.25">
      <c r="B1" s="1339" t="s">
        <v>67</v>
      </c>
      <c r="C1" s="1339"/>
      <c r="D1" s="119"/>
      <c r="E1" s="49"/>
      <c r="F1" s="69"/>
      <c r="G1" s="69"/>
      <c r="H1" s="2"/>
      <c r="I1" s="2"/>
      <c r="J1" s="2"/>
      <c r="K1" s="2"/>
      <c r="L1" s="2"/>
    </row>
    <row r="2" spans="1:12" x14ac:dyDescent="0.25">
      <c r="B2" s="2" t="s">
        <v>140</v>
      </c>
      <c r="C2" s="138" t="s">
        <v>157</v>
      </c>
      <c r="D2" s="27"/>
      <c r="E2" s="2"/>
      <c r="F2" s="2"/>
      <c r="G2" s="2"/>
      <c r="H2" s="2"/>
      <c r="I2" s="2"/>
      <c r="J2" s="2"/>
      <c r="K2" s="2"/>
      <c r="L2" s="2"/>
    </row>
    <row r="3" spans="1:12" s="68" customFormat="1" ht="15.75" thickBot="1" x14ac:dyDescent="0.3">
      <c r="B3" s="69"/>
      <c r="C3" s="69"/>
      <c r="D3" s="27"/>
      <c r="E3" s="69"/>
      <c r="F3" s="69"/>
      <c r="G3" s="69"/>
      <c r="H3" s="69"/>
      <c r="I3" s="69"/>
      <c r="J3" s="69"/>
      <c r="K3" s="69"/>
      <c r="L3" s="69"/>
    </row>
    <row r="4" spans="1:12" s="68" customFormat="1" ht="14.45" customHeight="1" x14ac:dyDescent="0.25">
      <c r="B4" s="1335" t="s">
        <v>66</v>
      </c>
      <c r="C4" s="1335" t="s">
        <v>65</v>
      </c>
      <c r="D4" s="1343" t="s">
        <v>64</v>
      </c>
      <c r="E4" s="145" t="s">
        <v>63</v>
      </c>
      <c r="F4" s="1325" t="s">
        <v>171</v>
      </c>
      <c r="G4" s="1325" t="s">
        <v>172</v>
      </c>
      <c r="H4" s="1325" t="s">
        <v>173</v>
      </c>
      <c r="I4" s="1333"/>
      <c r="J4" s="1333"/>
    </row>
    <row r="5" spans="1:12" s="68" customFormat="1" ht="35.450000000000003" customHeight="1" thickBot="1" x14ac:dyDescent="0.3">
      <c r="B5" s="1342"/>
      <c r="C5" s="1336"/>
      <c r="D5" s="1332"/>
      <c r="E5" s="149" t="s">
        <v>170</v>
      </c>
      <c r="F5" s="1326"/>
      <c r="G5" s="1326"/>
      <c r="H5" s="1332"/>
      <c r="I5" s="1334"/>
      <c r="J5" s="1334"/>
    </row>
    <row r="6" spans="1:12" s="68" customFormat="1" x14ac:dyDescent="0.25">
      <c r="A6" s="22"/>
      <c r="B6" s="18" t="s">
        <v>72</v>
      </c>
      <c r="C6" s="24" t="s">
        <v>59</v>
      </c>
      <c r="D6" s="19" t="str">
        <f>VLOOKUP(B6,$B$55:$D$104,3,FALSE)</f>
        <v>CUI</v>
      </c>
      <c r="E6" s="120">
        <f>E370</f>
        <v>1631282.8328686915</v>
      </c>
      <c r="F6" s="121">
        <f t="shared" ref="F6:G25" si="0">G370</f>
        <v>4740773.9312297842</v>
      </c>
      <c r="G6" s="121">
        <f t="shared" si="0"/>
        <v>0</v>
      </c>
      <c r="H6" s="122">
        <f t="shared" ref="H6:H47" si="1">J370</f>
        <v>1.7558885879002362</v>
      </c>
      <c r="I6" s="124"/>
      <c r="J6" s="20"/>
    </row>
    <row r="7" spans="1:12" s="68" customFormat="1" x14ac:dyDescent="0.25">
      <c r="A7" s="22"/>
      <c r="B7" s="12" t="s">
        <v>73</v>
      </c>
      <c r="C7" s="20" t="s">
        <v>58</v>
      </c>
      <c r="D7" s="19" t="str">
        <f t="shared" ref="D7:D47" si="2">VLOOKUP(B7,$B$55:$D$104,3,FALSE)</f>
        <v>CUI</v>
      </c>
      <c r="E7" s="127">
        <f t="shared" ref="E7:E47" si="3">E371</f>
        <v>683914.17581673211</v>
      </c>
      <c r="F7" s="123">
        <f t="shared" si="0"/>
        <v>641070.14542194596</v>
      </c>
      <c r="G7" s="123">
        <f t="shared" si="0"/>
        <v>0</v>
      </c>
      <c r="H7" s="125">
        <f t="shared" si="1"/>
        <v>0.46927114412435894</v>
      </c>
      <c r="I7" s="124"/>
      <c r="J7" s="20"/>
    </row>
    <row r="8" spans="1:12" s="68" customFormat="1" x14ac:dyDescent="0.25">
      <c r="A8" s="22"/>
      <c r="B8" s="12" t="s">
        <v>74</v>
      </c>
      <c r="C8" s="20" t="s">
        <v>57</v>
      </c>
      <c r="D8" s="19" t="str">
        <f t="shared" si="2"/>
        <v>CMUS</v>
      </c>
      <c r="E8" s="127">
        <f t="shared" si="3"/>
        <v>832025.42649723962</v>
      </c>
      <c r="F8" s="123">
        <f t="shared" si="0"/>
        <v>229162.8279382507</v>
      </c>
      <c r="G8" s="123">
        <f t="shared" si="0"/>
        <v>-154771.78</v>
      </c>
      <c r="H8" s="125">
        <f t="shared" si="1"/>
        <v>0.46173829906009267</v>
      </c>
      <c r="I8" s="124"/>
      <c r="J8" s="20"/>
    </row>
    <row r="9" spans="1:12" s="68" customFormat="1" x14ac:dyDescent="0.25">
      <c r="A9" s="22"/>
      <c r="B9" s="12" t="s">
        <v>75</v>
      </c>
      <c r="C9" s="20" t="s">
        <v>46</v>
      </c>
      <c r="D9" s="19" t="str">
        <f t="shared" si="2"/>
        <v>CMUS</v>
      </c>
      <c r="E9" s="127">
        <f t="shared" si="3"/>
        <v>489182.79800963408</v>
      </c>
      <c r="F9" s="123">
        <f t="shared" si="0"/>
        <v>4697922.2971877279</v>
      </c>
      <c r="G9" s="123">
        <f t="shared" si="0"/>
        <v>-1352166.69</v>
      </c>
      <c r="H9" s="125">
        <f t="shared" si="1"/>
        <v>1.1759277021030807</v>
      </c>
      <c r="I9" s="124"/>
      <c r="J9" s="20"/>
    </row>
    <row r="10" spans="1:12" s="68" customFormat="1" x14ac:dyDescent="0.25">
      <c r="A10" s="22"/>
      <c r="B10" s="12" t="s">
        <v>76</v>
      </c>
      <c r="C10" s="20" t="s">
        <v>51</v>
      </c>
      <c r="D10" s="19" t="str">
        <f t="shared" si="2"/>
        <v>CMUS</v>
      </c>
      <c r="E10" s="127">
        <f t="shared" si="3"/>
        <v>948264.50099747127</v>
      </c>
      <c r="F10" s="123">
        <f t="shared" si="0"/>
        <v>1511136.1007235462</v>
      </c>
      <c r="G10" s="123">
        <f t="shared" si="0"/>
        <v>-304489.15000000002</v>
      </c>
      <c r="H10" s="125">
        <f t="shared" si="1"/>
        <v>0.77399542227112328</v>
      </c>
      <c r="I10" s="124"/>
      <c r="J10" s="20"/>
    </row>
    <row r="11" spans="1:12" s="68" customFormat="1" x14ac:dyDescent="0.25">
      <c r="A11" s="22"/>
      <c r="B11" s="12" t="s">
        <v>77</v>
      </c>
      <c r="C11" s="20" t="s">
        <v>44</v>
      </c>
      <c r="D11" s="19" t="str">
        <f t="shared" si="2"/>
        <v>CMUS</v>
      </c>
      <c r="E11" s="127">
        <f t="shared" si="3"/>
        <v>1619292.5765711037</v>
      </c>
      <c r="F11" s="123">
        <f t="shared" si="0"/>
        <v>7964219.1354017165</v>
      </c>
      <c r="G11" s="123">
        <f t="shared" si="0"/>
        <v>-1657553.02</v>
      </c>
      <c r="H11" s="125">
        <f t="shared" si="1"/>
        <v>1.7189557410076588</v>
      </c>
      <c r="I11" s="124"/>
      <c r="J11" s="20"/>
    </row>
    <row r="12" spans="1:12" s="68" customFormat="1" x14ac:dyDescent="0.25">
      <c r="A12" s="22"/>
      <c r="B12" s="12" t="s">
        <v>78</v>
      </c>
      <c r="C12" s="20" t="s">
        <v>43</v>
      </c>
      <c r="D12" s="19" t="str">
        <f t="shared" si="2"/>
        <v>CMUS</v>
      </c>
      <c r="E12" s="127">
        <f t="shared" si="3"/>
        <v>171918.29554080445</v>
      </c>
      <c r="F12" s="123">
        <f t="shared" si="0"/>
        <v>1557697.9252871771</v>
      </c>
      <c r="G12" s="123">
        <f t="shared" si="0"/>
        <v>-1071272.3399999999</v>
      </c>
      <c r="H12" s="125">
        <f t="shared" si="1"/>
        <v>0.25789846315185938</v>
      </c>
      <c r="I12" s="124"/>
      <c r="J12" s="20"/>
    </row>
    <row r="13" spans="1:12" s="68" customFormat="1" x14ac:dyDescent="0.25">
      <c r="A13" s="22"/>
      <c r="B13" s="12" t="s">
        <v>79</v>
      </c>
      <c r="C13" s="20" t="s">
        <v>53</v>
      </c>
      <c r="D13" s="19" t="str">
        <f t="shared" si="2"/>
        <v>CMUS</v>
      </c>
      <c r="E13" s="127">
        <f t="shared" si="3"/>
        <v>376686.10036473046</v>
      </c>
      <c r="F13" s="123">
        <f t="shared" si="0"/>
        <v>3389710.6111132228</v>
      </c>
      <c r="G13" s="123">
        <f t="shared" si="0"/>
        <v>-1824487.84</v>
      </c>
      <c r="H13" s="125">
        <f t="shared" si="1"/>
        <v>0.56260572128775888</v>
      </c>
      <c r="I13" s="124"/>
      <c r="J13" s="20"/>
    </row>
    <row r="14" spans="1:12" s="68" customFormat="1" x14ac:dyDescent="0.25">
      <c r="A14" s="22"/>
      <c r="B14" s="12" t="s">
        <v>80</v>
      </c>
      <c r="C14" s="20" t="s">
        <v>52</v>
      </c>
      <c r="D14" s="19" t="str">
        <f t="shared" si="2"/>
        <v>CMUS</v>
      </c>
      <c r="E14" s="127">
        <f t="shared" si="3"/>
        <v>283191.26031853084</v>
      </c>
      <c r="F14" s="123">
        <f t="shared" si="0"/>
        <v>3537578.3711468959</v>
      </c>
      <c r="G14" s="123">
        <f t="shared" si="0"/>
        <v>-1890555.3</v>
      </c>
      <c r="H14" s="125">
        <f t="shared" si="1"/>
        <v>0.52769789617976692</v>
      </c>
      <c r="I14" s="124"/>
      <c r="J14" s="20"/>
    </row>
    <row r="15" spans="1:12" s="68" customFormat="1" x14ac:dyDescent="0.25">
      <c r="A15" s="22"/>
      <c r="B15" s="12" t="s">
        <v>81</v>
      </c>
      <c r="C15" s="20" t="s">
        <v>51</v>
      </c>
      <c r="D15" s="19" t="str">
        <f t="shared" si="2"/>
        <v>CMUS</v>
      </c>
      <c r="E15" s="127">
        <f t="shared" si="3"/>
        <v>324264.60267144721</v>
      </c>
      <c r="F15" s="123">
        <f t="shared" si="0"/>
        <v>3073182.7193970247</v>
      </c>
      <c r="G15" s="123">
        <f t="shared" si="0"/>
        <v>-1784687.9500000002</v>
      </c>
      <c r="H15" s="125">
        <f t="shared" si="1"/>
        <v>0.50074274995903201</v>
      </c>
      <c r="I15" s="124"/>
      <c r="J15" s="20"/>
    </row>
    <row r="16" spans="1:12" s="68" customFormat="1" x14ac:dyDescent="0.25">
      <c r="A16" s="22"/>
      <c r="B16" s="12" t="s">
        <v>82</v>
      </c>
      <c r="C16" s="20" t="s">
        <v>50</v>
      </c>
      <c r="D16" s="19" t="str">
        <f t="shared" si="2"/>
        <v>CMUS</v>
      </c>
      <c r="E16" s="127">
        <f t="shared" si="3"/>
        <v>1036020.1283765938</v>
      </c>
      <c r="F16" s="123">
        <f t="shared" si="0"/>
        <v>11841248.836181378</v>
      </c>
      <c r="G16" s="123">
        <f t="shared" si="0"/>
        <v>-2243871.87</v>
      </c>
      <c r="H16" s="125">
        <f t="shared" si="1"/>
        <v>1.8139965207764486</v>
      </c>
      <c r="I16" s="124"/>
      <c r="J16" s="20"/>
    </row>
    <row r="17" spans="1:10" s="68" customFormat="1" x14ac:dyDescent="0.25">
      <c r="A17" s="22"/>
      <c r="B17" s="12" t="s">
        <v>83</v>
      </c>
      <c r="C17" s="20" t="s">
        <v>48</v>
      </c>
      <c r="D17" s="19" t="str">
        <f t="shared" si="2"/>
        <v xml:space="preserve">CMUS </v>
      </c>
      <c r="E17" s="127">
        <f t="shared" si="3"/>
        <v>820192.99443916208</v>
      </c>
      <c r="F17" s="123">
        <f t="shared" si="0"/>
        <v>6574395.149168402</v>
      </c>
      <c r="G17" s="123">
        <f t="shared" si="0"/>
        <v>-4272324.42</v>
      </c>
      <c r="H17" s="125">
        <f t="shared" si="1"/>
        <v>1.1396418579063812</v>
      </c>
      <c r="I17" s="124"/>
      <c r="J17" s="20"/>
    </row>
    <row r="18" spans="1:10" s="68" customFormat="1" x14ac:dyDescent="0.25">
      <c r="A18" s="22"/>
      <c r="B18" s="12" t="s">
        <v>87</v>
      </c>
      <c r="C18" s="20" t="s">
        <v>45</v>
      </c>
      <c r="D18" s="19" t="str">
        <f t="shared" si="2"/>
        <v>CUFWW</v>
      </c>
      <c r="E18" s="127">
        <f t="shared" si="3"/>
        <v>921895.51803017163</v>
      </c>
      <c r="F18" s="123">
        <f t="shared" si="0"/>
        <v>2076752.2116059237</v>
      </c>
      <c r="G18" s="123">
        <f t="shared" si="0"/>
        <v>-189353.8</v>
      </c>
      <c r="H18" s="125">
        <f t="shared" si="1"/>
        <v>2.4186103152405045</v>
      </c>
      <c r="I18" s="124"/>
      <c r="J18" s="20"/>
    </row>
    <row r="19" spans="1:10" s="68" customFormat="1" x14ac:dyDescent="0.25">
      <c r="A19" s="22"/>
      <c r="B19" s="12" t="s">
        <v>86</v>
      </c>
      <c r="C19" s="20" t="s">
        <v>46</v>
      </c>
      <c r="D19" s="19" t="str">
        <f t="shared" si="2"/>
        <v>CUFW</v>
      </c>
      <c r="E19" s="127">
        <f t="shared" si="3"/>
        <v>1288243.2989863893</v>
      </c>
      <c r="F19" s="123">
        <f t="shared" si="0"/>
        <v>4308327.9783939058</v>
      </c>
      <c r="G19" s="123">
        <f t="shared" si="0"/>
        <v>-376811.81</v>
      </c>
      <c r="H19" s="125">
        <f t="shared" si="1"/>
        <v>4.0379034110772967</v>
      </c>
      <c r="I19" s="124"/>
      <c r="J19" s="20"/>
    </row>
    <row r="20" spans="1:10" s="68" customFormat="1" x14ac:dyDescent="0.25">
      <c r="A20" s="22"/>
      <c r="B20" s="12" t="s">
        <v>88</v>
      </c>
      <c r="C20" s="20" t="s">
        <v>45</v>
      </c>
      <c r="D20" s="19" t="str">
        <f t="shared" si="2"/>
        <v>CUI</v>
      </c>
      <c r="E20" s="127">
        <f t="shared" si="3"/>
        <v>48479.358739741612</v>
      </c>
      <c r="F20" s="123">
        <f t="shared" si="0"/>
        <v>242333.59896795152</v>
      </c>
      <c r="G20" s="123">
        <f t="shared" si="0"/>
        <v>0</v>
      </c>
      <c r="H20" s="125">
        <f t="shared" si="1"/>
        <v>2.1717500722966195E-2</v>
      </c>
      <c r="I20" s="124"/>
      <c r="J20" s="20"/>
    </row>
    <row r="21" spans="1:10" s="68" customFormat="1" x14ac:dyDescent="0.25">
      <c r="A21" s="22"/>
      <c r="B21" s="12" t="s">
        <v>89</v>
      </c>
      <c r="C21" s="20" t="s">
        <v>46</v>
      </c>
      <c r="D21" s="19" t="str">
        <f t="shared" si="2"/>
        <v>CUI</v>
      </c>
      <c r="E21" s="127">
        <f t="shared" si="3"/>
        <v>49152.630513586882</v>
      </c>
      <c r="F21" s="123">
        <f t="shared" si="0"/>
        <v>124779.69519261121</v>
      </c>
      <c r="G21" s="123">
        <f t="shared" si="0"/>
        <v>0</v>
      </c>
      <c r="H21" s="125">
        <f t="shared" si="1"/>
        <v>1.497218203037431E-2</v>
      </c>
      <c r="I21" s="124"/>
      <c r="J21" s="20"/>
    </row>
    <row r="22" spans="1:10" s="68" customFormat="1" x14ac:dyDescent="0.25">
      <c r="A22" s="22"/>
      <c r="B22" s="21" t="s">
        <v>90</v>
      </c>
      <c r="C22" s="20" t="s">
        <v>45</v>
      </c>
      <c r="D22" s="19" t="str">
        <f t="shared" si="2"/>
        <v>CMUS</v>
      </c>
      <c r="E22" s="127">
        <f t="shared" si="3"/>
        <v>151783.75034620726</v>
      </c>
      <c r="F22" s="123">
        <f t="shared" si="0"/>
        <v>312391.61824642052</v>
      </c>
      <c r="G22" s="123">
        <f t="shared" si="0"/>
        <v>0</v>
      </c>
      <c r="H22" s="125">
        <f t="shared" si="1"/>
        <v>4.1984070134051837E-2</v>
      </c>
      <c r="I22" s="124"/>
      <c r="J22" s="20"/>
    </row>
    <row r="23" spans="1:10" s="68" customFormat="1" x14ac:dyDescent="0.25">
      <c r="A23" s="22"/>
      <c r="B23" s="21" t="s">
        <v>91</v>
      </c>
      <c r="C23" s="20" t="s">
        <v>46</v>
      </c>
      <c r="D23" s="19" t="str">
        <f t="shared" si="2"/>
        <v>CMUS</v>
      </c>
      <c r="E23" s="127">
        <f t="shared" si="3"/>
        <v>149150.93849676158</v>
      </c>
      <c r="F23" s="123">
        <f t="shared" si="0"/>
        <v>220056.05156893426</v>
      </c>
      <c r="G23" s="123">
        <f t="shared" si="0"/>
        <v>0</v>
      </c>
      <c r="H23" s="125">
        <f t="shared" si="1"/>
        <v>3.6190489720238569E-2</v>
      </c>
      <c r="I23" s="124"/>
      <c r="J23" s="20"/>
    </row>
    <row r="24" spans="1:10" s="68" customFormat="1" x14ac:dyDescent="0.25">
      <c r="A24" s="22"/>
      <c r="B24" s="12" t="s">
        <v>141</v>
      </c>
      <c r="C24" s="20" t="s">
        <v>46</v>
      </c>
      <c r="D24" s="19" t="str">
        <f t="shared" si="2"/>
        <v>CMUS</v>
      </c>
      <c r="E24" s="127">
        <f t="shared" si="3"/>
        <v>177997.42832449675</v>
      </c>
      <c r="F24" s="123">
        <f t="shared" si="0"/>
        <v>7673.2144849595679</v>
      </c>
      <c r="G24" s="123">
        <f t="shared" si="0"/>
        <v>0</v>
      </c>
      <c r="H24" s="125">
        <f t="shared" si="1"/>
        <v>2.8332375865783667E-2</v>
      </c>
      <c r="I24" s="124"/>
      <c r="J24" s="20"/>
    </row>
    <row r="25" spans="1:10" s="68" customFormat="1" x14ac:dyDescent="0.25">
      <c r="A25" s="22"/>
      <c r="B25" s="12" t="s">
        <v>142</v>
      </c>
      <c r="C25" s="20" t="s">
        <v>45</v>
      </c>
      <c r="D25" s="19" t="str">
        <f t="shared" si="2"/>
        <v>CMUS</v>
      </c>
      <c r="E25" s="127">
        <f t="shared" si="3"/>
        <v>143921.76946373604</v>
      </c>
      <c r="F25" s="123">
        <f t="shared" si="0"/>
        <v>358823.86715407763</v>
      </c>
      <c r="G25" s="123">
        <f t="shared" si="0"/>
        <v>-51421.39</v>
      </c>
      <c r="H25" s="125">
        <f t="shared" si="1"/>
        <v>4.3458380573991345E-2</v>
      </c>
      <c r="I25" s="124"/>
      <c r="J25" s="20"/>
    </row>
    <row r="26" spans="1:10" s="68" customFormat="1" x14ac:dyDescent="0.25">
      <c r="A26" s="22"/>
      <c r="B26" s="21" t="s">
        <v>92</v>
      </c>
      <c r="C26" s="20" t="s">
        <v>44</v>
      </c>
      <c r="D26" s="19" t="str">
        <f t="shared" si="2"/>
        <v>CMUS</v>
      </c>
      <c r="E26" s="127">
        <f t="shared" si="3"/>
        <v>446977.27037472493</v>
      </c>
      <c r="F26" s="123">
        <f t="shared" ref="F26:G45" si="4">G390</f>
        <v>7043.1852135903619</v>
      </c>
      <c r="G26" s="123">
        <f t="shared" si="4"/>
        <v>0</v>
      </c>
      <c r="H26" s="125">
        <f t="shared" si="1"/>
        <v>7.0434222429603788E-2</v>
      </c>
      <c r="I26" s="124"/>
      <c r="J26" s="20"/>
    </row>
    <row r="27" spans="1:10" s="68" customFormat="1" x14ac:dyDescent="0.25">
      <c r="A27" s="22"/>
      <c r="B27" s="21" t="s">
        <v>93</v>
      </c>
      <c r="C27" s="20" t="s">
        <v>43</v>
      </c>
      <c r="D27" s="19" t="str">
        <f t="shared" si="2"/>
        <v>CMUS</v>
      </c>
      <c r="E27" s="127">
        <f t="shared" si="3"/>
        <v>256115.67068240416</v>
      </c>
      <c r="F27" s="123">
        <f t="shared" si="4"/>
        <v>1053669.4751007697</v>
      </c>
      <c r="G27" s="123">
        <f t="shared" si="4"/>
        <v>-407369.99</v>
      </c>
      <c r="H27" s="125">
        <f t="shared" si="1"/>
        <v>0.10152889119901833</v>
      </c>
      <c r="I27" s="124"/>
      <c r="J27" s="20"/>
    </row>
    <row r="28" spans="1:10" s="68" customFormat="1" x14ac:dyDescent="0.25">
      <c r="A28" s="22"/>
      <c r="B28" s="21" t="s">
        <v>94</v>
      </c>
      <c r="C28" s="20" t="s">
        <v>42</v>
      </c>
      <c r="D28" s="19" t="str">
        <f t="shared" si="2"/>
        <v>CMUS</v>
      </c>
      <c r="E28" s="127">
        <f t="shared" si="3"/>
        <v>378386.66188758559</v>
      </c>
      <c r="F28" s="123">
        <f t="shared" si="4"/>
        <v>7163275.429175009</v>
      </c>
      <c r="G28" s="123">
        <f t="shared" si="4"/>
        <v>0</v>
      </c>
      <c r="H28" s="125">
        <f t="shared" si="1"/>
        <v>1.585586934908072</v>
      </c>
      <c r="I28" s="124"/>
      <c r="J28" s="20"/>
    </row>
    <row r="29" spans="1:10" s="68" customFormat="1" x14ac:dyDescent="0.25">
      <c r="A29" s="22"/>
      <c r="B29" s="21" t="s">
        <v>95</v>
      </c>
      <c r="C29" s="20" t="s">
        <v>41</v>
      </c>
      <c r="D29" s="19" t="str">
        <f t="shared" si="2"/>
        <v>CUI</v>
      </c>
      <c r="E29" s="127">
        <f t="shared" si="3"/>
        <v>440590.35293505626</v>
      </c>
      <c r="F29" s="123">
        <f t="shared" si="4"/>
        <v>194264.63590216808</v>
      </c>
      <c r="G29" s="123">
        <f t="shared" si="4"/>
        <v>0</v>
      </c>
      <c r="H29" s="125">
        <f t="shared" si="1"/>
        <v>5.7223158146597166</v>
      </c>
      <c r="I29" s="124"/>
      <c r="J29" s="20"/>
    </row>
    <row r="30" spans="1:10" s="68" customFormat="1" x14ac:dyDescent="0.25">
      <c r="A30" s="22"/>
      <c r="B30" s="21" t="s">
        <v>40</v>
      </c>
      <c r="C30" s="20"/>
      <c r="D30" s="19" t="str">
        <f t="shared" si="2"/>
        <v>WSES</v>
      </c>
      <c r="E30" s="127">
        <f t="shared" si="3"/>
        <v>18853452.601731803</v>
      </c>
      <c r="F30" s="123">
        <f t="shared" si="4"/>
        <v>45263873.238687009</v>
      </c>
      <c r="G30" s="123">
        <f t="shared" si="4"/>
        <v>-5022747.38</v>
      </c>
      <c r="H30" s="125">
        <f t="shared" si="1"/>
        <v>11.835632495075831</v>
      </c>
      <c r="I30" s="124"/>
      <c r="J30" s="20"/>
    </row>
    <row r="31" spans="1:10" s="68" customFormat="1" x14ac:dyDescent="0.25">
      <c r="A31" s="22"/>
      <c r="B31" s="21" t="s">
        <v>39</v>
      </c>
      <c r="C31" s="20"/>
      <c r="D31" s="19" t="str">
        <f t="shared" si="2"/>
        <v>CUI</v>
      </c>
      <c r="E31" s="127">
        <f t="shared" si="3"/>
        <v>63601.550854547473</v>
      </c>
      <c r="F31" s="123">
        <f t="shared" si="4"/>
        <v>678120.18160205998</v>
      </c>
      <c r="G31" s="123">
        <f t="shared" si="4"/>
        <v>-146777.03</v>
      </c>
      <c r="H31" s="125">
        <f t="shared" si="1"/>
        <v>4.9483277648922096E-2</v>
      </c>
      <c r="I31" s="124"/>
      <c r="J31" s="20"/>
    </row>
    <row r="32" spans="1:10" s="68" customFormat="1" x14ac:dyDescent="0.25">
      <c r="A32" s="22"/>
      <c r="B32" s="21" t="s">
        <v>38</v>
      </c>
      <c r="C32" s="20"/>
      <c r="D32" s="19" t="str">
        <f t="shared" si="2"/>
        <v>CMUS</v>
      </c>
      <c r="E32" s="127">
        <f t="shared" si="3"/>
        <v>1132965.9262828289</v>
      </c>
      <c r="F32" s="123">
        <f t="shared" si="4"/>
        <v>11302200.891435621</v>
      </c>
      <c r="G32" s="123">
        <f t="shared" si="4"/>
        <v>0</v>
      </c>
      <c r="H32" s="125">
        <f t="shared" si="1"/>
        <v>3.0249158528003566</v>
      </c>
      <c r="I32" s="124"/>
      <c r="J32" s="20"/>
    </row>
    <row r="33" spans="1:10" s="68" customFormat="1" x14ac:dyDescent="0.25">
      <c r="A33" s="22"/>
      <c r="B33" s="21" t="s">
        <v>37</v>
      </c>
      <c r="C33" s="20"/>
      <c r="D33" s="19" t="str">
        <f t="shared" si="2"/>
        <v>CMUS</v>
      </c>
      <c r="E33" s="127">
        <f t="shared" si="3"/>
        <v>1284902.2314293338</v>
      </c>
      <c r="F33" s="123">
        <f t="shared" si="4"/>
        <v>8469640.5841674171</v>
      </c>
      <c r="G33" s="123">
        <f t="shared" si="4"/>
        <v>-1390506.85</v>
      </c>
      <c r="H33" s="125">
        <f t="shared" si="1"/>
        <v>2.6923070458134242</v>
      </c>
      <c r="I33" s="124"/>
      <c r="J33" s="20"/>
    </row>
    <row r="34" spans="1:10" s="68" customFormat="1" x14ac:dyDescent="0.25">
      <c r="A34" s="22"/>
      <c r="B34" s="21" t="s">
        <v>36</v>
      </c>
      <c r="C34" s="20"/>
      <c r="D34" s="19" t="str">
        <f t="shared" si="2"/>
        <v>CMUS</v>
      </c>
      <c r="E34" s="127">
        <f t="shared" si="3"/>
        <v>0</v>
      </c>
      <c r="F34" s="123">
        <f t="shared" si="4"/>
        <v>0</v>
      </c>
      <c r="G34" s="123">
        <f t="shared" si="4"/>
        <v>0</v>
      </c>
      <c r="H34" s="125">
        <f t="shared" si="1"/>
        <v>0</v>
      </c>
      <c r="I34" s="124"/>
      <c r="J34" s="20"/>
    </row>
    <row r="35" spans="1:10" s="68" customFormat="1" x14ac:dyDescent="0.25">
      <c r="A35" s="22"/>
      <c r="B35" s="21" t="s">
        <v>35</v>
      </c>
      <c r="C35" s="20"/>
      <c r="D35" s="19" t="str">
        <f t="shared" si="2"/>
        <v>CUI</v>
      </c>
      <c r="E35" s="127">
        <f t="shared" si="3"/>
        <v>350482.74899194035</v>
      </c>
      <c r="F35" s="123">
        <f t="shared" si="4"/>
        <v>808967.53628837958</v>
      </c>
      <c r="G35" s="123">
        <f t="shared" si="4"/>
        <v>-387300.75</v>
      </c>
      <c r="H35" s="125">
        <f t="shared" si="1"/>
        <v>0.10205178772228828</v>
      </c>
      <c r="I35" s="124"/>
      <c r="J35" s="20"/>
    </row>
    <row r="36" spans="1:10" s="68" customFormat="1" x14ac:dyDescent="0.25">
      <c r="A36" s="22"/>
      <c r="B36" s="21" t="s">
        <v>34</v>
      </c>
      <c r="C36" s="20"/>
      <c r="D36" s="19" t="str">
        <f t="shared" si="2"/>
        <v>CUI</v>
      </c>
      <c r="E36" s="127">
        <f t="shared" si="3"/>
        <v>0</v>
      </c>
      <c r="F36" s="123">
        <f t="shared" si="4"/>
        <v>0</v>
      </c>
      <c r="G36" s="123">
        <f t="shared" si="4"/>
        <v>0</v>
      </c>
      <c r="H36" s="125">
        <f t="shared" si="1"/>
        <v>0</v>
      </c>
      <c r="I36" s="124"/>
      <c r="J36" s="20"/>
    </row>
    <row r="37" spans="1:10" s="68" customFormat="1" x14ac:dyDescent="0.25">
      <c r="A37" s="22"/>
      <c r="B37" s="21" t="s">
        <v>33</v>
      </c>
      <c r="C37" s="20"/>
      <c r="D37" s="19" t="str">
        <f t="shared" si="2"/>
        <v>CUI</v>
      </c>
      <c r="E37" s="127">
        <f t="shared" si="3"/>
        <v>1752756.8500214883</v>
      </c>
      <c r="F37" s="123">
        <f t="shared" si="4"/>
        <v>6773149.4887834964</v>
      </c>
      <c r="G37" s="123">
        <f t="shared" si="4"/>
        <v>0</v>
      </c>
      <c r="H37" s="125">
        <f t="shared" si="1"/>
        <v>2.8609774932910512</v>
      </c>
      <c r="I37" s="124"/>
      <c r="J37" s="20"/>
    </row>
    <row r="38" spans="1:10" s="68" customFormat="1" x14ac:dyDescent="0.25">
      <c r="A38" s="22"/>
      <c r="B38" s="21" t="s">
        <v>32</v>
      </c>
      <c r="C38" s="20"/>
      <c r="D38" s="19" t="str">
        <f t="shared" si="2"/>
        <v>CUI</v>
      </c>
      <c r="E38" s="127">
        <f t="shared" si="3"/>
        <v>256695.87622312835</v>
      </c>
      <c r="F38" s="123">
        <f t="shared" si="4"/>
        <v>2097571.7999519417</v>
      </c>
      <c r="G38" s="123">
        <f t="shared" si="4"/>
        <v>-586371.73</v>
      </c>
      <c r="H38" s="125">
        <f t="shared" si="1"/>
        <v>0.60671614972585997</v>
      </c>
      <c r="I38" s="124"/>
      <c r="J38" s="20"/>
    </row>
    <row r="39" spans="1:10" s="68" customFormat="1" x14ac:dyDescent="0.25">
      <c r="A39" s="22"/>
      <c r="B39" s="21" t="s">
        <v>31</v>
      </c>
      <c r="C39" s="20" t="s">
        <v>30</v>
      </c>
      <c r="D39" s="19" t="str">
        <f t="shared" si="2"/>
        <v>CUI</v>
      </c>
      <c r="E39" s="127">
        <f t="shared" si="3"/>
        <v>898862.37538534636</v>
      </c>
      <c r="F39" s="123">
        <f t="shared" si="4"/>
        <v>170455.79843510513</v>
      </c>
      <c r="G39" s="123">
        <f t="shared" si="4"/>
        <v>0</v>
      </c>
      <c r="H39" s="125">
        <f t="shared" si="1"/>
        <v>5.533642184235485</v>
      </c>
      <c r="I39" s="124"/>
      <c r="J39" s="20"/>
    </row>
    <row r="40" spans="1:10" s="68" customFormat="1" x14ac:dyDescent="0.25">
      <c r="A40" s="22"/>
      <c r="B40" s="21" t="s">
        <v>29</v>
      </c>
      <c r="C40" s="20"/>
      <c r="D40" s="19" t="str">
        <f t="shared" si="2"/>
        <v>CUI</v>
      </c>
      <c r="E40" s="127">
        <f t="shared" si="3"/>
        <v>77610.578476212977</v>
      </c>
      <c r="F40" s="123">
        <f t="shared" si="4"/>
        <v>85454.869231485573</v>
      </c>
      <c r="G40" s="123">
        <f t="shared" si="4"/>
        <v>0</v>
      </c>
      <c r="H40" s="125">
        <f t="shared" si="1"/>
        <v>1.7138655313096343E-2</v>
      </c>
      <c r="I40" s="124"/>
      <c r="J40" s="20"/>
    </row>
    <row r="41" spans="1:10" s="68" customFormat="1" x14ac:dyDescent="0.25">
      <c r="A41" s="22"/>
      <c r="B41" s="21" t="s">
        <v>28</v>
      </c>
      <c r="C41" s="20"/>
      <c r="D41" s="19" t="str">
        <f t="shared" si="2"/>
        <v>CUI</v>
      </c>
      <c r="E41" s="127">
        <f t="shared" si="3"/>
        <v>1407568.9779554934</v>
      </c>
      <c r="F41" s="123">
        <f t="shared" si="4"/>
        <v>111181.31601449272</v>
      </c>
      <c r="G41" s="123">
        <f t="shared" si="4"/>
        <v>0</v>
      </c>
      <c r="H41" s="125">
        <f t="shared" si="1"/>
        <v>10.66980058564045</v>
      </c>
      <c r="I41" s="124"/>
      <c r="J41" s="20"/>
    </row>
    <row r="42" spans="1:10" s="68" customFormat="1" x14ac:dyDescent="0.25">
      <c r="A42" s="22"/>
      <c r="B42" s="21" t="s">
        <v>27</v>
      </c>
      <c r="C42" s="20" t="s">
        <v>26</v>
      </c>
      <c r="D42" s="19" t="str">
        <f t="shared" si="2"/>
        <v>CUI</v>
      </c>
      <c r="E42" s="127">
        <f t="shared" si="3"/>
        <v>672438.74950663454</v>
      </c>
      <c r="F42" s="123">
        <f t="shared" si="4"/>
        <v>59789.086474503878</v>
      </c>
      <c r="G42" s="123">
        <f t="shared" si="4"/>
        <v>0</v>
      </c>
      <c r="H42" s="125">
        <f t="shared" si="1"/>
        <v>6.5682994822896994</v>
      </c>
      <c r="I42" s="124"/>
      <c r="J42" s="20"/>
    </row>
    <row r="43" spans="1:10" s="68" customFormat="1" x14ac:dyDescent="0.25">
      <c r="A43" s="22"/>
      <c r="B43" s="21" t="s">
        <v>24</v>
      </c>
      <c r="C43" s="20"/>
      <c r="D43" s="19" t="str">
        <f t="shared" si="2"/>
        <v>CUI</v>
      </c>
      <c r="E43" s="127">
        <f t="shared" si="3"/>
        <v>1543605.9824673578</v>
      </c>
      <c r="F43" s="123">
        <f t="shared" si="4"/>
        <v>452577.58277672995</v>
      </c>
      <c r="G43" s="123">
        <f t="shared" si="4"/>
        <v>0</v>
      </c>
      <c r="H43" s="125">
        <f t="shared" si="1"/>
        <v>6.4041798706482407</v>
      </c>
      <c r="I43" s="124"/>
      <c r="J43" s="20"/>
    </row>
    <row r="44" spans="1:10" s="68" customFormat="1" x14ac:dyDescent="0.25">
      <c r="A44" s="22"/>
      <c r="B44" s="21" t="s">
        <v>23</v>
      </c>
      <c r="C44" s="20"/>
      <c r="D44" s="19" t="str">
        <f t="shared" si="2"/>
        <v>CUI</v>
      </c>
      <c r="E44" s="127">
        <f t="shared" si="3"/>
        <v>2656439.5960973511</v>
      </c>
      <c r="F44" s="123">
        <f t="shared" si="4"/>
        <v>262378.93923073343</v>
      </c>
      <c r="G44" s="123">
        <f t="shared" si="4"/>
        <v>0</v>
      </c>
      <c r="H44" s="125">
        <f t="shared" si="1"/>
        <v>9.4752236831045114</v>
      </c>
      <c r="I44" s="124"/>
      <c r="J44" s="20"/>
    </row>
    <row r="45" spans="1:10" s="68" customFormat="1" x14ac:dyDescent="0.25">
      <c r="A45" s="22"/>
      <c r="B45" s="21" t="s">
        <v>19</v>
      </c>
      <c r="C45" s="20"/>
      <c r="D45" s="19" t="str">
        <f t="shared" si="2"/>
        <v>CWSI</v>
      </c>
      <c r="E45" s="127">
        <f t="shared" si="3"/>
        <v>6321591.8967905752</v>
      </c>
      <c r="F45" s="123">
        <f t="shared" si="4"/>
        <v>1459831.6091142003</v>
      </c>
      <c r="G45" s="123">
        <f t="shared" si="4"/>
        <v>0</v>
      </c>
      <c r="H45" s="125">
        <f t="shared" si="1"/>
        <v>43.061978310073684</v>
      </c>
      <c r="I45" s="124"/>
      <c r="J45" s="20"/>
    </row>
    <row r="46" spans="1:10" s="68" customFormat="1" x14ac:dyDescent="0.25">
      <c r="A46" s="22"/>
      <c r="B46" s="21" t="s">
        <v>17</v>
      </c>
      <c r="C46" s="20"/>
      <c r="D46" s="19" t="str">
        <f t="shared" si="2"/>
        <v>CEI</v>
      </c>
      <c r="E46" s="127">
        <f t="shared" si="3"/>
        <v>483937.84653406841</v>
      </c>
      <c r="F46" s="123">
        <f t="shared" ref="F46:G47" si="5">G410</f>
        <v>7625.5866034261981</v>
      </c>
      <c r="G46" s="123">
        <f t="shared" si="5"/>
        <v>0</v>
      </c>
      <c r="H46" s="125">
        <f t="shared" si="1"/>
        <v>7.6258432327684353E-2</v>
      </c>
      <c r="I46" s="124"/>
      <c r="J46" s="20"/>
    </row>
    <row r="47" spans="1:10" s="68" customFormat="1" x14ac:dyDescent="0.25">
      <c r="B47" s="21" t="s">
        <v>168</v>
      </c>
      <c r="C47" s="20"/>
      <c r="D47" s="19" t="str">
        <f t="shared" si="2"/>
        <v>CTLP</v>
      </c>
      <c r="E47" s="127">
        <f t="shared" si="3"/>
        <v>0</v>
      </c>
      <c r="F47" s="123">
        <f t="shared" si="5"/>
        <v>0</v>
      </c>
      <c r="G47" s="123">
        <f t="shared" si="5"/>
        <v>0</v>
      </c>
      <c r="H47" s="125">
        <f t="shared" si="1"/>
        <v>0</v>
      </c>
      <c r="I47" s="124"/>
      <c r="J47" s="20"/>
    </row>
    <row r="48" spans="1:10" s="131" customFormat="1" x14ac:dyDescent="0.25">
      <c r="B48" s="21"/>
      <c r="C48" s="20"/>
      <c r="D48" s="19"/>
      <c r="E48" s="79"/>
      <c r="F48" s="79"/>
      <c r="G48" s="79"/>
      <c r="H48" s="150"/>
      <c r="I48" s="144"/>
      <c r="J48" s="20"/>
    </row>
    <row r="49" spans="1:12" s="68" customFormat="1" ht="15.75" thickBot="1" x14ac:dyDescent="0.3">
      <c r="B49" s="9"/>
      <c r="C49" s="7"/>
      <c r="D49" s="128" t="s">
        <v>6</v>
      </c>
      <c r="E49" s="129">
        <f>SUM(E6:E48)</f>
        <v>51425844.13000112</v>
      </c>
      <c r="F49" s="129">
        <f>SUM(F6:F48)</f>
        <v>143830307.52000001</v>
      </c>
      <c r="G49" s="129">
        <f>SUM(G6:G48)</f>
        <v>-25114841.090000004</v>
      </c>
      <c r="H49" s="151">
        <f>SUM(H6:H48)</f>
        <v>128.26</v>
      </c>
      <c r="I49" s="146"/>
      <c r="J49" s="20"/>
    </row>
    <row r="50" spans="1:12" s="68" customFormat="1" x14ac:dyDescent="0.25">
      <c r="B50" s="71"/>
      <c r="C50" s="71"/>
      <c r="D50" s="10"/>
      <c r="E50" s="126">
        <f>E49-E106</f>
        <v>0</v>
      </c>
      <c r="F50" s="126">
        <f>F49-F106</f>
        <v>0</v>
      </c>
      <c r="G50" s="126">
        <f>G49-G106</f>
        <v>0</v>
      </c>
      <c r="H50" s="126">
        <f>H49-J106</f>
        <v>0</v>
      </c>
      <c r="I50" s="126"/>
    </row>
    <row r="51" spans="1:12" s="68" customFormat="1" x14ac:dyDescent="0.25">
      <c r="B51" s="71"/>
      <c r="C51" s="71"/>
      <c r="D51" s="10"/>
      <c r="E51" s="126"/>
      <c r="F51" s="126"/>
      <c r="G51" s="126"/>
      <c r="H51" s="126"/>
      <c r="I51" s="126"/>
      <c r="J51" s="126"/>
      <c r="K51" s="126"/>
      <c r="L51" s="126"/>
    </row>
    <row r="52" spans="1:12" s="68" customFormat="1" ht="15.75" thickBot="1" x14ac:dyDescent="0.3">
      <c r="B52" s="69" t="s">
        <v>158</v>
      </c>
      <c r="C52" s="69"/>
      <c r="D52" s="27"/>
      <c r="E52" s="69"/>
      <c r="F52" s="69"/>
      <c r="G52" s="69"/>
      <c r="H52" s="69"/>
      <c r="I52" s="69"/>
      <c r="J52" s="69"/>
      <c r="K52" s="69"/>
      <c r="L52" s="69"/>
    </row>
    <row r="53" spans="1:12" ht="14.45" customHeight="1" x14ac:dyDescent="0.25">
      <c r="B53" s="1335" t="s">
        <v>66</v>
      </c>
      <c r="C53" s="1337" t="s">
        <v>65</v>
      </c>
      <c r="D53" s="1337" t="s">
        <v>64</v>
      </c>
      <c r="E53" s="72" t="s">
        <v>63</v>
      </c>
      <c r="F53" s="1340" t="s">
        <v>171</v>
      </c>
      <c r="G53" s="1329" t="s">
        <v>172</v>
      </c>
      <c r="H53" s="1325" t="s">
        <v>62</v>
      </c>
      <c r="I53" s="1329" t="s">
        <v>61</v>
      </c>
      <c r="J53" s="1329" t="s">
        <v>173</v>
      </c>
      <c r="K53" s="1327" t="s">
        <v>60</v>
      </c>
    </row>
    <row r="54" spans="1:12" ht="34.700000000000003" customHeight="1" thickBot="1" x14ac:dyDescent="0.3">
      <c r="B54" s="1336"/>
      <c r="C54" s="1338"/>
      <c r="D54" s="1338"/>
      <c r="E54" s="143" t="s">
        <v>170</v>
      </c>
      <c r="F54" s="1341"/>
      <c r="G54" s="1331"/>
      <c r="H54" s="1332"/>
      <c r="I54" s="1328"/>
      <c r="J54" s="1330"/>
      <c r="K54" s="1330"/>
    </row>
    <row r="55" spans="1:12" x14ac:dyDescent="0.25">
      <c r="A55" s="22">
        <v>1</v>
      </c>
      <c r="B55" s="25" t="s">
        <v>72</v>
      </c>
      <c r="C55" s="24" t="s">
        <v>59</v>
      </c>
      <c r="D55" s="23" t="s">
        <v>12</v>
      </c>
      <c r="E55" s="98">
        <v>1637343.4</v>
      </c>
      <c r="F55" s="95">
        <v>4545296.13</v>
      </c>
      <c r="G55" s="95">
        <v>0</v>
      </c>
      <c r="H55" s="96">
        <v>0</v>
      </c>
      <c r="I55" s="97">
        <v>0</v>
      </c>
      <c r="J55" s="122">
        <f t="shared" ref="J55:J100" si="6">H55+I55</f>
        <v>0</v>
      </c>
      <c r="K55" s="20" t="s">
        <v>7</v>
      </c>
      <c r="L55" s="71"/>
    </row>
    <row r="56" spans="1:12" x14ac:dyDescent="0.25">
      <c r="A56" s="22">
        <v>2</v>
      </c>
      <c r="B56" s="21" t="s">
        <v>73</v>
      </c>
      <c r="C56" s="20" t="s">
        <v>58</v>
      </c>
      <c r="D56" s="19" t="s">
        <v>12</v>
      </c>
      <c r="E56" s="100">
        <v>685570.15</v>
      </c>
      <c r="F56" s="92">
        <v>588909.68000000005</v>
      </c>
      <c r="G56" s="99">
        <v>0</v>
      </c>
      <c r="H56" s="93">
        <v>0</v>
      </c>
      <c r="I56" s="94">
        <v>0</v>
      </c>
      <c r="J56" s="125">
        <f t="shared" si="6"/>
        <v>0</v>
      </c>
      <c r="K56" s="20" t="s">
        <v>7</v>
      </c>
      <c r="L56" s="71"/>
    </row>
    <row r="57" spans="1:12" x14ac:dyDescent="0.25">
      <c r="A57" s="22">
        <v>3</v>
      </c>
      <c r="B57" s="21" t="s">
        <v>74</v>
      </c>
      <c r="C57" s="20" t="s">
        <v>57</v>
      </c>
      <c r="D57" s="19" t="s">
        <v>8</v>
      </c>
      <c r="E57" s="100">
        <v>833678.07999999984</v>
      </c>
      <c r="F57" s="92">
        <v>177892.32</v>
      </c>
      <c r="G57" s="99">
        <v>-154771.78</v>
      </c>
      <c r="H57" s="93">
        <v>0</v>
      </c>
      <c r="I57" s="94">
        <v>0</v>
      </c>
      <c r="J57" s="125">
        <f t="shared" si="6"/>
        <v>0</v>
      </c>
      <c r="K57" s="20" t="s">
        <v>7</v>
      </c>
      <c r="L57" s="71"/>
    </row>
    <row r="58" spans="1:12" x14ac:dyDescent="0.25">
      <c r="A58" s="22">
        <v>4</v>
      </c>
      <c r="B58" s="21" t="s">
        <v>75</v>
      </c>
      <c r="C58" s="20" t="s">
        <v>46</v>
      </c>
      <c r="D58" s="19" t="s">
        <v>8</v>
      </c>
      <c r="E58" s="92">
        <v>493153.38000000012</v>
      </c>
      <c r="F58" s="92">
        <v>4566810.08</v>
      </c>
      <c r="G58" s="92">
        <v>-1352166.69</v>
      </c>
      <c r="H58" s="93">
        <v>0</v>
      </c>
      <c r="I58" s="94">
        <v>0</v>
      </c>
      <c r="J58" s="125">
        <f t="shared" si="6"/>
        <v>0</v>
      </c>
      <c r="K58" s="20" t="s">
        <v>7</v>
      </c>
      <c r="L58" s="71"/>
    </row>
    <row r="59" spans="1:12" x14ac:dyDescent="0.25">
      <c r="A59" s="22">
        <v>5</v>
      </c>
      <c r="B59" s="21" t="s">
        <v>76</v>
      </c>
      <c r="C59" s="20" t="s">
        <v>51</v>
      </c>
      <c r="D59" s="19" t="s">
        <v>8</v>
      </c>
      <c r="E59" s="92">
        <v>950969.51</v>
      </c>
      <c r="F59" s="92">
        <v>1425045.3900000001</v>
      </c>
      <c r="G59" s="92">
        <v>-304489.15000000002</v>
      </c>
      <c r="H59" s="93">
        <v>0</v>
      </c>
      <c r="I59" s="94">
        <v>0</v>
      </c>
      <c r="J59" s="125">
        <f t="shared" si="6"/>
        <v>0</v>
      </c>
      <c r="K59" s="20" t="s">
        <v>7</v>
      </c>
      <c r="L59" s="71"/>
    </row>
    <row r="60" spans="1:12" ht="15.75" thickBot="1" x14ac:dyDescent="0.3">
      <c r="A60" s="22">
        <v>6</v>
      </c>
      <c r="B60" s="6" t="s">
        <v>56</v>
      </c>
      <c r="C60" s="5" t="s">
        <v>55</v>
      </c>
      <c r="D60" s="26" t="s">
        <v>8</v>
      </c>
      <c r="E60" s="101">
        <v>3195.8799999999997</v>
      </c>
      <c r="F60" s="101">
        <v>351547.91</v>
      </c>
      <c r="G60" s="101">
        <v>0</v>
      </c>
      <c r="H60" s="102">
        <v>2</v>
      </c>
      <c r="I60" s="103">
        <v>1</v>
      </c>
      <c r="J60" s="132">
        <f t="shared" si="6"/>
        <v>3</v>
      </c>
      <c r="K60" s="20" t="s">
        <v>7</v>
      </c>
      <c r="L60" s="71"/>
    </row>
    <row r="61" spans="1:12" x14ac:dyDescent="0.25">
      <c r="A61" s="22">
        <v>7</v>
      </c>
      <c r="B61" s="25" t="s">
        <v>49</v>
      </c>
      <c r="C61" s="24" t="s">
        <v>54</v>
      </c>
      <c r="D61" s="23" t="s">
        <v>8</v>
      </c>
      <c r="E61" s="95">
        <v>15173.77</v>
      </c>
      <c r="F61" s="95">
        <v>69483.240000000005</v>
      </c>
      <c r="G61" s="105">
        <v>0</v>
      </c>
      <c r="H61" s="93">
        <v>3</v>
      </c>
      <c r="I61" s="94">
        <v>0.33</v>
      </c>
      <c r="J61" s="133">
        <f t="shared" si="6"/>
        <v>3.33</v>
      </c>
      <c r="K61" s="20" t="s">
        <v>7</v>
      </c>
      <c r="L61" s="71"/>
    </row>
    <row r="62" spans="1:12" x14ac:dyDescent="0.25">
      <c r="A62" s="22">
        <v>8</v>
      </c>
      <c r="B62" s="21" t="s">
        <v>77</v>
      </c>
      <c r="C62" s="20" t="s">
        <v>44</v>
      </c>
      <c r="D62" s="19" t="s">
        <v>8</v>
      </c>
      <c r="E62" s="92">
        <v>1624303.6099999999</v>
      </c>
      <c r="F62" s="92">
        <v>7865338.0499999989</v>
      </c>
      <c r="G62" s="106">
        <v>-1657553.02</v>
      </c>
      <c r="H62" s="93">
        <v>0</v>
      </c>
      <c r="I62" s="94">
        <v>0</v>
      </c>
      <c r="J62" s="125">
        <f t="shared" si="6"/>
        <v>0</v>
      </c>
      <c r="K62" s="20" t="s">
        <v>11</v>
      </c>
      <c r="L62" s="71"/>
    </row>
    <row r="63" spans="1:12" x14ac:dyDescent="0.25">
      <c r="A63" s="22">
        <v>9</v>
      </c>
      <c r="B63" s="21" t="s">
        <v>78</v>
      </c>
      <c r="C63" s="20" t="s">
        <v>43</v>
      </c>
      <c r="D63" s="19" t="s">
        <v>8</v>
      </c>
      <c r="E63" s="92">
        <v>172818.26000000042</v>
      </c>
      <c r="F63" s="92">
        <v>1542100.96</v>
      </c>
      <c r="G63" s="106">
        <v>-1071272.3399999999</v>
      </c>
      <c r="H63" s="93">
        <v>0</v>
      </c>
      <c r="I63" s="94">
        <v>0</v>
      </c>
      <c r="J63" s="125">
        <f t="shared" si="6"/>
        <v>0</v>
      </c>
      <c r="K63" s="20" t="s">
        <v>11</v>
      </c>
      <c r="L63" s="71"/>
    </row>
    <row r="64" spans="1:12" x14ac:dyDescent="0.25">
      <c r="A64" s="22">
        <v>10</v>
      </c>
      <c r="B64" s="21" t="s">
        <v>79</v>
      </c>
      <c r="C64" s="20" t="s">
        <v>53</v>
      </c>
      <c r="D64" s="19" t="s">
        <v>8</v>
      </c>
      <c r="E64" s="92">
        <v>378645.94</v>
      </c>
      <c r="F64" s="92">
        <v>3355703.47</v>
      </c>
      <c r="G64" s="106">
        <v>-1824487.84</v>
      </c>
      <c r="H64" s="93">
        <v>0</v>
      </c>
      <c r="I64" s="94">
        <v>0</v>
      </c>
      <c r="J64" s="125">
        <f t="shared" si="6"/>
        <v>0</v>
      </c>
      <c r="K64" s="20" t="s">
        <v>11</v>
      </c>
      <c r="L64" s="71"/>
    </row>
    <row r="65" spans="1:12" x14ac:dyDescent="0.25">
      <c r="A65" s="22">
        <v>11</v>
      </c>
      <c r="B65" s="21" t="s">
        <v>80</v>
      </c>
      <c r="C65" s="20" t="s">
        <v>52</v>
      </c>
      <c r="D65" s="19" t="s">
        <v>8</v>
      </c>
      <c r="E65" s="92">
        <v>285175.75999999995</v>
      </c>
      <c r="F65" s="92">
        <v>3504929.33</v>
      </c>
      <c r="G65" s="106">
        <v>-1890555.3</v>
      </c>
      <c r="H65" s="93">
        <v>0</v>
      </c>
      <c r="I65" s="94">
        <v>0</v>
      </c>
      <c r="J65" s="125">
        <f t="shared" si="6"/>
        <v>0</v>
      </c>
      <c r="K65" s="20" t="s">
        <v>11</v>
      </c>
      <c r="L65" s="71"/>
    </row>
    <row r="66" spans="1:12" x14ac:dyDescent="0.25">
      <c r="A66" s="22">
        <v>12</v>
      </c>
      <c r="B66" s="21" t="s">
        <v>81</v>
      </c>
      <c r="C66" s="20" t="s">
        <v>51</v>
      </c>
      <c r="D66" s="19" t="s">
        <v>8</v>
      </c>
      <c r="E66" s="92">
        <v>326031.88999999984</v>
      </c>
      <c r="F66" s="92">
        <v>3042796.96</v>
      </c>
      <c r="G66" s="106">
        <v>-1784687.9500000002</v>
      </c>
      <c r="H66" s="93">
        <v>0</v>
      </c>
      <c r="I66" s="94">
        <v>0</v>
      </c>
      <c r="J66" s="125">
        <f t="shared" si="6"/>
        <v>0</v>
      </c>
      <c r="K66" s="20" t="s">
        <v>11</v>
      </c>
      <c r="L66" s="71"/>
    </row>
    <row r="67" spans="1:12" x14ac:dyDescent="0.25">
      <c r="A67" s="22">
        <v>13</v>
      </c>
      <c r="B67" s="21" t="s">
        <v>82</v>
      </c>
      <c r="C67" s="20" t="s">
        <v>50</v>
      </c>
      <c r="D67" s="19" t="s">
        <v>8</v>
      </c>
      <c r="E67" s="92">
        <v>1042711.5499999998</v>
      </c>
      <c r="F67" s="92">
        <v>11729686.119999999</v>
      </c>
      <c r="G67" s="106">
        <v>-2243871.87</v>
      </c>
      <c r="H67" s="93">
        <v>0</v>
      </c>
      <c r="I67" s="94">
        <v>0</v>
      </c>
      <c r="J67" s="125">
        <f t="shared" si="6"/>
        <v>0</v>
      </c>
      <c r="K67" s="20" t="s">
        <v>11</v>
      </c>
      <c r="L67" s="71"/>
    </row>
    <row r="68" spans="1:12" ht="15.75" thickBot="1" x14ac:dyDescent="0.3">
      <c r="A68" s="22">
        <v>14</v>
      </c>
      <c r="B68" s="21" t="s">
        <v>83</v>
      </c>
      <c r="C68" s="20" t="s">
        <v>48</v>
      </c>
      <c r="D68" s="19" t="s">
        <v>47</v>
      </c>
      <c r="E68" s="92">
        <v>824043.72</v>
      </c>
      <c r="F68" s="92">
        <v>6506121.5299999993</v>
      </c>
      <c r="G68" s="106">
        <v>-4272324.42</v>
      </c>
      <c r="H68" s="93">
        <v>0</v>
      </c>
      <c r="I68" s="94">
        <v>0</v>
      </c>
      <c r="J68" s="125">
        <f t="shared" si="6"/>
        <v>0</v>
      </c>
      <c r="K68" s="20" t="s">
        <v>11</v>
      </c>
      <c r="L68" s="71"/>
    </row>
    <row r="69" spans="1:12" x14ac:dyDescent="0.25">
      <c r="A69" s="22">
        <v>15</v>
      </c>
      <c r="B69" s="25" t="s">
        <v>87</v>
      </c>
      <c r="C69" s="24" t="s">
        <v>45</v>
      </c>
      <c r="D69" s="23" t="s">
        <v>164</v>
      </c>
      <c r="E69" s="95">
        <v>926823.52999999991</v>
      </c>
      <c r="F69" s="95">
        <v>2034706.73</v>
      </c>
      <c r="G69" s="105">
        <v>-189353.8</v>
      </c>
      <c r="H69" s="96">
        <v>2</v>
      </c>
      <c r="I69" s="97">
        <v>0</v>
      </c>
      <c r="J69" s="122">
        <f t="shared" si="6"/>
        <v>2</v>
      </c>
      <c r="K69" s="20" t="s">
        <v>7</v>
      </c>
      <c r="L69" s="71"/>
    </row>
    <row r="70" spans="1:12" ht="15.75" thickBot="1" x14ac:dyDescent="0.3">
      <c r="A70" s="22">
        <v>16</v>
      </c>
      <c r="B70" s="6" t="s">
        <v>86</v>
      </c>
      <c r="C70" s="5" t="s">
        <v>46</v>
      </c>
      <c r="D70" s="26" t="s">
        <v>165</v>
      </c>
      <c r="E70" s="101">
        <v>1296567.1500000001</v>
      </c>
      <c r="F70" s="101">
        <v>4237170.5</v>
      </c>
      <c r="G70" s="104">
        <v>-376811.81</v>
      </c>
      <c r="H70" s="102">
        <v>3</v>
      </c>
      <c r="I70" s="103">
        <v>0.33</v>
      </c>
      <c r="J70" s="134">
        <f t="shared" si="6"/>
        <v>3.33</v>
      </c>
      <c r="K70" s="20" t="s">
        <v>7</v>
      </c>
      <c r="L70" s="71"/>
    </row>
    <row r="71" spans="1:12" x14ac:dyDescent="0.25">
      <c r="A71" s="22">
        <v>17</v>
      </c>
      <c r="B71" s="21" t="s">
        <v>88</v>
      </c>
      <c r="C71" s="20" t="s">
        <v>45</v>
      </c>
      <c r="D71" s="19" t="s">
        <v>12</v>
      </c>
      <c r="E71" s="92">
        <v>48733.719999999994</v>
      </c>
      <c r="F71" s="92">
        <v>240144.94</v>
      </c>
      <c r="G71" s="106">
        <v>0</v>
      </c>
      <c r="H71" s="93">
        <v>0</v>
      </c>
      <c r="I71" s="94">
        <v>0</v>
      </c>
      <c r="J71" s="125">
        <f t="shared" si="6"/>
        <v>0</v>
      </c>
      <c r="K71" s="20" t="s">
        <v>7</v>
      </c>
      <c r="L71" s="71"/>
    </row>
    <row r="72" spans="1:12" ht="15.75" thickBot="1" x14ac:dyDescent="0.3">
      <c r="A72" s="22">
        <v>18</v>
      </c>
      <c r="B72" s="21" t="s">
        <v>89</v>
      </c>
      <c r="C72" s="5" t="s">
        <v>46</v>
      </c>
      <c r="D72" s="26" t="s">
        <v>12</v>
      </c>
      <c r="E72" s="101">
        <v>49328.520000000004</v>
      </c>
      <c r="F72" s="101">
        <v>123273.81</v>
      </c>
      <c r="G72" s="104">
        <v>0</v>
      </c>
      <c r="H72" s="102">
        <v>0</v>
      </c>
      <c r="I72" s="103">
        <v>0</v>
      </c>
      <c r="J72" s="134">
        <f t="shared" si="6"/>
        <v>0</v>
      </c>
      <c r="K72" s="20" t="s">
        <v>7</v>
      </c>
      <c r="L72" s="71"/>
    </row>
    <row r="73" spans="1:12" x14ac:dyDescent="0.25">
      <c r="A73" s="22">
        <v>19</v>
      </c>
      <c r="B73" s="25" t="s">
        <v>90</v>
      </c>
      <c r="C73" s="24" t="s">
        <v>45</v>
      </c>
      <c r="D73" s="23" t="s">
        <v>8</v>
      </c>
      <c r="E73" s="95">
        <v>152277.44</v>
      </c>
      <c r="F73" s="162">
        <v>308171.56</v>
      </c>
      <c r="G73" s="105">
        <v>0</v>
      </c>
      <c r="H73" s="96">
        <v>0</v>
      </c>
      <c r="I73" s="97">
        <v>0</v>
      </c>
      <c r="J73" s="122">
        <f t="shared" si="6"/>
        <v>0</v>
      </c>
      <c r="K73" s="20" t="s">
        <v>7</v>
      </c>
      <c r="L73" s="71"/>
    </row>
    <row r="74" spans="1:12" ht="15.75" thickBot="1" x14ac:dyDescent="0.3">
      <c r="A74" s="22">
        <v>20</v>
      </c>
      <c r="B74" s="6" t="s">
        <v>91</v>
      </c>
      <c r="C74" s="5" t="s">
        <v>46</v>
      </c>
      <c r="D74" s="26" t="s">
        <v>8</v>
      </c>
      <c r="E74" s="101">
        <v>149577.12000000002</v>
      </c>
      <c r="F74" s="163">
        <v>216421.82</v>
      </c>
      <c r="G74" s="104">
        <v>0</v>
      </c>
      <c r="H74" s="102">
        <v>0</v>
      </c>
      <c r="I74" s="103">
        <v>0</v>
      </c>
      <c r="J74" s="134">
        <f t="shared" si="6"/>
        <v>0</v>
      </c>
      <c r="K74" s="20" t="s">
        <v>7</v>
      </c>
      <c r="L74" s="71"/>
    </row>
    <row r="75" spans="1:12" x14ac:dyDescent="0.25">
      <c r="A75" s="22">
        <v>21</v>
      </c>
      <c r="B75" s="21" t="s">
        <v>141</v>
      </c>
      <c r="C75" s="24" t="s">
        <v>46</v>
      </c>
      <c r="D75" s="23" t="s">
        <v>8</v>
      </c>
      <c r="E75" s="95">
        <v>178333.1399999999</v>
      </c>
      <c r="F75" s="95">
        <v>4839.7299999999996</v>
      </c>
      <c r="G75" s="105">
        <v>0</v>
      </c>
      <c r="H75" s="96">
        <v>0</v>
      </c>
      <c r="I75" s="97">
        <v>0</v>
      </c>
      <c r="J75" s="122">
        <f t="shared" si="6"/>
        <v>0</v>
      </c>
      <c r="K75" s="20" t="s">
        <v>7</v>
      </c>
      <c r="L75" s="71"/>
    </row>
    <row r="76" spans="1:12" ht="15.75" thickBot="1" x14ac:dyDescent="0.3">
      <c r="A76" s="22">
        <v>22</v>
      </c>
      <c r="B76" s="6" t="s">
        <v>142</v>
      </c>
      <c r="C76" s="5" t="s">
        <v>45</v>
      </c>
      <c r="D76" s="26" t="s">
        <v>8</v>
      </c>
      <c r="E76" s="101">
        <v>144432.35000000009</v>
      </c>
      <c r="F76" s="101">
        <v>354453.11</v>
      </c>
      <c r="G76" s="104">
        <v>-51421.39</v>
      </c>
      <c r="H76" s="102">
        <v>0</v>
      </c>
      <c r="I76" s="103">
        <v>0</v>
      </c>
      <c r="J76" s="134">
        <f t="shared" si="6"/>
        <v>0</v>
      </c>
      <c r="K76" s="20" t="s">
        <v>7</v>
      </c>
      <c r="L76" s="71"/>
    </row>
    <row r="77" spans="1:12" x14ac:dyDescent="0.25">
      <c r="A77" s="22">
        <v>23</v>
      </c>
      <c r="B77" s="25" t="s">
        <v>92</v>
      </c>
      <c r="C77" s="24" t="s">
        <v>44</v>
      </c>
      <c r="D77" s="23" t="s">
        <v>8</v>
      </c>
      <c r="E77" s="95">
        <v>447812</v>
      </c>
      <c r="F77" s="95">
        <v>0</v>
      </c>
      <c r="G77" s="95">
        <v>0</v>
      </c>
      <c r="H77" s="96">
        <v>0</v>
      </c>
      <c r="I77" s="97">
        <v>0</v>
      </c>
      <c r="J77" s="122">
        <f t="shared" si="6"/>
        <v>0</v>
      </c>
      <c r="K77" s="20" t="s">
        <v>7</v>
      </c>
      <c r="L77" s="71"/>
    </row>
    <row r="78" spans="1:12" ht="15.75" thickBot="1" x14ac:dyDescent="0.3">
      <c r="A78" s="22">
        <v>24</v>
      </c>
      <c r="B78" s="6" t="s">
        <v>93</v>
      </c>
      <c r="C78" s="5" t="s">
        <v>43</v>
      </c>
      <c r="D78" s="26" t="s">
        <v>8</v>
      </c>
      <c r="E78" s="101">
        <v>257305.80000000002</v>
      </c>
      <c r="F78" s="101">
        <v>1043443.1399999999</v>
      </c>
      <c r="G78" s="101">
        <v>-407369.99</v>
      </c>
      <c r="H78" s="102">
        <v>0</v>
      </c>
      <c r="I78" s="103">
        <v>0</v>
      </c>
      <c r="J78" s="134">
        <f t="shared" si="6"/>
        <v>0</v>
      </c>
      <c r="K78" s="20" t="s">
        <v>7</v>
      </c>
      <c r="L78" s="71"/>
    </row>
    <row r="79" spans="1:12" x14ac:dyDescent="0.25">
      <c r="A79" s="22">
        <v>25</v>
      </c>
      <c r="B79" s="25" t="s">
        <v>94</v>
      </c>
      <c r="C79" s="24" t="s">
        <v>42</v>
      </c>
      <c r="D79" s="23" t="s">
        <v>8</v>
      </c>
      <c r="E79" s="95">
        <v>360203.47</v>
      </c>
      <c r="F79" s="95">
        <v>7096128.96</v>
      </c>
      <c r="G79" s="95">
        <v>0</v>
      </c>
      <c r="H79" s="96">
        <v>0</v>
      </c>
      <c r="I79" s="97">
        <v>0</v>
      </c>
      <c r="J79" s="122">
        <f t="shared" si="6"/>
        <v>0</v>
      </c>
      <c r="K79" s="20" t="s">
        <v>11</v>
      </c>
      <c r="L79" s="71"/>
    </row>
    <row r="80" spans="1:12" ht="15.75" thickBot="1" x14ac:dyDescent="0.3">
      <c r="A80" s="22">
        <v>26</v>
      </c>
      <c r="B80" s="6" t="s">
        <v>95</v>
      </c>
      <c r="C80" s="5" t="s">
        <v>41</v>
      </c>
      <c r="D80" s="26" t="s">
        <v>12</v>
      </c>
      <c r="E80" s="101">
        <v>349045.82</v>
      </c>
      <c r="F80" s="101">
        <v>71953.75</v>
      </c>
      <c r="G80" s="101">
        <v>0</v>
      </c>
      <c r="H80" s="102">
        <v>1</v>
      </c>
      <c r="I80" s="103">
        <v>0</v>
      </c>
      <c r="J80" s="134">
        <f t="shared" si="6"/>
        <v>1</v>
      </c>
      <c r="K80" s="20" t="s">
        <v>7</v>
      </c>
      <c r="L80" s="71"/>
    </row>
    <row r="81" spans="1:12" x14ac:dyDescent="0.25">
      <c r="A81" s="22">
        <v>27</v>
      </c>
      <c r="B81" s="21" t="s">
        <v>40</v>
      </c>
      <c r="C81" s="20"/>
      <c r="D81" s="19" t="s">
        <v>214</v>
      </c>
      <c r="E81" s="92">
        <v>18924399.380001117</v>
      </c>
      <c r="F81" s="92">
        <v>44657050.630000003</v>
      </c>
      <c r="G81" s="92">
        <v>-5022747.38</v>
      </c>
      <c r="H81" s="96">
        <v>4.8</v>
      </c>
      <c r="I81" s="97">
        <v>1</v>
      </c>
      <c r="J81" s="122">
        <f t="shared" si="6"/>
        <v>5.8</v>
      </c>
      <c r="K81" s="20" t="s">
        <v>7</v>
      </c>
      <c r="L81" s="71"/>
    </row>
    <row r="82" spans="1:12" x14ac:dyDescent="0.25">
      <c r="A82" s="22">
        <v>28</v>
      </c>
      <c r="B82" s="21" t="s">
        <v>39</v>
      </c>
      <c r="C82" s="20"/>
      <c r="D82" s="19" t="s">
        <v>12</v>
      </c>
      <c r="E82" s="92">
        <v>64179.530000000028</v>
      </c>
      <c r="F82" s="92">
        <v>673124.42</v>
      </c>
      <c r="G82" s="106">
        <v>-146777.03</v>
      </c>
      <c r="H82" s="93">
        <v>0</v>
      </c>
      <c r="I82" s="94">
        <v>0</v>
      </c>
      <c r="J82" s="125">
        <f t="shared" si="6"/>
        <v>0</v>
      </c>
      <c r="K82" s="20" t="s">
        <v>7</v>
      </c>
      <c r="L82" s="71"/>
    </row>
    <row r="83" spans="1:12" x14ac:dyDescent="0.25">
      <c r="A83" s="22">
        <v>29</v>
      </c>
      <c r="B83" s="21" t="s">
        <v>38</v>
      </c>
      <c r="C83" s="20"/>
      <c r="D83" s="19" t="s">
        <v>8</v>
      </c>
      <c r="E83" s="92">
        <v>1096145</v>
      </c>
      <c r="F83" s="92">
        <v>11178530.059999999</v>
      </c>
      <c r="G83" s="106">
        <v>0</v>
      </c>
      <c r="H83" s="93">
        <v>0</v>
      </c>
      <c r="I83" s="94">
        <v>0</v>
      </c>
      <c r="J83" s="125">
        <f t="shared" si="6"/>
        <v>0</v>
      </c>
      <c r="K83" s="20" t="s">
        <v>7</v>
      </c>
      <c r="L83" s="71"/>
    </row>
    <row r="84" spans="1:12" x14ac:dyDescent="0.25">
      <c r="A84" s="22">
        <v>30</v>
      </c>
      <c r="B84" s="21" t="s">
        <v>37</v>
      </c>
      <c r="C84" s="20"/>
      <c r="D84" s="19" t="s">
        <v>8</v>
      </c>
      <c r="E84" s="92">
        <v>1250696.1000000001</v>
      </c>
      <c r="F84" s="92">
        <v>8362546.7800000003</v>
      </c>
      <c r="G84" s="92">
        <v>-1390506.85</v>
      </c>
      <c r="H84" s="93">
        <v>0</v>
      </c>
      <c r="I84" s="94">
        <v>0</v>
      </c>
      <c r="J84" s="125">
        <f t="shared" si="6"/>
        <v>0</v>
      </c>
      <c r="K84" s="20" t="s">
        <v>11</v>
      </c>
      <c r="L84" s="71"/>
    </row>
    <row r="85" spans="1:12" ht="15.75" thickBot="1" x14ac:dyDescent="0.3">
      <c r="A85" s="22">
        <v>31</v>
      </c>
      <c r="B85" s="6" t="s">
        <v>36</v>
      </c>
      <c r="C85" s="5"/>
      <c r="D85" s="26" t="s">
        <v>8</v>
      </c>
      <c r="E85" s="101">
        <v>0</v>
      </c>
      <c r="F85" s="101">
        <v>0</v>
      </c>
      <c r="G85" s="101">
        <v>0</v>
      </c>
      <c r="H85" s="102">
        <v>0</v>
      </c>
      <c r="I85" s="103">
        <v>0</v>
      </c>
      <c r="J85" s="134">
        <f t="shared" si="6"/>
        <v>0</v>
      </c>
      <c r="K85" s="20" t="s">
        <v>11</v>
      </c>
      <c r="L85" s="71"/>
    </row>
    <row r="86" spans="1:12" x14ac:dyDescent="0.25">
      <c r="A86" s="22">
        <v>32</v>
      </c>
      <c r="B86" s="21" t="s">
        <v>35</v>
      </c>
      <c r="C86" s="20"/>
      <c r="D86" s="19" t="s">
        <v>12</v>
      </c>
      <c r="E86" s="92">
        <v>351682.15000000026</v>
      </c>
      <c r="F86" s="92">
        <v>798706.22</v>
      </c>
      <c r="G86" s="92">
        <v>-387300.75</v>
      </c>
      <c r="H86" s="93">
        <v>0</v>
      </c>
      <c r="I86" s="94">
        <v>0</v>
      </c>
      <c r="J86" s="125">
        <f t="shared" si="6"/>
        <v>0</v>
      </c>
      <c r="K86" s="20" t="s">
        <v>7</v>
      </c>
      <c r="L86" s="71"/>
    </row>
    <row r="87" spans="1:12" x14ac:dyDescent="0.25">
      <c r="A87" s="22">
        <v>33</v>
      </c>
      <c r="B87" s="21" t="s">
        <v>34</v>
      </c>
      <c r="C87" s="20"/>
      <c r="D87" s="19" t="s">
        <v>12</v>
      </c>
      <c r="E87" s="92">
        <v>0</v>
      </c>
      <c r="F87" s="92">
        <v>0</v>
      </c>
      <c r="G87" s="92">
        <v>0</v>
      </c>
      <c r="H87" s="93">
        <v>0</v>
      </c>
      <c r="I87" s="94">
        <v>0</v>
      </c>
      <c r="J87" s="125">
        <f t="shared" si="6"/>
        <v>0</v>
      </c>
      <c r="K87" s="20" t="s">
        <v>7</v>
      </c>
      <c r="L87" s="71"/>
    </row>
    <row r="88" spans="1:12" x14ac:dyDescent="0.25">
      <c r="A88" s="22">
        <v>34</v>
      </c>
      <c r="B88" s="21" t="s">
        <v>33</v>
      </c>
      <c r="C88" s="20"/>
      <c r="D88" s="19" t="s">
        <v>12</v>
      </c>
      <c r="E88" s="92">
        <f>1211207.38+503191.66</f>
        <v>1714399.0399999998</v>
      </c>
      <c r="F88" s="92">
        <v>6663519.0099999988</v>
      </c>
      <c r="G88" s="92">
        <v>0</v>
      </c>
      <c r="H88" s="93">
        <v>0</v>
      </c>
      <c r="I88" s="94">
        <v>0</v>
      </c>
      <c r="J88" s="125">
        <f t="shared" si="6"/>
        <v>0</v>
      </c>
      <c r="K88" s="20" t="s">
        <v>7</v>
      </c>
      <c r="L88" s="71"/>
    </row>
    <row r="89" spans="1:12" ht="15.75" thickBot="1" x14ac:dyDescent="0.3">
      <c r="A89" s="22">
        <v>35</v>
      </c>
      <c r="B89" s="21" t="s">
        <v>32</v>
      </c>
      <c r="C89" s="20"/>
      <c r="D89" s="19" t="s">
        <v>12</v>
      </c>
      <c r="E89" s="107">
        <v>249157.86000000007</v>
      </c>
      <c r="F89" s="107">
        <v>2073084.06</v>
      </c>
      <c r="G89" s="107">
        <v>-586371.73</v>
      </c>
      <c r="H89" s="93">
        <v>0</v>
      </c>
      <c r="I89" s="94">
        <v>0</v>
      </c>
      <c r="J89" s="125">
        <f t="shared" si="6"/>
        <v>0</v>
      </c>
      <c r="K89" s="20" t="s">
        <v>7</v>
      </c>
      <c r="L89" s="71"/>
    </row>
    <row r="90" spans="1:12" x14ac:dyDescent="0.25">
      <c r="A90" s="22">
        <v>36</v>
      </c>
      <c r="B90" s="25" t="s">
        <v>31</v>
      </c>
      <c r="C90" s="24" t="s">
        <v>30</v>
      </c>
      <c r="D90" s="23" t="s">
        <v>12</v>
      </c>
      <c r="E90" s="95">
        <v>905166.56000000017</v>
      </c>
      <c r="F90" s="95">
        <v>116980.17</v>
      </c>
      <c r="G90" s="95">
        <v>0</v>
      </c>
      <c r="H90" s="96">
        <v>4</v>
      </c>
      <c r="I90" s="97">
        <v>1</v>
      </c>
      <c r="J90" s="122">
        <f t="shared" si="6"/>
        <v>5</v>
      </c>
      <c r="K90" s="20" t="s">
        <v>7</v>
      </c>
      <c r="L90" s="71"/>
    </row>
    <row r="91" spans="1:12" x14ac:dyDescent="0.25">
      <c r="A91" s="22">
        <v>37</v>
      </c>
      <c r="B91" s="21" t="s">
        <v>29</v>
      </c>
      <c r="C91" s="20"/>
      <c r="D91" s="19" t="s">
        <v>12</v>
      </c>
      <c r="E91" s="99">
        <v>77812.639999999999</v>
      </c>
      <c r="F91" s="99">
        <v>83735.14</v>
      </c>
      <c r="G91" s="99">
        <v>0</v>
      </c>
      <c r="H91" s="93">
        <v>0</v>
      </c>
      <c r="I91" s="94">
        <v>0</v>
      </c>
      <c r="J91" s="125">
        <f t="shared" si="6"/>
        <v>0</v>
      </c>
      <c r="K91" s="20" t="s">
        <v>7</v>
      </c>
      <c r="L91" s="71"/>
    </row>
    <row r="92" spans="1:12" x14ac:dyDescent="0.25">
      <c r="A92" s="22">
        <v>38</v>
      </c>
      <c r="B92" s="21" t="s">
        <v>28</v>
      </c>
      <c r="C92" s="20"/>
      <c r="D92" s="19" t="s">
        <v>12</v>
      </c>
      <c r="E92" s="92">
        <v>1419025.9300000009</v>
      </c>
      <c r="F92" s="92">
        <v>13999.96</v>
      </c>
      <c r="G92" s="92">
        <v>0</v>
      </c>
      <c r="H92" s="93">
        <v>8.6999999999999993</v>
      </c>
      <c r="I92" s="94">
        <v>1</v>
      </c>
      <c r="J92" s="125">
        <f t="shared" si="6"/>
        <v>9.6999999999999993</v>
      </c>
      <c r="K92" s="20" t="s">
        <v>7</v>
      </c>
      <c r="L92" s="71"/>
    </row>
    <row r="93" spans="1:12" x14ac:dyDescent="0.25">
      <c r="A93" s="22">
        <v>39</v>
      </c>
      <c r="B93" s="21" t="s">
        <v>27</v>
      </c>
      <c r="C93" s="20" t="s">
        <v>26</v>
      </c>
      <c r="D93" s="19" t="s">
        <v>12</v>
      </c>
      <c r="E93" s="92">
        <v>679151.37000000034</v>
      </c>
      <c r="F93" s="92">
        <v>2834.93</v>
      </c>
      <c r="G93" s="92">
        <v>0</v>
      </c>
      <c r="H93" s="93">
        <v>6</v>
      </c>
      <c r="I93" s="94">
        <v>0</v>
      </c>
      <c r="J93" s="125">
        <f t="shared" si="6"/>
        <v>6</v>
      </c>
      <c r="K93" s="20" t="s">
        <v>7</v>
      </c>
      <c r="L93" s="71"/>
    </row>
    <row r="94" spans="1:12" x14ac:dyDescent="0.25">
      <c r="A94" s="22">
        <v>40</v>
      </c>
      <c r="B94" s="21" t="s">
        <v>25</v>
      </c>
      <c r="C94" s="20" t="s">
        <v>107</v>
      </c>
      <c r="D94" s="19" t="s">
        <v>12</v>
      </c>
      <c r="E94" s="92">
        <v>81.96999999999997</v>
      </c>
      <c r="F94" s="92">
        <v>333867.53000000003</v>
      </c>
      <c r="G94" s="92">
        <v>0</v>
      </c>
      <c r="H94" s="93">
        <v>2</v>
      </c>
      <c r="I94" s="94">
        <v>0</v>
      </c>
      <c r="J94" s="135">
        <f t="shared" si="6"/>
        <v>2</v>
      </c>
      <c r="K94" s="20" t="s">
        <v>7</v>
      </c>
      <c r="L94" s="71"/>
    </row>
    <row r="95" spans="1:12" x14ac:dyDescent="0.25">
      <c r="A95" s="22">
        <v>41</v>
      </c>
      <c r="B95" s="21" t="s">
        <v>24</v>
      </c>
      <c r="C95" s="20"/>
      <c r="D95" s="19" t="s">
        <v>12</v>
      </c>
      <c r="E95" s="92">
        <v>1551930.9700000002</v>
      </c>
      <c r="F95" s="92">
        <v>381967.54</v>
      </c>
      <c r="G95" s="92">
        <v>0</v>
      </c>
      <c r="H95" s="93">
        <v>4</v>
      </c>
      <c r="I95" s="94">
        <v>0</v>
      </c>
      <c r="J95" s="125">
        <f t="shared" si="6"/>
        <v>4</v>
      </c>
      <c r="K95" s="20" t="s">
        <v>7</v>
      </c>
      <c r="L95" s="71"/>
    </row>
    <row r="96" spans="1:12" x14ac:dyDescent="0.25">
      <c r="A96" s="22">
        <v>42</v>
      </c>
      <c r="B96" s="21" t="s">
        <v>23</v>
      </c>
      <c r="C96" s="20"/>
      <c r="D96" s="19" t="s">
        <v>12</v>
      </c>
      <c r="E96" s="92">
        <v>2669143.3499999996</v>
      </c>
      <c r="F96" s="92">
        <v>154720.75</v>
      </c>
      <c r="G96" s="92">
        <v>0</v>
      </c>
      <c r="H96" s="93">
        <v>6</v>
      </c>
      <c r="I96" s="94">
        <v>0.6</v>
      </c>
      <c r="J96" s="125">
        <f t="shared" si="6"/>
        <v>6.6</v>
      </c>
      <c r="K96" s="20" t="s">
        <v>7</v>
      </c>
      <c r="L96" s="71"/>
    </row>
    <row r="97" spans="1:12" ht="15.75" thickBot="1" x14ac:dyDescent="0.3">
      <c r="A97" s="22">
        <v>43</v>
      </c>
      <c r="B97" s="6" t="s">
        <v>22</v>
      </c>
      <c r="C97" s="5"/>
      <c r="D97" s="26" t="s">
        <v>12</v>
      </c>
      <c r="E97" s="164">
        <v>0</v>
      </c>
      <c r="F97" s="164">
        <v>0</v>
      </c>
      <c r="G97" s="164">
        <v>0</v>
      </c>
      <c r="H97" s="102">
        <v>3</v>
      </c>
      <c r="I97" s="103">
        <v>0.5</v>
      </c>
      <c r="J97" s="132">
        <f t="shared" si="6"/>
        <v>3.5</v>
      </c>
      <c r="K97" s="20" t="s">
        <v>21</v>
      </c>
      <c r="L97" s="71"/>
    </row>
    <row r="98" spans="1:12" x14ac:dyDescent="0.25">
      <c r="A98" s="22">
        <v>44</v>
      </c>
      <c r="B98" s="25" t="s">
        <v>215</v>
      </c>
      <c r="C98" s="24"/>
      <c r="D98" s="23" t="s">
        <v>12</v>
      </c>
      <c r="E98" s="95">
        <v>0</v>
      </c>
      <c r="F98" s="95"/>
      <c r="G98" s="95"/>
      <c r="H98" s="96">
        <v>6</v>
      </c>
      <c r="I98" s="97">
        <v>0</v>
      </c>
      <c r="J98" s="136">
        <f t="shared" si="6"/>
        <v>6</v>
      </c>
      <c r="K98" s="20" t="s">
        <v>7</v>
      </c>
      <c r="L98" s="71"/>
    </row>
    <row r="99" spans="1:12" x14ac:dyDescent="0.25">
      <c r="A99" s="22">
        <v>45</v>
      </c>
      <c r="B99" s="21" t="s">
        <v>19</v>
      </c>
      <c r="C99" s="20"/>
      <c r="D99" s="19" t="s">
        <v>18</v>
      </c>
      <c r="E99" s="92">
        <v>6369572.5499999933</v>
      </c>
      <c r="F99" s="92">
        <v>1052754.52</v>
      </c>
      <c r="G99" s="92">
        <v>0</v>
      </c>
      <c r="H99" s="93">
        <v>39</v>
      </c>
      <c r="I99" s="94">
        <v>0</v>
      </c>
      <c r="J99" s="125">
        <f t="shared" si="6"/>
        <v>39</v>
      </c>
      <c r="K99" s="20" t="s">
        <v>7</v>
      </c>
      <c r="L99" s="71"/>
    </row>
    <row r="100" spans="1:12" x14ac:dyDescent="0.25">
      <c r="A100" s="22">
        <v>46</v>
      </c>
      <c r="B100" s="21" t="s">
        <v>17</v>
      </c>
      <c r="C100" s="20"/>
      <c r="D100" s="19" t="s">
        <v>16</v>
      </c>
      <c r="E100" s="92">
        <v>484841.6</v>
      </c>
      <c r="F100" s="92">
        <v>0</v>
      </c>
      <c r="G100" s="92">
        <v>0</v>
      </c>
      <c r="H100" s="93">
        <v>0</v>
      </c>
      <c r="I100" s="94">
        <v>0</v>
      </c>
      <c r="J100" s="125">
        <f t="shared" si="6"/>
        <v>0</v>
      </c>
      <c r="K100" s="20" t="s">
        <v>7</v>
      </c>
      <c r="L100" s="71"/>
    </row>
    <row r="101" spans="1:12" s="131" customFormat="1" x14ac:dyDescent="0.25">
      <c r="A101" s="22">
        <v>47</v>
      </c>
      <c r="B101" s="21" t="s">
        <v>168</v>
      </c>
      <c r="C101" s="20"/>
      <c r="D101" s="19" t="s">
        <v>169</v>
      </c>
      <c r="E101" s="92">
        <v>0</v>
      </c>
      <c r="F101" s="92"/>
      <c r="G101" s="92"/>
      <c r="H101" s="93"/>
      <c r="I101" s="94"/>
      <c r="J101" s="133"/>
      <c r="K101" s="20"/>
      <c r="L101" s="71"/>
    </row>
    <row r="102" spans="1:12" x14ac:dyDescent="0.25">
      <c r="A102" s="22">
        <v>48</v>
      </c>
      <c r="B102" s="21" t="s">
        <v>15</v>
      </c>
      <c r="C102" s="20" t="s">
        <v>14</v>
      </c>
      <c r="D102" s="19" t="s">
        <v>12</v>
      </c>
      <c r="E102" s="92">
        <v>-287015.27999999997</v>
      </c>
      <c r="F102" s="92">
        <v>2051953.82</v>
      </c>
      <c r="G102" s="106">
        <v>0</v>
      </c>
      <c r="H102" s="93">
        <v>16</v>
      </c>
      <c r="I102" s="94">
        <v>0</v>
      </c>
      <c r="J102" s="135">
        <f>H102+I102</f>
        <v>16</v>
      </c>
      <c r="K102" s="20" t="s">
        <v>11</v>
      </c>
      <c r="L102" s="71"/>
    </row>
    <row r="103" spans="1:12" x14ac:dyDescent="0.25">
      <c r="A103" s="22">
        <v>49</v>
      </c>
      <c r="B103" s="21" t="s">
        <v>13</v>
      </c>
      <c r="C103" s="20" t="s">
        <v>106</v>
      </c>
      <c r="D103" s="19" t="s">
        <v>12</v>
      </c>
      <c r="E103" s="92">
        <v>272218.45000000007</v>
      </c>
      <c r="F103" s="92">
        <v>228562.76</v>
      </c>
      <c r="G103" s="106">
        <v>0</v>
      </c>
      <c r="H103" s="93">
        <v>12</v>
      </c>
      <c r="I103" s="94">
        <v>0</v>
      </c>
      <c r="J103" s="135">
        <f>H103+I103</f>
        <v>12</v>
      </c>
      <c r="K103" s="20" t="s">
        <v>11</v>
      </c>
      <c r="L103" s="71"/>
    </row>
    <row r="104" spans="1:12" ht="15.75" thickBot="1" x14ac:dyDescent="0.3">
      <c r="A104" s="22">
        <v>50</v>
      </c>
      <c r="B104" s="21" t="s">
        <v>10</v>
      </c>
      <c r="C104" s="20" t="s">
        <v>9</v>
      </c>
      <c r="D104" s="19" t="s">
        <v>8</v>
      </c>
      <c r="E104" s="92">
        <v>0</v>
      </c>
      <c r="F104" s="92"/>
      <c r="G104" s="106"/>
      <c r="H104" s="102">
        <v>0</v>
      </c>
      <c r="I104" s="103">
        <v>0</v>
      </c>
      <c r="J104" s="137">
        <f>H104+I104</f>
        <v>0</v>
      </c>
      <c r="K104" s="20" t="s">
        <v>7</v>
      </c>
      <c r="L104" s="71"/>
    </row>
    <row r="105" spans="1:12" x14ac:dyDescent="0.25">
      <c r="B105" s="18"/>
      <c r="C105" s="16"/>
      <c r="D105" s="17"/>
      <c r="E105" s="16"/>
      <c r="F105" s="16"/>
      <c r="G105" s="16"/>
      <c r="H105" s="15"/>
      <c r="I105" s="14"/>
      <c r="J105" s="13"/>
      <c r="K105" s="71"/>
      <c r="L105" s="71"/>
    </row>
    <row r="106" spans="1:12" ht="15.75" thickBot="1" x14ac:dyDescent="0.3">
      <c r="B106" s="12"/>
      <c r="C106" s="71"/>
      <c r="D106" s="10" t="s">
        <v>6</v>
      </c>
      <c r="E106" s="70">
        <f t="shared" ref="E106" si="7">SUM(E55:E104)</f>
        <v>51425844.13000112</v>
      </c>
      <c r="F106" s="70">
        <f>SUM(F55:F104)</f>
        <v>143830307.51999998</v>
      </c>
      <c r="G106" s="70">
        <f>SUM(G55:G104)</f>
        <v>-25114841.090000004</v>
      </c>
      <c r="H106" s="70">
        <f>SUM(H55:H104)</f>
        <v>122.5</v>
      </c>
      <c r="I106" s="70">
        <f>SUM(I55:I104)</f>
        <v>5.76</v>
      </c>
      <c r="J106" s="147">
        <f>SUM(J55:J104)</f>
        <v>128.26</v>
      </c>
      <c r="K106" s="71"/>
      <c r="L106" s="71"/>
    </row>
    <row r="107" spans="1:12" ht="16.5" thickTop="1" thickBot="1" x14ac:dyDescent="0.3">
      <c r="B107" s="9"/>
      <c r="C107" s="7"/>
      <c r="D107" s="8"/>
      <c r="E107" s="7"/>
      <c r="F107" s="67">
        <f>(F99+F96+F95+F93+F92+F90+F89+F88+F86+F84+F83+F82+F81+F80+F78+F77+F76+F75+F70+F69+F63+F62+F59+F58+F57+F56+F55)</f>
        <v>104587778.61999999</v>
      </c>
      <c r="G107" s="7"/>
      <c r="H107" s="7"/>
      <c r="I107" s="7"/>
      <c r="J107" s="66">
        <f>SUM(J55:J58,J59,J62,J63:J93,J95,J96,J99:J100)</f>
        <v>82.43</v>
      </c>
      <c r="K107" s="20"/>
      <c r="L107" s="20"/>
    </row>
    <row r="108" spans="1:12" x14ac:dyDescent="0.25">
      <c r="D108" s="3"/>
      <c r="K108" s="20"/>
      <c r="L108" s="20"/>
    </row>
    <row r="109" spans="1:12" x14ac:dyDescent="0.25">
      <c r="D109" s="3"/>
      <c r="E109" s="32"/>
      <c r="F109" s="32"/>
      <c r="G109" s="32"/>
      <c r="H109" s="32"/>
      <c r="I109" s="32"/>
      <c r="J109" s="32"/>
      <c r="K109" s="48"/>
      <c r="L109" s="48"/>
    </row>
    <row r="110" spans="1:12" x14ac:dyDescent="0.25">
      <c r="D110" s="3"/>
      <c r="E110" s="32"/>
      <c r="F110" s="32"/>
      <c r="G110" s="32"/>
      <c r="H110" s="32"/>
      <c r="I110" s="32"/>
      <c r="J110" s="32"/>
      <c r="K110" s="32"/>
      <c r="L110" s="32"/>
    </row>
    <row r="111" spans="1:12" x14ac:dyDescent="0.25">
      <c r="B111" s="4" t="s">
        <v>5</v>
      </c>
      <c r="E111" s="32"/>
      <c r="J111" s="32"/>
      <c r="K111" s="2"/>
      <c r="L111" s="2"/>
    </row>
    <row r="112" spans="1:12" x14ac:dyDescent="0.25">
      <c r="B112" s="4"/>
      <c r="D112" s="3"/>
      <c r="E112" s="32"/>
      <c r="J112" s="32"/>
      <c r="K112" s="2"/>
      <c r="L112" s="2"/>
    </row>
    <row r="113" spans="1:12" x14ac:dyDescent="0.25">
      <c r="B113" s="4"/>
      <c r="D113" s="3"/>
      <c r="E113" s="32"/>
      <c r="J113" s="32"/>
      <c r="K113" s="47"/>
      <c r="L113" s="47"/>
    </row>
    <row r="114" spans="1:12" s="11" customFormat="1" x14ac:dyDescent="0.25">
      <c r="B114" s="11" t="s">
        <v>4</v>
      </c>
      <c r="D114" s="46"/>
      <c r="F114" s="48"/>
      <c r="K114" s="20"/>
      <c r="L114" s="20"/>
    </row>
    <row r="115" spans="1:12" x14ac:dyDescent="0.25">
      <c r="B115" s="31" t="s">
        <v>100</v>
      </c>
      <c r="F115" s="32"/>
    </row>
    <row r="116" spans="1:12" x14ac:dyDescent="0.25">
      <c r="B116" s="39" t="s">
        <v>108</v>
      </c>
      <c r="F116" s="48"/>
    </row>
    <row r="117" spans="1:12" x14ac:dyDescent="0.25">
      <c r="B117" t="s">
        <v>71</v>
      </c>
      <c r="F117" s="32"/>
    </row>
    <row r="118" spans="1:12" x14ac:dyDescent="0.25">
      <c r="B118" s="2" t="s">
        <v>139</v>
      </c>
    </row>
    <row r="119" spans="1:12" x14ac:dyDescent="0.25">
      <c r="B119" t="s">
        <v>84</v>
      </c>
      <c r="C119">
        <f>COUNTA(B104,B103,B102,B98,B97,B94,B60,B61)</f>
        <v>8</v>
      </c>
    </row>
    <row r="120" spans="1:12" x14ac:dyDescent="0.25">
      <c r="B120" t="s">
        <v>3</v>
      </c>
      <c r="C120">
        <f>A104</f>
        <v>50</v>
      </c>
    </row>
    <row r="121" spans="1:12" x14ac:dyDescent="0.25">
      <c r="B121" t="s">
        <v>85</v>
      </c>
      <c r="C121">
        <f>C120-C119</f>
        <v>42</v>
      </c>
    </row>
    <row r="123" spans="1:12" s="68" customFormat="1" x14ac:dyDescent="0.25"/>
    <row r="124" spans="1:12" s="68" customFormat="1" x14ac:dyDescent="0.25">
      <c r="B124" s="68" t="s">
        <v>149</v>
      </c>
    </row>
    <row r="125" spans="1:12" s="68" customFormat="1" x14ac:dyDescent="0.25"/>
    <row r="126" spans="1:12" x14ac:dyDescent="0.25">
      <c r="B126" s="1" t="s">
        <v>145</v>
      </c>
      <c r="F126" t="s">
        <v>97</v>
      </c>
      <c r="I126" t="s">
        <v>97</v>
      </c>
      <c r="K126" t="s">
        <v>97</v>
      </c>
    </row>
    <row r="127" spans="1:12" ht="15.75" thickBot="1" x14ac:dyDescent="0.3">
      <c r="F127" s="60">
        <v>0.5</v>
      </c>
      <c r="I127" s="44">
        <f>1-F127</f>
        <v>0.5</v>
      </c>
      <c r="K127" s="44">
        <v>0</v>
      </c>
    </row>
    <row r="128" spans="1:12" ht="14.85" customHeight="1" x14ac:dyDescent="0.25">
      <c r="A128" s="131"/>
      <c r="B128" s="1335" t="s">
        <v>66</v>
      </c>
      <c r="C128" s="1335" t="s">
        <v>65</v>
      </c>
      <c r="D128" s="1337"/>
      <c r="E128" s="145" t="s">
        <v>63</v>
      </c>
      <c r="F128" s="140" t="s">
        <v>128</v>
      </c>
      <c r="G128" s="1325" t="s">
        <v>171</v>
      </c>
      <c r="H128" s="1325" t="s">
        <v>172</v>
      </c>
      <c r="I128" s="1327" t="s">
        <v>134</v>
      </c>
      <c r="J128" s="1329" t="s">
        <v>173</v>
      </c>
      <c r="K128" s="1325" t="s">
        <v>135</v>
      </c>
      <c r="L128" s="1325" t="s">
        <v>152</v>
      </c>
    </row>
    <row r="129" spans="1:12" ht="39" customHeight="1" thickBot="1" x14ac:dyDescent="0.3">
      <c r="A129" s="131"/>
      <c r="B129" s="1336"/>
      <c r="C129" s="1336"/>
      <c r="D129" s="1338"/>
      <c r="E129" s="142" t="s">
        <v>170</v>
      </c>
      <c r="F129" s="141" t="s">
        <v>63</v>
      </c>
      <c r="G129" s="1326"/>
      <c r="H129" s="1326"/>
      <c r="I129" s="1328"/>
      <c r="J129" s="1328"/>
      <c r="K129" s="1326"/>
      <c r="L129" s="1326"/>
    </row>
    <row r="131" spans="1:12" x14ac:dyDescent="0.25">
      <c r="B131" s="53" t="s">
        <v>133</v>
      </c>
      <c r="C131" s="53" t="str">
        <f>C60</f>
        <v>PA-Admin</v>
      </c>
      <c r="D131" s="53"/>
      <c r="E131" s="54">
        <f>E60</f>
        <v>3195.8799999999997</v>
      </c>
      <c r="F131" s="54"/>
      <c r="G131" s="54">
        <f>F60</f>
        <v>351547.91</v>
      </c>
      <c r="H131" s="54">
        <f>G60</f>
        <v>0</v>
      </c>
      <c r="I131" s="54"/>
      <c r="J131" s="55">
        <f>J60</f>
        <v>3</v>
      </c>
      <c r="K131" s="55"/>
      <c r="L131" s="55"/>
    </row>
    <row r="132" spans="1:12" x14ac:dyDescent="0.25">
      <c r="B132" s="2" t="s">
        <v>136</v>
      </c>
      <c r="C132" s="2"/>
      <c r="D132" s="2"/>
      <c r="E132" s="51"/>
      <c r="F132" s="51"/>
      <c r="G132" s="51"/>
      <c r="H132" s="51"/>
      <c r="I132" s="51"/>
      <c r="J132" s="56"/>
      <c r="K132" s="56"/>
      <c r="L132" s="56"/>
    </row>
    <row r="133" spans="1:12" x14ac:dyDescent="0.25">
      <c r="B133" t="str">
        <f t="shared" ref="B133:C137" si="8">B55</f>
        <v>Panorama - Wastewater Treatment Plant</v>
      </c>
      <c r="C133" t="str">
        <f t="shared" si="8"/>
        <v>Wastewater Treatment Plant</v>
      </c>
      <c r="E133" s="28">
        <f>E55</f>
        <v>1637343.4</v>
      </c>
      <c r="F133" s="45">
        <f>E133/$E$138</f>
        <v>0.35588893700798457</v>
      </c>
      <c r="G133" s="28">
        <f>F55</f>
        <v>4545296.13</v>
      </c>
      <c r="H133" s="28">
        <f t="shared" ref="G133:H137" si="9">G55</f>
        <v>0</v>
      </c>
      <c r="I133" s="59">
        <f>IF('2020 Assumptions'!$B$14="Gross",Canada!G133/Canada!$G$138,(Canada!G133+Canada!H133)/(Canada!$G$138+Canada!$H$138))</f>
        <v>0.40209791112376819</v>
      </c>
      <c r="J133" s="52">
        <f>J55</f>
        <v>0</v>
      </c>
      <c r="K133" s="52">
        <v>0</v>
      </c>
      <c r="L133" s="45">
        <f>(F133*$F$127)+(I133*$I$127)+(K133*$K$127)</f>
        <v>0.37899342406587638</v>
      </c>
    </row>
    <row r="134" spans="1:12" x14ac:dyDescent="0.25">
      <c r="B134" t="str">
        <f t="shared" si="8"/>
        <v>Panorama - Propane Storage Farm</v>
      </c>
      <c r="C134" t="str">
        <f t="shared" si="8"/>
        <v>Propane Storage Farm</v>
      </c>
      <c r="E134" s="28">
        <f t="shared" ref="E134" si="10">E56</f>
        <v>685570.15</v>
      </c>
      <c r="F134" s="45">
        <f t="shared" ref="F134:F137" si="11">E134/$E$138</f>
        <v>0.14901384274545251</v>
      </c>
      <c r="G134" s="28">
        <f t="shared" si="9"/>
        <v>588909.68000000005</v>
      </c>
      <c r="H134" s="28">
        <f t="shared" si="9"/>
        <v>0</v>
      </c>
      <c r="I134" s="59">
        <f>IF('2020 Assumptions'!$B$14="Gross",Canada!G134/Canada!$G$138,(Canada!G134+Canada!H134)/(Canada!$G$138+Canada!$H$138))</f>
        <v>5.2097673153930851E-2</v>
      </c>
      <c r="J134" s="52">
        <f>J56</f>
        <v>0</v>
      </c>
      <c r="K134" s="52">
        <v>0</v>
      </c>
      <c r="L134" s="45">
        <f t="shared" ref="L134:L137" si="12">(F134*$F$127)+(I134*$I$127)+(K134*$K$127)</f>
        <v>0.10055575794969168</v>
      </c>
    </row>
    <row r="135" spans="1:12" x14ac:dyDescent="0.25">
      <c r="B135" t="str">
        <f t="shared" si="8"/>
        <v>Panorama - Propane Distribution</v>
      </c>
      <c r="C135" t="str">
        <f t="shared" si="8"/>
        <v>Propane Distribution</v>
      </c>
      <c r="E135" s="28">
        <f t="shared" ref="E135" si="13">E57</f>
        <v>833678.07999999984</v>
      </c>
      <c r="F135" s="45">
        <f t="shared" si="11"/>
        <v>0.18120621837670553</v>
      </c>
      <c r="G135" s="28">
        <f t="shared" si="9"/>
        <v>177892.32</v>
      </c>
      <c r="H135" s="28">
        <f t="shared" si="9"/>
        <v>-154771.78</v>
      </c>
      <c r="I135" s="59">
        <f>IF('2020 Assumptions'!$B$14="Gross",Canada!G135/Canada!$G$138,(Canada!G135+Canada!H135)/(Canada!$G$138+Canada!$H$138))</f>
        <v>1.5737177123586209E-2</v>
      </c>
      <c r="J135" s="52">
        <f>J57</f>
        <v>0</v>
      </c>
      <c r="K135" s="52">
        <v>0</v>
      </c>
      <c r="L135" s="45">
        <f t="shared" si="12"/>
        <v>9.8471697750145873E-2</v>
      </c>
    </row>
    <row r="136" spans="1:12" x14ac:dyDescent="0.25">
      <c r="B136" s="11" t="str">
        <f t="shared" si="8"/>
        <v>Panorama - Water</v>
      </c>
      <c r="C136" s="11" t="str">
        <f t="shared" si="8"/>
        <v>Water</v>
      </c>
      <c r="D136" s="11"/>
      <c r="E136" s="29">
        <f t="shared" ref="E136" si="14">E58</f>
        <v>493153.38000000012</v>
      </c>
      <c r="F136" s="45">
        <f t="shared" si="11"/>
        <v>0.10719060655821787</v>
      </c>
      <c r="G136" s="29">
        <f t="shared" si="9"/>
        <v>4566810.08</v>
      </c>
      <c r="H136" s="29">
        <f t="shared" si="9"/>
        <v>-1352166.69</v>
      </c>
      <c r="I136" s="59">
        <f>IF('2020 Assumptions'!$B$14="Gross",Canada!G136/Canada!$G$138,(Canada!G136+Canada!H136)/(Canada!$G$138+Canada!$H$138))</f>
        <v>0.40400113461187592</v>
      </c>
      <c r="J136" s="30">
        <f>J58</f>
        <v>0</v>
      </c>
      <c r="K136" s="52">
        <v>0</v>
      </c>
      <c r="L136" s="45">
        <f t="shared" si="12"/>
        <v>0.2555958705850469</v>
      </c>
    </row>
    <row r="137" spans="1:12" x14ac:dyDescent="0.25">
      <c r="B137" s="38" t="str">
        <f t="shared" si="8"/>
        <v>Panorama - Sewer</v>
      </c>
      <c r="C137" s="38" t="str">
        <f t="shared" si="8"/>
        <v>Sewer</v>
      </c>
      <c r="D137" s="38"/>
      <c r="E137" s="37">
        <f t="shared" ref="E137" si="15">E59</f>
        <v>950969.51</v>
      </c>
      <c r="F137" s="58">
        <f t="shared" si="11"/>
        <v>0.20670039531163958</v>
      </c>
      <c r="G137" s="37">
        <f t="shared" si="9"/>
        <v>1425045.3900000001</v>
      </c>
      <c r="H137" s="37">
        <f t="shared" si="9"/>
        <v>-304489.15000000002</v>
      </c>
      <c r="I137" s="58">
        <f>IF('2020 Assumptions'!$B$14="Gross",Canada!G137/Canada!$G$138,(Canada!G137+Canada!H137)/(Canada!$G$138+Canada!$H$138))</f>
        <v>0.12606610398683873</v>
      </c>
      <c r="J137" s="57">
        <f>J59</f>
        <v>0</v>
      </c>
      <c r="K137" s="57">
        <v>0</v>
      </c>
      <c r="L137" s="58">
        <f t="shared" si="12"/>
        <v>0.16638324964923917</v>
      </c>
    </row>
    <row r="138" spans="1:12" x14ac:dyDescent="0.25">
      <c r="E138" s="33">
        <f>SUM(E133:E137)</f>
        <v>4600714.5199999996</v>
      </c>
      <c r="F138" s="50">
        <f t="shared" ref="F138:J138" si="16">SUM(F133:F137)</f>
        <v>1.0000000000000002</v>
      </c>
      <c r="G138" s="33">
        <f t="shared" si="16"/>
        <v>11303953.600000001</v>
      </c>
      <c r="H138" s="33">
        <f t="shared" si="16"/>
        <v>-1811427.62</v>
      </c>
      <c r="I138" s="50">
        <f t="shared" si="16"/>
        <v>0.99999999999999978</v>
      </c>
      <c r="J138" s="33">
        <f t="shared" si="16"/>
        <v>0</v>
      </c>
      <c r="K138" s="33">
        <v>0</v>
      </c>
      <c r="L138" s="34">
        <f>SUM(L133:L137)</f>
        <v>1</v>
      </c>
    </row>
    <row r="139" spans="1:12" x14ac:dyDescent="0.25">
      <c r="B139" t="s">
        <v>137</v>
      </c>
      <c r="K139" s="52"/>
      <c r="L139" s="52"/>
    </row>
    <row r="140" spans="1:12" x14ac:dyDescent="0.25">
      <c r="B140" s="11" t="str">
        <f>B133</f>
        <v>Panorama - Wastewater Treatment Plant</v>
      </c>
      <c r="C140" s="11" t="str">
        <f t="shared" ref="C140" si="17">C133</f>
        <v>Wastewater Treatment Plant</v>
      </c>
      <c r="D140" s="11"/>
      <c r="E140" s="29">
        <f>E133+(L133*$E$131)</f>
        <v>1638554.6175041036</v>
      </c>
      <c r="F140" s="59">
        <f>E140/$E$145</f>
        <v>0.35590497536704957</v>
      </c>
      <c r="G140" s="29">
        <f>G133+(L133*$G$131)</f>
        <v>4678530.4761341028</v>
      </c>
      <c r="H140" s="29">
        <f>H133+(L133*$H$131)</f>
        <v>0</v>
      </c>
      <c r="I140" s="59">
        <f>IF('2020 Assumptions'!$B$14="Gross",Canada!G140/Canada!$G$145,(Canada!G140+Canada!H140)/(Canada!$G$145+Canada!$H$145))</f>
        <v>0.40140104414383992</v>
      </c>
      <c r="J140" s="30">
        <f>J133+(L133*$J$131)</f>
        <v>1.1369802721976292</v>
      </c>
      <c r="K140" s="61">
        <f>J140/$J$145</f>
        <v>0.37899342406587633</v>
      </c>
      <c r="L140" s="45">
        <f>(F140*$F$127)+(I140*$I$127)+(K140*$K$127)</f>
        <v>0.37865300975544475</v>
      </c>
    </row>
    <row r="141" spans="1:12" x14ac:dyDescent="0.25">
      <c r="B141" s="11" t="str">
        <f t="shared" ref="B141:C141" si="18">B134</f>
        <v>Panorama - Propane Storage Farm</v>
      </c>
      <c r="C141" s="11" t="str">
        <f t="shared" si="18"/>
        <v>Propane Storage Farm</v>
      </c>
      <c r="D141" s="11"/>
      <c r="E141" s="29">
        <f>E134+(L134*$E$131)</f>
        <v>685891.51413571625</v>
      </c>
      <c r="F141" s="59">
        <f t="shared" ref="F141:F144" si="19">E141/$E$145</f>
        <v>0.14898020477021365</v>
      </c>
      <c r="G141" s="29">
        <f>G134+(L134*$G$131)</f>
        <v>624259.84654568008</v>
      </c>
      <c r="H141" s="29">
        <f>H134+(L134*$H$131)</f>
        <v>0</v>
      </c>
      <c r="I141" s="59">
        <f>IF('2020 Assumptions'!$B$14="Gross",Canada!G141/Canada!$G$145,(Canada!G141+Canada!H141)/(Canada!$G$145+Canada!$H$145))</f>
        <v>5.3559243762277206E-2</v>
      </c>
      <c r="J141" s="30">
        <f t="shared" ref="J141:J144" si="20">J134+(L134*$J$131)</f>
        <v>0.30166727384907505</v>
      </c>
      <c r="K141" s="61">
        <f t="shared" ref="K141:K144" si="21">J141/$J$145</f>
        <v>0.10055575794969167</v>
      </c>
      <c r="L141" s="45">
        <f t="shared" ref="L141:L144" si="22">(F141*$F$127)+(I141*$I$127)+(K141*$K$127)</f>
        <v>0.10126972426624542</v>
      </c>
    </row>
    <row r="142" spans="1:12" x14ac:dyDescent="0.25">
      <c r="B142" s="11" t="str">
        <f t="shared" ref="B142:C142" si="23">B135</f>
        <v>Panorama - Propane Distribution</v>
      </c>
      <c r="C142" s="11" t="str">
        <f t="shared" si="23"/>
        <v>Propane Distribution</v>
      </c>
      <c r="D142" s="11"/>
      <c r="E142" s="29">
        <f>E135+(L135*$E$131)</f>
        <v>833992.78372940561</v>
      </c>
      <c r="F142" s="59">
        <f t="shared" si="19"/>
        <v>0.18114878685071836</v>
      </c>
      <c r="G142" s="29">
        <f>G135+(L135*$G$131)</f>
        <v>212509.83953821548</v>
      </c>
      <c r="H142" s="29">
        <f>H135+(L135*$H$131)</f>
        <v>-154771.78</v>
      </c>
      <c r="I142" s="59">
        <f>IF('2020 Assumptions'!$B$14="Gross",Canada!G142/Canada!$G$145,(Canada!G142+Canada!H142)/(Canada!$G$145+Canada!$H$145))</f>
        <v>1.8232577925187492E-2</v>
      </c>
      <c r="J142" s="30">
        <f t="shared" si="20"/>
        <v>0.29541509325043763</v>
      </c>
      <c r="K142" s="61">
        <f t="shared" si="21"/>
        <v>9.8471697750145859E-2</v>
      </c>
      <c r="L142" s="45">
        <f t="shared" si="22"/>
        <v>9.9690682387952922E-2</v>
      </c>
    </row>
    <row r="143" spans="1:12" x14ac:dyDescent="0.25">
      <c r="B143" s="11" t="str">
        <f t="shared" ref="B143:C143" si="24">B136</f>
        <v>Panorama - Water</v>
      </c>
      <c r="C143" s="11" t="str">
        <f t="shared" si="24"/>
        <v>Water</v>
      </c>
      <c r="D143" s="11"/>
      <c r="E143" s="29">
        <f>E136+(L136*$E$131)</f>
        <v>493970.23373088543</v>
      </c>
      <c r="F143" s="59">
        <f t="shared" si="19"/>
        <v>0.10729362450904462</v>
      </c>
      <c r="G143" s="29">
        <f>G136+(L136*$G$131)</f>
        <v>4656664.2741088038</v>
      </c>
      <c r="H143" s="29">
        <f>H136+(L136*$H$131)</f>
        <v>-1352166.69</v>
      </c>
      <c r="I143" s="59">
        <f>IF('2020 Assumptions'!$B$14="Gross",Canada!G143/Canada!$G$145,(Canada!G143+Canada!H143)/(Canada!$G$145+Canada!$H$145))</f>
        <v>0.39952500285925524</v>
      </c>
      <c r="J143" s="30">
        <f t="shared" si="20"/>
        <v>0.76678761175514065</v>
      </c>
      <c r="K143" s="61">
        <f t="shared" si="21"/>
        <v>0.25559587058504685</v>
      </c>
      <c r="L143" s="45">
        <f t="shared" si="22"/>
        <v>0.25340931368414993</v>
      </c>
    </row>
    <row r="144" spans="1:12" x14ac:dyDescent="0.25">
      <c r="B144" s="38" t="str">
        <f t="shared" ref="B144:C144" si="25">B137</f>
        <v>Panorama - Sewer</v>
      </c>
      <c r="C144" s="38" t="str">
        <f t="shared" si="25"/>
        <v>Sewer</v>
      </c>
      <c r="D144" s="38"/>
      <c r="E144" s="37">
        <f>E137+(L137*$E$131)</f>
        <v>951501.25089988904</v>
      </c>
      <c r="F144" s="58">
        <f t="shared" si="19"/>
        <v>0.20667240850297369</v>
      </c>
      <c r="G144" s="37">
        <f>G137+(L137*$G$131)</f>
        <v>1483537.0736731985</v>
      </c>
      <c r="H144" s="37">
        <f>H137+(L137*$H$131)</f>
        <v>-304489.15000000002</v>
      </c>
      <c r="I144" s="58">
        <f>IF('2020 Assumptions'!$B$14="Gross",Canada!G144/Canada!$G$145,(Canada!G144+Canada!H144)/(Canada!$G$145+Canada!$H$145))</f>
        <v>0.12728213130944019</v>
      </c>
      <c r="J144" s="57">
        <f t="shared" si="20"/>
        <v>0.49914974894771752</v>
      </c>
      <c r="K144" s="62">
        <f t="shared" si="21"/>
        <v>0.16638324964923915</v>
      </c>
      <c r="L144" s="58">
        <f t="shared" si="22"/>
        <v>0.16697726990620693</v>
      </c>
    </row>
    <row r="145" spans="2:12" x14ac:dyDescent="0.25">
      <c r="E145" s="33">
        <f t="shared" ref="E145:L145" si="26">SUM(E140:E144)</f>
        <v>4603910.4000000004</v>
      </c>
      <c r="F145" s="50">
        <f t="shared" si="26"/>
        <v>0.99999999999999978</v>
      </c>
      <c r="G145" s="33">
        <f t="shared" si="26"/>
        <v>11655501.51</v>
      </c>
      <c r="H145" s="33">
        <f t="shared" si="26"/>
        <v>-1811427.62</v>
      </c>
      <c r="I145" s="50">
        <f t="shared" si="26"/>
        <v>1</v>
      </c>
      <c r="J145" s="33">
        <f t="shared" si="26"/>
        <v>3.0000000000000004</v>
      </c>
      <c r="K145" s="50">
        <f t="shared" si="26"/>
        <v>0.99999999999999978</v>
      </c>
      <c r="L145" s="34">
        <f t="shared" si="26"/>
        <v>1</v>
      </c>
    </row>
    <row r="147" spans="2:12" x14ac:dyDescent="0.25">
      <c r="D147" t="s">
        <v>118</v>
      </c>
      <c r="E147" s="33">
        <f>E145-E138-E131</f>
        <v>8.1990947364829481E-10</v>
      </c>
      <c r="G147" s="33">
        <f>G145-G138-G131</f>
        <v>-1.6880221664905548E-9</v>
      </c>
      <c r="H147" s="33">
        <f>H145-H138-H131</f>
        <v>0</v>
      </c>
      <c r="J147" s="33">
        <f>J145-J138-J131</f>
        <v>0</v>
      </c>
      <c r="K147" s="80">
        <f>K145-K138-K131</f>
        <v>0.99999999999999978</v>
      </c>
    </row>
    <row r="148" spans="2:12" s="68" customFormat="1" ht="15.75" thickBot="1" x14ac:dyDescent="0.3">
      <c r="E148" s="76"/>
      <c r="G148" s="76"/>
      <c r="H148" s="76"/>
      <c r="J148" s="76"/>
      <c r="K148" s="80"/>
    </row>
    <row r="149" spans="2:12" s="68" customFormat="1" ht="14.45" customHeight="1" x14ac:dyDescent="0.25">
      <c r="B149" s="1335" t="s">
        <v>66</v>
      </c>
      <c r="C149" s="1335" t="s">
        <v>65</v>
      </c>
      <c r="D149" s="1337"/>
      <c r="E149" s="145" t="s">
        <v>63</v>
      </c>
      <c r="F149" s="140" t="s">
        <v>128</v>
      </c>
      <c r="G149" s="1325" t="s">
        <v>171</v>
      </c>
      <c r="H149" s="1325" t="s">
        <v>172</v>
      </c>
      <c r="I149" s="1327" t="s">
        <v>134</v>
      </c>
      <c r="J149" s="1329" t="s">
        <v>173</v>
      </c>
      <c r="K149" s="1325" t="s">
        <v>135</v>
      </c>
      <c r="L149" s="1325" t="s">
        <v>152</v>
      </c>
    </row>
    <row r="150" spans="2:12" s="68" customFormat="1" ht="34.700000000000003" customHeight="1" thickBot="1" x14ac:dyDescent="0.3">
      <c r="B150" s="1336"/>
      <c r="C150" s="1336"/>
      <c r="D150" s="1338"/>
      <c r="E150" s="142" t="s">
        <v>170</v>
      </c>
      <c r="F150" s="141" t="s">
        <v>63</v>
      </c>
      <c r="G150" s="1326"/>
      <c r="H150" s="1326"/>
      <c r="I150" s="1328"/>
      <c r="J150" s="1328"/>
      <c r="K150" s="1326"/>
      <c r="L150" s="1326"/>
    </row>
    <row r="151" spans="2:12" s="68" customFormat="1" x14ac:dyDescent="0.25">
      <c r="E151" s="76"/>
      <c r="G151" s="76"/>
      <c r="H151" s="76"/>
      <c r="J151" s="76"/>
      <c r="K151" s="80"/>
    </row>
    <row r="152" spans="2:12" s="68" customFormat="1" x14ac:dyDescent="0.25">
      <c r="B152" s="83" t="s">
        <v>143</v>
      </c>
      <c r="C152" s="83" t="str">
        <f>C61</f>
        <v>Admin</v>
      </c>
      <c r="D152" s="83"/>
      <c r="E152" s="84">
        <f>E61</f>
        <v>15173.77</v>
      </c>
      <c r="F152" s="84"/>
      <c r="G152" s="84">
        <f>F61</f>
        <v>69483.240000000005</v>
      </c>
      <c r="H152" s="84">
        <f>G60</f>
        <v>0</v>
      </c>
      <c r="I152" s="84"/>
      <c r="J152" s="85">
        <f>J61</f>
        <v>3.33</v>
      </c>
      <c r="K152" s="85"/>
      <c r="L152" s="85"/>
    </row>
    <row r="153" spans="2:12" x14ac:dyDescent="0.25">
      <c r="B153" s="69" t="s">
        <v>136</v>
      </c>
      <c r="C153" s="69"/>
      <c r="D153" s="69"/>
      <c r="E153" s="81"/>
      <c r="F153" s="81"/>
      <c r="G153" s="81"/>
      <c r="H153" s="81"/>
      <c r="I153" s="81"/>
      <c r="J153" s="86"/>
      <c r="K153" s="86"/>
      <c r="L153" s="86"/>
    </row>
    <row r="154" spans="2:12" x14ac:dyDescent="0.25">
      <c r="B154" s="68" t="str">
        <f t="shared" ref="B154:C160" si="27">B62</f>
        <v>Sun Rivers - Electric</v>
      </c>
      <c r="C154" s="71" t="str">
        <f t="shared" si="27"/>
        <v xml:space="preserve">Electric </v>
      </c>
      <c r="D154" s="68"/>
      <c r="E154" s="74">
        <f t="shared" ref="E154:E160" si="28">E62</f>
        <v>1624303.6099999999</v>
      </c>
      <c r="F154" s="89">
        <f>E154/$E$161</f>
        <v>0.34903257284075823</v>
      </c>
      <c r="G154" s="73">
        <f t="shared" ref="G154:H160" si="29">F62</f>
        <v>7865338.0499999989</v>
      </c>
      <c r="H154" s="73">
        <f t="shared" si="29"/>
        <v>-1657553.02</v>
      </c>
      <c r="I154" s="89">
        <f>IF('2020 Assumptions'!$B$14="Gross",Canada!G154/Canada!$G$161,(Canada!G154+Canada!H154)/(Canada!$G$161+Canada!$H$161))</f>
        <v>0.2094816052962378</v>
      </c>
      <c r="J154" s="75">
        <f t="shared" ref="J154:J160" si="30">J62</f>
        <v>0</v>
      </c>
      <c r="K154" s="82">
        <v>0</v>
      </c>
      <c r="L154" s="89">
        <f>(F154*$F$127)+(I154*$I$127)+(K154*$K$127)</f>
        <v>0.279257089068498</v>
      </c>
    </row>
    <row r="155" spans="2:12" x14ac:dyDescent="0.25">
      <c r="B155" s="68" t="str">
        <f t="shared" si="27"/>
        <v>Sun Rivers - Gas</v>
      </c>
      <c r="C155" s="71" t="str">
        <f t="shared" si="27"/>
        <v>Gas</v>
      </c>
      <c r="D155" s="68"/>
      <c r="E155" s="74">
        <f t="shared" si="28"/>
        <v>172818.26000000042</v>
      </c>
      <c r="F155" s="89">
        <f t="shared" ref="F155:F160" si="31">E155/$E$161</f>
        <v>3.7135423174774113E-2</v>
      </c>
      <c r="G155" s="73">
        <f t="shared" si="29"/>
        <v>1542100.96</v>
      </c>
      <c r="H155" s="73">
        <f t="shared" si="29"/>
        <v>-1071272.3399999999</v>
      </c>
      <c r="I155" s="89">
        <f>IF('2020 Assumptions'!$B$14="Gross",Canada!G155/Canada!$G$161,(Canada!G155+Canada!H155)/(Canada!$G$161+Canada!$H$161))</f>
        <v>4.1071570296926957E-2</v>
      </c>
      <c r="J155" s="75">
        <f t="shared" si="30"/>
        <v>0</v>
      </c>
      <c r="K155" s="82">
        <v>0</v>
      </c>
      <c r="L155" s="89">
        <f t="shared" ref="L155:L160" si="32">(F155*$F$127)+(I155*$I$127)+(K155*$K$127)</f>
        <v>3.9103496735850535E-2</v>
      </c>
    </row>
    <row r="156" spans="2:12" x14ac:dyDescent="0.25">
      <c r="B156" s="68" t="str">
        <f t="shared" si="27"/>
        <v>Sun Rivers - Domestic Water</v>
      </c>
      <c r="C156" s="71" t="str">
        <f t="shared" si="27"/>
        <v>Domestic Water</v>
      </c>
      <c r="D156" s="68"/>
      <c r="E156" s="74">
        <f t="shared" si="28"/>
        <v>378645.94</v>
      </c>
      <c r="F156" s="89">
        <f t="shared" si="31"/>
        <v>8.13639554946919E-2</v>
      </c>
      <c r="G156" s="73">
        <f t="shared" si="29"/>
        <v>3355703.47</v>
      </c>
      <c r="H156" s="73">
        <f t="shared" si="29"/>
        <v>-1824487.84</v>
      </c>
      <c r="I156" s="89">
        <f>IF('2020 Assumptions'!$B$14="Gross",Canada!G156/Canada!$G$161,(Canada!G156+Canada!H156)/(Canada!$G$161+Canada!$H$161))</f>
        <v>8.9374181417892856E-2</v>
      </c>
      <c r="J156" s="75">
        <f t="shared" si="30"/>
        <v>0</v>
      </c>
      <c r="K156" s="82">
        <v>0</v>
      </c>
      <c r="L156" s="89">
        <f t="shared" si="32"/>
        <v>8.5369068456292385E-2</v>
      </c>
    </row>
    <row r="157" spans="2:12" x14ac:dyDescent="0.25">
      <c r="B157" s="71" t="str">
        <f t="shared" si="27"/>
        <v>Sun Rivers - Irrigation Water</v>
      </c>
      <c r="C157" s="71" t="str">
        <f t="shared" si="27"/>
        <v>Irrigation Water</v>
      </c>
      <c r="D157" s="71"/>
      <c r="E157" s="74">
        <f t="shared" si="28"/>
        <v>285175.75999999995</v>
      </c>
      <c r="F157" s="89">
        <f t="shared" si="31"/>
        <v>6.1278955862579525E-2</v>
      </c>
      <c r="G157" s="73">
        <f t="shared" si="29"/>
        <v>3504929.33</v>
      </c>
      <c r="H157" s="73">
        <f t="shared" si="29"/>
        <v>-1890555.3</v>
      </c>
      <c r="I157" s="89">
        <f>IF('2020 Assumptions'!$B$14="Gross",Canada!G157/Canada!$G$161,(Canada!G157+Canada!H157)/(Canada!$G$161+Canada!$H$161))</f>
        <v>9.3348590719284766E-2</v>
      </c>
      <c r="J157" s="75">
        <f t="shared" si="30"/>
        <v>0</v>
      </c>
      <c r="K157" s="75">
        <v>0</v>
      </c>
      <c r="L157" s="89">
        <f>(F157*$F$127)+(I157*$I$127)+(K157*$K$127)</f>
        <v>7.7313773290932142E-2</v>
      </c>
    </row>
    <row r="158" spans="2:12" x14ac:dyDescent="0.25">
      <c r="B158" s="71" t="str">
        <f t="shared" si="27"/>
        <v>Sun Rivers - Sewer</v>
      </c>
      <c r="C158" s="71" t="str">
        <f t="shared" si="27"/>
        <v>Sewer</v>
      </c>
      <c r="D158" s="71"/>
      <c r="E158" s="74">
        <f t="shared" si="28"/>
        <v>326031.88999999984</v>
      </c>
      <c r="F158" s="89">
        <f t="shared" si="31"/>
        <v>7.0058176743715436E-2</v>
      </c>
      <c r="G158" s="73">
        <f t="shared" si="29"/>
        <v>3042796.96</v>
      </c>
      <c r="H158" s="73">
        <f t="shared" si="29"/>
        <v>-1784687.9500000002</v>
      </c>
      <c r="I158" s="89">
        <f>IF('2020 Assumptions'!$B$14="Gross",Canada!G158/Canada!$G$161,(Canada!G158+Canada!H158)/(Canada!$G$161+Canada!$H$161))</f>
        <v>8.104038093713116E-2</v>
      </c>
      <c r="J158" s="75">
        <f t="shared" si="30"/>
        <v>0</v>
      </c>
      <c r="K158" s="75">
        <v>0</v>
      </c>
      <c r="L158" s="89">
        <f t="shared" si="32"/>
        <v>7.5549278840423298E-2</v>
      </c>
    </row>
    <row r="159" spans="2:12" s="68" customFormat="1" x14ac:dyDescent="0.25">
      <c r="B159" s="71" t="str">
        <f t="shared" si="27"/>
        <v>Sun Rivers - Geothermal</v>
      </c>
      <c r="C159" s="71" t="str">
        <f t="shared" si="27"/>
        <v>Geothermal</v>
      </c>
      <c r="D159" s="71"/>
      <c r="E159" s="74">
        <f t="shared" si="28"/>
        <v>1042711.5499999998</v>
      </c>
      <c r="F159" s="89">
        <f t="shared" si="31"/>
        <v>0.22405927856509222</v>
      </c>
      <c r="G159" s="73">
        <f t="shared" si="29"/>
        <v>11729686.119999999</v>
      </c>
      <c r="H159" s="73">
        <f t="shared" si="29"/>
        <v>-2243871.87</v>
      </c>
      <c r="I159" s="89">
        <f>IF('2020 Assumptions'!$B$14="Gross",Canada!G159/Canada!$G$161,(Canada!G159+Canada!H159)/(Canada!$G$161+Canada!$H$161))</f>
        <v>0.31240278070929184</v>
      </c>
      <c r="J159" s="75">
        <f t="shared" si="30"/>
        <v>0</v>
      </c>
      <c r="K159" s="75"/>
      <c r="L159" s="89">
        <f t="shared" si="32"/>
        <v>0.26823102963719203</v>
      </c>
    </row>
    <row r="160" spans="2:12" s="68" customFormat="1" x14ac:dyDescent="0.25">
      <c r="B160" s="79" t="str">
        <f t="shared" si="27"/>
        <v>Sun Rivers - Municipal</v>
      </c>
      <c r="C160" s="79" t="str">
        <f t="shared" si="27"/>
        <v>Municipal</v>
      </c>
      <c r="D160" s="79"/>
      <c r="E160" s="78">
        <f t="shared" si="28"/>
        <v>824043.72</v>
      </c>
      <c r="F160" s="88">
        <f t="shared" si="31"/>
        <v>0.17707163731838865</v>
      </c>
      <c r="G160" s="78">
        <f t="shared" si="29"/>
        <v>6506121.5299999993</v>
      </c>
      <c r="H160" s="78">
        <f t="shared" si="29"/>
        <v>-4272324.42</v>
      </c>
      <c r="I160" s="88">
        <f>IF('2020 Assumptions'!$B$14="Gross",Canada!G160/Canada!$G$161,(Canada!G160+Canada!H160)/(Canada!$G$161+Canada!$H$161))</f>
        <v>0.17328089062323454</v>
      </c>
      <c r="J160" s="87">
        <f t="shared" si="30"/>
        <v>0</v>
      </c>
      <c r="K160" s="87"/>
      <c r="L160" s="88">
        <f t="shared" si="32"/>
        <v>0.1751762639708116</v>
      </c>
    </row>
    <row r="161" spans="2:12" s="68" customFormat="1" x14ac:dyDescent="0.25">
      <c r="C161" s="71"/>
      <c r="D161" s="71"/>
      <c r="E161" s="76">
        <f t="shared" ref="E161:J161" si="33">SUM(E154:E160)</f>
        <v>4653730.7299999995</v>
      </c>
      <c r="F161" s="80">
        <f t="shared" si="33"/>
        <v>1</v>
      </c>
      <c r="G161" s="76">
        <f t="shared" si="33"/>
        <v>37546676.420000002</v>
      </c>
      <c r="H161" s="76">
        <f t="shared" si="33"/>
        <v>-14744752.74</v>
      </c>
      <c r="I161" s="80">
        <f t="shared" si="33"/>
        <v>0.99999999999999978</v>
      </c>
      <c r="J161" s="76">
        <f t="shared" si="33"/>
        <v>0</v>
      </c>
      <c r="K161" s="76">
        <v>0</v>
      </c>
      <c r="L161" s="77">
        <f>SUM(L154:L160)</f>
        <v>1</v>
      </c>
    </row>
    <row r="162" spans="2:12" x14ac:dyDescent="0.25">
      <c r="B162" s="68"/>
      <c r="C162" s="68"/>
      <c r="D162" s="68"/>
    </row>
    <row r="163" spans="2:12" x14ac:dyDescent="0.25">
      <c r="B163" s="68" t="s">
        <v>137</v>
      </c>
      <c r="C163" s="68"/>
      <c r="D163" s="68"/>
      <c r="E163" s="68"/>
      <c r="F163" s="68"/>
      <c r="G163" s="68"/>
      <c r="H163" s="68"/>
      <c r="I163" s="68"/>
      <c r="J163" s="68"/>
      <c r="K163" s="82"/>
      <c r="L163" s="82"/>
    </row>
    <row r="164" spans="2:12" x14ac:dyDescent="0.25">
      <c r="B164" s="71" t="str">
        <f>B154</f>
        <v>Sun Rivers - Electric</v>
      </c>
      <c r="C164" s="71" t="str">
        <f t="shared" ref="C164:C170" si="34">C154</f>
        <v xml:space="preserve">Electric </v>
      </c>
      <c r="D164" s="71"/>
      <c r="E164" s="74">
        <f>E154+(L154*$E$152)</f>
        <v>1628540.9928403948</v>
      </c>
      <c r="F164" s="89">
        <f>E164/$E$171</f>
        <v>0.34880580505349701</v>
      </c>
      <c r="G164" s="74">
        <f>G154+(L154*$G$152)</f>
        <v>7884741.7373414468</v>
      </c>
      <c r="H164" s="74">
        <f>H154+(L154*$H$152)</f>
        <v>-1657553.02</v>
      </c>
      <c r="I164" s="89">
        <f>IF('2020 Assumptions'!$B$14="Gross",Canada!G164/Canada!$G$171,(Canada!G164+Canada!H164)/(Canada!$G$171+Canada!$H$171))</f>
        <v>0.20961049210257013</v>
      </c>
      <c r="J164" s="75">
        <f>J154+(L154*$J$152)</f>
        <v>0.92992610659809838</v>
      </c>
      <c r="K164" s="90">
        <f>J164/$J$171</f>
        <v>0.27925708906849805</v>
      </c>
      <c r="L164" s="89">
        <f>(F164*$F$127)+(I164*$I$127)+(K164*$K$127)</f>
        <v>0.27920814857803355</v>
      </c>
    </row>
    <row r="165" spans="2:12" x14ac:dyDescent="0.25">
      <c r="B165" s="71" t="str">
        <f t="shared" ref="B165" si="35">B155</f>
        <v>Sun Rivers - Gas</v>
      </c>
      <c r="C165" s="71" t="str">
        <f t="shared" si="34"/>
        <v>Gas</v>
      </c>
      <c r="D165" s="71"/>
      <c r="E165" s="74">
        <f t="shared" ref="E165:E170" si="36">E155+(L155*$E$152)</f>
        <v>173411.60746566596</v>
      </c>
      <c r="F165" s="89">
        <f t="shared" ref="F165:F170" si="37">E165/$E$171</f>
        <v>3.7141819342345929E-2</v>
      </c>
      <c r="G165" s="74">
        <f t="shared" ref="G165:G170" si="38">G155+(L155*$G$152)</f>
        <v>1544817.9976485362</v>
      </c>
      <c r="H165" s="74">
        <f t="shared" ref="H165:H170" si="39">H155+(L155*$H$152)</f>
        <v>-1071272.3399999999</v>
      </c>
      <c r="I165" s="89">
        <f>IF('2020 Assumptions'!$B$14="Gross",Canada!G165/Canada!$G$171,(Canada!G165+Canada!H165)/(Canada!$G$171+Canada!$H$171))</f>
        <v>4.1067934941036888E-2</v>
      </c>
      <c r="J165" s="75">
        <f t="shared" ref="J165:J170" si="40">J155+(L155*$J$152)</f>
        <v>0.13021464413038228</v>
      </c>
      <c r="K165" s="90">
        <f t="shared" ref="K165:K170" si="41">J165/$J$171</f>
        <v>3.9103496735850542E-2</v>
      </c>
      <c r="L165" s="89">
        <f t="shared" ref="L165:L170" si="42">(F165*$F$127)+(I165*$I$127)+(K165*$K$127)</f>
        <v>3.9104877141691405E-2</v>
      </c>
    </row>
    <row r="166" spans="2:12" x14ac:dyDescent="0.25">
      <c r="B166" s="71" t="str">
        <f t="shared" ref="B166" si="43">B156</f>
        <v>Sun Rivers - Domestic Water</v>
      </c>
      <c r="C166" s="71" t="str">
        <f t="shared" si="34"/>
        <v>Domestic Water</v>
      </c>
      <c r="D166" s="71"/>
      <c r="E166" s="74">
        <f t="shared" si="36"/>
        <v>379941.31060987007</v>
      </c>
      <c r="F166" s="89">
        <f t="shared" si="37"/>
        <v>8.1376971966308165E-2</v>
      </c>
      <c r="G166" s="74">
        <f t="shared" si="38"/>
        <v>3361635.1894721254</v>
      </c>
      <c r="H166" s="74">
        <f t="shared" si="39"/>
        <v>-1824487.84</v>
      </c>
      <c r="I166" s="89">
        <f>IF('2020 Assumptions'!$B$14="Gross",Canada!G166/Canada!$G$171,(Canada!G166+Canada!H166)/(Canada!$G$171+Canada!$H$171))</f>
        <v>8.936678331485276E-2</v>
      </c>
      <c r="J166" s="75">
        <f t="shared" si="40"/>
        <v>0.28427899795945366</v>
      </c>
      <c r="K166" s="90">
        <f t="shared" si="41"/>
        <v>8.5369068456292399E-2</v>
      </c>
      <c r="L166" s="89">
        <f t="shared" si="42"/>
        <v>8.5371877640580462E-2</v>
      </c>
    </row>
    <row r="167" spans="2:12" x14ac:dyDescent="0.25">
      <c r="B167" s="71" t="str">
        <f t="shared" ref="B167" si="44">B157</f>
        <v>Sun Rivers - Irrigation Water</v>
      </c>
      <c r="C167" s="71" t="str">
        <f t="shared" si="34"/>
        <v>Irrigation Water</v>
      </c>
      <c r="D167" s="71"/>
      <c r="E167" s="74">
        <f t="shared" si="36"/>
        <v>286348.90141374868</v>
      </c>
      <c r="F167" s="89">
        <f t="shared" si="37"/>
        <v>6.1331068436664034E-2</v>
      </c>
      <c r="G167" s="74">
        <f t="shared" si="38"/>
        <v>3510301.3414648795</v>
      </c>
      <c r="H167" s="74">
        <f t="shared" si="39"/>
        <v>-1890555.3</v>
      </c>
      <c r="I167" s="89">
        <f>IF('2020 Assumptions'!$B$14="Gross",Canada!G167/Canada!$G$171,(Canada!G167+Canada!H167)/(Canada!$G$171+Canada!$H$171))</f>
        <v>9.3318971771529313E-2</v>
      </c>
      <c r="J167" s="75">
        <f t="shared" si="40"/>
        <v>0.25745486505880405</v>
      </c>
      <c r="K167" s="90">
        <f t="shared" si="41"/>
        <v>7.7313773290932156E-2</v>
      </c>
      <c r="L167" s="89">
        <f t="shared" si="42"/>
        <v>7.732502010409667E-2</v>
      </c>
    </row>
    <row r="168" spans="2:12" x14ac:dyDescent="0.25">
      <c r="B168" s="71" t="str">
        <f t="shared" ref="B168" si="45">B158</f>
        <v>Sun Rivers - Sewer</v>
      </c>
      <c r="C168" s="71" t="str">
        <f t="shared" si="34"/>
        <v>Sewer</v>
      </c>
      <c r="D168" s="71"/>
      <c r="E168" s="74">
        <f t="shared" si="36"/>
        <v>327178.25738079031</v>
      </c>
      <c r="F168" s="89">
        <f t="shared" si="37"/>
        <v>7.0076022626033643E-2</v>
      </c>
      <c r="G168" s="74">
        <f t="shared" si="38"/>
        <v>3048046.3686734959</v>
      </c>
      <c r="H168" s="74">
        <f t="shared" si="39"/>
        <v>-1784687.9500000002</v>
      </c>
      <c r="I168" s="89">
        <f>IF('2020 Assumptions'!$B$14="Gross",Canada!G168/Canada!$G$171,(Canada!G168+Canada!H168)/(Canada!$G$171+Canada!$H$171))</f>
        <v>8.1030237967505914E-2</v>
      </c>
      <c r="J168" s="75">
        <f t="shared" si="40"/>
        <v>0.2515790985386096</v>
      </c>
      <c r="K168" s="90">
        <f t="shared" si="41"/>
        <v>7.5549278840423312E-2</v>
      </c>
      <c r="L168" s="89">
        <f t="shared" si="42"/>
        <v>7.5553130296769772E-2</v>
      </c>
    </row>
    <row r="169" spans="2:12" x14ac:dyDescent="0.25">
      <c r="B169" s="71" t="str">
        <f t="shared" ref="B169" si="46">B159</f>
        <v>Sun Rivers - Geothermal</v>
      </c>
      <c r="C169" s="71" t="str">
        <f t="shared" si="34"/>
        <v>Geothermal</v>
      </c>
      <c r="D169" s="71"/>
      <c r="E169" s="74">
        <f t="shared" si="36"/>
        <v>1046781.6259505778</v>
      </c>
      <c r="F169" s="89">
        <f t="shared" si="37"/>
        <v>0.22420283515128181</v>
      </c>
      <c r="G169" s="74">
        <f t="shared" si="38"/>
        <v>11748323.681007728</v>
      </c>
      <c r="H169" s="74">
        <f t="shared" si="39"/>
        <v>-2243871.87</v>
      </c>
      <c r="I169" s="89">
        <f>IF('2020 Assumptions'!$B$14="Gross",Canada!G169/Canada!$G$171,(Canada!G169+Canada!H169)/(Canada!$G$171+Canada!$H$171))</f>
        <v>0.31232118821264404</v>
      </c>
      <c r="J169" s="75">
        <f t="shared" si="40"/>
        <v>0.89320932869184944</v>
      </c>
      <c r="K169" s="90">
        <f t="shared" si="41"/>
        <v>0.26823102963719203</v>
      </c>
      <c r="L169" s="89">
        <f t="shared" si="42"/>
        <v>0.26826201168196295</v>
      </c>
    </row>
    <row r="170" spans="2:12" x14ac:dyDescent="0.25">
      <c r="B170" s="79" t="str">
        <f t="shared" ref="B170" si="47">B160</f>
        <v>Sun Rivers - Municipal</v>
      </c>
      <c r="C170" s="79" t="str">
        <f t="shared" si="34"/>
        <v>Municipal</v>
      </c>
      <c r="D170" s="79"/>
      <c r="E170" s="78">
        <f t="shared" si="36"/>
        <v>826701.80433895241</v>
      </c>
      <c r="F170" s="88">
        <f t="shared" si="37"/>
        <v>0.17706547742386944</v>
      </c>
      <c r="G170" s="78">
        <f t="shared" si="38"/>
        <v>6518293.3443917865</v>
      </c>
      <c r="H170" s="78">
        <f t="shared" si="39"/>
        <v>-4272324.42</v>
      </c>
      <c r="I170" s="88">
        <f>IF('2020 Assumptions'!$B$14="Gross",Canada!G170/Canada!$G$171,(Canada!G170+Canada!H170)/(Canada!$G$171+Canada!$H$171))</f>
        <v>0.17328439168986096</v>
      </c>
      <c r="J170" s="87">
        <f t="shared" si="40"/>
        <v>0.58333695902280258</v>
      </c>
      <c r="K170" s="91">
        <f t="shared" si="41"/>
        <v>0.1751762639708116</v>
      </c>
      <c r="L170" s="88">
        <f t="shared" si="42"/>
        <v>0.1751749345568652</v>
      </c>
    </row>
    <row r="171" spans="2:12" x14ac:dyDescent="0.25">
      <c r="E171" s="76">
        <f>SUM(E164:E170)</f>
        <v>4668904.5</v>
      </c>
      <c r="F171" s="80">
        <f>SUM(F164:F170)</f>
        <v>1</v>
      </c>
      <c r="G171" s="76">
        <f>SUM(G164:G170)</f>
        <v>37616159.659999996</v>
      </c>
      <c r="H171" s="76">
        <f t="shared" ref="H171:L171" si="48">SUM(H164:H170)</f>
        <v>-14744752.74</v>
      </c>
      <c r="I171" s="80">
        <f t="shared" si="48"/>
        <v>1</v>
      </c>
      <c r="J171" s="108">
        <f t="shared" si="48"/>
        <v>3.3299999999999996</v>
      </c>
      <c r="K171" s="80">
        <f t="shared" si="48"/>
        <v>1</v>
      </c>
      <c r="L171" s="77">
        <f t="shared" si="48"/>
        <v>1</v>
      </c>
    </row>
    <row r="173" spans="2:12" x14ac:dyDescent="0.25">
      <c r="B173" t="s">
        <v>144</v>
      </c>
      <c r="E173" s="76">
        <f>E171-E161-E152</f>
        <v>4.8385118134319782E-10</v>
      </c>
      <c r="F173" s="76"/>
      <c r="G173" s="76">
        <f>G171-G161-G152</f>
        <v>-5.3696567192673683E-9</v>
      </c>
      <c r="H173" s="76">
        <f>H171-H161-H152</f>
        <v>0</v>
      </c>
      <c r="J173" s="76">
        <f>J171-J161-J152</f>
        <v>0</v>
      </c>
    </row>
    <row r="174" spans="2:12" ht="15.75" thickBot="1" x14ac:dyDescent="0.3"/>
    <row r="175" spans="2:12" ht="14.45" customHeight="1" x14ac:dyDescent="0.25">
      <c r="B175" s="1335" t="s">
        <v>66</v>
      </c>
      <c r="C175" s="1335" t="s">
        <v>65</v>
      </c>
      <c r="D175" s="1337"/>
      <c r="E175" s="145" t="s">
        <v>63</v>
      </c>
      <c r="F175" s="140" t="s">
        <v>128</v>
      </c>
      <c r="G175" s="1325" t="s">
        <v>171</v>
      </c>
      <c r="H175" s="1325" t="s">
        <v>172</v>
      </c>
      <c r="I175" s="1327" t="s">
        <v>134</v>
      </c>
      <c r="J175" s="1329" t="s">
        <v>173</v>
      </c>
      <c r="K175" s="1325" t="s">
        <v>135</v>
      </c>
      <c r="L175" s="1325" t="s">
        <v>152</v>
      </c>
    </row>
    <row r="176" spans="2:12" ht="15.75" thickBot="1" x14ac:dyDescent="0.3">
      <c r="B176" s="1336"/>
      <c r="C176" s="1336"/>
      <c r="D176" s="1338"/>
      <c r="E176" s="142" t="s">
        <v>170</v>
      </c>
      <c r="F176" s="141" t="s">
        <v>63</v>
      </c>
      <c r="G176" s="1326"/>
      <c r="H176" s="1326"/>
      <c r="I176" s="1328"/>
      <c r="J176" s="1328"/>
      <c r="K176" s="1326"/>
      <c r="L176" s="1326"/>
    </row>
    <row r="177" spans="2:12" x14ac:dyDescent="0.25">
      <c r="B177" s="68"/>
      <c r="C177" s="68"/>
      <c r="D177" s="68"/>
      <c r="E177" s="76"/>
      <c r="F177" s="68"/>
      <c r="G177" s="76"/>
      <c r="H177" s="76"/>
      <c r="I177" s="68"/>
      <c r="J177" s="76"/>
      <c r="K177" s="80"/>
      <c r="L177" s="68"/>
    </row>
    <row r="178" spans="2:12" x14ac:dyDescent="0.25">
      <c r="B178" s="83" t="s">
        <v>146</v>
      </c>
      <c r="C178" s="83" t="s">
        <v>54</v>
      </c>
      <c r="D178" s="83"/>
      <c r="E178" s="84">
        <f>E97</f>
        <v>0</v>
      </c>
      <c r="F178" s="84"/>
      <c r="G178" s="84">
        <f>F97</f>
        <v>0</v>
      </c>
      <c r="H178" s="84">
        <f>G97</f>
        <v>0</v>
      </c>
      <c r="I178" s="84"/>
      <c r="J178" s="85">
        <f>J97</f>
        <v>3.5</v>
      </c>
      <c r="K178" s="85"/>
      <c r="L178" s="85"/>
    </row>
    <row r="179" spans="2:12" x14ac:dyDescent="0.25">
      <c r="B179" s="69" t="s">
        <v>136</v>
      </c>
      <c r="C179" s="69"/>
      <c r="D179" s="69"/>
      <c r="E179" s="81"/>
      <c r="F179" s="81"/>
      <c r="G179" s="81"/>
      <c r="H179" s="81"/>
      <c r="I179" s="81"/>
      <c r="J179" s="86"/>
      <c r="K179" s="86"/>
      <c r="L179" s="86"/>
    </row>
    <row r="180" spans="2:12" x14ac:dyDescent="0.25">
      <c r="B180" s="68" t="str">
        <f>B95</f>
        <v>Alberta Ops (North)</v>
      </c>
      <c r="C180" s="68"/>
      <c r="D180" s="68"/>
      <c r="E180" s="74">
        <f>E95</f>
        <v>1551930.9700000002</v>
      </c>
      <c r="F180" s="89">
        <f>E180/$E$182</f>
        <v>0.36766255515728519</v>
      </c>
      <c r="G180" s="74">
        <f>F95</f>
        <v>381967.54</v>
      </c>
      <c r="H180" s="73">
        <f>G95</f>
        <v>0</v>
      </c>
      <c r="I180" s="89">
        <f>IF('2020 Assumptions'!$B$14="Gross",Canada!G180/Canada!$G$182,(Canada!G180+Canada!H180)/(Canada!$G$182+Canada!$H$182))</f>
        <v>0.71171208151383358</v>
      </c>
      <c r="J180" s="75">
        <f>J95</f>
        <v>4</v>
      </c>
      <c r="K180" s="82">
        <f>J180/$J$182</f>
        <v>0.37735849056603776</v>
      </c>
      <c r="L180" s="89">
        <f>(F180*$F$196)+(I180*$I$196)+(K180*$K$196)</f>
        <v>0.48557770907905223</v>
      </c>
    </row>
    <row r="181" spans="2:12" x14ac:dyDescent="0.25">
      <c r="B181" s="68" t="str">
        <f>B96</f>
        <v>Alberta Ops (South)</v>
      </c>
      <c r="C181" s="68"/>
      <c r="D181" s="68"/>
      <c r="E181" s="78">
        <f>E96</f>
        <v>2669143.3499999996</v>
      </c>
      <c r="F181" s="88">
        <f>E181/$E$182</f>
        <v>0.6323374448427147</v>
      </c>
      <c r="G181" s="78">
        <f>F96</f>
        <v>154720.75</v>
      </c>
      <c r="H181" s="78">
        <f>G96</f>
        <v>0</v>
      </c>
      <c r="I181" s="88">
        <f>IF('2020 Assumptions'!$B$14="Gross",Canada!G181/Canada!$G$182,(Canada!G181+Canada!H181)/(Canada!$G$182+Canada!$H$182))</f>
        <v>0.28828791848616631</v>
      </c>
      <c r="J181" s="87">
        <f>J96</f>
        <v>6.6</v>
      </c>
      <c r="K181" s="87">
        <f>J181/$J$182</f>
        <v>0.62264150943396224</v>
      </c>
      <c r="L181" s="88">
        <f>(F181*$F$196)+(I181*$I$196)+(K181*$K$196)</f>
        <v>0.51442229092094782</v>
      </c>
    </row>
    <row r="182" spans="2:12" x14ac:dyDescent="0.25">
      <c r="B182" s="68"/>
      <c r="C182" s="71"/>
      <c r="D182" s="71"/>
      <c r="E182" s="76">
        <f t="shared" ref="E182:J182" si="49">SUM(E180:E181)</f>
        <v>4221074.32</v>
      </c>
      <c r="F182" s="80">
        <f t="shared" si="49"/>
        <v>0.99999999999999989</v>
      </c>
      <c r="G182" s="76">
        <f t="shared" si="49"/>
        <v>536688.29</v>
      </c>
      <c r="H182" s="76">
        <f t="shared" si="49"/>
        <v>0</v>
      </c>
      <c r="I182" s="80">
        <f t="shared" si="49"/>
        <v>0.99999999999999989</v>
      </c>
      <c r="J182" s="76">
        <f t="shared" si="49"/>
        <v>10.6</v>
      </c>
      <c r="K182" s="76">
        <v>0</v>
      </c>
      <c r="L182" s="77">
        <f>SUM(L180:L181)</f>
        <v>1</v>
      </c>
    </row>
    <row r="183" spans="2:12" x14ac:dyDescent="0.25">
      <c r="B183" s="68"/>
      <c r="C183" s="68"/>
      <c r="D183" s="68"/>
      <c r="E183" s="68"/>
      <c r="F183" s="68"/>
      <c r="G183" s="68"/>
      <c r="H183" s="68"/>
      <c r="I183" s="68"/>
      <c r="J183" s="68"/>
      <c r="K183" s="68"/>
      <c r="L183" s="68"/>
    </row>
    <row r="184" spans="2:12" x14ac:dyDescent="0.25">
      <c r="B184" s="68" t="s">
        <v>137</v>
      </c>
      <c r="C184" s="68"/>
      <c r="D184" s="68"/>
      <c r="E184" s="68"/>
      <c r="F184" s="68"/>
      <c r="G184" s="68"/>
      <c r="H184" s="68"/>
      <c r="I184" s="68"/>
      <c r="J184" s="68"/>
      <c r="K184" s="82"/>
      <c r="L184" s="82"/>
    </row>
    <row r="185" spans="2:12" x14ac:dyDescent="0.25">
      <c r="B185" s="71" t="str">
        <f>B180</f>
        <v>Alberta Ops (North)</v>
      </c>
      <c r="C185" s="71"/>
      <c r="D185" s="71"/>
      <c r="E185" s="74">
        <f>E180+(L180*$E$178)</f>
        <v>1551930.9700000002</v>
      </c>
      <c r="F185" s="89">
        <f>E185/$E$187</f>
        <v>0.36766255515728519</v>
      </c>
      <c r="G185" s="74">
        <f>G180+(L180*$G$178)</f>
        <v>381967.54</v>
      </c>
      <c r="H185" s="74">
        <f>H180+(L180*$H$178)</f>
        <v>0</v>
      </c>
      <c r="I185" s="89">
        <f>IF('2020 Assumptions'!$B$14="Gross",Canada!G185/Canada!$G$187,(Canada!G185+Canada!H185)/(Canada!$G$187+Canada!$H$187))</f>
        <v>0.71171208151383358</v>
      </c>
      <c r="J185" s="75">
        <f>J180+(L180*$J$178)</f>
        <v>5.6995219817766829</v>
      </c>
      <c r="K185" s="90">
        <f>J185/$J$187</f>
        <v>0.40422141714728244</v>
      </c>
      <c r="L185" s="89">
        <f>(F185*$F$196)+(I185*$I$196)+(K185*$K$196)</f>
        <v>0.49453201793946711</v>
      </c>
    </row>
    <row r="186" spans="2:12" x14ac:dyDescent="0.25">
      <c r="B186" s="71" t="str">
        <f>B181</f>
        <v>Alberta Ops (South)</v>
      </c>
      <c r="C186" s="71"/>
      <c r="D186" s="71"/>
      <c r="E186" s="78">
        <f>E181+(L181*$E$178)</f>
        <v>2669143.3499999996</v>
      </c>
      <c r="F186" s="88">
        <f>E186/$E$187</f>
        <v>0.6323374448427147</v>
      </c>
      <c r="G186" s="78">
        <f>G181+(L181*$G$178)</f>
        <v>154720.75</v>
      </c>
      <c r="H186" s="78">
        <f>H181+(L181*$H$178)</f>
        <v>0</v>
      </c>
      <c r="I186" s="88">
        <f>IF('2020 Assumptions'!$B$14="Gross",Canada!G186/Canada!$G$187,(Canada!G186+Canada!H186)/(Canada!$G$187+Canada!$H$187))</f>
        <v>0.28828791848616631</v>
      </c>
      <c r="J186" s="87">
        <f>J181+(L181*$J$178)</f>
        <v>8.4004780182233176</v>
      </c>
      <c r="K186" s="91">
        <f>J186/$J$187</f>
        <v>0.59577858285271745</v>
      </c>
      <c r="L186" s="88">
        <f>(F186*$F$196)+(I186*$I$196)+(K186*$K$196)</f>
        <v>0.50546798206053289</v>
      </c>
    </row>
    <row r="187" spans="2:12" x14ac:dyDescent="0.25">
      <c r="B187" s="68"/>
      <c r="C187" s="68"/>
      <c r="D187" s="68"/>
      <c r="E187" s="76">
        <f t="shared" ref="E187:L187" si="50">SUM(E185:E186)</f>
        <v>4221074.32</v>
      </c>
      <c r="F187" s="80">
        <f t="shared" si="50"/>
        <v>0.99999999999999989</v>
      </c>
      <c r="G187" s="76">
        <f t="shared" si="50"/>
        <v>536688.29</v>
      </c>
      <c r="H187" s="76">
        <f t="shared" si="50"/>
        <v>0</v>
      </c>
      <c r="I187" s="80">
        <f t="shared" si="50"/>
        <v>0.99999999999999989</v>
      </c>
      <c r="J187" s="108">
        <f t="shared" si="50"/>
        <v>14.100000000000001</v>
      </c>
      <c r="K187" s="80">
        <f t="shared" si="50"/>
        <v>0.99999999999999989</v>
      </c>
      <c r="L187" s="77">
        <f t="shared" si="50"/>
        <v>1</v>
      </c>
    </row>
    <row r="188" spans="2:12" x14ac:dyDescent="0.25">
      <c r="B188" s="68"/>
      <c r="C188" s="68"/>
      <c r="D188" s="68"/>
      <c r="E188" s="68"/>
      <c r="F188" s="68"/>
      <c r="G188" s="68"/>
      <c r="H188" s="68"/>
      <c r="I188" s="68"/>
      <c r="J188" s="68"/>
      <c r="K188" s="68"/>
      <c r="L188" s="68"/>
    </row>
    <row r="189" spans="2:12" x14ac:dyDescent="0.25">
      <c r="B189" s="68" t="s">
        <v>144</v>
      </c>
      <c r="C189" s="68"/>
      <c r="D189" s="68"/>
      <c r="E189" s="76">
        <f>E187-E182-E178</f>
        <v>0</v>
      </c>
      <c r="F189" s="76"/>
      <c r="G189" s="76">
        <f>G187-G182-G178</f>
        <v>0</v>
      </c>
      <c r="H189" s="76">
        <f>H187-H182-H178</f>
        <v>0</v>
      </c>
      <c r="I189" s="68"/>
      <c r="J189" s="76">
        <f>J187-J182-J178</f>
        <v>0</v>
      </c>
      <c r="K189" s="68"/>
      <c r="L189" s="68"/>
    </row>
    <row r="192" spans="2:12" x14ac:dyDescent="0.25">
      <c r="B192" s="1" t="s">
        <v>151</v>
      </c>
    </row>
    <row r="193" spans="2:12" x14ac:dyDescent="0.25">
      <c r="B193" s="109" t="s">
        <v>147</v>
      </c>
      <c r="C193" t="s">
        <v>117</v>
      </c>
    </row>
    <row r="194" spans="2:12" x14ac:dyDescent="0.25">
      <c r="B194" s="109">
        <v>6139</v>
      </c>
      <c r="C194" t="s">
        <v>116</v>
      </c>
    </row>
    <row r="195" spans="2:12" x14ac:dyDescent="0.25">
      <c r="B195" s="109">
        <v>6700</v>
      </c>
      <c r="C195" t="s">
        <v>148</v>
      </c>
      <c r="F195" s="68" t="s">
        <v>97</v>
      </c>
      <c r="G195" s="68"/>
      <c r="H195" s="68"/>
      <c r="I195" s="68" t="s">
        <v>97</v>
      </c>
      <c r="J195" s="68"/>
      <c r="K195" s="68" t="s">
        <v>97</v>
      </c>
    </row>
    <row r="196" spans="2:12" x14ac:dyDescent="0.25">
      <c r="B196" s="109" t="s">
        <v>9</v>
      </c>
      <c r="C196" s="68" t="s">
        <v>148</v>
      </c>
      <c r="F196" s="60">
        <v>0.33333333333333337</v>
      </c>
      <c r="G196" s="68"/>
      <c r="H196" s="68"/>
      <c r="I196" s="60">
        <v>0.33333333333333337</v>
      </c>
      <c r="J196" s="68"/>
      <c r="K196" s="60">
        <v>0.33333333333333337</v>
      </c>
    </row>
    <row r="197" spans="2:12" x14ac:dyDescent="0.25">
      <c r="B197" s="109" t="s">
        <v>20</v>
      </c>
      <c r="C197" s="68" t="s">
        <v>148</v>
      </c>
    </row>
    <row r="198" spans="2:12" ht="15.75" thickBot="1" x14ac:dyDescent="0.3"/>
    <row r="199" spans="2:12" ht="14.45" customHeight="1" x14ac:dyDescent="0.25">
      <c r="B199" s="1335" t="s">
        <v>66</v>
      </c>
      <c r="C199" s="1335" t="s">
        <v>65</v>
      </c>
      <c r="D199" s="1337"/>
      <c r="E199" s="145" t="s">
        <v>63</v>
      </c>
      <c r="F199" s="140" t="s">
        <v>128</v>
      </c>
      <c r="G199" s="1325" t="s">
        <v>171</v>
      </c>
      <c r="H199" s="1325" t="s">
        <v>172</v>
      </c>
      <c r="I199" s="1327" t="s">
        <v>134</v>
      </c>
      <c r="J199" s="1329" t="s">
        <v>173</v>
      </c>
      <c r="K199" s="1325" t="s">
        <v>135</v>
      </c>
      <c r="L199" s="1325" t="s">
        <v>152</v>
      </c>
    </row>
    <row r="200" spans="2:12" ht="15.75" thickBot="1" x14ac:dyDescent="0.3">
      <c r="B200" s="1336"/>
      <c r="C200" s="1336"/>
      <c r="D200" s="1338"/>
      <c r="E200" s="142" t="s">
        <v>170</v>
      </c>
      <c r="F200" s="141" t="s">
        <v>63</v>
      </c>
      <c r="G200" s="1326"/>
      <c r="H200" s="1326"/>
      <c r="I200" s="1328"/>
      <c r="J200" s="1328"/>
      <c r="K200" s="1326"/>
      <c r="L200" s="1326"/>
    </row>
    <row r="201" spans="2:12" x14ac:dyDescent="0.25">
      <c r="B201" s="68"/>
      <c r="C201" s="68"/>
      <c r="D201" s="68"/>
      <c r="E201" s="76"/>
      <c r="F201" s="68"/>
      <c r="G201" s="76"/>
      <c r="H201" s="76"/>
      <c r="I201" s="68"/>
      <c r="J201" s="76"/>
      <c r="K201" s="80"/>
      <c r="L201" s="68"/>
    </row>
    <row r="202" spans="2:12" x14ac:dyDescent="0.25">
      <c r="B202" s="83" t="str">
        <f>B94</f>
        <v>BC Ops</v>
      </c>
      <c r="C202" s="110" t="s">
        <v>150</v>
      </c>
      <c r="D202" s="83"/>
      <c r="E202" s="84">
        <f>E94</f>
        <v>81.96999999999997</v>
      </c>
      <c r="F202" s="84"/>
      <c r="G202" s="84">
        <f>F94</f>
        <v>333867.53000000003</v>
      </c>
      <c r="H202" s="84">
        <f>J111</f>
        <v>0</v>
      </c>
      <c r="I202" s="84"/>
      <c r="J202" s="85">
        <f>J94</f>
        <v>2</v>
      </c>
      <c r="K202" s="85"/>
      <c r="L202" s="85"/>
    </row>
    <row r="203" spans="2:12" x14ac:dyDescent="0.25">
      <c r="B203" s="69" t="s">
        <v>136</v>
      </c>
      <c r="C203" s="69"/>
      <c r="D203" s="69"/>
      <c r="E203" s="81"/>
      <c r="F203" s="81"/>
      <c r="G203" s="81"/>
      <c r="H203" s="81"/>
      <c r="I203" s="81"/>
      <c r="J203" s="86"/>
      <c r="K203" s="86"/>
      <c r="L203" s="86"/>
    </row>
    <row r="204" spans="2:12" x14ac:dyDescent="0.25">
      <c r="B204" s="68" t="str">
        <f>Canada!B133</f>
        <v>Panorama - Wastewater Treatment Plant</v>
      </c>
      <c r="C204" s="71"/>
      <c r="D204" s="68"/>
      <c r="E204" s="74">
        <f>E140</f>
        <v>1638554.6175041036</v>
      </c>
      <c r="F204" s="89">
        <f>E204/$E$239</f>
        <v>3.5297768990264454E-2</v>
      </c>
      <c r="G204" s="73">
        <f>G140</f>
        <v>4678530.4761341028</v>
      </c>
      <c r="H204" s="73">
        <f>H140</f>
        <v>0</v>
      </c>
      <c r="I204" s="89">
        <f>IF('2020 Assumptions'!$B$14="Gross",Canada!G204/Canada!$G$239,(Canada!G204+Canada!H204)/(Canada!$G$239+Canada!$H$239))</f>
        <v>4.4232990109781822E-2</v>
      </c>
      <c r="J204" s="75">
        <f>J140</f>
        <v>1.1369802721976292</v>
      </c>
      <c r="K204" s="45">
        <f>J204/SUM($J$239)</f>
        <v>1.2458692441350311E-2</v>
      </c>
      <c r="L204" s="89">
        <f>(F204*$F$196)+(I204*$I$196)+(K204*$K$196)</f>
        <v>3.0663150513798865E-2</v>
      </c>
    </row>
    <row r="205" spans="2:12" x14ac:dyDescent="0.25">
      <c r="B205" s="68" t="str">
        <f>Canada!B134</f>
        <v>Panorama - Propane Storage Farm</v>
      </c>
      <c r="C205" s="71"/>
      <c r="D205" s="68"/>
      <c r="E205" s="74">
        <f t="shared" ref="E205:E208" si="51">E141</f>
        <v>685891.51413571625</v>
      </c>
      <c r="F205" s="89">
        <f t="shared" ref="F205:F236" si="52">E205/$E$239</f>
        <v>1.4775485638204296E-2</v>
      </c>
      <c r="G205" s="73">
        <f t="shared" ref="G205:G208" si="53">G141</f>
        <v>624259.84654568008</v>
      </c>
      <c r="H205" s="73">
        <f t="shared" ref="H205:H208" si="54">H141</f>
        <v>0</v>
      </c>
      <c r="I205" s="89">
        <f>IF('2020 Assumptions'!$B$14="Gross",Canada!G205/Canada!$G$239,(Canada!G205+Canada!H205)/(Canada!$G$239+Canada!$H$239))</f>
        <v>5.9020411984161466E-3</v>
      </c>
      <c r="J205" s="75">
        <f t="shared" ref="J205:J208" si="55">J141</f>
        <v>0.30166727384907505</v>
      </c>
      <c r="K205" s="45">
        <f t="shared" ref="K205:K236" si="56">J205/SUM($J$239)</f>
        <v>3.3055804717189905E-3</v>
      </c>
      <c r="L205" s="89">
        <f t="shared" ref="L205:L236" si="57">(F205*$F$196)+(I205*$I$196)+(K205*$K$196)</f>
        <v>7.9943691027798119E-3</v>
      </c>
    </row>
    <row r="206" spans="2:12" x14ac:dyDescent="0.25">
      <c r="B206" s="68" t="str">
        <f>Canada!B135</f>
        <v>Panorama - Propane Distribution</v>
      </c>
      <c r="C206" s="71"/>
      <c r="D206" s="68"/>
      <c r="E206" s="74">
        <f t="shared" si="51"/>
        <v>833992.78372940561</v>
      </c>
      <c r="F206" s="89">
        <f t="shared" si="52"/>
        <v>1.7965885485385365E-2</v>
      </c>
      <c r="G206" s="73">
        <f t="shared" si="53"/>
        <v>212509.83953821548</v>
      </c>
      <c r="H206" s="73">
        <f t="shared" si="54"/>
        <v>-154771.78</v>
      </c>
      <c r="I206" s="89">
        <f>IF('2020 Assumptions'!$B$14="Gross",Canada!G206/Canada!$G$239,(Canada!G206+Canada!H206)/(Canada!$G$239+Canada!$H$239))</f>
        <v>2.0091662710066257E-3</v>
      </c>
      <c r="J206" s="75">
        <f t="shared" si="55"/>
        <v>0.29541509325043763</v>
      </c>
      <c r="K206" s="45">
        <f t="shared" si="56"/>
        <v>3.2370709319574586E-3</v>
      </c>
      <c r="L206" s="89">
        <f t="shared" si="57"/>
        <v>7.7373742294498176E-3</v>
      </c>
    </row>
    <row r="207" spans="2:12" x14ac:dyDescent="0.25">
      <c r="B207" s="68" t="str">
        <f>Canada!B136</f>
        <v>Panorama - Water</v>
      </c>
      <c r="C207" s="71"/>
      <c r="D207" s="71"/>
      <c r="E207" s="74">
        <f t="shared" si="51"/>
        <v>493970.23373088543</v>
      </c>
      <c r="F207" s="89">
        <f t="shared" si="52"/>
        <v>1.0641114438320555E-2</v>
      </c>
      <c r="G207" s="73">
        <f t="shared" si="53"/>
        <v>4656664.2741088038</v>
      </c>
      <c r="H207" s="73">
        <f t="shared" si="54"/>
        <v>-1352166.69</v>
      </c>
      <c r="I207" s="89">
        <f>IF('2020 Assumptions'!$B$14="Gross",Canada!G207/Canada!$G$239,(Canada!G207+Canada!H207)/(Canada!$G$239+Canada!$H$239))</f>
        <v>4.4026256926604453E-2</v>
      </c>
      <c r="J207" s="75">
        <f t="shared" si="55"/>
        <v>0.76678761175514065</v>
      </c>
      <c r="K207" s="45">
        <f t="shared" si="56"/>
        <v>8.4022311171941793E-3</v>
      </c>
      <c r="L207" s="89">
        <f t="shared" si="57"/>
        <v>2.1023200827373065E-2</v>
      </c>
    </row>
    <row r="208" spans="2:12" x14ac:dyDescent="0.25">
      <c r="B208" s="68" t="str">
        <f>Canada!B137</f>
        <v>Panorama - Sewer</v>
      </c>
      <c r="C208" s="71"/>
      <c r="D208" s="71"/>
      <c r="E208" s="74">
        <f t="shared" si="51"/>
        <v>951501.25089988904</v>
      </c>
      <c r="F208" s="89">
        <f t="shared" si="52"/>
        <v>2.0497254708159173E-2</v>
      </c>
      <c r="G208" s="73">
        <f t="shared" si="53"/>
        <v>1483537.0736731985</v>
      </c>
      <c r="H208" s="73">
        <f t="shared" si="54"/>
        <v>-304489.15000000002</v>
      </c>
      <c r="I208" s="89">
        <f>IF('2020 Assumptions'!$B$14="Gross",Canada!G208/Canada!$G$239,(Canada!G208+Canada!H208)/(Canada!$G$239+Canada!$H$239))</f>
        <v>1.4026045366600777E-2</v>
      </c>
      <c r="J208" s="75">
        <f t="shared" si="55"/>
        <v>0.49914974894771752</v>
      </c>
      <c r="K208" s="45">
        <f t="shared" si="56"/>
        <v>5.4695348339657852E-3</v>
      </c>
      <c r="L208" s="89">
        <f t="shared" si="57"/>
        <v>1.3330944969575247E-2</v>
      </c>
    </row>
    <row r="209" spans="2:12" x14ac:dyDescent="0.25">
      <c r="B209" s="68" t="str">
        <f t="shared" ref="B209:B215" si="58">B164</f>
        <v>Sun Rivers - Electric</v>
      </c>
      <c r="C209" s="71"/>
      <c r="D209" s="71"/>
      <c r="E209" s="74">
        <f>E164</f>
        <v>1628540.9928403948</v>
      </c>
      <c r="F209" s="89">
        <f t="shared" si="52"/>
        <v>3.5082055332410801E-2</v>
      </c>
      <c r="G209" s="73">
        <f>G164</f>
        <v>7884741.7373414468</v>
      </c>
      <c r="H209" s="73">
        <f>H164</f>
        <v>-1657553.02</v>
      </c>
      <c r="I209" s="89">
        <f>IF('2020 Assumptions'!$B$14="Gross",Canada!G209/Canada!$G$239,(Canada!G209+Canada!H209)/(Canada!$G$239+Canada!$H$239))</f>
        <v>7.454599367581663E-2</v>
      </c>
      <c r="J209" s="75">
        <f>J164</f>
        <v>0.92992610659809838</v>
      </c>
      <c r="K209" s="45">
        <f t="shared" si="56"/>
        <v>1.0189854334846576E-2</v>
      </c>
      <c r="L209" s="89">
        <f t="shared" si="57"/>
        <v>3.9939301114358006E-2</v>
      </c>
    </row>
    <row r="210" spans="2:12" s="68" customFormat="1" x14ac:dyDescent="0.25">
      <c r="B210" s="68" t="str">
        <f t="shared" si="58"/>
        <v>Sun Rivers - Gas</v>
      </c>
      <c r="C210" s="71"/>
      <c r="D210" s="71"/>
      <c r="E210" s="74">
        <f t="shared" ref="E210:E215" si="59">E165</f>
        <v>173411.60746566596</v>
      </c>
      <c r="F210" s="89">
        <f t="shared" si="52"/>
        <v>3.7356355382753459E-3</v>
      </c>
      <c r="G210" s="73">
        <f t="shared" ref="G210:H215" si="60">G165</f>
        <v>1544817.9976485362</v>
      </c>
      <c r="H210" s="73">
        <f t="shared" si="60"/>
        <v>-1071272.3399999999</v>
      </c>
      <c r="I210" s="89">
        <f>IF('2020 Assumptions'!$B$14="Gross",Canada!G210/Canada!$G$239,(Canada!G210+Canada!H210)/(Canada!$G$239+Canada!$H$239))</f>
        <v>1.4605423553393998E-2</v>
      </c>
      <c r="J210" s="75">
        <f t="shared" ref="J210:J215" si="61">J165</f>
        <v>0.13021464413038228</v>
      </c>
      <c r="K210" s="45">
        <f t="shared" si="56"/>
        <v>1.4268534311898124E-3</v>
      </c>
      <c r="L210" s="89">
        <f t="shared" si="57"/>
        <v>6.5893041742863864E-3</v>
      </c>
    </row>
    <row r="211" spans="2:12" s="68" customFormat="1" x14ac:dyDescent="0.25">
      <c r="B211" s="68" t="str">
        <f t="shared" si="58"/>
        <v>Sun Rivers - Domestic Water</v>
      </c>
      <c r="C211" s="71"/>
      <c r="D211" s="71"/>
      <c r="E211" s="74">
        <f t="shared" si="59"/>
        <v>379941.31060987007</v>
      </c>
      <c r="F211" s="89">
        <f t="shared" si="52"/>
        <v>8.1847016074408762E-3</v>
      </c>
      <c r="G211" s="73">
        <f t="shared" si="60"/>
        <v>3361635.1894721254</v>
      </c>
      <c r="H211" s="73">
        <f t="shared" si="60"/>
        <v>-1824487.84</v>
      </c>
      <c r="I211" s="89">
        <f>IF('2020 Assumptions'!$B$14="Gross",Canada!G211/Canada!$G$239,(Canada!G211+Canada!H211)/(Canada!$G$239+Canada!$H$239))</f>
        <v>3.1782453239779421E-2</v>
      </c>
      <c r="J211" s="75">
        <f t="shared" si="61"/>
        <v>0.28427899795945366</v>
      </c>
      <c r="K211" s="45">
        <f t="shared" si="56"/>
        <v>3.1150449042236872E-3</v>
      </c>
      <c r="L211" s="89">
        <f t="shared" si="57"/>
        <v>1.4360733250481331E-2</v>
      </c>
    </row>
    <row r="212" spans="2:12" s="68" customFormat="1" x14ac:dyDescent="0.25">
      <c r="B212" s="68" t="str">
        <f t="shared" si="58"/>
        <v>Sun Rivers - Irrigation Water</v>
      </c>
      <c r="C212" s="71"/>
      <c r="D212" s="71"/>
      <c r="E212" s="74">
        <f t="shared" si="59"/>
        <v>286348.90141374868</v>
      </c>
      <c r="F212" s="89">
        <f t="shared" si="52"/>
        <v>6.1685324765765387E-3</v>
      </c>
      <c r="G212" s="73">
        <f t="shared" si="60"/>
        <v>3510301.3414648795</v>
      </c>
      <c r="H212" s="73">
        <f t="shared" si="60"/>
        <v>-1890555.3</v>
      </c>
      <c r="I212" s="89">
        <f>IF('2020 Assumptions'!$B$14="Gross",Canada!G212/Canada!$G$239,(Canada!G212+Canada!H212)/(Canada!$G$239+Canada!$H$239))</f>
        <v>3.3188011772378435E-2</v>
      </c>
      <c r="J212" s="75">
        <f t="shared" si="61"/>
        <v>0.25745486505880405</v>
      </c>
      <c r="K212" s="45">
        <f t="shared" si="56"/>
        <v>2.8211140155468342E-3</v>
      </c>
      <c r="L212" s="89">
        <f t="shared" si="57"/>
        <v>1.4059219421500605E-2</v>
      </c>
    </row>
    <row r="213" spans="2:12" s="68" customFormat="1" x14ac:dyDescent="0.25">
      <c r="B213" s="68" t="str">
        <f t="shared" si="58"/>
        <v>Sun Rivers - Sewer</v>
      </c>
      <c r="C213" s="71"/>
      <c r="D213" s="71"/>
      <c r="E213" s="74">
        <f t="shared" si="59"/>
        <v>327178.25738079031</v>
      </c>
      <c r="F213" s="89">
        <f t="shared" si="52"/>
        <v>7.0480790962315909E-3</v>
      </c>
      <c r="G213" s="73">
        <f t="shared" si="60"/>
        <v>3048046.3686734959</v>
      </c>
      <c r="H213" s="73">
        <f t="shared" si="60"/>
        <v>-1784687.9500000002</v>
      </c>
      <c r="I213" s="89">
        <f>IF('2020 Assumptions'!$B$14="Gross",Canada!G213/Canada!$G$239,(Canada!G213+Canada!H213)/(Canada!$G$239+Canada!$H$239))</f>
        <v>2.8817639548881849E-2</v>
      </c>
      <c r="J213" s="75">
        <f t="shared" si="61"/>
        <v>0.2515790985386096</v>
      </c>
      <c r="K213" s="45">
        <f t="shared" si="56"/>
        <v>2.7567291095617974E-3</v>
      </c>
      <c r="L213" s="89">
        <f t="shared" si="57"/>
        <v>1.2874149251558414E-2</v>
      </c>
    </row>
    <row r="214" spans="2:12" s="68" customFormat="1" x14ac:dyDescent="0.25">
      <c r="B214" s="68" t="str">
        <f t="shared" si="58"/>
        <v>Sun Rivers - Geothermal</v>
      </c>
      <c r="C214" s="71"/>
      <c r="D214" s="71"/>
      <c r="E214" s="74">
        <f t="shared" si="59"/>
        <v>1046781.6259505778</v>
      </c>
      <c r="F214" s="89">
        <f t="shared" si="52"/>
        <v>2.2549786025649141E-2</v>
      </c>
      <c r="G214" s="73">
        <f t="shared" si="60"/>
        <v>11748323.681007728</v>
      </c>
      <c r="H214" s="73">
        <f t="shared" si="60"/>
        <v>-2243871.87</v>
      </c>
      <c r="I214" s="89">
        <f>IF('2020 Assumptions'!$B$14="Gross",Canada!G214/Canada!$G$239,(Canada!G214+Canada!H214)/(Canada!$G$239+Canada!$H$239))</f>
        <v>0.11107408359086535</v>
      </c>
      <c r="J214" s="75">
        <f t="shared" si="61"/>
        <v>0.89320932869184944</v>
      </c>
      <c r="K214" s="45">
        <f t="shared" si="56"/>
        <v>9.7875227776884673E-3</v>
      </c>
      <c r="L214" s="89">
        <f t="shared" si="57"/>
        <v>4.7803797464734329E-2</v>
      </c>
    </row>
    <row r="215" spans="2:12" s="68" customFormat="1" x14ac:dyDescent="0.25">
      <c r="B215" s="68" t="str">
        <f t="shared" si="58"/>
        <v>Sun Rivers - Municipal</v>
      </c>
      <c r="C215" s="71"/>
      <c r="D215" s="71"/>
      <c r="E215" s="74">
        <f t="shared" si="59"/>
        <v>826701.80433895241</v>
      </c>
      <c r="F215" s="89">
        <f t="shared" si="52"/>
        <v>1.7808823094246393E-2</v>
      </c>
      <c r="G215" s="73">
        <f t="shared" si="60"/>
        <v>6518293.3443917865</v>
      </c>
      <c r="H215" s="73">
        <f t="shared" si="60"/>
        <v>-4272324.42</v>
      </c>
      <c r="I215" s="89">
        <f>IF('2020 Assumptions'!$B$14="Gross",Canada!G215/Canada!$G$239,(Canada!G215+Canada!H215)/(Canada!$G$239+Canada!$H$239))</f>
        <v>6.1626958829470328E-2</v>
      </c>
      <c r="J215" s="75">
        <f t="shared" si="61"/>
        <v>0.58333695902280258</v>
      </c>
      <c r="K215" s="45">
        <f t="shared" si="56"/>
        <v>6.392033300710088E-3</v>
      </c>
      <c r="L215" s="89">
        <f t="shared" si="57"/>
        <v>2.8609271741475609E-2</v>
      </c>
    </row>
    <row r="216" spans="2:12" s="68" customFormat="1" x14ac:dyDescent="0.25">
      <c r="B216" s="68" t="str">
        <f t="shared" ref="B216:B225" si="62">B69</f>
        <v>Foothills - Wastewater</v>
      </c>
      <c r="C216" s="71"/>
      <c r="D216" s="71"/>
      <c r="E216" s="74">
        <f t="shared" ref="E216:E225" si="63">E69</f>
        <v>926823.52999999991</v>
      </c>
      <c r="F216" s="89">
        <f t="shared" si="52"/>
        <v>1.9965646861691812E-2</v>
      </c>
      <c r="G216" s="73">
        <f t="shared" ref="G216:H225" si="64">F69</f>
        <v>2034706.73</v>
      </c>
      <c r="H216" s="73">
        <f t="shared" si="64"/>
        <v>-189353.8</v>
      </c>
      <c r="I216" s="89">
        <f>IF('2020 Assumptions'!$B$14="Gross",Canada!G216/Canada!$G$239,(Canada!G216+Canada!H216)/(Canada!$G$239+Canada!$H$239))</f>
        <v>1.923705811547155E-2</v>
      </c>
      <c r="J216" s="75">
        <f t="shared" ref="J216:J225" si="65">J69</f>
        <v>2</v>
      </c>
      <c r="K216" s="45">
        <f t="shared" si="56"/>
        <v>2.1915406530791149E-2</v>
      </c>
      <c r="L216" s="89">
        <f t="shared" si="57"/>
        <v>2.0372703835984839E-2</v>
      </c>
    </row>
    <row r="217" spans="2:12" s="68" customFormat="1" x14ac:dyDescent="0.25">
      <c r="B217" s="68" t="str">
        <f t="shared" si="62"/>
        <v>Foothills - Water</v>
      </c>
      <c r="C217" s="71"/>
      <c r="D217" s="71"/>
      <c r="E217" s="74">
        <f t="shared" si="63"/>
        <v>1296567.1500000001</v>
      </c>
      <c r="F217" s="89">
        <f t="shared" si="52"/>
        <v>2.7930669659811294E-2</v>
      </c>
      <c r="G217" s="73">
        <f t="shared" si="64"/>
        <v>4237170.5</v>
      </c>
      <c r="H217" s="73">
        <f t="shared" si="64"/>
        <v>-376811.81</v>
      </c>
      <c r="I217" s="89">
        <f>IF('2020 Assumptions'!$B$14="Gross",Canada!G217/Canada!$G$239,(Canada!G217+Canada!H217)/(Canada!$G$239+Canada!$H$239))</f>
        <v>4.0060168844903578E-2</v>
      </c>
      <c r="J217" s="75">
        <f t="shared" si="65"/>
        <v>3.33</v>
      </c>
      <c r="K217" s="45">
        <f t="shared" si="56"/>
        <v>3.6489151873767264E-2</v>
      </c>
      <c r="L217" s="89">
        <f t="shared" si="57"/>
        <v>3.4826663459494048E-2</v>
      </c>
    </row>
    <row r="218" spans="2:12" s="68" customFormat="1" x14ac:dyDescent="0.25">
      <c r="B218" s="68" t="str">
        <f t="shared" si="62"/>
        <v>Sage Meadows - Wastewater</v>
      </c>
      <c r="C218" s="71"/>
      <c r="D218" s="71"/>
      <c r="E218" s="74">
        <f t="shared" si="63"/>
        <v>48733.719999999994</v>
      </c>
      <c r="F218" s="89">
        <f t="shared" si="52"/>
        <v>1.0498225522787142E-3</v>
      </c>
      <c r="G218" s="73">
        <f t="shared" si="64"/>
        <v>240144.94</v>
      </c>
      <c r="H218" s="73">
        <f t="shared" si="64"/>
        <v>0</v>
      </c>
      <c r="I218" s="89">
        <f>IF('2020 Assumptions'!$B$14="Gross",Canada!G218/Canada!$G$239,(Canada!G218+Canada!H218)/(Canada!$G$239+Canada!$H$239))</f>
        <v>2.270441287092233E-3</v>
      </c>
      <c r="J218" s="75">
        <f t="shared" si="65"/>
        <v>0</v>
      </c>
      <c r="K218" s="45">
        <f t="shared" si="56"/>
        <v>0</v>
      </c>
      <c r="L218" s="89">
        <f t="shared" si="57"/>
        <v>1.1067546131236492E-3</v>
      </c>
    </row>
    <row r="219" spans="2:12" s="68" customFormat="1" x14ac:dyDescent="0.25">
      <c r="B219" s="68" t="str">
        <f t="shared" si="62"/>
        <v>Sage Meadows - Water</v>
      </c>
      <c r="C219" s="71"/>
      <c r="D219" s="71"/>
      <c r="E219" s="74">
        <f t="shared" si="63"/>
        <v>49328.520000000004</v>
      </c>
      <c r="F219" s="89">
        <f t="shared" si="52"/>
        <v>1.0626357431062436E-3</v>
      </c>
      <c r="G219" s="73">
        <f t="shared" si="64"/>
        <v>123273.81</v>
      </c>
      <c r="H219" s="73">
        <f t="shared" si="64"/>
        <v>0</v>
      </c>
      <c r="I219" s="89">
        <f>IF('2020 Assumptions'!$B$14="Gross",Canada!G219/Canada!$G$239,(Canada!G219+Canada!H219)/(Canada!$G$239+Canada!$H$239))</f>
        <v>1.1654875919566048E-3</v>
      </c>
      <c r="J219" s="75">
        <f t="shared" si="65"/>
        <v>0</v>
      </c>
      <c r="K219" s="45">
        <f t="shared" si="56"/>
        <v>0</v>
      </c>
      <c r="L219" s="89">
        <f t="shared" si="57"/>
        <v>7.4270777835428283E-4</v>
      </c>
    </row>
    <row r="220" spans="2:12" s="68" customFormat="1" x14ac:dyDescent="0.25">
      <c r="B220" s="68" t="str">
        <f t="shared" si="62"/>
        <v>Canadian Lakeview Estates (in Adventure Bay) - Wastewater</v>
      </c>
      <c r="C220" s="71"/>
      <c r="D220" s="71"/>
      <c r="E220" s="74">
        <f t="shared" si="63"/>
        <v>152277.44</v>
      </c>
      <c r="F220" s="89">
        <f t="shared" si="52"/>
        <v>3.2803629748615289E-3</v>
      </c>
      <c r="G220" s="73">
        <f t="shared" si="64"/>
        <v>308171.56</v>
      </c>
      <c r="H220" s="73">
        <f t="shared" si="64"/>
        <v>0</v>
      </c>
      <c r="I220" s="89">
        <f>IF('2020 Assumptions'!$B$14="Gross",Canada!G220/Canada!$G$239,(Canada!G220+Canada!H220)/(Canada!$G$239+Canada!$H$239))</f>
        <v>2.9135964027875052E-3</v>
      </c>
      <c r="J220" s="75">
        <f t="shared" si="65"/>
        <v>0</v>
      </c>
      <c r="K220" s="45">
        <f t="shared" si="56"/>
        <v>0</v>
      </c>
      <c r="L220" s="89">
        <f t="shared" si="57"/>
        <v>2.0646531258830115E-3</v>
      </c>
    </row>
    <row r="221" spans="2:12" s="68" customFormat="1" x14ac:dyDescent="0.25">
      <c r="B221" s="68" t="str">
        <f t="shared" si="62"/>
        <v>Canadian Lakeview Estates (in Adventure Bay) - Water</v>
      </c>
      <c r="C221" s="71"/>
      <c r="D221" s="71"/>
      <c r="E221" s="74">
        <f t="shared" si="63"/>
        <v>149577.12000000002</v>
      </c>
      <c r="F221" s="89">
        <f t="shared" si="52"/>
        <v>3.2221926395296636E-3</v>
      </c>
      <c r="G221" s="73">
        <f t="shared" si="64"/>
        <v>216421.82</v>
      </c>
      <c r="H221" s="73">
        <f t="shared" si="64"/>
        <v>0</v>
      </c>
      <c r="I221" s="89">
        <f>IF('2020 Assumptions'!$B$14="Gross",Canada!G221/Canada!$G$239,(Canada!G221+Canada!H221)/(Canada!$G$239+Canada!$H$239))</f>
        <v>2.0461519428876724E-3</v>
      </c>
      <c r="J221" s="75">
        <f t="shared" si="65"/>
        <v>0</v>
      </c>
      <c r="K221" s="45">
        <f t="shared" si="56"/>
        <v>0</v>
      </c>
      <c r="L221" s="89">
        <f t="shared" si="57"/>
        <v>1.7561148608057791E-3</v>
      </c>
    </row>
    <row r="222" spans="2:12" s="68" customFormat="1" x14ac:dyDescent="0.25">
      <c r="B222" s="68" t="str">
        <f t="shared" si="62"/>
        <v>Cultus Lake - Water</v>
      </c>
      <c r="C222" s="71"/>
      <c r="D222" s="71"/>
      <c r="E222" s="74">
        <f t="shared" si="63"/>
        <v>178333.1399999999</v>
      </c>
      <c r="F222" s="89">
        <f t="shared" si="52"/>
        <v>3.8416552684809855E-3</v>
      </c>
      <c r="G222" s="73">
        <f t="shared" si="64"/>
        <v>4839.7299999999996</v>
      </c>
      <c r="H222" s="73">
        <f t="shared" si="64"/>
        <v>0</v>
      </c>
      <c r="I222" s="89">
        <f>IF('2020 Assumptions'!$B$14="Gross",Canada!G222/Canada!$G$239,(Canada!G222+Canada!H222)/(Canada!$G$239+Canada!$H$239))</f>
        <v>4.5757044934525335E-5</v>
      </c>
      <c r="J222" s="75">
        <f t="shared" si="65"/>
        <v>0</v>
      </c>
      <c r="K222" s="45">
        <f t="shared" si="56"/>
        <v>0</v>
      </c>
      <c r="L222" s="89">
        <f t="shared" si="57"/>
        <v>1.295804104471837E-3</v>
      </c>
    </row>
    <row r="223" spans="2:12" s="68" customFormat="1" x14ac:dyDescent="0.25">
      <c r="B223" s="68" t="str">
        <f t="shared" si="62"/>
        <v>Cultus Lake - Wastewater</v>
      </c>
      <c r="C223" s="71"/>
      <c r="D223" s="71"/>
      <c r="E223" s="74">
        <f t="shared" si="63"/>
        <v>144432.35000000009</v>
      </c>
      <c r="F223" s="89">
        <f t="shared" si="52"/>
        <v>3.1113639243754154E-3</v>
      </c>
      <c r="G223" s="73">
        <f t="shared" si="64"/>
        <v>354453.11</v>
      </c>
      <c r="H223" s="73">
        <f t="shared" si="64"/>
        <v>-51421.39</v>
      </c>
      <c r="I223" s="89">
        <f>IF('2020 Assumptions'!$B$14="Gross",Canada!G223/Canada!$G$239,(Canada!G223+Canada!H223)/(Canada!$G$239+Canada!$H$239))</f>
        <v>3.3511635734746058E-3</v>
      </c>
      <c r="J223" s="75">
        <f t="shared" si="65"/>
        <v>0</v>
      </c>
      <c r="K223" s="45">
        <f t="shared" si="56"/>
        <v>0</v>
      </c>
      <c r="L223" s="89">
        <f t="shared" si="57"/>
        <v>2.1541758326166739E-3</v>
      </c>
    </row>
    <row r="224" spans="2:12" s="68" customFormat="1" x14ac:dyDescent="0.25">
      <c r="B224" s="68" t="str">
        <f t="shared" si="62"/>
        <v>Sonoma Pines - Electric</v>
      </c>
      <c r="C224" s="71"/>
      <c r="D224" s="71"/>
      <c r="E224" s="74">
        <f t="shared" si="63"/>
        <v>447812</v>
      </c>
      <c r="F224" s="89">
        <f t="shared" si="52"/>
        <v>9.6467730512063438E-3</v>
      </c>
      <c r="G224" s="73">
        <f t="shared" si="64"/>
        <v>0</v>
      </c>
      <c r="H224" s="73">
        <f t="shared" si="64"/>
        <v>0</v>
      </c>
      <c r="I224" s="89">
        <f>IF('2020 Assumptions'!$B$14="Gross",Canada!G224/Canada!$G$239,(Canada!G224+Canada!H224)/(Canada!$G$239+Canada!$H$239))</f>
        <v>0</v>
      </c>
      <c r="J224" s="75">
        <f t="shared" si="65"/>
        <v>0</v>
      </c>
      <c r="K224" s="45">
        <f t="shared" si="56"/>
        <v>0</v>
      </c>
      <c r="L224" s="89">
        <f t="shared" si="57"/>
        <v>3.2155910170687816E-3</v>
      </c>
    </row>
    <row r="225" spans="2:12" s="68" customFormat="1" x14ac:dyDescent="0.25">
      <c r="B225" s="68" t="str">
        <f t="shared" si="62"/>
        <v>Sonoma Pines - Gas</v>
      </c>
      <c r="C225" s="71"/>
      <c r="D225" s="71"/>
      <c r="E225" s="74">
        <f t="shared" si="63"/>
        <v>257305.80000000002</v>
      </c>
      <c r="F225" s="89">
        <f t="shared" si="52"/>
        <v>5.5428855353565542E-3</v>
      </c>
      <c r="G225" s="73">
        <f t="shared" si="64"/>
        <v>1043443.1399999999</v>
      </c>
      <c r="H225" s="73">
        <f t="shared" si="64"/>
        <v>-407369.99</v>
      </c>
      <c r="I225" s="89">
        <f>IF('2020 Assumptions'!$B$14="Gross",Canada!G225/Canada!$G$239,(Canada!G225+Canada!H225)/(Canada!$G$239+Canada!$H$239))</f>
        <v>9.865193852467433E-3</v>
      </c>
      <c r="J225" s="75">
        <f t="shared" si="65"/>
        <v>0</v>
      </c>
      <c r="K225" s="45">
        <f t="shared" si="56"/>
        <v>0</v>
      </c>
      <c r="L225" s="89">
        <f t="shared" si="57"/>
        <v>5.1360264626079963E-3</v>
      </c>
    </row>
    <row r="226" spans="2:12" s="68" customFormat="1" x14ac:dyDescent="0.25">
      <c r="B226" s="68" t="str">
        <f>B81</f>
        <v>West Shore Environmental Services</v>
      </c>
      <c r="C226" s="71"/>
      <c r="D226" s="71"/>
      <c r="E226" s="74">
        <f>E81</f>
        <v>18924399.380001117</v>
      </c>
      <c r="F226" s="89">
        <f t="shared" si="52"/>
        <v>0.40766970503081834</v>
      </c>
      <c r="G226" s="73">
        <f>F81</f>
        <v>44657050.630000003</v>
      </c>
      <c r="H226" s="73">
        <f>G81</f>
        <v>-5022747.38</v>
      </c>
      <c r="I226" s="89">
        <f>IF('2020 Assumptions'!$B$14="Gross",Canada!G226/Canada!$G$239,(Canada!G226+Canada!H226)/(Canada!$G$239+Canada!$H$239))</f>
        <v>0.4222084026010301</v>
      </c>
      <c r="J226" s="75">
        <f>J81</f>
        <v>5.8</v>
      </c>
      <c r="K226" s="45">
        <f t="shared" si="56"/>
        <v>6.3554678939294326E-2</v>
      </c>
      <c r="L226" s="89">
        <f t="shared" si="57"/>
        <v>0.29781092885704763</v>
      </c>
    </row>
    <row r="227" spans="2:12" s="68" customFormat="1" x14ac:dyDescent="0.25">
      <c r="B227" s="68" t="str">
        <f>B82</f>
        <v>Rise</v>
      </c>
      <c r="C227" s="71"/>
      <c r="D227" s="71"/>
      <c r="E227" s="74">
        <f>E82</f>
        <v>64179.530000000028</v>
      </c>
      <c r="F227" s="89">
        <f t="shared" si="52"/>
        <v>1.3825564309198712E-3</v>
      </c>
      <c r="G227" s="73">
        <f>F82</f>
        <v>673124.42</v>
      </c>
      <c r="H227" s="73">
        <f>G82</f>
        <v>-146777.03</v>
      </c>
      <c r="I227" s="89">
        <f>IF('2020 Assumptions'!$B$14="Gross",Canada!G227/Canada!$G$239,(Canada!G227+Canada!H227)/(Canada!$G$239+Canada!$H$239))</f>
        <v>6.3640294670294232E-3</v>
      </c>
      <c r="J227" s="75">
        <f>J82</f>
        <v>0</v>
      </c>
      <c r="K227" s="45">
        <f t="shared" si="56"/>
        <v>0</v>
      </c>
      <c r="L227" s="89">
        <f t="shared" si="57"/>
        <v>2.5821952993164317E-3</v>
      </c>
    </row>
    <row r="228" spans="2:12" s="68" customFormat="1" x14ac:dyDescent="0.25">
      <c r="B228" s="68" t="str">
        <f>B86</f>
        <v>Riverport</v>
      </c>
      <c r="C228" s="71"/>
      <c r="D228" s="71"/>
      <c r="E228" s="74">
        <f>E86</f>
        <v>351682.15000000026</v>
      </c>
      <c r="F228" s="89">
        <f t="shared" si="52"/>
        <v>7.575942331179847E-3</v>
      </c>
      <c r="G228" s="73">
        <f>F86</f>
        <v>798706.22</v>
      </c>
      <c r="H228" s="73">
        <f>G86</f>
        <v>-387300.75</v>
      </c>
      <c r="I228" s="89">
        <f>IF('2020 Assumptions'!$B$14="Gross",Canada!G228/Canada!$G$239,(Canada!G228+Canada!H228)/(Canada!$G$239+Canada!$H$239))</f>
        <v>7.5513378634809959E-3</v>
      </c>
      <c r="J228" s="75">
        <f>J86</f>
        <v>0</v>
      </c>
      <c r="K228" s="45">
        <f t="shared" si="56"/>
        <v>0</v>
      </c>
      <c r="L228" s="89">
        <f t="shared" si="57"/>
        <v>5.0424267315536146E-3</v>
      </c>
    </row>
    <row r="229" spans="2:12" s="68" customFormat="1" x14ac:dyDescent="0.25">
      <c r="B229" s="68" t="str">
        <f>B90</f>
        <v>Coastal Ops</v>
      </c>
      <c r="C229" s="71"/>
      <c r="D229" s="71"/>
      <c r="E229" s="74">
        <f>E90</f>
        <v>905166.56000000017</v>
      </c>
      <c r="F229" s="89">
        <f t="shared" si="52"/>
        <v>1.949911207797279E-2</v>
      </c>
      <c r="G229" s="73">
        <f t="shared" ref="G229:H232" si="66">F90</f>
        <v>116980.17</v>
      </c>
      <c r="H229" s="73">
        <f t="shared" si="66"/>
        <v>0</v>
      </c>
      <c r="I229" s="89">
        <f>IF('2020 Assumptions'!$B$14="Gross",Canada!G229/Canada!$G$239,(Canada!G229+Canada!H229)/(Canada!$G$239+Canada!$H$239))</f>
        <v>1.1059846097072384E-3</v>
      </c>
      <c r="J229" s="75">
        <f>J90</f>
        <v>5</v>
      </c>
      <c r="K229" s="45">
        <f t="shared" si="56"/>
        <v>5.4788516326977871E-2</v>
      </c>
      <c r="L229" s="89">
        <f t="shared" si="57"/>
        <v>2.5131204338219304E-2</v>
      </c>
    </row>
    <row r="230" spans="2:12" s="68" customFormat="1" x14ac:dyDescent="0.25">
      <c r="B230" s="68" t="str">
        <f>B91</f>
        <v>Island Ops</v>
      </c>
      <c r="C230" s="71"/>
      <c r="D230" s="71"/>
      <c r="E230" s="74">
        <f>E91</f>
        <v>77812.639999999999</v>
      </c>
      <c r="F230" s="89">
        <f t="shared" si="52"/>
        <v>1.6762410980394023E-3</v>
      </c>
      <c r="G230" s="73">
        <f t="shared" si="66"/>
        <v>83735.14</v>
      </c>
      <c r="H230" s="73">
        <f t="shared" si="66"/>
        <v>0</v>
      </c>
      <c r="I230" s="89">
        <f>IF('2020 Assumptions'!$B$14="Gross",Canada!G230/Canada!$G$239,(Canada!G230+Canada!H230)/(Canada!$G$239+Canada!$H$239))</f>
        <v>7.916707261724869E-4</v>
      </c>
      <c r="J230" s="75">
        <f>J91</f>
        <v>0</v>
      </c>
      <c r="K230" s="45">
        <f t="shared" si="56"/>
        <v>0</v>
      </c>
      <c r="L230" s="89">
        <f t="shared" si="57"/>
        <v>8.2263727473729648E-4</v>
      </c>
    </row>
    <row r="231" spans="2:12" s="68" customFormat="1" x14ac:dyDescent="0.25">
      <c r="B231" s="68" t="str">
        <f>B92</f>
        <v>Kamloops Ops</v>
      </c>
      <c r="C231" s="71"/>
      <c r="D231" s="71"/>
      <c r="E231" s="74">
        <f>E92</f>
        <v>1419025.9300000009</v>
      </c>
      <c r="F231" s="89">
        <f t="shared" si="52"/>
        <v>3.0568678598356068E-2</v>
      </c>
      <c r="G231" s="73">
        <f t="shared" si="66"/>
        <v>13999.96</v>
      </c>
      <c r="H231" s="73">
        <f t="shared" si="66"/>
        <v>0</v>
      </c>
      <c r="I231" s="89">
        <f>IF('2020 Assumptions'!$B$14="Gross",Canada!G231/Canada!$G$239,(Canada!G231+Canada!H231)/(Canada!$G$239+Canada!$H$239))</f>
        <v>1.3236209433203038E-4</v>
      </c>
      <c r="J231" s="75">
        <f>J92</f>
        <v>9.6999999999999993</v>
      </c>
      <c r="K231" s="45">
        <f t="shared" si="56"/>
        <v>0.10628972167433706</v>
      </c>
      <c r="L231" s="89">
        <f t="shared" si="57"/>
        <v>4.5663587455675059E-2</v>
      </c>
    </row>
    <row r="232" spans="2:12" s="68" customFormat="1" x14ac:dyDescent="0.25">
      <c r="B232" s="68" t="str">
        <f>B93</f>
        <v>Kootenay Ops</v>
      </c>
      <c r="C232" s="71"/>
      <c r="D232" s="71"/>
      <c r="E232" s="74">
        <f>E93</f>
        <v>679151.37000000034</v>
      </c>
      <c r="F232" s="89">
        <f t="shared" si="52"/>
        <v>1.4630289348668352E-2</v>
      </c>
      <c r="G232" s="73">
        <f t="shared" si="66"/>
        <v>2834.93</v>
      </c>
      <c r="H232" s="73">
        <f t="shared" si="66"/>
        <v>0</v>
      </c>
      <c r="I232" s="89">
        <f>IF('2020 Assumptions'!$B$14="Gross",Canada!G232/Canada!$G$239,(Canada!G232+Canada!H232)/(Canada!$G$239+Canada!$H$239))</f>
        <v>2.6802738871018407E-5</v>
      </c>
      <c r="J232" s="75">
        <f>J93</f>
        <v>6</v>
      </c>
      <c r="K232" s="45">
        <f t="shared" si="56"/>
        <v>6.574621959237345E-2</v>
      </c>
      <c r="L232" s="89">
        <f t="shared" si="57"/>
        <v>2.6801103893304278E-2</v>
      </c>
    </row>
    <row r="233" spans="2:12" s="68" customFormat="1" x14ac:dyDescent="0.25">
      <c r="B233" s="68" t="str">
        <f>B95</f>
        <v>Alberta Ops (North)</v>
      </c>
      <c r="C233" s="71"/>
      <c r="D233" s="71"/>
      <c r="E233" s="74">
        <f>E185</f>
        <v>1551930.9700000002</v>
      </c>
      <c r="F233" s="89">
        <f t="shared" si="52"/>
        <v>3.3431721031880614E-2</v>
      </c>
      <c r="G233" s="73">
        <f>G185</f>
        <v>381967.54</v>
      </c>
      <c r="H233" s="73">
        <f>H185</f>
        <v>0</v>
      </c>
      <c r="I233" s="89">
        <f>IF('2020 Assumptions'!$B$14="Gross",Canada!G233/Canada!$G$239,(Canada!G233+Canada!H233)/(Canada!$G$239+Canada!$H$239))</f>
        <v>3.611297715225871E-3</v>
      </c>
      <c r="J233" s="75">
        <f>J185</f>
        <v>5.6995219817766829</v>
      </c>
      <c r="K233" s="45">
        <f t="shared" si="56"/>
        <v>6.245367063090821E-2</v>
      </c>
      <c r="L233" s="89">
        <f t="shared" si="57"/>
        <v>3.3165563126004903E-2</v>
      </c>
    </row>
    <row r="234" spans="2:12" s="68" customFormat="1" x14ac:dyDescent="0.25">
      <c r="B234" s="68" t="str">
        <f>B96</f>
        <v>Alberta Ops (South)</v>
      </c>
      <c r="C234" s="71"/>
      <c r="D234" s="71"/>
      <c r="E234" s="74">
        <f>E186</f>
        <v>2669143.3499999996</v>
      </c>
      <c r="F234" s="89">
        <f t="shared" si="52"/>
        <v>5.749872745390168E-2</v>
      </c>
      <c r="G234" s="73">
        <f>G186</f>
        <v>154720.75</v>
      </c>
      <c r="H234" s="73">
        <f>H186</f>
        <v>0</v>
      </c>
      <c r="I234" s="89">
        <f>IF('2020 Assumptions'!$B$14="Gross",Canada!G234/Canada!$G$239,(Canada!G234+Canada!H234)/(Canada!$G$239+Canada!$H$239))</f>
        <v>1.4628015013344673E-3</v>
      </c>
      <c r="J234" s="75">
        <f>J186</f>
        <v>8.4004780182233176</v>
      </c>
      <c r="K234" s="45">
        <f t="shared" si="56"/>
        <v>9.2049945411169384E-2</v>
      </c>
      <c r="L234" s="89">
        <f t="shared" si="57"/>
        <v>5.0337158122135184E-2</v>
      </c>
    </row>
    <row r="235" spans="2:12" s="68" customFormat="1" x14ac:dyDescent="0.25">
      <c r="B235" s="68" t="str">
        <f>B99</f>
        <v>Corix Water Services Inc. (See note)</v>
      </c>
      <c r="C235" s="71"/>
      <c r="D235" s="71"/>
      <c r="E235" s="74">
        <f>E99</f>
        <v>6369572.5499999933</v>
      </c>
      <c r="F235" s="89">
        <f t="shared" si="52"/>
        <v>0.1372134306875287</v>
      </c>
      <c r="G235" s="73">
        <f>F99</f>
        <v>1052754.52</v>
      </c>
      <c r="H235" s="73">
        <f>G99</f>
        <v>0</v>
      </c>
      <c r="I235" s="89">
        <f>IF('2020 Assumptions'!$B$14="Gross",Canada!G235/Canada!$G$239,(Canada!G235+Canada!H235)/(Canada!$G$239+Canada!$H$239))</f>
        <v>9.9532279438449365E-3</v>
      </c>
      <c r="J235" s="75">
        <f>J99</f>
        <v>39</v>
      </c>
      <c r="K235" s="45">
        <f t="shared" si="56"/>
        <v>0.42735042735042739</v>
      </c>
      <c r="L235" s="89">
        <f t="shared" si="57"/>
        <v>0.19150569532726702</v>
      </c>
    </row>
    <row r="236" spans="2:12" s="68" customFormat="1" x14ac:dyDescent="0.25">
      <c r="B236" s="68" t="str">
        <f>B100</f>
        <v>Corix Energy Inc.</v>
      </c>
      <c r="C236" s="71"/>
      <c r="D236" s="71"/>
      <c r="E236" s="74">
        <f>E100</f>
        <v>484841.6</v>
      </c>
      <c r="F236" s="89">
        <f t="shared" si="52"/>
        <v>1.0444465268871234E-2</v>
      </c>
      <c r="G236" s="73">
        <f>F100</f>
        <v>0</v>
      </c>
      <c r="H236" s="73">
        <f>G100</f>
        <v>0</v>
      </c>
      <c r="I236" s="89">
        <f>IF('2020 Assumptions'!$B$14="Gross",Canada!G236/Canada!$G$239,(Canada!G236+Canada!H236)/(Canada!$G$239+Canada!$H$239))</f>
        <v>0</v>
      </c>
      <c r="J236" s="75">
        <f>J100</f>
        <v>0</v>
      </c>
      <c r="K236" s="45">
        <f t="shared" si="56"/>
        <v>0</v>
      </c>
      <c r="L236" s="89">
        <f t="shared" si="57"/>
        <v>3.4814884229570787E-3</v>
      </c>
    </row>
    <row r="237" spans="2:12" s="68" customFormat="1" x14ac:dyDescent="0.25">
      <c r="C237" s="71"/>
      <c r="D237" s="71"/>
      <c r="E237" s="71"/>
      <c r="F237" s="89"/>
      <c r="G237" s="74"/>
      <c r="H237" s="74"/>
      <c r="I237" s="89"/>
      <c r="J237" s="75"/>
      <c r="K237" s="75"/>
      <c r="L237" s="89"/>
    </row>
    <row r="238" spans="2:12" s="68" customFormat="1" x14ac:dyDescent="0.25">
      <c r="C238" s="71"/>
      <c r="D238" s="71"/>
      <c r="E238" s="78"/>
      <c r="F238" s="88"/>
      <c r="G238" s="78"/>
      <c r="H238" s="78"/>
      <c r="I238" s="88"/>
      <c r="J238" s="87"/>
      <c r="K238" s="87"/>
      <c r="L238" s="88"/>
    </row>
    <row r="239" spans="2:12" x14ac:dyDescent="0.25">
      <c r="B239" s="68"/>
      <c r="C239" s="71"/>
      <c r="D239" s="71"/>
      <c r="E239" s="76">
        <f t="shared" ref="E239:J239" si="67">SUM(E204:E238)</f>
        <v>46420911.700001113</v>
      </c>
      <c r="F239" s="80">
        <f t="shared" si="67"/>
        <v>1.0000000000000002</v>
      </c>
      <c r="G239" s="76">
        <f t="shared" si="67"/>
        <v>105770160.78999999</v>
      </c>
      <c r="H239" s="76">
        <f t="shared" si="67"/>
        <v>-23137962.510000002</v>
      </c>
      <c r="I239" s="80">
        <f t="shared" si="67"/>
        <v>0.99999999999999989</v>
      </c>
      <c r="J239" s="76">
        <f t="shared" si="67"/>
        <v>91.259999999999991</v>
      </c>
      <c r="K239" s="76">
        <v>0</v>
      </c>
      <c r="L239" s="77">
        <f>SUM(L204:L238)</f>
        <v>1.0000000000000002</v>
      </c>
    </row>
    <row r="240" spans="2:12" x14ac:dyDescent="0.25">
      <c r="B240" s="68"/>
      <c r="C240" s="68"/>
      <c r="D240" s="68"/>
      <c r="E240" s="68"/>
      <c r="F240" s="68"/>
      <c r="G240" s="68"/>
      <c r="H240" s="68"/>
      <c r="I240" s="68"/>
      <c r="J240" s="68"/>
      <c r="K240" s="68"/>
      <c r="L240" s="68"/>
    </row>
    <row r="241" spans="2:12" x14ac:dyDescent="0.25">
      <c r="B241" s="68" t="s">
        <v>137</v>
      </c>
      <c r="C241" s="68"/>
      <c r="D241" s="68"/>
      <c r="E241" s="68"/>
      <c r="F241" s="68"/>
      <c r="G241" s="68"/>
      <c r="H241" s="68"/>
      <c r="I241" s="68"/>
      <c r="J241" s="68"/>
      <c r="K241" s="82"/>
      <c r="L241" s="82"/>
    </row>
    <row r="242" spans="2:12" x14ac:dyDescent="0.25">
      <c r="B242" s="71"/>
      <c r="C242" s="71"/>
      <c r="D242" s="71"/>
    </row>
    <row r="243" spans="2:12" x14ac:dyDescent="0.25">
      <c r="B243" s="71" t="str">
        <f>B204</f>
        <v>Panorama - Wastewater Treatment Plant</v>
      </c>
      <c r="C243" s="71"/>
      <c r="D243" s="71"/>
      <c r="E243" s="74">
        <f t="shared" ref="E243:E275" si="68">E204+(L204*$E$202)</f>
        <v>1638557.1309625511</v>
      </c>
      <c r="F243" s="89">
        <f t="shared" ref="F243:F275" si="69">E243/$E$276</f>
        <v>3.5297760806474177E-2</v>
      </c>
      <c r="G243" s="74">
        <f t="shared" ref="G243:G275" si="70">G204+(L204*$G$202)</f>
        <v>4688767.9064581627</v>
      </c>
      <c r="H243" s="74">
        <f t="shared" ref="H243:H275" si="71">H204+(L204*$H$202)</f>
        <v>0</v>
      </c>
      <c r="I243" s="89">
        <f>IF('2020 Assumptions'!$B$14="Gross",Canada!G243/Canada!$G$276,(Canada!G243+Canada!H243)/(Canada!$G$276+Canada!$H$276))</f>
        <v>4.4190291176478901E-2</v>
      </c>
      <c r="J243" s="75">
        <f t="shared" ref="J243:J275" si="72">J204+(L204*$J$202)</f>
        <v>1.1983065732252269</v>
      </c>
      <c r="K243" s="90">
        <f>J243/$J$276</f>
        <v>1.2849094716118668E-2</v>
      </c>
      <c r="L243" s="89">
        <f>(F243*$F$196)+(I243*$I$196)+(K243*$K$196)</f>
        <v>3.0779048899690586E-2</v>
      </c>
    </row>
    <row r="244" spans="2:12" x14ac:dyDescent="0.25">
      <c r="B244" s="71" t="str">
        <f t="shared" ref="B244:B276" si="73">B205</f>
        <v>Panorama - Propane Storage Farm</v>
      </c>
      <c r="C244" s="71"/>
      <c r="D244" s="71"/>
      <c r="E244" s="74">
        <f t="shared" si="68"/>
        <v>685892.16943415161</v>
      </c>
      <c r="F244" s="89">
        <f t="shared" si="69"/>
        <v>1.4775473664136564E-2</v>
      </c>
      <c r="G244" s="74">
        <f t="shared" si="70"/>
        <v>626928.9068119335</v>
      </c>
      <c r="H244" s="74">
        <f t="shared" si="71"/>
        <v>0</v>
      </c>
      <c r="I244" s="89">
        <f>IF('2020 Assumptions'!$B$14="Gross",Canada!G244/Canada!$G$276,(Canada!G244+Canada!H244)/(Canada!$G$276+Canada!$H$276))</f>
        <v>5.9086249291230826E-3</v>
      </c>
      <c r="J244" s="75">
        <f t="shared" si="72"/>
        <v>0.31765601205463467</v>
      </c>
      <c r="K244" s="90">
        <f t="shared" ref="K244:K275" si="74">J244/$J$276</f>
        <v>3.4061335197794842E-3</v>
      </c>
      <c r="L244" s="89">
        <f t="shared" ref="L244:L275" si="75">(F244*$F$196)+(I244*$I$196)+(K244*$K$196)</f>
        <v>8.030077371013045E-3</v>
      </c>
    </row>
    <row r="245" spans="2:12" x14ac:dyDescent="0.25">
      <c r="B245" s="71" t="str">
        <f t="shared" si="73"/>
        <v>Panorama - Propane Distribution</v>
      </c>
      <c r="C245" s="71"/>
      <c r="D245" s="71"/>
      <c r="E245" s="74">
        <f>E206+(L206*$E$202)</f>
        <v>833993.41796197125</v>
      </c>
      <c r="F245" s="89">
        <f t="shared" si="69"/>
        <v>1.7965867423922192E-2</v>
      </c>
      <c r="G245" s="74">
        <f t="shared" si="70"/>
        <v>215093.09756088755</v>
      </c>
      <c r="H245" s="74">
        <f t="shared" si="71"/>
        <v>-154771.78</v>
      </c>
      <c r="I245" s="89">
        <f>IF('2020 Assumptions'!$B$14="Gross",Canada!G245/Canada!$G$276,(Canada!G245+Canada!H245)/(Canada!$G$276+Canada!$H$276))</f>
        <v>2.0271906822631326E-3</v>
      </c>
      <c r="J245" s="75">
        <f t="shared" si="72"/>
        <v>0.31088984170933726</v>
      </c>
      <c r="K245" s="90">
        <f t="shared" si="74"/>
        <v>3.33358183261138E-3</v>
      </c>
      <c r="L245" s="89">
        <f t="shared" si="75"/>
        <v>7.7755466462655683E-3</v>
      </c>
    </row>
    <row r="246" spans="2:12" x14ac:dyDescent="0.25">
      <c r="B246" s="71" t="str">
        <f t="shared" si="73"/>
        <v>Panorama - Water</v>
      </c>
      <c r="C246" s="71"/>
      <c r="D246" s="71"/>
      <c r="E246" s="74">
        <f t="shared" si="68"/>
        <v>493971.95700265723</v>
      </c>
      <c r="F246" s="89">
        <f t="shared" si="69"/>
        <v>1.0641132770966068E-2</v>
      </c>
      <c r="G246" s="74">
        <f t="shared" si="70"/>
        <v>4663683.2382417331</v>
      </c>
      <c r="H246" s="74">
        <f t="shared" si="71"/>
        <v>-1352166.69</v>
      </c>
      <c r="I246" s="89">
        <f>IF('2020 Assumptions'!$B$14="Gross",Canada!G246/Canada!$G$276,(Canada!G246+Canada!H246)/(Canada!$G$276+Canada!$H$276))</f>
        <v>4.3953875381399214E-2</v>
      </c>
      <c r="J246" s="75">
        <f t="shared" si="72"/>
        <v>0.80883401340988681</v>
      </c>
      <c r="K246" s="90">
        <f t="shared" si="74"/>
        <v>8.6728931311375393E-3</v>
      </c>
      <c r="L246" s="89">
        <f t="shared" si="75"/>
        <v>2.1089300427834277E-2</v>
      </c>
    </row>
    <row r="247" spans="2:12" x14ac:dyDescent="0.25">
      <c r="B247" s="71" t="str">
        <f t="shared" si="73"/>
        <v>Panorama - Sewer</v>
      </c>
      <c r="C247" s="71"/>
      <c r="D247" s="71"/>
      <c r="E247" s="74">
        <f t="shared" si="68"/>
        <v>951502.34363744815</v>
      </c>
      <c r="F247" s="89">
        <f t="shared" si="69"/>
        <v>2.0497242053918865E-2</v>
      </c>
      <c r="G247" s="74">
        <f t="shared" si="70"/>
        <v>1487987.8433427564</v>
      </c>
      <c r="H247" s="74">
        <f t="shared" si="71"/>
        <v>-304489.15000000002</v>
      </c>
      <c r="I247" s="89">
        <f>IF('2020 Assumptions'!$B$14="Gross",Canada!G247/Canada!$G$276,(Canada!G247+Canada!H247)/(Canada!$G$276+Canada!$H$276))</f>
        <v>1.4023858159796929E-2</v>
      </c>
      <c r="J247" s="75">
        <f t="shared" si="72"/>
        <v>0.52581163888686799</v>
      </c>
      <c r="K247" s="90">
        <f t="shared" si="74"/>
        <v>5.6381260871420551E-3</v>
      </c>
      <c r="L247" s="89">
        <f t="shared" si="75"/>
        <v>1.3386408766952618E-2</v>
      </c>
    </row>
    <row r="248" spans="2:12" s="68" customFormat="1" x14ac:dyDescent="0.25">
      <c r="B248" s="71" t="str">
        <f t="shared" si="73"/>
        <v>Sun Rivers - Electric</v>
      </c>
      <c r="C248" s="71"/>
      <c r="D248" s="71"/>
      <c r="E248" s="74">
        <f t="shared" si="68"/>
        <v>1628544.2666649071</v>
      </c>
      <c r="F248" s="89">
        <f t="shared" si="69"/>
        <v>3.5082063909315453E-2</v>
      </c>
      <c r="G248" s="74">
        <f t="shared" si="70"/>
        <v>7898076.1731544239</v>
      </c>
      <c r="H248" s="74">
        <f t="shared" si="71"/>
        <v>-1657553.02</v>
      </c>
      <c r="I248" s="89">
        <f>IF('2020 Assumptions'!$B$14="Gross",Canada!G248/Canada!$G$276,(Canada!G248+Canada!H248)/(Canada!$G$276+Canada!$H$276))</f>
        <v>7.4437100063105541E-2</v>
      </c>
      <c r="J248" s="75">
        <f t="shared" si="72"/>
        <v>1.0098047088268145</v>
      </c>
      <c r="K248" s="90">
        <f t="shared" si="74"/>
        <v>1.0827843757525355E-2</v>
      </c>
      <c r="L248" s="89">
        <f t="shared" si="75"/>
        <v>4.0115669243315451E-2</v>
      </c>
    </row>
    <row r="249" spans="2:12" s="68" customFormat="1" x14ac:dyDescent="0.25">
      <c r="B249" s="71" t="str">
        <f t="shared" si="73"/>
        <v>Sun Rivers - Gas</v>
      </c>
      <c r="C249" s="71"/>
      <c r="D249" s="71"/>
      <c r="E249" s="74">
        <f t="shared" si="68"/>
        <v>173412.14759092912</v>
      </c>
      <c r="F249" s="89">
        <f t="shared" si="69"/>
        <v>3.735640577271705E-3</v>
      </c>
      <c r="G249" s="74">
        <f t="shared" si="70"/>
        <v>1547017.952357624</v>
      </c>
      <c r="H249" s="74">
        <f t="shared" si="71"/>
        <v>-1071272.3399999999</v>
      </c>
      <c r="I249" s="89">
        <f>IF('2020 Assumptions'!$B$14="Gross",Canada!G249/Canada!$G$276,(Canada!G249+Canada!H249)/(Canada!$G$276+Canada!$H$276))</f>
        <v>1.4580199987242332E-2</v>
      </c>
      <c r="J249" s="75">
        <f t="shared" si="72"/>
        <v>0.14339325247895504</v>
      </c>
      <c r="K249" s="90">
        <f t="shared" si="74"/>
        <v>1.5375643628453256E-3</v>
      </c>
      <c r="L249" s="89">
        <f t="shared" si="75"/>
        <v>6.6178016424531215E-3</v>
      </c>
    </row>
    <row r="250" spans="2:12" s="68" customFormat="1" x14ac:dyDescent="0.25">
      <c r="B250" s="71" t="str">
        <f t="shared" si="73"/>
        <v>Sun Rivers - Domestic Water</v>
      </c>
      <c r="C250" s="71"/>
      <c r="D250" s="71"/>
      <c r="E250" s="74">
        <f t="shared" si="68"/>
        <v>379942.4877591746</v>
      </c>
      <c r="F250" s="89">
        <f t="shared" si="69"/>
        <v>8.1847125130521895E-3</v>
      </c>
      <c r="G250" s="74">
        <f t="shared" si="70"/>
        <v>3366429.7720114524</v>
      </c>
      <c r="H250" s="74">
        <f t="shared" si="71"/>
        <v>-1824487.84</v>
      </c>
      <c r="I250" s="89">
        <f>IF('2020 Assumptions'!$B$14="Gross",Canada!G250/Canada!$G$276,(Canada!G250+Canada!H250)/(Canada!$G$276+Canada!$H$276))</f>
        <v>3.1727633958049263E-2</v>
      </c>
      <c r="J250" s="75">
        <f t="shared" si="72"/>
        <v>0.31300046446041629</v>
      </c>
      <c r="K250" s="90">
        <f t="shared" si="74"/>
        <v>3.3562134297707089E-3</v>
      </c>
      <c r="L250" s="89">
        <f t="shared" si="75"/>
        <v>1.442285330029072E-2</v>
      </c>
    </row>
    <row r="251" spans="2:12" s="68" customFormat="1" x14ac:dyDescent="0.25">
      <c r="B251" s="71" t="str">
        <f t="shared" si="73"/>
        <v>Sun Rivers - Irrigation Water</v>
      </c>
      <c r="C251" s="71"/>
      <c r="D251" s="71"/>
      <c r="E251" s="74">
        <f t="shared" si="68"/>
        <v>286350.05384796468</v>
      </c>
      <c r="F251" s="89">
        <f t="shared" si="69"/>
        <v>6.1685464099191442E-3</v>
      </c>
      <c r="G251" s="74">
        <f t="shared" si="70"/>
        <v>3514995.2583268639</v>
      </c>
      <c r="H251" s="74">
        <f t="shared" si="71"/>
        <v>-1890555.3</v>
      </c>
      <c r="I251" s="89">
        <f>IF('2020 Assumptions'!$B$14="Gross",Canada!G251/Canada!$G$276,(Canada!G251+Canada!H251)/(Canada!$G$276+Canada!$H$276))</f>
        <v>3.3127821007190805E-2</v>
      </c>
      <c r="J251" s="75">
        <f t="shared" si="72"/>
        <v>0.28557330390180524</v>
      </c>
      <c r="K251" s="90">
        <f t="shared" si="74"/>
        <v>3.0621199217435694E-3</v>
      </c>
      <c r="L251" s="89">
        <f t="shared" si="75"/>
        <v>1.4119495779617842E-2</v>
      </c>
    </row>
    <row r="252" spans="2:12" s="68" customFormat="1" x14ac:dyDescent="0.25">
      <c r="B252" s="71" t="str">
        <f t="shared" si="73"/>
        <v>Sun Rivers - Sewer</v>
      </c>
      <c r="C252" s="71"/>
      <c r="D252" s="71"/>
      <c r="E252" s="74">
        <f t="shared" si="68"/>
        <v>327179.31267480447</v>
      </c>
      <c r="F252" s="89">
        <f t="shared" si="69"/>
        <v>7.0480893838823474E-3</v>
      </c>
      <c r="G252" s="74">
        <f t="shared" si="70"/>
        <v>3052344.6290849652</v>
      </c>
      <c r="H252" s="74">
        <f t="shared" si="71"/>
        <v>-1784687.9500000002</v>
      </c>
      <c r="I252" s="89">
        <f>IF('2020 Assumptions'!$B$14="Gross",Canada!G252/Canada!$G$276,(Canada!G252+Canada!H252)/(Canada!$G$276+Canada!$H$276))</f>
        <v>2.8767471672982804E-2</v>
      </c>
      <c r="J252" s="75">
        <f t="shared" si="72"/>
        <v>0.27732739704172643</v>
      </c>
      <c r="K252" s="90">
        <f t="shared" si="74"/>
        <v>2.9737014480133656E-3</v>
      </c>
      <c r="L252" s="89">
        <f t="shared" si="75"/>
        <v>1.2929754168292841E-2</v>
      </c>
    </row>
    <row r="253" spans="2:12" s="68" customFormat="1" x14ac:dyDescent="0.25">
      <c r="B253" s="71" t="str">
        <f t="shared" si="73"/>
        <v>Sun Rivers - Geothermal</v>
      </c>
      <c r="C253" s="71"/>
      <c r="D253" s="71"/>
      <c r="E253" s="74">
        <f t="shared" si="68"/>
        <v>1046785.544427856</v>
      </c>
      <c r="F253" s="89">
        <f t="shared" si="69"/>
        <v>2.2549830619078837E-2</v>
      </c>
      <c r="G253" s="74">
        <f t="shared" si="70"/>
        <v>11764283.8167919</v>
      </c>
      <c r="H253" s="74">
        <f t="shared" si="71"/>
        <v>-2243871.87</v>
      </c>
      <c r="I253" s="89">
        <f>IF('2020 Assumptions'!$B$14="Gross",Canada!G253/Canada!$G$276,(Canada!G253+Canada!H253)/(Canada!$G$276+Canada!$H$276))</f>
        <v>0.11087499695404496</v>
      </c>
      <c r="J253" s="75">
        <f t="shared" si="72"/>
        <v>0.98881692362131812</v>
      </c>
      <c r="K253" s="90">
        <f t="shared" si="74"/>
        <v>1.0602797808506521E-2</v>
      </c>
      <c r="L253" s="89">
        <f t="shared" si="75"/>
        <v>4.8009208460543441E-2</v>
      </c>
    </row>
    <row r="254" spans="2:12" s="68" customFormat="1" x14ac:dyDescent="0.25">
      <c r="B254" s="71" t="str">
        <f t="shared" si="73"/>
        <v>Sun Rivers - Municipal</v>
      </c>
      <c r="C254" s="71"/>
      <c r="D254" s="71"/>
      <c r="E254" s="74">
        <f t="shared" si="68"/>
        <v>826704.14944095712</v>
      </c>
      <c r="F254" s="89">
        <f t="shared" si="69"/>
        <v>1.7808842165634265E-2</v>
      </c>
      <c r="G254" s="74">
        <f t="shared" si="70"/>
        <v>6527845.0512832114</v>
      </c>
      <c r="H254" s="74">
        <f t="shared" si="71"/>
        <v>-4272324.42</v>
      </c>
      <c r="I254" s="89">
        <f>IF('2020 Assumptions'!$B$14="Gross",Canada!G254/Canada!$G$276,(Canada!G254+Canada!H254)/(Canada!$G$276+Canada!$H$276))</f>
        <v>6.152306519028506E-2</v>
      </c>
      <c r="J254" s="75">
        <f t="shared" si="72"/>
        <v>0.64055550250575377</v>
      </c>
      <c r="K254" s="90">
        <f t="shared" si="74"/>
        <v>6.8684913414728058E-3</v>
      </c>
      <c r="L254" s="89">
        <f t="shared" si="75"/>
        <v>2.8733466232464044E-2</v>
      </c>
    </row>
    <row r="255" spans="2:12" s="68" customFormat="1" x14ac:dyDescent="0.25">
      <c r="B255" s="71" t="str">
        <f t="shared" si="73"/>
        <v>Foothills - Wastewater</v>
      </c>
      <c r="C255" s="71"/>
      <c r="D255" s="71"/>
      <c r="E255" s="74">
        <f t="shared" si="68"/>
        <v>926825.19995053334</v>
      </c>
      <c r="F255" s="89">
        <f t="shared" si="69"/>
        <v>1.9965647580471344E-2</v>
      </c>
      <c r="G255" s="74">
        <f t="shared" si="70"/>
        <v>2041508.5143091418</v>
      </c>
      <c r="H255" s="74">
        <f t="shared" si="71"/>
        <v>-189353.8</v>
      </c>
      <c r="I255" s="89">
        <f>IF('2020 Assumptions'!$B$14="Gross",Canada!G255/Canada!$G$276,(Canada!G255+Canada!H255)/(Canada!$G$276+Canada!$H$276))</f>
        <v>1.9240631544658604E-2</v>
      </c>
      <c r="J255" s="75">
        <f t="shared" si="72"/>
        <v>2.0407454076719698</v>
      </c>
      <c r="K255" s="90">
        <f t="shared" si="74"/>
        <v>2.188232262140221E-2</v>
      </c>
      <c r="L255" s="89">
        <f t="shared" si="75"/>
        <v>2.0362867248844056E-2</v>
      </c>
    </row>
    <row r="256" spans="2:12" s="68" customFormat="1" x14ac:dyDescent="0.25">
      <c r="B256" s="71" t="str">
        <f t="shared" si="73"/>
        <v>Foothills - Water</v>
      </c>
      <c r="C256" s="71"/>
      <c r="D256" s="71"/>
      <c r="E256" s="74">
        <f t="shared" si="68"/>
        <v>1296570.004741604</v>
      </c>
      <c r="F256" s="89">
        <f t="shared" si="69"/>
        <v>2.7930681836728827E-2</v>
      </c>
      <c r="G256" s="74">
        <f t="shared" si="70"/>
        <v>4248797.9921073625</v>
      </c>
      <c r="H256" s="74">
        <f t="shared" si="71"/>
        <v>-376811.81</v>
      </c>
      <c r="I256" s="89">
        <f>IF('2020 Assumptions'!$B$14="Gross",Canada!G256/Canada!$G$276,(Canada!G256+Canada!H256)/(Canada!$G$276+Canada!$H$276))</f>
        <v>4.0043701067535138E-2</v>
      </c>
      <c r="J256" s="75">
        <f t="shared" si="72"/>
        <v>3.3996533269189881</v>
      </c>
      <c r="K256" s="90">
        <f t="shared" si="74"/>
        <v>3.6453499109146352E-2</v>
      </c>
      <c r="L256" s="89">
        <f t="shared" si="75"/>
        <v>3.4809294004470109E-2</v>
      </c>
    </row>
    <row r="257" spans="2:12" s="68" customFormat="1" x14ac:dyDescent="0.25">
      <c r="B257" s="71" t="str">
        <f t="shared" si="73"/>
        <v>Sage Meadows - Wastewater</v>
      </c>
      <c r="C257" s="71"/>
      <c r="D257" s="71"/>
      <c r="E257" s="74">
        <f t="shared" si="68"/>
        <v>48733.810720675632</v>
      </c>
      <c r="F257" s="89">
        <f t="shared" si="69"/>
        <v>1.0498226528091136E-3</v>
      </c>
      <c r="G257" s="74">
        <f t="shared" si="70"/>
        <v>240514.44942899971</v>
      </c>
      <c r="H257" s="74">
        <f t="shared" si="71"/>
        <v>0</v>
      </c>
      <c r="I257" s="89">
        <f>IF('2020 Assumptions'!$B$14="Gross",Canada!G257/Canada!$G$276,(Canada!G257+Canada!H257)/(Canada!$G$276+Canada!$H$276))</f>
        <v>2.2667796240839247E-3</v>
      </c>
      <c r="J257" s="75">
        <f t="shared" si="72"/>
        <v>2.2135092262472985E-3</v>
      </c>
      <c r="K257" s="90">
        <f t="shared" si="74"/>
        <v>2.3734819067631339E-5</v>
      </c>
      <c r="L257" s="89">
        <f t="shared" si="75"/>
        <v>1.1134456986535567E-3</v>
      </c>
    </row>
    <row r="258" spans="2:12" s="68" customFormat="1" x14ac:dyDescent="0.25">
      <c r="B258" s="71" t="str">
        <f t="shared" si="73"/>
        <v>Sage Meadows - Water</v>
      </c>
      <c r="C258" s="71"/>
      <c r="D258" s="71"/>
      <c r="E258" s="74">
        <f t="shared" si="68"/>
        <v>49328.580879756599</v>
      </c>
      <c r="F258" s="89">
        <f t="shared" si="69"/>
        <v>1.0626351781787573E-3</v>
      </c>
      <c r="G258" s="74">
        <f t="shared" si="70"/>
        <v>123521.77601147092</v>
      </c>
      <c r="H258" s="74">
        <f t="shared" si="71"/>
        <v>0</v>
      </c>
      <c r="I258" s="89">
        <f>IF('2020 Assumptions'!$B$14="Gross",Canada!G258/Canada!$G$276,(Canada!G258+Canada!H258)/(Canada!$G$276+Canada!$H$276))</f>
        <v>1.1641572706263385E-3</v>
      </c>
      <c r="J258" s="75">
        <f t="shared" si="72"/>
        <v>1.4854155567085657E-3</v>
      </c>
      <c r="K258" s="90">
        <f t="shared" si="74"/>
        <v>1.5927681285744862E-5</v>
      </c>
      <c r="L258" s="89">
        <f t="shared" si="75"/>
        <v>7.4757337669694693E-4</v>
      </c>
    </row>
    <row r="259" spans="2:12" s="68" customFormat="1" x14ac:dyDescent="0.25">
      <c r="B259" s="71" t="str">
        <f t="shared" si="73"/>
        <v>Canadian Lakeview Estates (in Adventure Bay) - Wastewater</v>
      </c>
      <c r="C259" s="71"/>
      <c r="D259" s="71"/>
      <c r="E259" s="74">
        <f t="shared" si="68"/>
        <v>152277.60923961672</v>
      </c>
      <c r="F259" s="89">
        <f t="shared" si="69"/>
        <v>3.2803608281660695E-3</v>
      </c>
      <c r="G259" s="74">
        <f t="shared" si="70"/>
        <v>308860.88063944533</v>
      </c>
      <c r="H259" s="74">
        <f t="shared" si="71"/>
        <v>0</v>
      </c>
      <c r="I259" s="89">
        <f>IF('2020 Assumptions'!$B$14="Gross",Canada!G259/Canada!$G$276,(Canada!G259+Canada!H259)/(Canada!$G$276+Canada!$H$276))</f>
        <v>2.9109251131158686E-3</v>
      </c>
      <c r="J259" s="75">
        <f t="shared" si="72"/>
        <v>4.1293062517660231E-3</v>
      </c>
      <c r="K259" s="90">
        <f t="shared" si="74"/>
        <v>4.427735633461316E-5</v>
      </c>
      <c r="L259" s="89">
        <f t="shared" si="75"/>
        <v>2.0785210992055173E-3</v>
      </c>
    </row>
    <row r="260" spans="2:12" s="68" customFormat="1" x14ac:dyDescent="0.25">
      <c r="B260" s="71" t="str">
        <f t="shared" si="73"/>
        <v>Canadian Lakeview Estates (in Adventure Bay) - Water</v>
      </c>
      <c r="C260" s="71"/>
      <c r="D260" s="71"/>
      <c r="E260" s="74">
        <f t="shared" si="68"/>
        <v>149577.26394873517</v>
      </c>
      <c r="F260" s="89">
        <f t="shared" si="69"/>
        <v>3.2221900507355423E-3</v>
      </c>
      <c r="G260" s="74">
        <f t="shared" si="70"/>
        <v>217008.12973097354</v>
      </c>
      <c r="H260" s="74">
        <f t="shared" si="71"/>
        <v>0</v>
      </c>
      <c r="I260" s="89">
        <f>IF('2020 Assumptions'!$B$14="Gross",Canada!G260/Canada!$G$276,(Canada!G260+Canada!H260)/(Canada!$G$276+Canada!$H$276))</f>
        <v>2.0452393105801505E-3</v>
      </c>
      <c r="J260" s="75">
        <f t="shared" si="72"/>
        <v>3.5122297216115582E-3</v>
      </c>
      <c r="K260" s="90">
        <f t="shared" si="74"/>
        <v>3.7660623221226235E-5</v>
      </c>
      <c r="L260" s="89">
        <f t="shared" si="75"/>
        <v>1.7683633281789729E-3</v>
      </c>
    </row>
    <row r="261" spans="2:12" s="68" customFormat="1" x14ac:dyDescent="0.25">
      <c r="B261" s="71" t="str">
        <f t="shared" si="73"/>
        <v>Cultus Lake - Water</v>
      </c>
      <c r="C261" s="71"/>
      <c r="D261" s="71"/>
      <c r="E261" s="74">
        <f t="shared" si="68"/>
        <v>178333.24621706235</v>
      </c>
      <c r="F261" s="89">
        <f t="shared" si="69"/>
        <v>3.8416507730274544E-3</v>
      </c>
      <c r="G261" s="74">
        <f t="shared" si="70"/>
        <v>5272.3569157238735</v>
      </c>
      <c r="H261" s="74">
        <f t="shared" si="71"/>
        <v>0</v>
      </c>
      <c r="I261" s="89">
        <f>IF('2020 Assumptions'!$B$14="Gross",Canada!G261/Canada!$G$276,(Canada!G261+Canada!H261)/(Canada!$G$276+Canada!$H$276))</f>
        <v>4.9690450015930872E-5</v>
      </c>
      <c r="J261" s="75">
        <f t="shared" si="72"/>
        <v>2.591608208943674E-3</v>
      </c>
      <c r="K261" s="90">
        <f t="shared" si="74"/>
        <v>2.7789065075527281E-5</v>
      </c>
      <c r="L261" s="89">
        <f t="shared" si="75"/>
        <v>1.3063767627063043E-3</v>
      </c>
    </row>
    <row r="262" spans="2:12" s="68" customFormat="1" x14ac:dyDescent="0.25">
      <c r="B262" s="71" t="str">
        <f t="shared" si="73"/>
        <v>Cultus Lake - Wastewater</v>
      </c>
      <c r="C262" s="71"/>
      <c r="D262" s="71"/>
      <c r="E262" s="74">
        <f t="shared" si="68"/>
        <v>144432.52657779309</v>
      </c>
      <c r="F262" s="89">
        <f t="shared" si="69"/>
        <v>3.1113622341766133E-3</v>
      </c>
      <c r="G262" s="74">
        <f t="shared" si="70"/>
        <v>355172.31936442142</v>
      </c>
      <c r="H262" s="74">
        <f t="shared" si="71"/>
        <v>-51421.39</v>
      </c>
      <c r="I262" s="89">
        <f>IF('2020 Assumptions'!$B$14="Gross",Canada!G262/Canada!$G$276,(Canada!G262+Canada!H262)/(Canada!$G$276+Canada!$H$276))</f>
        <v>3.3473971251426417E-3</v>
      </c>
      <c r="J262" s="75">
        <f t="shared" si="72"/>
        <v>4.3083516652333478E-3</v>
      </c>
      <c r="K262" s="90">
        <f t="shared" si="74"/>
        <v>4.6197208505611714E-5</v>
      </c>
      <c r="L262" s="89">
        <f t="shared" si="75"/>
        <v>2.1683188559416225E-3</v>
      </c>
    </row>
    <row r="263" spans="2:12" s="68" customFormat="1" x14ac:dyDescent="0.25">
      <c r="B263" s="71" t="str">
        <f t="shared" si="73"/>
        <v>Sonoma Pines - Electric</v>
      </c>
      <c r="C263" s="71"/>
      <c r="D263" s="71"/>
      <c r="E263" s="74">
        <f t="shared" si="68"/>
        <v>447812.26358199568</v>
      </c>
      <c r="F263" s="89">
        <f t="shared" si="69"/>
        <v>9.6467616950515166E-3</v>
      </c>
      <c r="G263" s="74">
        <f t="shared" si="70"/>
        <v>1073.581430358942</v>
      </c>
      <c r="H263" s="74">
        <f t="shared" si="71"/>
        <v>0</v>
      </c>
      <c r="I263" s="89">
        <f>IF('2020 Assumptions'!$B$14="Gross",Canada!G263/Canada!$G$276,(Canada!G263+Canada!H263)/(Canada!$G$276+Canada!$H$276))</f>
        <v>1.0118196710883768E-5</v>
      </c>
      <c r="J263" s="75">
        <f t="shared" si="72"/>
        <v>6.4311820341375631E-3</v>
      </c>
      <c r="K263" s="90">
        <f t="shared" si="74"/>
        <v>6.8959704419231863E-5</v>
      </c>
      <c r="L263" s="89">
        <f t="shared" si="75"/>
        <v>3.2419465320605444E-3</v>
      </c>
    </row>
    <row r="264" spans="2:12" s="68" customFormat="1" x14ac:dyDescent="0.25">
      <c r="B264" s="71" t="str">
        <f t="shared" si="73"/>
        <v>Sonoma Pines - Gas</v>
      </c>
      <c r="C264" s="71"/>
      <c r="D264" s="71"/>
      <c r="E264" s="74">
        <f t="shared" si="68"/>
        <v>257306.22100008916</v>
      </c>
      <c r="F264" s="89">
        <f t="shared" si="69"/>
        <v>5.5428848169264749E-3</v>
      </c>
      <c r="G264" s="74">
        <f t="shared" si="70"/>
        <v>1045157.8924690855</v>
      </c>
      <c r="H264" s="74">
        <f t="shared" si="71"/>
        <v>-407369.99</v>
      </c>
      <c r="I264" s="89">
        <f>IF('2020 Assumptions'!$B$14="Gross",Canada!G264/Canada!$G$276,(Canada!G264+Canada!H264)/(Canada!$G$276+Canada!$H$276))</f>
        <v>9.8503130278615389E-3</v>
      </c>
      <c r="J264" s="75">
        <f t="shared" si="72"/>
        <v>1.0272052925215993E-2</v>
      </c>
      <c r="K264" s="90">
        <f t="shared" si="74"/>
        <v>1.1014425182517686E-4</v>
      </c>
      <c r="L264" s="89">
        <f t="shared" si="75"/>
        <v>5.1677806988710646E-3</v>
      </c>
    </row>
    <row r="265" spans="2:12" s="68" customFormat="1" x14ac:dyDescent="0.25">
      <c r="B265" s="71" t="str">
        <f t="shared" si="73"/>
        <v>West Shore Environmental Services</v>
      </c>
      <c r="C265" s="71"/>
      <c r="D265" s="71"/>
      <c r="E265" s="74">
        <f t="shared" si="68"/>
        <v>18924423.791562956</v>
      </c>
      <c r="F265" s="89">
        <f t="shared" si="69"/>
        <v>0.40766951104264249</v>
      </c>
      <c r="G265" s="74">
        <f t="shared" si="70"/>
        <v>44756480.029224508</v>
      </c>
      <c r="H265" s="74">
        <f t="shared" si="71"/>
        <v>-5022747.38</v>
      </c>
      <c r="I265" s="89">
        <f>IF('2020 Assumptions'!$B$14="Gross",Canada!G265/Canada!$G$276,(Canada!G265+Canada!H265)/(Canada!$G$276+Canada!$H$276))</f>
        <v>0.42181697281316294</v>
      </c>
      <c r="J265" s="75">
        <f t="shared" si="72"/>
        <v>6.3956218577140955</v>
      </c>
      <c r="K265" s="90">
        <f t="shared" si="74"/>
        <v>6.8578402934957067E-2</v>
      </c>
      <c r="L265" s="89">
        <f t="shared" si="75"/>
        <v>0.29935496226358754</v>
      </c>
    </row>
    <row r="266" spans="2:12" s="68" customFormat="1" x14ac:dyDescent="0.25">
      <c r="B266" s="71" t="str">
        <f t="shared" si="73"/>
        <v>Rise</v>
      </c>
      <c r="C266" s="71"/>
      <c r="D266" s="71"/>
      <c r="E266" s="74">
        <f t="shared" si="68"/>
        <v>64179.741662548709</v>
      </c>
      <c r="F266" s="89">
        <f t="shared" si="69"/>
        <v>1.3825585492372588E-3</v>
      </c>
      <c r="G266" s="74">
        <f t="shared" si="70"/>
        <v>673986.53116656048</v>
      </c>
      <c r="H266" s="74">
        <f t="shared" si="71"/>
        <v>-146777.03</v>
      </c>
      <c r="I266" s="89">
        <f>IF('2020 Assumptions'!$B$14="Gross",Canada!G266/Canada!$G$276,(Canada!G266+Canada!H266)/(Canada!$G$276+Canada!$H$276))</f>
        <v>6.3521295264481296E-3</v>
      </c>
      <c r="J266" s="75">
        <f t="shared" si="72"/>
        <v>5.1643905986328634E-3</v>
      </c>
      <c r="K266" s="90">
        <f t="shared" si="74"/>
        <v>5.5376266337474414E-5</v>
      </c>
      <c r="L266" s="89">
        <f t="shared" si="75"/>
        <v>2.5966881140076208E-3</v>
      </c>
    </row>
    <row r="267" spans="2:12" s="68" customFormat="1" x14ac:dyDescent="0.25">
      <c r="B267" s="71" t="str">
        <f t="shared" si="73"/>
        <v>Riverport</v>
      </c>
      <c r="C267" s="71"/>
      <c r="D267" s="71"/>
      <c r="E267" s="74">
        <f t="shared" si="68"/>
        <v>351682.56332771946</v>
      </c>
      <c r="F267" s="89">
        <f t="shared" si="69"/>
        <v>7.575937857508405E-3</v>
      </c>
      <c r="G267" s="74">
        <f t="shared" si="70"/>
        <v>800389.72255806974</v>
      </c>
      <c r="H267" s="74">
        <f t="shared" si="71"/>
        <v>-387300.75</v>
      </c>
      <c r="I267" s="89">
        <f>IF('2020 Assumptions'!$B$14="Gross",Canada!G267/Canada!$G$276,(Canada!G267+Canada!H267)/(Canada!$G$276+Canada!$H$276))</f>
        <v>7.5434433096561414E-3</v>
      </c>
      <c r="J267" s="75">
        <f t="shared" si="72"/>
        <v>1.0084853463107229E-2</v>
      </c>
      <c r="K267" s="90">
        <f t="shared" si="74"/>
        <v>1.0813696614955211E-4</v>
      </c>
      <c r="L267" s="89">
        <f t="shared" si="75"/>
        <v>5.0758393777713667E-3</v>
      </c>
    </row>
    <row r="268" spans="2:12" s="68" customFormat="1" x14ac:dyDescent="0.25">
      <c r="B268" s="71" t="str">
        <f t="shared" si="73"/>
        <v>Coastal Ops</v>
      </c>
      <c r="C268" s="71"/>
      <c r="D268" s="71"/>
      <c r="E268" s="74">
        <f t="shared" si="68"/>
        <v>905168.62000481982</v>
      </c>
      <c r="F268" s="89">
        <f t="shared" si="69"/>
        <v>1.949912202309818E-2</v>
      </c>
      <c r="G268" s="74">
        <f t="shared" si="70"/>
        <v>125370.66311832656</v>
      </c>
      <c r="H268" s="74">
        <f t="shared" si="71"/>
        <v>0</v>
      </c>
      <c r="I268" s="89">
        <f>IF('2020 Assumptions'!$B$14="Gross",Canada!G268/Canada!$G$276,(Canada!G268+Canada!H268)/(Canada!$G$276+Canada!$H$276))</f>
        <v>1.1815825007154316E-3</v>
      </c>
      <c r="J268" s="75">
        <f t="shared" si="72"/>
        <v>5.0502624086764385</v>
      </c>
      <c r="K268" s="90">
        <f t="shared" si="74"/>
        <v>5.415250277371262E-2</v>
      </c>
      <c r="L268" s="89">
        <f t="shared" si="75"/>
        <v>2.4944402432508749E-2</v>
      </c>
    </row>
    <row r="269" spans="2:12" s="68" customFormat="1" x14ac:dyDescent="0.25">
      <c r="B269" s="71" t="str">
        <f t="shared" si="73"/>
        <v>Island Ops</v>
      </c>
      <c r="C269" s="71"/>
      <c r="D269" s="71"/>
      <c r="E269" s="74">
        <f t="shared" si="68"/>
        <v>77812.707431577408</v>
      </c>
      <c r="F269" s="89">
        <f t="shared" si="69"/>
        <v>1.6762395907492763E-3</v>
      </c>
      <c r="G269" s="74">
        <f t="shared" si="70"/>
        <v>84009.791875002469</v>
      </c>
      <c r="H269" s="74">
        <f t="shared" si="71"/>
        <v>0</v>
      </c>
      <c r="I269" s="89">
        <f>IF('2020 Assumptions'!$B$14="Gross",Canada!G269/Canada!$G$276,(Canada!G269+Canada!H269)/(Canada!$G$276+Canada!$H$276))</f>
        <v>7.917681656877028E-4</v>
      </c>
      <c r="J269" s="75">
        <f t="shared" si="72"/>
        <v>1.645274549474593E-3</v>
      </c>
      <c r="K269" s="90">
        <f t="shared" si="74"/>
        <v>1.7641803018170631E-5</v>
      </c>
      <c r="L269" s="89">
        <f t="shared" si="75"/>
        <v>8.2854985315171674E-4</v>
      </c>
    </row>
    <row r="270" spans="2:12" s="68" customFormat="1" x14ac:dyDescent="0.25">
      <c r="B270" s="71" t="str">
        <f t="shared" si="73"/>
        <v>Kamloops Ops</v>
      </c>
      <c r="C270" s="71"/>
      <c r="D270" s="71"/>
      <c r="E270" s="74">
        <f t="shared" si="68"/>
        <v>1419029.6730442645</v>
      </c>
      <c r="F270" s="89">
        <f t="shared" si="69"/>
        <v>3.0568705252884142E-2</v>
      </c>
      <c r="G270" s="74">
        <f t="shared" si="70"/>
        <v>29245.549154765216</v>
      </c>
      <c r="H270" s="74">
        <f t="shared" si="71"/>
        <v>0</v>
      </c>
      <c r="I270" s="89">
        <f>IF('2020 Assumptions'!$B$14="Gross",Canada!G270/Canada!$G$276,(Canada!G270+Canada!H270)/(Canada!$G$276+Canada!$H$276))</f>
        <v>2.7563090316008862E-4</v>
      </c>
      <c r="J270" s="75">
        <f t="shared" si="72"/>
        <v>9.7913271749113502</v>
      </c>
      <c r="K270" s="90">
        <f t="shared" si="74"/>
        <v>0.10498956867801149</v>
      </c>
      <c r="L270" s="89">
        <f t="shared" si="75"/>
        <v>4.5277968278018582E-2</v>
      </c>
    </row>
    <row r="271" spans="2:12" s="68" customFormat="1" x14ac:dyDescent="0.25">
      <c r="B271" s="71" t="str">
        <f t="shared" si="73"/>
        <v>Kootenay Ops</v>
      </c>
      <c r="C271" s="71"/>
      <c r="D271" s="71"/>
      <c r="E271" s="74">
        <f t="shared" si="68"/>
        <v>679153.56688648649</v>
      </c>
      <c r="F271" s="89">
        <f t="shared" si="69"/>
        <v>1.4630310839842698E-2</v>
      </c>
      <c r="G271" s="74">
        <f t="shared" si="70"/>
        <v>11782.948358130883</v>
      </c>
      <c r="H271" s="74">
        <f t="shared" si="71"/>
        <v>0</v>
      </c>
      <c r="I271" s="89">
        <f>IF('2020 Assumptions'!$B$14="Gross",Canada!G271/Canada!$G$276,(Canada!G271+Canada!H271)/(Canada!$G$276+Canada!$H$276))</f>
        <v>1.1105090489679236E-4</v>
      </c>
      <c r="J271" s="75">
        <f t="shared" si="72"/>
        <v>6.053602207786609</v>
      </c>
      <c r="K271" s="90">
        <f t="shared" si="74"/>
        <v>6.4911025174636608E-2</v>
      </c>
      <c r="L271" s="89">
        <f t="shared" si="75"/>
        <v>2.6550795639792034E-2</v>
      </c>
    </row>
    <row r="272" spans="2:12" s="68" customFormat="1" x14ac:dyDescent="0.25">
      <c r="B272" s="71" t="str">
        <f t="shared" si="73"/>
        <v>Alberta Ops (North)</v>
      </c>
      <c r="C272" s="71"/>
      <c r="D272" s="71"/>
      <c r="E272" s="74">
        <f t="shared" si="68"/>
        <v>1551933.6885812096</v>
      </c>
      <c r="F272" s="89">
        <f t="shared" si="69"/>
        <v>3.343172056190008E-2</v>
      </c>
      <c r="G272" s="74">
        <f t="shared" si="70"/>
        <v>393040.44464193832</v>
      </c>
      <c r="H272" s="74">
        <f t="shared" si="71"/>
        <v>0</v>
      </c>
      <c r="I272" s="89">
        <f>IF('2020 Assumptions'!$B$14="Gross",Canada!G272/Canada!$G$276,(Canada!G272+Canada!H272)/(Canada!$G$276+Canada!$H$276))</f>
        <v>3.7042933323564726E-3</v>
      </c>
      <c r="J272" s="75">
        <f t="shared" si="72"/>
        <v>5.7658531080286926</v>
      </c>
      <c r="K272" s="90">
        <f t="shared" si="74"/>
        <v>6.1825574823382939E-2</v>
      </c>
      <c r="L272" s="89">
        <f t="shared" si="75"/>
        <v>3.2987196239213167E-2</v>
      </c>
    </row>
    <row r="273" spans="2:12" s="68" customFormat="1" x14ac:dyDescent="0.25">
      <c r="B273" s="71" t="str">
        <f t="shared" si="73"/>
        <v>Alberta Ops (South)</v>
      </c>
      <c r="C273" s="71"/>
      <c r="D273" s="71"/>
      <c r="E273" s="74">
        <f t="shared" si="68"/>
        <v>2669147.4761368511</v>
      </c>
      <c r="F273" s="89">
        <f t="shared" si="69"/>
        <v>5.7498714808031967E-2</v>
      </c>
      <c r="G273" s="74">
        <f t="shared" si="70"/>
        <v>171526.6926494567</v>
      </c>
      <c r="H273" s="74">
        <f t="shared" si="71"/>
        <v>0</v>
      </c>
      <c r="I273" s="89">
        <f>IF('2020 Assumptions'!$B$14="Gross",Canada!G273/Canada!$G$276,(Canada!G273+Canada!H273)/(Canada!$G$276+Canada!$H$276))</f>
        <v>1.6165898257147031E-3</v>
      </c>
      <c r="J273" s="75">
        <f t="shared" si="72"/>
        <v>8.5011523344675872</v>
      </c>
      <c r="K273" s="90">
        <f t="shared" si="74"/>
        <v>9.1155397109881922E-2</v>
      </c>
      <c r="L273" s="89">
        <f t="shared" si="75"/>
        <v>5.009023391454287E-2</v>
      </c>
    </row>
    <row r="274" spans="2:12" s="68" customFormat="1" x14ac:dyDescent="0.25">
      <c r="B274" s="71" t="str">
        <f t="shared" si="73"/>
        <v>Corix Water Services Inc. (See note)</v>
      </c>
      <c r="C274" s="71"/>
      <c r="D274" s="71"/>
      <c r="E274" s="74">
        <f t="shared" si="68"/>
        <v>6369588.2477218397</v>
      </c>
      <c r="F274" s="89">
        <f t="shared" si="69"/>
        <v>0.13721352655658667</v>
      </c>
      <c r="G274" s="74">
        <f t="shared" si="70"/>
        <v>1116692.0534798473</v>
      </c>
      <c r="H274" s="74">
        <f t="shared" si="71"/>
        <v>0</v>
      </c>
      <c r="I274" s="89">
        <f>IF('2020 Assumptions'!$B$14="Gross",Canada!G274/Canada!$G$276,(Canada!G274+Canada!H274)/(Canada!$G$276+Canada!$H$276))</f>
        <v>1.0524501954930559E-2</v>
      </c>
      <c r="J274" s="75">
        <f t="shared" si="72"/>
        <v>39.383011390654531</v>
      </c>
      <c r="K274" s="90">
        <f t="shared" si="74"/>
        <v>0.42229263768662378</v>
      </c>
      <c r="L274" s="89">
        <f t="shared" si="75"/>
        <v>0.19001022206604701</v>
      </c>
    </row>
    <row r="275" spans="2:12" x14ac:dyDescent="0.25">
      <c r="B275" s="71" t="str">
        <f t="shared" si="73"/>
        <v>Corix Energy Inc.</v>
      </c>
      <c r="C275" s="71"/>
      <c r="D275" s="71"/>
      <c r="E275" s="78">
        <f t="shared" si="68"/>
        <v>484841.88537760603</v>
      </c>
      <c r="F275" s="88">
        <f t="shared" si="69"/>
        <v>1.0444452973675314E-2</v>
      </c>
      <c r="G275" s="78">
        <f t="shared" si="70"/>
        <v>1162.3559404962753</v>
      </c>
      <c r="H275" s="78">
        <f t="shared" si="71"/>
        <v>0</v>
      </c>
      <c r="I275" s="88">
        <f>IF('2020 Assumptions'!$B$14="Gross",Canada!G275/Canada!$G$276,(Canada!G275+Canada!H275)/(Canada!$G$276+Canada!$H$276))</f>
        <v>1.0954870978043517E-5</v>
      </c>
      <c r="J275" s="87">
        <f t="shared" si="72"/>
        <v>6.9629768459141574E-3</v>
      </c>
      <c r="K275" s="91">
        <f t="shared" si="74"/>
        <v>7.4661986338346104E-5</v>
      </c>
      <c r="L275" s="88">
        <f t="shared" si="75"/>
        <v>3.5100232769972352E-3</v>
      </c>
    </row>
    <row r="276" spans="2:12" x14ac:dyDescent="0.25">
      <c r="B276" s="71">
        <f t="shared" si="73"/>
        <v>0</v>
      </c>
      <c r="C276" s="68"/>
      <c r="D276" s="68"/>
      <c r="E276" s="76">
        <f t="shared" ref="E276:L276" si="76">SUM(E243:E275)</f>
        <v>46420993.670001112</v>
      </c>
      <c r="F276" s="80">
        <f t="shared" si="76"/>
        <v>1</v>
      </c>
      <c r="G276" s="76">
        <f t="shared" si="76"/>
        <v>106104028.31999999</v>
      </c>
      <c r="H276" s="76">
        <f t="shared" si="76"/>
        <v>-23137962.510000002</v>
      </c>
      <c r="I276" s="80">
        <f t="shared" si="76"/>
        <v>1.0000000000000002</v>
      </c>
      <c r="J276" s="108">
        <f t="shared" si="76"/>
        <v>93.259999999999991</v>
      </c>
      <c r="K276" s="80">
        <f t="shared" si="76"/>
        <v>1.0000000000000002</v>
      </c>
      <c r="L276" s="77">
        <f t="shared" si="76"/>
        <v>1.0000000000000002</v>
      </c>
    </row>
    <row r="277" spans="2:12" x14ac:dyDescent="0.25">
      <c r="B277" s="68"/>
      <c r="C277" s="68"/>
      <c r="D277" s="68"/>
      <c r="E277" s="68"/>
      <c r="F277" s="68"/>
      <c r="G277" s="68"/>
      <c r="H277" s="68"/>
      <c r="I277" s="68"/>
      <c r="J277" s="68"/>
      <c r="K277" s="68"/>
      <c r="L277" s="68"/>
    </row>
    <row r="278" spans="2:12" x14ac:dyDescent="0.25">
      <c r="B278" s="68" t="s">
        <v>144</v>
      </c>
      <c r="C278" s="68"/>
      <c r="D278" s="68"/>
      <c r="E278" s="76">
        <f>E276-E239-E202</f>
        <v>-1.1920633369300049E-9</v>
      </c>
      <c r="F278" s="76"/>
      <c r="G278" s="76">
        <f>G276-G239-G202</f>
        <v>1.1641532182693481E-9</v>
      </c>
      <c r="H278" s="76">
        <f>H276-H239-H202</f>
        <v>0</v>
      </c>
      <c r="I278" s="68"/>
      <c r="J278" s="76">
        <f>J276-J239-J202</f>
        <v>0</v>
      </c>
      <c r="K278" s="68"/>
      <c r="L278" s="68"/>
    </row>
    <row r="279" spans="2:12" ht="15.75" thickBot="1" x14ac:dyDescent="0.3"/>
    <row r="280" spans="2:12" ht="14.45" customHeight="1" x14ac:dyDescent="0.25">
      <c r="B280" s="1335" t="s">
        <v>66</v>
      </c>
      <c r="C280" s="1335" t="s">
        <v>65</v>
      </c>
      <c r="D280" s="1337"/>
      <c r="E280" s="145" t="s">
        <v>63</v>
      </c>
      <c r="F280" s="140" t="s">
        <v>128</v>
      </c>
      <c r="G280" s="1325" t="s">
        <v>171</v>
      </c>
      <c r="H280" s="1325" t="s">
        <v>172</v>
      </c>
      <c r="I280" s="1327" t="s">
        <v>134</v>
      </c>
      <c r="J280" s="1329" t="s">
        <v>173</v>
      </c>
      <c r="K280" s="1325" t="s">
        <v>135</v>
      </c>
      <c r="L280" s="1325" t="s">
        <v>152</v>
      </c>
    </row>
    <row r="281" spans="2:12" ht="15.75" thickBot="1" x14ac:dyDescent="0.3">
      <c r="B281" s="1336"/>
      <c r="C281" s="1336"/>
      <c r="D281" s="1338"/>
      <c r="E281" s="142" t="s">
        <v>170</v>
      </c>
      <c r="F281" s="141" t="s">
        <v>63</v>
      </c>
      <c r="G281" s="1326"/>
      <c r="H281" s="1326"/>
      <c r="I281" s="1328"/>
      <c r="J281" s="1328"/>
      <c r="K281" s="1326"/>
      <c r="L281" s="1326"/>
    </row>
    <row r="282" spans="2:12" x14ac:dyDescent="0.25">
      <c r="B282" s="68"/>
      <c r="C282" s="68"/>
      <c r="D282" s="68"/>
      <c r="E282" s="76"/>
      <c r="F282" s="68"/>
      <c r="G282" s="76"/>
      <c r="H282" s="76"/>
      <c r="I282" s="68"/>
      <c r="J282" s="76"/>
      <c r="K282" s="80"/>
      <c r="L282" s="68"/>
    </row>
    <row r="283" spans="2:12" x14ac:dyDescent="0.25">
      <c r="B283" s="83">
        <v>6139</v>
      </c>
      <c r="C283" s="110" t="s">
        <v>153</v>
      </c>
      <c r="D283" s="83"/>
      <c r="E283" s="84">
        <f>E103</f>
        <v>272218.45000000007</v>
      </c>
      <c r="F283" s="84"/>
      <c r="G283" s="84">
        <f>F103</f>
        <v>228562.76</v>
      </c>
      <c r="H283" s="84">
        <f>G103</f>
        <v>0</v>
      </c>
      <c r="I283" s="84"/>
      <c r="J283" s="85">
        <f>J103</f>
        <v>12</v>
      </c>
      <c r="K283" s="85"/>
      <c r="L283" s="85"/>
    </row>
    <row r="284" spans="2:12" x14ac:dyDescent="0.25">
      <c r="B284" s="69" t="s">
        <v>136</v>
      </c>
      <c r="C284" s="69"/>
      <c r="D284" s="69"/>
      <c r="E284" s="81"/>
      <c r="F284" s="81"/>
      <c r="G284" s="81"/>
      <c r="H284" s="81"/>
      <c r="I284" s="81"/>
      <c r="J284" s="86"/>
      <c r="K284" s="86"/>
      <c r="L284" s="86"/>
    </row>
    <row r="285" spans="2:12" x14ac:dyDescent="0.25">
      <c r="B285" s="68" t="str">
        <f>B79</f>
        <v>Dockside Green - Energy</v>
      </c>
      <c r="C285" s="71"/>
      <c r="D285" s="68"/>
      <c r="E285" s="74">
        <f>E79</f>
        <v>360203.47</v>
      </c>
      <c r="F285" s="89">
        <f t="shared" ref="F285:F293" si="77">E285/$E$295</f>
        <v>7.1758721119228278E-2</v>
      </c>
      <c r="G285" s="73">
        <f>F79</f>
        <v>7096128.96</v>
      </c>
      <c r="H285" s="73">
        <f>G79</f>
        <v>0</v>
      </c>
      <c r="I285" s="89">
        <f>IF('2020 Assumptions'!$B$14="Gross",Canada!G285/Canada!$G$295,(Canada!G285+Canada!H285)/(Canada!$G$295+Canada!$H$295))</f>
        <v>0.20019682002824404</v>
      </c>
      <c r="J285" s="75">
        <f>J79</f>
        <v>0</v>
      </c>
      <c r="K285" s="45">
        <f t="shared" ref="K285:K293" si="78">J285/SUM($J$295)</f>
        <v>0</v>
      </c>
      <c r="L285" s="89">
        <f>(F285*$F$196)+(I285*$I$196)+(K285*$K$196)</f>
        <v>9.065184704915745E-2</v>
      </c>
    </row>
    <row r="286" spans="2:12" x14ac:dyDescent="0.25">
      <c r="B286" s="68" t="str">
        <f>B80</f>
        <v>Dockside Green  - Wastewater and Admin</v>
      </c>
      <c r="C286" s="71"/>
      <c r="D286" s="68"/>
      <c r="E286" s="74">
        <f>E80</f>
        <v>349045.82</v>
      </c>
      <c r="F286" s="89">
        <f t="shared" si="77"/>
        <v>6.9535925501251705E-2</v>
      </c>
      <c r="G286" s="73">
        <f>F80</f>
        <v>71953.75</v>
      </c>
      <c r="H286" s="73">
        <f>G80</f>
        <v>0</v>
      </c>
      <c r="I286" s="89">
        <f>IF('2020 Assumptions'!$B$14="Gross",Canada!G286/Canada!$G$295,(Canada!G286+Canada!H286)/(Canada!$G$295+Canada!$H$295))</f>
        <v>2.029967609143798E-3</v>
      </c>
      <c r="J286" s="75">
        <f>J80</f>
        <v>1</v>
      </c>
      <c r="K286" s="45">
        <f t="shared" si="78"/>
        <v>1</v>
      </c>
      <c r="L286" s="89">
        <f t="shared" ref="L286:L293" si="79">(F286*$F$196)+(I286*$I$196)+(K286*$K$196)</f>
        <v>0.35718863103679854</v>
      </c>
    </row>
    <row r="287" spans="2:12" x14ac:dyDescent="0.25">
      <c r="B287" s="68" t="str">
        <f>B83</f>
        <v>UBC</v>
      </c>
      <c r="C287" s="71"/>
      <c r="D287" s="68"/>
      <c r="E287" s="74">
        <f>E83</f>
        <v>1096145</v>
      </c>
      <c r="F287" s="89">
        <f t="shared" si="77"/>
        <v>0.21837092063892799</v>
      </c>
      <c r="G287" s="73">
        <f t="shared" ref="G287:H289" si="80">F83</f>
        <v>11178530.059999999</v>
      </c>
      <c r="H287" s="73">
        <f t="shared" si="80"/>
        <v>0</v>
      </c>
      <c r="I287" s="89">
        <f>IF('2020 Assumptions'!$B$14="Gross",Canada!G287/Canada!$G$295,(Canada!G287+Canada!H287)/(Canada!$G$295+Canada!$H$295))</f>
        <v>0.31536999725018189</v>
      </c>
      <c r="J287" s="75">
        <f>J83</f>
        <v>0</v>
      </c>
      <c r="K287" s="45">
        <f t="shared" si="78"/>
        <v>0</v>
      </c>
      <c r="L287" s="89">
        <f t="shared" si="79"/>
        <v>0.17791363929637</v>
      </c>
    </row>
    <row r="288" spans="2:12" x14ac:dyDescent="0.25">
      <c r="B288" s="68" t="str">
        <f>B84</f>
        <v>SFU UniverCity</v>
      </c>
      <c r="C288" s="71"/>
      <c r="D288" s="71"/>
      <c r="E288" s="74">
        <f>E84</f>
        <v>1250696.1000000001</v>
      </c>
      <c r="F288" s="89">
        <f t="shared" si="77"/>
        <v>0.24916015563316601</v>
      </c>
      <c r="G288" s="73">
        <f t="shared" si="80"/>
        <v>8362546.7800000003</v>
      </c>
      <c r="H288" s="73">
        <f t="shared" si="80"/>
        <v>-1390506.85</v>
      </c>
      <c r="I288" s="89">
        <f>IF('2020 Assumptions'!$B$14="Gross",Canada!G288/Canada!$G$295,(Canada!G288+Canada!H288)/(Canada!$G$295+Canada!$H$295))</f>
        <v>0.23592514765873587</v>
      </c>
      <c r="J288" s="75">
        <f>J84</f>
        <v>0</v>
      </c>
      <c r="K288" s="45">
        <f t="shared" si="78"/>
        <v>0</v>
      </c>
      <c r="L288" s="89">
        <f t="shared" si="79"/>
        <v>0.16169510109730065</v>
      </c>
    </row>
    <row r="289" spans="2:12" x14ac:dyDescent="0.25">
      <c r="B289" s="68" t="str">
        <f>B85</f>
        <v>SFU Biomass</v>
      </c>
      <c r="C289" s="71"/>
      <c r="D289" s="71"/>
      <c r="E289" s="74">
        <f>E85</f>
        <v>0</v>
      </c>
      <c r="F289" s="89">
        <f t="shared" si="77"/>
        <v>0</v>
      </c>
      <c r="G289" s="73">
        <f t="shared" si="80"/>
        <v>0</v>
      </c>
      <c r="H289" s="73">
        <f t="shared" si="80"/>
        <v>0</v>
      </c>
      <c r="I289" s="89">
        <f>IF('2020 Assumptions'!$B$14="Gross",Canada!G289/Canada!$G$295,(Canada!G289+Canada!H289)/(Canada!$G$295+Canada!$H$295))</f>
        <v>0</v>
      </c>
      <c r="J289" s="75">
        <f>J85</f>
        <v>0</v>
      </c>
      <c r="K289" s="45">
        <f t="shared" si="78"/>
        <v>0</v>
      </c>
      <c r="L289" s="89">
        <f t="shared" si="79"/>
        <v>0</v>
      </c>
    </row>
    <row r="290" spans="2:12" x14ac:dyDescent="0.25">
      <c r="B290" s="68" t="str">
        <f>B87</f>
        <v>RG GAAP - Related to LIEC</v>
      </c>
      <c r="C290" s="71"/>
      <c r="D290" s="71"/>
      <c r="E290" s="74">
        <f>E87</f>
        <v>0</v>
      </c>
      <c r="F290" s="89">
        <f t="shared" si="77"/>
        <v>0</v>
      </c>
      <c r="G290" s="73">
        <f t="shared" ref="G290:H292" si="81">F87</f>
        <v>0</v>
      </c>
      <c r="H290" s="73">
        <f t="shared" si="81"/>
        <v>0</v>
      </c>
      <c r="I290" s="89">
        <f>IF('2020 Assumptions'!$B$14="Gross",Canada!G290/Canada!$G$295,(Canada!G290+Canada!H290)/(Canada!$G$295+Canada!$H$295))</f>
        <v>0</v>
      </c>
      <c r="J290" s="75">
        <f>J87</f>
        <v>0</v>
      </c>
      <c r="K290" s="45">
        <f t="shared" si="78"/>
        <v>0</v>
      </c>
      <c r="L290" s="89">
        <f t="shared" si="79"/>
        <v>0</v>
      </c>
    </row>
    <row r="291" spans="2:12" x14ac:dyDescent="0.25">
      <c r="B291" s="68" t="str">
        <f>B88</f>
        <v>LIEC</v>
      </c>
      <c r="C291" s="71"/>
      <c r="D291" s="71"/>
      <c r="E291" s="74">
        <f>E88</f>
        <v>1714399.0399999998</v>
      </c>
      <c r="F291" s="89">
        <f t="shared" si="77"/>
        <v>0.34153774975691564</v>
      </c>
      <c r="G291" s="73">
        <f t="shared" si="81"/>
        <v>6663519.0099999988</v>
      </c>
      <c r="H291" s="73">
        <f t="shared" si="81"/>
        <v>0</v>
      </c>
      <c r="I291" s="89">
        <f>IF('2020 Assumptions'!$B$14="Gross",Canada!G291/Canada!$G$295,(Canada!G291+Canada!H291)/(Canada!$G$295+Canada!$H$295))</f>
        <v>0.18799197753020441</v>
      </c>
      <c r="J291" s="75">
        <f>J88</f>
        <v>0</v>
      </c>
      <c r="K291" s="45">
        <f t="shared" si="78"/>
        <v>0</v>
      </c>
      <c r="L291" s="89">
        <f t="shared" si="79"/>
        <v>0.17650990909570669</v>
      </c>
    </row>
    <row r="292" spans="2:12" x14ac:dyDescent="0.25">
      <c r="B292" s="68" t="str">
        <f>B89</f>
        <v>Beaver Barracks</v>
      </c>
      <c r="C292" s="71"/>
      <c r="D292" s="71"/>
      <c r="E292" s="74">
        <f>E89</f>
        <v>249157.86000000007</v>
      </c>
      <c r="F292" s="89">
        <f t="shared" si="77"/>
        <v>4.9636527350510336E-2</v>
      </c>
      <c r="G292" s="73">
        <f t="shared" si="81"/>
        <v>2073084.06</v>
      </c>
      <c r="H292" s="73">
        <f t="shared" si="81"/>
        <v>-586371.73</v>
      </c>
      <c r="I292" s="89">
        <f>IF('2020 Assumptions'!$B$14="Gross",Canada!G292/Canada!$G$295,(Canada!G292+Canada!H292)/(Canada!$G$295+Canada!$H$295))</f>
        <v>5.8486089923489991E-2</v>
      </c>
      <c r="J292" s="75">
        <f>J89</f>
        <v>0</v>
      </c>
      <c r="K292" s="45">
        <f t="shared" si="78"/>
        <v>0</v>
      </c>
      <c r="L292" s="89">
        <f t="shared" si="79"/>
        <v>3.6040872424666776E-2</v>
      </c>
    </row>
    <row r="293" spans="2:12" s="131" customFormat="1" x14ac:dyDescent="0.25">
      <c r="B293" s="131" t="str">
        <f>B101</f>
        <v>Cambie Thermal</v>
      </c>
      <c r="C293" s="71"/>
      <c r="D293" s="71"/>
      <c r="E293" s="74">
        <f>E101</f>
        <v>0</v>
      </c>
      <c r="F293" s="89">
        <f t="shared" si="77"/>
        <v>0</v>
      </c>
      <c r="G293" s="73">
        <f>F101</f>
        <v>0</v>
      </c>
      <c r="H293" s="73">
        <f>G101</f>
        <v>0</v>
      </c>
      <c r="I293" s="89">
        <f>IF('2020 Assumptions'!$B$14="Gross",Canada!G293/Canada!$G$295,(Canada!G293+Canada!H293)/(Canada!$G$295+Canada!$H$295))</f>
        <v>0</v>
      </c>
      <c r="J293" s="75">
        <f>J101</f>
        <v>0</v>
      </c>
      <c r="K293" s="45">
        <f t="shared" si="78"/>
        <v>0</v>
      </c>
      <c r="L293" s="89">
        <f t="shared" si="79"/>
        <v>0</v>
      </c>
    </row>
    <row r="294" spans="2:12" x14ac:dyDescent="0.25">
      <c r="B294" s="68"/>
      <c r="C294" s="71"/>
      <c r="D294" s="71"/>
      <c r="E294" s="78"/>
      <c r="F294" s="88"/>
      <c r="G294" s="78"/>
      <c r="H294" s="78"/>
      <c r="I294" s="88"/>
      <c r="J294" s="87"/>
      <c r="K294" s="88"/>
      <c r="L294" s="88"/>
    </row>
    <row r="295" spans="2:12" x14ac:dyDescent="0.25">
      <c r="E295" s="76">
        <f t="shared" ref="E295:L295" si="82">SUM(E285:E294)</f>
        <v>5019647.29</v>
      </c>
      <c r="F295" s="65">
        <f t="shared" si="82"/>
        <v>1</v>
      </c>
      <c r="G295" s="76">
        <f t="shared" si="82"/>
        <v>35445762.619999997</v>
      </c>
      <c r="H295" s="76">
        <f t="shared" si="82"/>
        <v>-1976878.58</v>
      </c>
      <c r="I295" s="80">
        <f t="shared" si="82"/>
        <v>1</v>
      </c>
      <c r="J295" s="76">
        <f t="shared" si="82"/>
        <v>1</v>
      </c>
      <c r="K295" s="80">
        <f t="shared" si="82"/>
        <v>1</v>
      </c>
      <c r="L295" s="45">
        <f t="shared" si="82"/>
        <v>1.0000000000000002</v>
      </c>
    </row>
    <row r="296" spans="2:12" x14ac:dyDescent="0.25">
      <c r="J296" s="68"/>
    </row>
    <row r="297" spans="2:12" x14ac:dyDescent="0.25">
      <c r="B297" s="68" t="s">
        <v>137</v>
      </c>
      <c r="C297" s="68"/>
      <c r="D297" s="68"/>
      <c r="E297" s="68"/>
      <c r="F297" s="68"/>
      <c r="G297" s="68"/>
      <c r="H297" s="68"/>
      <c r="I297" s="68"/>
      <c r="J297" s="68"/>
      <c r="K297" s="82"/>
      <c r="L297" s="82"/>
    </row>
    <row r="298" spans="2:12" x14ac:dyDescent="0.25">
      <c r="B298" s="71"/>
      <c r="C298" s="71"/>
      <c r="D298" s="71"/>
    </row>
    <row r="299" spans="2:12" x14ac:dyDescent="0.25">
      <c r="B299" s="71" t="str">
        <f t="shared" ref="B299:B307" si="83">B285</f>
        <v>Dockside Green - Energy</v>
      </c>
      <c r="C299" s="71"/>
      <c r="D299" s="71"/>
      <c r="E299" s="74">
        <f t="shared" ref="E299:E307" si="84">E285+(L285*$E$283)</f>
        <v>384880.57529335871</v>
      </c>
      <c r="F299" s="89">
        <f t="shared" ref="F299:F307" si="85">E299/$E$309</f>
        <v>7.2730600926651387E-2</v>
      </c>
      <c r="G299" s="74">
        <f t="shared" ref="G299:G307" si="86">G285+(L285*$G$283)</f>
        <v>7116848.5963606536</v>
      </c>
      <c r="H299" s="74">
        <f t="shared" ref="H299:H307" si="87">H285+(L285*$H$283)</f>
        <v>0</v>
      </c>
      <c r="I299" s="89">
        <f>IF('2020 Assumptions'!$B$14="Gross",Canada!G299/Canada!$G$309,(Canada!G299+Canada!H299)/(Canada!$G$309+Canada!$H$309))</f>
        <v>0.19949497350132245</v>
      </c>
      <c r="J299" s="75">
        <f t="shared" ref="J299:J307" si="88">J285+(L285*$J$283)</f>
        <v>1.0878221645898893</v>
      </c>
      <c r="K299" s="90">
        <f t="shared" ref="K299:K307" si="89">J299/$J$309</f>
        <v>8.3678628045376097E-2</v>
      </c>
      <c r="L299" s="89">
        <f>(F299*$F$196)+(I299*$I$196)+(K299*$K$196)</f>
        <v>0.11863473415778332</v>
      </c>
    </row>
    <row r="300" spans="2:12" x14ac:dyDescent="0.25">
      <c r="B300" s="71" t="str">
        <f t="shared" si="83"/>
        <v>Dockside Green  - Wastewater and Admin</v>
      </c>
      <c r="C300" s="71"/>
      <c r="D300" s="71"/>
      <c r="E300" s="74">
        <f t="shared" si="84"/>
        <v>446279.15549845924</v>
      </c>
      <c r="F300" s="89">
        <f t="shared" si="85"/>
        <v>8.4333045739452051E-2</v>
      </c>
      <c r="G300" s="74">
        <f t="shared" si="86"/>
        <v>153593.76935039234</v>
      </c>
      <c r="H300" s="74">
        <f t="shared" si="87"/>
        <v>0</v>
      </c>
      <c r="I300" s="89">
        <f>IF('2020 Assumptions'!$B$14="Gross",Canada!G300/Canada!$G$309,(Canada!G300+Canada!H300)/(Canada!$G$309+Canada!$H$309))</f>
        <v>4.3054428560126666E-3</v>
      </c>
      <c r="J300" s="75">
        <f t="shared" si="88"/>
        <v>5.2862635724415821</v>
      </c>
      <c r="K300" s="90">
        <f t="shared" si="89"/>
        <v>0.40663565941858326</v>
      </c>
      <c r="L300" s="89">
        <f t="shared" ref="L300:L307" si="90">(F300*$F$196)+(I300*$I$196)+(K300*$K$196)</f>
        <v>0.16509138267134935</v>
      </c>
    </row>
    <row r="301" spans="2:12" x14ac:dyDescent="0.25">
      <c r="B301" s="71" t="str">
        <f t="shared" si="83"/>
        <v>UBC</v>
      </c>
      <c r="C301" s="71"/>
      <c r="D301" s="71"/>
      <c r="E301" s="74">
        <f t="shared" si="84"/>
        <v>1144576.3751231169</v>
      </c>
      <c r="F301" s="89">
        <f t="shared" si="85"/>
        <v>0.21628976080619858</v>
      </c>
      <c r="G301" s="74">
        <f t="shared" si="86"/>
        <v>11219194.492439222</v>
      </c>
      <c r="H301" s="74">
        <f t="shared" si="87"/>
        <v>0</v>
      </c>
      <c r="I301" s="89">
        <f>IF('2020 Assumptions'!$B$14="Gross",Canada!G301/Canada!$G$309,(Canada!G301+Canada!H301)/(Canada!$G$309+Canada!$H$309))</f>
        <v>0.31448932454736789</v>
      </c>
      <c r="J301" s="75">
        <f t="shared" si="88"/>
        <v>2.1349636715564397</v>
      </c>
      <c r="K301" s="90">
        <f t="shared" si="89"/>
        <v>0.16422797473511075</v>
      </c>
      <c r="L301" s="89">
        <f t="shared" si="90"/>
        <v>0.23166902002955914</v>
      </c>
    </row>
    <row r="302" spans="2:12" x14ac:dyDescent="0.25">
      <c r="B302" s="71" t="str">
        <f t="shared" si="83"/>
        <v>SFU UniverCity</v>
      </c>
      <c r="C302" s="71"/>
      <c r="D302" s="71"/>
      <c r="E302" s="74">
        <f t="shared" si="84"/>
        <v>1294712.4897933006</v>
      </c>
      <c r="F302" s="89">
        <f t="shared" si="85"/>
        <v>0.24466087263077479</v>
      </c>
      <c r="G302" s="74">
        <f t="shared" si="86"/>
        <v>8399504.2585852779</v>
      </c>
      <c r="H302" s="74">
        <f t="shared" si="87"/>
        <v>-1390506.85</v>
      </c>
      <c r="I302" s="89">
        <f>IF('2020 Assumptions'!$B$14="Gross",Canada!G302/Canada!$G$309,(Canada!G302+Canada!H302)/(Canada!$G$309+Canada!$H$309))</f>
        <v>0.23544956124928632</v>
      </c>
      <c r="J302" s="75">
        <f t="shared" si="88"/>
        <v>1.9403412131676077</v>
      </c>
      <c r="K302" s="90">
        <f t="shared" si="89"/>
        <v>0.14925701639750827</v>
      </c>
      <c r="L302" s="89">
        <f t="shared" si="90"/>
        <v>0.20978915009252316</v>
      </c>
    </row>
    <row r="303" spans="2:12" x14ac:dyDescent="0.25">
      <c r="B303" s="71" t="str">
        <f t="shared" si="83"/>
        <v>SFU Biomass</v>
      </c>
      <c r="C303" s="71"/>
      <c r="D303" s="71"/>
      <c r="E303" s="74">
        <f t="shared" si="84"/>
        <v>0</v>
      </c>
      <c r="F303" s="89">
        <f t="shared" si="85"/>
        <v>0</v>
      </c>
      <c r="G303" s="74">
        <f t="shared" si="86"/>
        <v>0</v>
      </c>
      <c r="H303" s="74">
        <f t="shared" si="87"/>
        <v>0</v>
      </c>
      <c r="I303" s="89">
        <f>IF('2020 Assumptions'!$B$14="Gross",Canada!G303/Canada!$G$309,(Canada!G303+Canada!H303)/(Canada!$G$309+Canada!$H$309))</f>
        <v>0</v>
      </c>
      <c r="J303" s="75">
        <f t="shared" si="88"/>
        <v>0</v>
      </c>
      <c r="K303" s="90">
        <f t="shared" si="89"/>
        <v>0</v>
      </c>
      <c r="L303" s="89">
        <f t="shared" si="90"/>
        <v>0</v>
      </c>
    </row>
    <row r="304" spans="2:12" x14ac:dyDescent="0.25">
      <c r="B304" s="71" t="str">
        <f t="shared" si="83"/>
        <v>RG GAAP - Related to LIEC</v>
      </c>
      <c r="E304" s="74">
        <f t="shared" si="84"/>
        <v>0</v>
      </c>
      <c r="F304" s="89">
        <f t="shared" si="85"/>
        <v>0</v>
      </c>
      <c r="G304" s="74">
        <f t="shared" si="86"/>
        <v>0</v>
      </c>
      <c r="H304" s="74">
        <f t="shared" si="87"/>
        <v>0</v>
      </c>
      <c r="I304" s="89">
        <f>IF('2020 Assumptions'!$B$14="Gross",Canada!G304/Canada!$G$309,(Canada!G304+Canada!H304)/(Canada!$G$309+Canada!$H$309))</f>
        <v>0</v>
      </c>
      <c r="J304" s="75">
        <f t="shared" si="88"/>
        <v>0</v>
      </c>
      <c r="K304" s="90">
        <f t="shared" si="89"/>
        <v>0</v>
      </c>
      <c r="L304" s="89">
        <f t="shared" si="90"/>
        <v>0</v>
      </c>
    </row>
    <row r="305" spans="2:12" x14ac:dyDescent="0.25">
      <c r="B305" s="71" t="str">
        <f t="shared" si="83"/>
        <v>LIEC</v>
      </c>
      <c r="E305" s="74">
        <f t="shared" si="84"/>
        <v>1762448.2938636739</v>
      </c>
      <c r="F305" s="89">
        <f t="shared" si="85"/>
        <v>0.3330485655638864</v>
      </c>
      <c r="G305" s="74">
        <f t="shared" si="86"/>
        <v>6703862.601990263</v>
      </c>
      <c r="H305" s="74">
        <f t="shared" si="87"/>
        <v>0</v>
      </c>
      <c r="I305" s="89">
        <f>IF('2020 Assumptions'!$B$14="Gross",Canada!G305/Canada!$G$309,(Canada!G305+Canada!H305)/(Canada!$G$309+Canada!$H$309))</f>
        <v>0.18791841276832194</v>
      </c>
      <c r="J305" s="75">
        <f t="shared" si="88"/>
        <v>2.11811890914848</v>
      </c>
      <c r="K305" s="90">
        <f t="shared" si="89"/>
        <v>0.16293222378065231</v>
      </c>
      <c r="L305" s="89">
        <f t="shared" si="90"/>
        <v>0.22796640070428692</v>
      </c>
    </row>
    <row r="306" spans="2:12" ht="13.7" customHeight="1" x14ac:dyDescent="0.25">
      <c r="B306" s="71" t="str">
        <f t="shared" si="83"/>
        <v>Beaver Barracks</v>
      </c>
      <c r="E306" s="74">
        <f t="shared" si="84"/>
        <v>258968.85042809061</v>
      </c>
      <c r="F306" s="89">
        <f t="shared" si="85"/>
        <v>4.8937154333036921E-2</v>
      </c>
      <c r="G306" s="74">
        <f t="shared" si="86"/>
        <v>2081321.6612741898</v>
      </c>
      <c r="H306" s="74">
        <f t="shared" si="87"/>
        <v>-586371.73</v>
      </c>
      <c r="I306" s="89">
        <f>IF('2020 Assumptions'!$B$14="Gross",Canada!G306/Canada!$G$309,(Canada!G306+Canada!H306)/(Canada!$G$309+Canada!$H$309))</f>
        <v>5.8342285077688835E-2</v>
      </c>
      <c r="J306" s="75">
        <f t="shared" si="88"/>
        <v>0.43249046909600131</v>
      </c>
      <c r="K306" s="90">
        <f t="shared" si="89"/>
        <v>3.326849762276933E-2</v>
      </c>
      <c r="L306" s="89">
        <f t="shared" si="90"/>
        <v>4.6849312344498364E-2</v>
      </c>
    </row>
    <row r="307" spans="2:12" s="131" customFormat="1" ht="13.7" customHeight="1" x14ac:dyDescent="0.25">
      <c r="B307" s="20" t="str">
        <f t="shared" si="83"/>
        <v>Cambie Thermal</v>
      </c>
      <c r="E307" s="74">
        <f t="shared" si="84"/>
        <v>0</v>
      </c>
      <c r="F307" s="89">
        <f t="shared" si="85"/>
        <v>0</v>
      </c>
      <c r="G307" s="74">
        <f t="shared" si="86"/>
        <v>0</v>
      </c>
      <c r="H307" s="74">
        <f t="shared" si="87"/>
        <v>0</v>
      </c>
      <c r="I307" s="89">
        <f>IF('2020 Assumptions'!$B$14="Gross",Canada!G307/Canada!$G$309,(Canada!G307+Canada!H307)/(Canada!$G$309+Canada!$H$309))</f>
        <v>0</v>
      </c>
      <c r="J307" s="75">
        <f t="shared" si="88"/>
        <v>0</v>
      </c>
      <c r="K307" s="90">
        <f t="shared" si="89"/>
        <v>0</v>
      </c>
      <c r="L307" s="89">
        <f t="shared" si="90"/>
        <v>0</v>
      </c>
    </row>
    <row r="308" spans="2:12" s="131" customFormat="1" ht="13.7" customHeight="1" x14ac:dyDescent="0.25">
      <c r="B308" s="71"/>
      <c r="E308" s="78"/>
      <c r="F308" s="88"/>
      <c r="G308" s="78"/>
      <c r="H308" s="78"/>
      <c r="I308" s="88"/>
      <c r="J308" s="87"/>
      <c r="K308" s="91"/>
      <c r="L308" s="88"/>
    </row>
    <row r="309" spans="2:12" x14ac:dyDescent="0.25">
      <c r="E309" s="76">
        <f t="shared" ref="E309:L309" si="91">SUM(E299:E308)</f>
        <v>5291865.7399999993</v>
      </c>
      <c r="F309" s="65">
        <f t="shared" si="91"/>
        <v>1.0000000000000002</v>
      </c>
      <c r="G309" s="76">
        <f t="shared" si="91"/>
        <v>35674325.379999995</v>
      </c>
      <c r="H309" s="76">
        <f t="shared" si="91"/>
        <v>-1976878.58</v>
      </c>
      <c r="I309" s="80">
        <f t="shared" si="91"/>
        <v>1.0000000000000002</v>
      </c>
      <c r="J309" s="76">
        <f t="shared" si="91"/>
        <v>13</v>
      </c>
      <c r="K309" s="80">
        <f t="shared" si="91"/>
        <v>1</v>
      </c>
      <c r="L309" s="45">
        <f t="shared" si="91"/>
        <v>1.0000000000000002</v>
      </c>
    </row>
    <row r="311" spans="2:12" x14ac:dyDescent="0.25">
      <c r="B311" s="68" t="s">
        <v>144</v>
      </c>
      <c r="C311" s="68"/>
      <c r="D311" s="68"/>
      <c r="E311" s="76">
        <f>E309-E295-E283</f>
        <v>-8.149072527885437E-10</v>
      </c>
      <c r="F311" s="76"/>
      <c r="G311" s="76">
        <f>G309-G295-G283</f>
        <v>-2.0954757928848267E-9</v>
      </c>
      <c r="H311" s="76">
        <f>H309-H295-H283</f>
        <v>0</v>
      </c>
      <c r="I311" s="68"/>
      <c r="J311" s="76">
        <f>J309-J295-J283</f>
        <v>0</v>
      </c>
      <c r="K311" s="68"/>
      <c r="L311" s="68"/>
    </row>
    <row r="313" spans="2:12" ht="15.75" thickBot="1" x14ac:dyDescent="0.3"/>
    <row r="314" spans="2:12" ht="14.45" customHeight="1" x14ac:dyDescent="0.25">
      <c r="B314" s="1335" t="s">
        <v>66</v>
      </c>
      <c r="C314" s="1335" t="s">
        <v>65</v>
      </c>
      <c r="D314" s="1337"/>
      <c r="E314" s="145" t="s">
        <v>63</v>
      </c>
      <c r="F314" s="140" t="s">
        <v>128</v>
      </c>
      <c r="G314" s="1325" t="s">
        <v>171</v>
      </c>
      <c r="H314" s="1325" t="s">
        <v>172</v>
      </c>
      <c r="I314" s="1327" t="s">
        <v>134</v>
      </c>
      <c r="J314" s="1329" t="s">
        <v>173</v>
      </c>
      <c r="K314" s="1325" t="s">
        <v>135</v>
      </c>
      <c r="L314" s="1325" t="s">
        <v>152</v>
      </c>
    </row>
    <row r="315" spans="2:12" ht="15.75" thickBot="1" x14ac:dyDescent="0.3">
      <c r="B315" s="1336"/>
      <c r="C315" s="1336"/>
      <c r="D315" s="1338"/>
      <c r="E315" s="142" t="s">
        <v>170</v>
      </c>
      <c r="F315" s="141" t="s">
        <v>63</v>
      </c>
      <c r="G315" s="1326"/>
      <c r="H315" s="1326"/>
      <c r="I315" s="1328"/>
      <c r="J315" s="1328"/>
      <c r="K315" s="1326"/>
      <c r="L315" s="1326"/>
    </row>
    <row r="316" spans="2:12" x14ac:dyDescent="0.25">
      <c r="B316" s="68"/>
      <c r="C316" s="68"/>
      <c r="D316" s="68"/>
      <c r="E316" s="76"/>
      <c r="F316" s="68"/>
      <c r="G316" s="76"/>
      <c r="H316" s="76"/>
      <c r="I316" s="68"/>
      <c r="J316" s="76"/>
      <c r="K316" s="80"/>
      <c r="L316" s="68"/>
    </row>
    <row r="317" spans="2:12" x14ac:dyDescent="0.25">
      <c r="B317" s="83" t="str">
        <f>B102</f>
        <v>Dept 6700 - Combine with Langley Gateway</v>
      </c>
      <c r="C317" s="110" t="s">
        <v>148</v>
      </c>
      <c r="D317" s="83"/>
      <c r="E317" s="111">
        <f>E102</f>
        <v>-287015.27999999997</v>
      </c>
      <c r="F317" s="111"/>
      <c r="G317" s="111">
        <f>F102</f>
        <v>2051953.82</v>
      </c>
      <c r="H317" s="111">
        <f>G102</f>
        <v>0</v>
      </c>
      <c r="I317" s="111"/>
      <c r="J317" s="112">
        <f>J102</f>
        <v>16</v>
      </c>
      <c r="K317" s="112"/>
      <c r="L317" s="112"/>
    </row>
    <row r="318" spans="2:12" ht="14.45" customHeight="1" x14ac:dyDescent="0.25">
      <c r="B318" s="83" t="str">
        <f>B104</f>
        <v>CMUS_Admin</v>
      </c>
      <c r="C318" s="110" t="s">
        <v>148</v>
      </c>
      <c r="D318" s="83"/>
      <c r="E318" s="111">
        <f>E104</f>
        <v>0</v>
      </c>
      <c r="F318" s="111"/>
      <c r="G318" s="111">
        <f>F104</f>
        <v>0</v>
      </c>
      <c r="H318" s="111">
        <f>G104</f>
        <v>0</v>
      </c>
      <c r="I318" s="113"/>
      <c r="J318" s="112">
        <f>J104</f>
        <v>0</v>
      </c>
      <c r="K318" s="113"/>
      <c r="L318" s="113"/>
    </row>
    <row r="319" spans="2:12" x14ac:dyDescent="0.25">
      <c r="B319" s="83" t="str">
        <f>B98</f>
        <v>Special Project &gt;&gt;&gt; 6501 - COO Cost Centre</v>
      </c>
      <c r="C319" s="110" t="s">
        <v>148</v>
      </c>
      <c r="D319" s="83"/>
      <c r="E319" s="64">
        <f>E98</f>
        <v>0</v>
      </c>
      <c r="F319" s="64"/>
      <c r="G319" s="64">
        <f>F98</f>
        <v>0</v>
      </c>
      <c r="H319" s="64">
        <f>G98</f>
        <v>0</v>
      </c>
      <c r="I319" s="114"/>
      <c r="J319" s="115">
        <f>J98</f>
        <v>6</v>
      </c>
      <c r="K319" s="114"/>
      <c r="L319" s="114"/>
    </row>
    <row r="320" spans="2:12" x14ac:dyDescent="0.25">
      <c r="B320" s="83"/>
      <c r="C320" s="83"/>
      <c r="D320" s="83"/>
      <c r="E320" s="63">
        <f>SUM(E317:E319)</f>
        <v>-287015.27999999997</v>
      </c>
      <c r="F320" s="83"/>
      <c r="G320" s="63">
        <f>SUM(G317:G319)</f>
        <v>2051953.82</v>
      </c>
      <c r="H320" s="63">
        <f>SUM(H317:H319)</f>
        <v>0</v>
      </c>
      <c r="I320" s="83"/>
      <c r="J320" s="116">
        <f>SUM(J317:J319)</f>
        <v>22</v>
      </c>
      <c r="K320" s="83"/>
      <c r="L320" s="83"/>
    </row>
    <row r="322" spans="2:12" x14ac:dyDescent="0.25">
      <c r="B322" s="69" t="s">
        <v>136</v>
      </c>
    </row>
    <row r="323" spans="2:12" x14ac:dyDescent="0.25">
      <c r="B323" t="str">
        <f>B55</f>
        <v>Panorama - Wastewater Treatment Plant</v>
      </c>
      <c r="E323" s="76">
        <f t="shared" ref="E323:E344" si="92">E243</f>
        <v>1638557.1309625511</v>
      </c>
      <c r="F323" s="45">
        <f t="shared" ref="F323:F364" si="93">E323/$E$366</f>
        <v>3.1685680305770507E-2</v>
      </c>
      <c r="G323" s="76">
        <f>G243</f>
        <v>4688767.9064581627</v>
      </c>
      <c r="H323" s="76">
        <f>H243</f>
        <v>0</v>
      </c>
      <c r="I323" s="89">
        <f>IF('2020 Assumptions'!$B$14="Gross",Canada!G323/Canada!$G$366,(Canada!G323+Canada!H323)/(Canada!$G$366+Canada!$H$366))</f>
        <v>3.3071112649392845E-2</v>
      </c>
      <c r="J323" s="75">
        <f t="shared" ref="J323:J344" si="94">J243</f>
        <v>1.1983065732252269</v>
      </c>
      <c r="K323" s="45">
        <f t="shared" ref="K323:K364" si="95">J323/$J$366</f>
        <v>1.1277118136883372E-2</v>
      </c>
      <c r="L323" s="89">
        <f>(F323*$F$196)+(I323*$I$196)+(K323*$K$196)</f>
        <v>2.5344637030682245E-2</v>
      </c>
    </row>
    <row r="324" spans="2:12" x14ac:dyDescent="0.25">
      <c r="B324" s="68" t="str">
        <f>B56</f>
        <v>Panorama - Propane Storage Farm</v>
      </c>
      <c r="E324" s="76">
        <f t="shared" si="92"/>
        <v>685892.16943415161</v>
      </c>
      <c r="F324" s="45">
        <f t="shared" si="93"/>
        <v>1.3263474061569726E-2</v>
      </c>
      <c r="G324" s="76">
        <f t="shared" ref="G324" si="96">G244</f>
        <v>626928.9068119335</v>
      </c>
      <c r="H324" s="76">
        <f t="shared" ref="H324:H344" si="97">H244</f>
        <v>0</v>
      </c>
      <c r="I324" s="89">
        <f>IF('2020 Assumptions'!$B$14="Gross",Canada!G324/Canada!$G$366,(Canada!G324+Canada!H324)/(Canada!$G$366+Canada!$H$366))</f>
        <v>4.4218943897352753E-3</v>
      </c>
      <c r="J324" s="75">
        <f t="shared" si="94"/>
        <v>0.31765601205463467</v>
      </c>
      <c r="K324" s="45">
        <f t="shared" si="95"/>
        <v>2.9894222854755762E-3</v>
      </c>
      <c r="L324" s="89">
        <f t="shared" ref="L324:L364" si="98">(F324*$F$196)+(I324*$I$196)+(K324*$K$196)</f>
        <v>6.8915969122601934E-3</v>
      </c>
    </row>
    <row r="325" spans="2:12" x14ac:dyDescent="0.25">
      <c r="B325" s="68" t="str">
        <f>B57</f>
        <v>Panorama - Propane Distribution</v>
      </c>
      <c r="E325" s="76">
        <f t="shared" si="92"/>
        <v>833993.41796197125</v>
      </c>
      <c r="F325" s="45">
        <f t="shared" si="93"/>
        <v>1.612738934719745E-2</v>
      </c>
      <c r="G325" s="76">
        <f t="shared" ref="G325" si="99">G245</f>
        <v>215093.09756088755</v>
      </c>
      <c r="H325" s="76">
        <f t="shared" si="97"/>
        <v>-154771.78</v>
      </c>
      <c r="I325" s="89">
        <f>IF('2020 Assumptions'!$B$14="Gross",Canada!G325/Canada!$G$366,(Canada!G325+Canada!H325)/(Canada!$G$366+Canada!$H$366))</f>
        <v>1.517108161772142E-3</v>
      </c>
      <c r="J325" s="75">
        <f t="shared" si="94"/>
        <v>0.31088984170933726</v>
      </c>
      <c r="K325" s="45">
        <f t="shared" si="95"/>
        <v>2.9257466752243299E-3</v>
      </c>
      <c r="L325" s="89">
        <f t="shared" si="98"/>
        <v>6.8567480613979746E-3</v>
      </c>
    </row>
    <row r="326" spans="2:12" x14ac:dyDescent="0.25">
      <c r="B326" s="68" t="str">
        <f>B58</f>
        <v>Panorama - Water</v>
      </c>
      <c r="E326" s="76">
        <f t="shared" si="92"/>
        <v>493971.95700265723</v>
      </c>
      <c r="F326" s="45">
        <f t="shared" si="93"/>
        <v>9.5522073743059075E-3</v>
      </c>
      <c r="G326" s="76">
        <f t="shared" ref="G326" si="100">G246</f>
        <v>4663683.2382417331</v>
      </c>
      <c r="H326" s="76">
        <f t="shared" si="97"/>
        <v>-1352166.69</v>
      </c>
      <c r="I326" s="89">
        <f>IF('2020 Assumptions'!$B$14="Gross",Canada!G326/Canada!$G$366,(Canada!G326+Canada!H326)/(Canada!$G$366+Canada!$H$366))</f>
        <v>3.2894183890087962E-2</v>
      </c>
      <c r="J326" s="75">
        <f t="shared" si="94"/>
        <v>0.80883401340988681</v>
      </c>
      <c r="K326" s="45">
        <f t="shared" si="95"/>
        <v>7.6118390119507516E-3</v>
      </c>
      <c r="L326" s="89">
        <f t="shared" si="98"/>
        <v>1.6686076758781542E-2</v>
      </c>
    </row>
    <row r="327" spans="2:12" x14ac:dyDescent="0.25">
      <c r="B327" s="68" t="str">
        <f>B59</f>
        <v>Panorama - Sewer</v>
      </c>
      <c r="E327" s="76">
        <f t="shared" si="92"/>
        <v>951502.34363744815</v>
      </c>
      <c r="F327" s="45">
        <f t="shared" si="93"/>
        <v>1.8399724062704421E-2</v>
      </c>
      <c r="G327" s="76">
        <f t="shared" ref="G327" si="101">G247</f>
        <v>1487987.8433427564</v>
      </c>
      <c r="H327" s="76">
        <f t="shared" si="97"/>
        <v>-304489.15000000002</v>
      </c>
      <c r="I327" s="89">
        <f>IF('2020 Assumptions'!$B$14="Gross",Canada!G327/Canada!$G$366,(Canada!G327+Canada!H327)/(Canada!$G$366+Canada!$H$366))</f>
        <v>1.0495169428270463E-2</v>
      </c>
      <c r="J327" s="75">
        <f t="shared" si="94"/>
        <v>0.52581163888686799</v>
      </c>
      <c r="K327" s="45">
        <f t="shared" si="95"/>
        <v>4.9483496977872016E-3</v>
      </c>
      <c r="L327" s="89">
        <f t="shared" si="98"/>
        <v>1.1281081062920697E-2</v>
      </c>
    </row>
    <row r="328" spans="2:12" x14ac:dyDescent="0.25">
      <c r="B328" s="68" t="str">
        <f t="shared" ref="B328:B359" si="102">B62</f>
        <v>Sun Rivers - Electric</v>
      </c>
      <c r="E328" s="76">
        <f t="shared" si="92"/>
        <v>1628544.2666649071</v>
      </c>
      <c r="F328" s="45">
        <f t="shared" si="93"/>
        <v>3.1492056042639785E-2</v>
      </c>
      <c r="G328" s="76">
        <f t="shared" ref="G328" si="103">G248</f>
        <v>7898076.1731544239</v>
      </c>
      <c r="H328" s="76">
        <f t="shared" si="97"/>
        <v>-1657553.02</v>
      </c>
      <c r="I328" s="89">
        <f>IF('2020 Assumptions'!$B$14="Gross",Canada!G328/Canada!$G$366,(Canada!G328+Canada!H328)/(Canada!$G$366+Canada!$H$366))</f>
        <v>5.5707207532304875E-2</v>
      </c>
      <c r="J328" s="75">
        <f t="shared" si="94"/>
        <v>1.0098047088268145</v>
      </c>
      <c r="K328" s="45">
        <f t="shared" si="95"/>
        <v>9.5031499042613835E-3</v>
      </c>
      <c r="L328" s="89">
        <f t="shared" si="98"/>
        <v>3.2234137826402012E-2</v>
      </c>
    </row>
    <row r="329" spans="2:12" x14ac:dyDescent="0.25">
      <c r="B329" s="68" t="str">
        <f t="shared" si="102"/>
        <v>Sun Rivers - Gas</v>
      </c>
      <c r="E329" s="76">
        <f t="shared" si="92"/>
        <v>173412.14759092912</v>
      </c>
      <c r="F329" s="45">
        <f t="shared" si="93"/>
        <v>3.3533660596109243E-3</v>
      </c>
      <c r="G329" s="76">
        <f t="shared" ref="G329" si="104">G249</f>
        <v>1547017.952357624</v>
      </c>
      <c r="H329" s="76">
        <f t="shared" si="97"/>
        <v>-1071272.3399999999</v>
      </c>
      <c r="I329" s="89">
        <f>IF('2020 Assumptions'!$B$14="Gross",Canada!G329/Canada!$G$366,(Canada!G329+Canada!H329)/(Canada!$G$366+Canada!$H$366))</f>
        <v>1.0911524305262293E-2</v>
      </c>
      <c r="J329" s="75">
        <f t="shared" si="94"/>
        <v>0.14339325247895504</v>
      </c>
      <c r="K329" s="45">
        <f t="shared" si="95"/>
        <v>1.3494565450682765E-3</v>
      </c>
      <c r="L329" s="89">
        <f t="shared" si="98"/>
        <v>5.2047823033138322E-3</v>
      </c>
    </row>
    <row r="330" spans="2:12" x14ac:dyDescent="0.25">
      <c r="B330" s="68" t="str">
        <f t="shared" si="102"/>
        <v>Sun Rivers - Domestic Water</v>
      </c>
      <c r="E330" s="76">
        <f t="shared" si="92"/>
        <v>379942.4877591746</v>
      </c>
      <c r="F330" s="45">
        <f t="shared" si="93"/>
        <v>7.3471568212237536E-3</v>
      </c>
      <c r="G330" s="76">
        <f t="shared" ref="G330" si="105">G250</f>
        <v>3366429.7720114524</v>
      </c>
      <c r="H330" s="76">
        <f t="shared" si="97"/>
        <v>-1824487.84</v>
      </c>
      <c r="I330" s="89">
        <f>IF('2020 Assumptions'!$B$14="Gross",Canada!G330/Canada!$G$366,(Canada!G330+Canada!H330)/(Canada!$G$366+Canada!$H$366))</f>
        <v>2.3744314164733122E-2</v>
      </c>
      <c r="J330" s="75">
        <f t="shared" si="94"/>
        <v>0.31300046446041629</v>
      </c>
      <c r="K330" s="45">
        <f t="shared" si="95"/>
        <v>2.9456094904989302E-3</v>
      </c>
      <c r="L330" s="89">
        <f t="shared" si="98"/>
        <v>1.1345693492151938E-2</v>
      </c>
    </row>
    <row r="331" spans="2:12" x14ac:dyDescent="0.25">
      <c r="B331" s="68" t="str">
        <f t="shared" si="102"/>
        <v>Sun Rivers - Irrigation Water</v>
      </c>
      <c r="E331" s="76">
        <f t="shared" si="92"/>
        <v>286350.05384796468</v>
      </c>
      <c r="F331" s="45">
        <f t="shared" si="93"/>
        <v>5.5373084589591549E-3</v>
      </c>
      <c r="G331" s="76">
        <f t="shared" ref="G331" si="106">G251</f>
        <v>3514995.2583268639</v>
      </c>
      <c r="H331" s="76">
        <f t="shared" si="97"/>
        <v>-1890555.3</v>
      </c>
      <c r="I331" s="89">
        <f>IF('2020 Assumptions'!$B$14="Gross",Canada!G331/Canada!$G$366,(Canada!G331+Canada!H331)/(Canada!$G$366+Canada!$H$366))</f>
        <v>2.4792185595302649E-2</v>
      </c>
      <c r="J331" s="75">
        <f t="shared" si="94"/>
        <v>0.28557330390180524</v>
      </c>
      <c r="K331" s="45">
        <f t="shared" si="95"/>
        <v>2.6874958018238779E-3</v>
      </c>
      <c r="L331" s="89">
        <f t="shared" si="98"/>
        <v>1.1005663285361896E-2</v>
      </c>
    </row>
    <row r="332" spans="2:12" x14ac:dyDescent="0.25">
      <c r="B332" s="68" t="str">
        <f t="shared" si="102"/>
        <v>Sun Rivers - Sewer</v>
      </c>
      <c r="E332" s="76">
        <f t="shared" si="92"/>
        <v>327179.31267480447</v>
      </c>
      <c r="F332" s="45">
        <f t="shared" si="93"/>
        <v>6.3268462894459287E-3</v>
      </c>
      <c r="G332" s="76">
        <f t="shared" ref="G332" si="107">G252</f>
        <v>3052344.6290849652</v>
      </c>
      <c r="H332" s="76">
        <f t="shared" si="97"/>
        <v>-1784687.9500000002</v>
      </c>
      <c r="I332" s="89">
        <f>IF('2020 Assumptions'!$B$14="Gross",Canada!G332/Canada!$G$366,(Canada!G332+Canada!H332)/(Canada!$G$366+Canada!$H$366))</f>
        <v>2.1528989083507501E-2</v>
      </c>
      <c r="J332" s="75">
        <f t="shared" si="94"/>
        <v>0.27732739704172643</v>
      </c>
      <c r="K332" s="45">
        <f t="shared" si="95"/>
        <v>2.6098945703155133E-3</v>
      </c>
      <c r="L332" s="89">
        <f t="shared" si="98"/>
        <v>1.0155243314422982E-2</v>
      </c>
    </row>
    <row r="333" spans="2:12" x14ac:dyDescent="0.25">
      <c r="B333" s="68" t="str">
        <f t="shared" si="102"/>
        <v>Sun Rivers - Geothermal</v>
      </c>
      <c r="E333" s="76">
        <f t="shared" si="92"/>
        <v>1046785.544427856</v>
      </c>
      <c r="F333" s="45">
        <f t="shared" si="93"/>
        <v>2.0242267713887253E-2</v>
      </c>
      <c r="G333" s="76">
        <f t="shared" ref="G333" si="108">G253</f>
        <v>11764283.8167919</v>
      </c>
      <c r="H333" s="76">
        <f t="shared" si="97"/>
        <v>-2243871.87</v>
      </c>
      <c r="I333" s="89">
        <f>IF('2020 Assumptions'!$B$14="Gross",Canada!G333/Canada!$G$366,(Canada!G333+Canada!H333)/(Canada!$G$366+Canada!$H$366))</f>
        <v>8.2976586409550759E-2</v>
      </c>
      <c r="J333" s="75">
        <f t="shared" si="94"/>
        <v>0.98881692362131812</v>
      </c>
      <c r="K333" s="45">
        <f t="shared" si="95"/>
        <v>9.3056363977161508E-3</v>
      </c>
      <c r="L333" s="89">
        <f t="shared" si="98"/>
        <v>3.7508163507051391E-2</v>
      </c>
    </row>
    <row r="334" spans="2:12" x14ac:dyDescent="0.25">
      <c r="B334" s="68" t="str">
        <f t="shared" si="102"/>
        <v>Sun Rivers - Municipal</v>
      </c>
      <c r="E334" s="76">
        <f t="shared" si="92"/>
        <v>826704.14944095712</v>
      </c>
      <c r="F334" s="45">
        <f t="shared" si="93"/>
        <v>1.5986432753340944E-2</v>
      </c>
      <c r="G334" s="76">
        <f t="shared" ref="G334" si="109">G254</f>
        <v>6527845.0512832114</v>
      </c>
      <c r="H334" s="76">
        <f t="shared" si="97"/>
        <v>-4272324.42</v>
      </c>
      <c r="I334" s="89">
        <f>IF('2020 Assumptions'!$B$14="Gross",Canada!G334/Canada!$G$366,(Canada!G334+Canada!H334)/(Canada!$G$366+Canada!$H$366))</f>
        <v>4.6042607217008556E-2</v>
      </c>
      <c r="J334" s="75">
        <f t="shared" si="94"/>
        <v>0.64055550250575377</v>
      </c>
      <c r="K334" s="45">
        <f t="shared" si="95"/>
        <v>6.0281903115542426E-3</v>
      </c>
      <c r="L334" s="89">
        <f t="shared" si="98"/>
        <v>2.2685743427301248E-2</v>
      </c>
    </row>
    <row r="335" spans="2:12" x14ac:dyDescent="0.25">
      <c r="B335" s="68" t="str">
        <f t="shared" si="102"/>
        <v>Foothills - Wastewater</v>
      </c>
      <c r="E335" s="76">
        <f t="shared" si="92"/>
        <v>926825.19995053334</v>
      </c>
      <c r="F335" s="45">
        <f t="shared" si="93"/>
        <v>1.7922528564941205E-2</v>
      </c>
      <c r="G335" s="76">
        <f t="shared" ref="G335" si="110">G255</f>
        <v>2041508.5143091418</v>
      </c>
      <c r="H335" s="76">
        <f t="shared" si="97"/>
        <v>-189353.8</v>
      </c>
      <c r="I335" s="89">
        <f>IF('2020 Assumptions'!$B$14="Gross",Canada!G335/Canada!$G$366,(Canada!G335+Canada!H335)/(Canada!$G$366+Canada!$H$366))</f>
        <v>1.4399296232688178E-2</v>
      </c>
      <c r="J335" s="75">
        <f t="shared" si="94"/>
        <v>2.0407454076719698</v>
      </c>
      <c r="K335" s="45">
        <f t="shared" si="95"/>
        <v>1.9205208052625353E-2</v>
      </c>
      <c r="L335" s="89">
        <f t="shared" si="98"/>
        <v>1.7175677616751581E-2</v>
      </c>
    </row>
    <row r="336" spans="2:12" x14ac:dyDescent="0.25">
      <c r="B336" s="68" t="str">
        <f t="shared" si="102"/>
        <v>Foothills - Water</v>
      </c>
      <c r="E336" s="76">
        <f t="shared" si="92"/>
        <v>1296570.004741604</v>
      </c>
      <c r="F336" s="45">
        <f t="shared" si="93"/>
        <v>2.5072487182769308E-2</v>
      </c>
      <c r="G336" s="76">
        <f t="shared" ref="G336" si="111">G256</f>
        <v>4248797.9921073625</v>
      </c>
      <c r="H336" s="76">
        <f t="shared" si="97"/>
        <v>-376811.81</v>
      </c>
      <c r="I336" s="89">
        <f>IF('2020 Assumptions'!$B$14="Gross",Canada!G336/Canada!$G$366,(Canada!G336+Canada!H336)/(Canada!$G$366+Canada!$H$366))</f>
        <v>2.9967889182136574E-2</v>
      </c>
      <c r="J336" s="75">
        <f t="shared" si="94"/>
        <v>3.3996533269189881</v>
      </c>
      <c r="K336" s="45">
        <f t="shared" si="95"/>
        <v>3.1993726020317977E-2</v>
      </c>
      <c r="L336" s="89">
        <f t="shared" si="98"/>
        <v>2.9011367461741287E-2</v>
      </c>
    </row>
    <row r="337" spans="2:12" x14ac:dyDescent="0.25">
      <c r="B337" s="68" t="str">
        <f t="shared" si="102"/>
        <v>Sage Meadows - Wastewater</v>
      </c>
      <c r="E337" s="76">
        <f t="shared" si="92"/>
        <v>48733.810720675632</v>
      </c>
      <c r="F337" s="45">
        <f t="shared" si="93"/>
        <v>9.423924972760385E-4</v>
      </c>
      <c r="G337" s="76">
        <f t="shared" ref="G337" si="112">G257</f>
        <v>240514.44942899971</v>
      </c>
      <c r="H337" s="76">
        <f t="shared" si="97"/>
        <v>0</v>
      </c>
      <c r="I337" s="89">
        <f>IF('2020 Assumptions'!$B$14="Gross",Canada!G337/Canada!$G$366,(Canada!G337+Canada!H337)/(Canada!$G$366+Canada!$H$366))</f>
        <v>1.6964116393813065E-3</v>
      </c>
      <c r="J337" s="75">
        <f t="shared" si="94"/>
        <v>2.2135092262472985E-3</v>
      </c>
      <c r="K337" s="45">
        <f t="shared" si="95"/>
        <v>2.0831067440686039E-5</v>
      </c>
      <c r="L337" s="89">
        <f t="shared" si="98"/>
        <v>8.8654506803267712E-4</v>
      </c>
    </row>
    <row r="338" spans="2:12" x14ac:dyDescent="0.25">
      <c r="B338" s="68" t="str">
        <f t="shared" si="102"/>
        <v>Sage Meadows - Water</v>
      </c>
      <c r="E338" s="76">
        <f t="shared" si="92"/>
        <v>49328.580879756599</v>
      </c>
      <c r="F338" s="45">
        <f t="shared" si="93"/>
        <v>9.5389389491420398E-4</v>
      </c>
      <c r="G338" s="76">
        <f t="shared" ref="G338" si="113">G258</f>
        <v>123521.77601147092</v>
      </c>
      <c r="H338" s="76">
        <f t="shared" si="97"/>
        <v>0</v>
      </c>
      <c r="I338" s="89">
        <f>IF('2020 Assumptions'!$B$14="Gross",Canada!G338/Canada!$G$366,(Canada!G338+Canada!H338)/(Canada!$G$366+Canada!$H$366))</f>
        <v>8.7123155818863863E-4</v>
      </c>
      <c r="J338" s="75">
        <f t="shared" si="94"/>
        <v>1.4854155567085657E-3</v>
      </c>
      <c r="K338" s="45">
        <f t="shared" si="95"/>
        <v>1.3979066033395123E-5</v>
      </c>
      <c r="L338" s="89">
        <f t="shared" si="98"/>
        <v>6.1303483971207932E-4</v>
      </c>
    </row>
    <row r="339" spans="2:12" x14ac:dyDescent="0.25">
      <c r="B339" s="68" t="str">
        <f t="shared" si="102"/>
        <v>Canadian Lakeview Estates (in Adventure Bay) - Wastewater</v>
      </c>
      <c r="E339" s="76">
        <f t="shared" si="92"/>
        <v>152277.60923961672</v>
      </c>
      <c r="F339" s="45">
        <f t="shared" si="93"/>
        <v>2.9446758693480158E-3</v>
      </c>
      <c r="G339" s="76">
        <f t="shared" ref="G339" si="114">G259</f>
        <v>308860.88063944533</v>
      </c>
      <c r="H339" s="76">
        <f t="shared" si="97"/>
        <v>0</v>
      </c>
      <c r="I339" s="89">
        <f>IF('2020 Assumptions'!$B$14="Gross",Canada!G339/Canada!$G$366,(Canada!G339+Canada!H339)/(Canada!$G$366+Canada!$H$366))</f>
        <v>2.1784769859367137E-3</v>
      </c>
      <c r="J339" s="75">
        <f t="shared" si="94"/>
        <v>4.1293062517660231E-3</v>
      </c>
      <c r="K339" s="45">
        <f t="shared" si="95"/>
        <v>3.886040139060816E-5</v>
      </c>
      <c r="L339" s="89">
        <f t="shared" si="98"/>
        <v>1.7206710855584462E-3</v>
      </c>
    </row>
    <row r="340" spans="2:12" x14ac:dyDescent="0.25">
      <c r="B340" s="68" t="str">
        <f t="shared" si="102"/>
        <v>Canadian Lakeview Estates (in Adventure Bay) - Water</v>
      </c>
      <c r="E340" s="76">
        <f t="shared" si="92"/>
        <v>149577.26394873517</v>
      </c>
      <c r="F340" s="45">
        <f t="shared" si="93"/>
        <v>2.8924578075024679E-3</v>
      </c>
      <c r="G340" s="76">
        <f t="shared" ref="G340" si="115">G260</f>
        <v>217008.12973097354</v>
      </c>
      <c r="H340" s="76">
        <f t="shared" si="97"/>
        <v>0</v>
      </c>
      <c r="I340" s="89">
        <f>IF('2020 Assumptions'!$B$14="Gross",Canada!G340/Canada!$G$366,(Canada!G340+Canada!H340)/(Canada!$G$366+Canada!$H$366))</f>
        <v>1.5306153871003339E-3</v>
      </c>
      <c r="J340" s="75">
        <f t="shared" si="94"/>
        <v>3.5122297216115582E-3</v>
      </c>
      <c r="K340" s="45">
        <f t="shared" si="95"/>
        <v>3.3053168846335016E-5</v>
      </c>
      <c r="L340" s="89">
        <f t="shared" si="98"/>
        <v>1.485375454483046E-3</v>
      </c>
    </row>
    <row r="341" spans="2:12" x14ac:dyDescent="0.25">
      <c r="B341" s="68" t="str">
        <f t="shared" si="102"/>
        <v>Cultus Lake - Water</v>
      </c>
      <c r="E341" s="76">
        <f t="shared" si="92"/>
        <v>178333.24621706235</v>
      </c>
      <c r="F341" s="45">
        <f t="shared" si="93"/>
        <v>3.4485280499220133E-3</v>
      </c>
      <c r="G341" s="76">
        <f t="shared" ref="G341" si="116">G261</f>
        <v>5272.3569157238735</v>
      </c>
      <c r="H341" s="76">
        <f t="shared" si="97"/>
        <v>0</v>
      </c>
      <c r="I341" s="89">
        <f>IF('2020 Assumptions'!$B$14="Gross",Canada!G341/Canada!$G$366,(Canada!G341+Canada!H341)/(Canada!$G$366+Canada!$H$366))</f>
        <v>3.7187319348340505E-5</v>
      </c>
      <c r="J341" s="75">
        <f t="shared" si="94"/>
        <v>2.591608208943674E-3</v>
      </c>
      <c r="K341" s="45">
        <f t="shared" si="95"/>
        <v>2.4389311207826785E-5</v>
      </c>
      <c r="L341" s="89">
        <f t="shared" si="98"/>
        <v>1.170034893492727E-3</v>
      </c>
    </row>
    <row r="342" spans="2:12" x14ac:dyDescent="0.25">
      <c r="B342" s="68" t="str">
        <f t="shared" si="102"/>
        <v>Cultus Lake - Wastewater</v>
      </c>
      <c r="E342" s="76">
        <f t="shared" si="92"/>
        <v>144432.52657779309</v>
      </c>
      <c r="F342" s="45">
        <f t="shared" si="93"/>
        <v>2.7929711918010915E-3</v>
      </c>
      <c r="G342" s="76">
        <f t="shared" ref="G342" si="117">G262</f>
        <v>355172.31936442142</v>
      </c>
      <c r="H342" s="76">
        <f t="shared" si="97"/>
        <v>-51421.39</v>
      </c>
      <c r="I342" s="89">
        <f>IF('2020 Assumptions'!$B$14="Gross",Canada!G342/Canada!$G$366,(Canada!G342+Canada!H342)/(Canada!$G$366+Canada!$H$366))</f>
        <v>2.5051237378306604E-3</v>
      </c>
      <c r="J342" s="75">
        <f t="shared" si="94"/>
        <v>4.3083516652333478E-3</v>
      </c>
      <c r="K342" s="45">
        <f t="shared" si="95"/>
        <v>4.0545376107974292E-5</v>
      </c>
      <c r="L342" s="89">
        <f t="shared" si="98"/>
        <v>1.7795467685799088E-3</v>
      </c>
    </row>
    <row r="343" spans="2:12" x14ac:dyDescent="0.25">
      <c r="B343" s="68" t="str">
        <f t="shared" si="102"/>
        <v>Sonoma Pines - Electric</v>
      </c>
      <c r="E343" s="76">
        <f t="shared" si="92"/>
        <v>447812.26358199568</v>
      </c>
      <c r="F343" s="45">
        <f t="shared" si="93"/>
        <v>8.6595919988015618E-3</v>
      </c>
      <c r="G343" s="76">
        <f t="shared" ref="G343" si="118">G263</f>
        <v>1073.581430358942</v>
      </c>
      <c r="H343" s="76">
        <f t="shared" si="97"/>
        <v>0</v>
      </c>
      <c r="I343" s="89">
        <f>IF('2020 Assumptions'!$B$14="Gross",Canada!G343/Canada!$G$366,(Canada!G343+Canada!H343)/(Canada!$G$366+Canada!$H$366))</f>
        <v>7.5722520564078329E-6</v>
      </c>
      <c r="J343" s="75">
        <f t="shared" si="94"/>
        <v>6.4311820341375631E-3</v>
      </c>
      <c r="K343" s="45">
        <f t="shared" si="95"/>
        <v>6.0523075796513871E-5</v>
      </c>
      <c r="L343" s="89">
        <f t="shared" si="98"/>
        <v>2.9092291088848284E-3</v>
      </c>
    </row>
    <row r="344" spans="2:12" x14ac:dyDescent="0.25">
      <c r="B344" s="68" t="str">
        <f t="shared" si="102"/>
        <v>Sonoma Pines - Gas</v>
      </c>
      <c r="E344" s="76">
        <f t="shared" si="92"/>
        <v>257306.22100008916</v>
      </c>
      <c r="F344" s="45">
        <f t="shared" si="93"/>
        <v>4.9756718915900241E-3</v>
      </c>
      <c r="G344" s="76">
        <f t="shared" ref="G344" si="119">G264</f>
        <v>1045157.8924690855</v>
      </c>
      <c r="H344" s="76">
        <f t="shared" si="97"/>
        <v>-407369.99</v>
      </c>
      <c r="I344" s="89">
        <f>IF('2020 Assumptions'!$B$14="Gross",Canada!G344/Canada!$G$366,(Canada!G344+Canada!H344)/(Canada!$G$366+Canada!$H$366))</f>
        <v>7.371773371558663E-3</v>
      </c>
      <c r="J344" s="75">
        <f t="shared" si="94"/>
        <v>1.0272052925215993E-2</v>
      </c>
      <c r="K344" s="45">
        <f t="shared" si="95"/>
        <v>9.666904691526439E-5</v>
      </c>
      <c r="L344" s="89">
        <f t="shared" si="98"/>
        <v>4.1480381033546518E-3</v>
      </c>
    </row>
    <row r="345" spans="2:12" x14ac:dyDescent="0.25">
      <c r="B345" s="68" t="str">
        <f t="shared" si="102"/>
        <v>Dockside Green - Energy</v>
      </c>
      <c r="E345" s="76">
        <f>E299</f>
        <v>384880.57529335871</v>
      </c>
      <c r="F345" s="45">
        <f t="shared" si="93"/>
        <v>7.4426473353922488E-3</v>
      </c>
      <c r="G345" s="76">
        <f>G299</f>
        <v>7116848.5963606536</v>
      </c>
      <c r="H345" s="76">
        <f>H299</f>
        <v>0</v>
      </c>
      <c r="I345" s="89">
        <f>IF('2020 Assumptions'!$B$14="Gross",Canada!G345/Canada!$G$366,(Canada!G345+Canada!H345)/(Canada!$G$366+Canada!$H$366))</f>
        <v>5.0197004060434751E-2</v>
      </c>
      <c r="J345" s="108">
        <f>J299</f>
        <v>1.0878221645898893</v>
      </c>
      <c r="K345" s="45">
        <f t="shared" si="95"/>
        <v>1.0237362738470633E-2</v>
      </c>
      <c r="L345" s="89">
        <f t="shared" si="98"/>
        <v>2.2625671378099212E-2</v>
      </c>
    </row>
    <row r="346" spans="2:12" x14ac:dyDescent="0.25">
      <c r="B346" s="68" t="str">
        <f t="shared" si="102"/>
        <v>Dockside Green  - Wastewater and Admin</v>
      </c>
      <c r="E346" s="76">
        <f>E300</f>
        <v>446279.15549845924</v>
      </c>
      <c r="F346" s="45">
        <f t="shared" si="93"/>
        <v>8.6299454447137033E-3</v>
      </c>
      <c r="G346" s="76">
        <f>G300</f>
        <v>153593.76935039234</v>
      </c>
      <c r="H346" s="76">
        <f>H300</f>
        <v>0</v>
      </c>
      <c r="I346" s="89">
        <f>IF('2020 Assumptions'!$B$14="Gross",Canada!G346/Canada!$G$366,(Canada!G346+Canada!H346)/(Canada!$G$366+Canada!$H$366))</f>
        <v>1.0833372326737093E-3</v>
      </c>
      <c r="J346" s="108">
        <f>J300</f>
        <v>5.2862635724415821</v>
      </c>
      <c r="K346" s="45">
        <f t="shared" si="95"/>
        <v>4.9748386715994568E-2</v>
      </c>
      <c r="L346" s="89">
        <f t="shared" si="98"/>
        <v>1.9820556464460664E-2</v>
      </c>
    </row>
    <row r="347" spans="2:12" x14ac:dyDescent="0.25">
      <c r="B347" s="68" t="str">
        <f t="shared" si="102"/>
        <v>West Shore Environmental Services</v>
      </c>
      <c r="E347" s="76">
        <f>E265</f>
        <v>18924423.791562956</v>
      </c>
      <c r="F347" s="45">
        <f t="shared" si="93"/>
        <v>0.36595198964965825</v>
      </c>
      <c r="G347" s="76">
        <f>G265</f>
        <v>44756480.029224508</v>
      </c>
      <c r="H347" s="76">
        <f>H265</f>
        <v>-5022747.38</v>
      </c>
      <c r="I347" s="89">
        <f>IF('2020 Assumptions'!$B$14="Gross",Canada!G347/Canada!$G$366,(Canada!G347+Canada!H347)/(Canada!$G$366+Canada!$H$366))</f>
        <v>0.31567921943802701</v>
      </c>
      <c r="J347" s="108">
        <f>J265</f>
        <v>6.3956218577140955</v>
      </c>
      <c r="K347" s="45">
        <f t="shared" si="95"/>
        <v>6.0188423279823981E-2</v>
      </c>
      <c r="L347" s="89">
        <f t="shared" si="98"/>
        <v>0.24727321078916978</v>
      </c>
    </row>
    <row r="348" spans="2:12" x14ac:dyDescent="0.25">
      <c r="B348" s="68" t="str">
        <f t="shared" si="102"/>
        <v>Rise</v>
      </c>
      <c r="E348" s="76">
        <f>E266</f>
        <v>64179.741662548709</v>
      </c>
      <c r="F348" s="45">
        <f t="shared" si="93"/>
        <v>1.2410789578217859E-3</v>
      </c>
      <c r="G348" s="76">
        <f>G266</f>
        <v>673986.53116656048</v>
      </c>
      <c r="H348" s="76">
        <f>H266</f>
        <v>-146777.03</v>
      </c>
      <c r="I348" s="89">
        <f>IF('2020 Assumptions'!$B$14="Gross",Canada!G348/Canada!$G$366,(Canada!G348+Canada!H348)/(Canada!$G$366+Canada!$H$366))</f>
        <v>4.7538041850359036E-3</v>
      </c>
      <c r="J348" s="108">
        <f>J266</f>
        <v>5.1643905986328634E-3</v>
      </c>
      <c r="K348" s="45">
        <f t="shared" si="95"/>
        <v>4.8601454909023751E-5</v>
      </c>
      <c r="L348" s="89">
        <f t="shared" si="98"/>
        <v>2.0144948659222379E-3</v>
      </c>
    </row>
    <row r="349" spans="2:12" x14ac:dyDescent="0.25">
      <c r="B349" s="68" t="str">
        <f t="shared" si="102"/>
        <v>UBC</v>
      </c>
      <c r="E349" s="76">
        <f>E301</f>
        <v>1144576.3751231169</v>
      </c>
      <c r="F349" s="45">
        <f t="shared" si="93"/>
        <v>2.2133302783519247E-2</v>
      </c>
      <c r="G349" s="76">
        <f>G301</f>
        <v>11219194.492439222</v>
      </c>
      <c r="H349" s="76">
        <f>H301</f>
        <v>0</v>
      </c>
      <c r="I349" s="89">
        <f>IF('2020 Assumptions'!$B$14="Gross",Canada!G349/Canada!$G$366,(Canada!G349+Canada!H349)/(Canada!$G$366+Canada!$H$366))</f>
        <v>7.9131928109271193E-2</v>
      </c>
      <c r="J349" s="108">
        <f>J301</f>
        <v>2.1349636715564397</v>
      </c>
      <c r="K349" s="45">
        <f t="shared" si="95"/>
        <v>2.0091884731380009E-2</v>
      </c>
      <c r="L349" s="89">
        <f t="shared" si="98"/>
        <v>4.0452371874723489E-2</v>
      </c>
    </row>
    <row r="350" spans="2:12" x14ac:dyDescent="0.25">
      <c r="B350" s="68" t="str">
        <f t="shared" si="102"/>
        <v>SFU UniverCity</v>
      </c>
      <c r="E350" s="76">
        <f>E302</f>
        <v>1294712.4897933006</v>
      </c>
      <c r="F350" s="45">
        <f t="shared" si="93"/>
        <v>2.5036567394741804E-2</v>
      </c>
      <c r="G350" s="76">
        <f t="shared" ref="G350" si="120">G302</f>
        <v>8399504.2585852779</v>
      </c>
      <c r="H350" s="76">
        <f>H302</f>
        <v>-1390506.85</v>
      </c>
      <c r="I350" s="89">
        <f>IF('2020 Assumptions'!$B$14="Gross",Canada!G350/Canada!$G$366,(Canada!G350+Canada!H350)/(Canada!$G$366+Canada!$H$366))</f>
        <v>5.9243911636598999E-2</v>
      </c>
      <c r="J350" s="108">
        <f>J302</f>
        <v>1.9403412131676077</v>
      </c>
      <c r="K350" s="45">
        <f t="shared" si="95"/>
        <v>1.826031632945236E-2</v>
      </c>
      <c r="L350" s="89">
        <f t="shared" si="98"/>
        <v>3.418026512026439E-2</v>
      </c>
    </row>
    <row r="351" spans="2:12" x14ac:dyDescent="0.25">
      <c r="B351" s="68" t="str">
        <f t="shared" si="102"/>
        <v>SFU Biomass</v>
      </c>
      <c r="E351" s="76">
        <f>E303</f>
        <v>0</v>
      </c>
      <c r="F351" s="45">
        <f t="shared" si="93"/>
        <v>0</v>
      </c>
      <c r="G351" s="76">
        <f t="shared" ref="G351" si="121">G303</f>
        <v>0</v>
      </c>
      <c r="H351" s="76">
        <f>H303</f>
        <v>0</v>
      </c>
      <c r="I351" s="89">
        <f>IF('2020 Assumptions'!$B$14="Gross",Canada!G351/Canada!$G$366,(Canada!G351+Canada!H351)/(Canada!$G$366+Canada!$H$366))</f>
        <v>0</v>
      </c>
      <c r="J351" s="108">
        <f>J303</f>
        <v>0</v>
      </c>
      <c r="K351" s="45">
        <f t="shared" si="95"/>
        <v>0</v>
      </c>
      <c r="L351" s="89">
        <f t="shared" si="98"/>
        <v>0</v>
      </c>
    </row>
    <row r="352" spans="2:12" x14ac:dyDescent="0.25">
      <c r="B352" s="68" t="str">
        <f t="shared" si="102"/>
        <v>Riverport</v>
      </c>
      <c r="E352" s="76">
        <f>E267</f>
        <v>351682.56332771946</v>
      </c>
      <c r="F352" s="45">
        <f t="shared" si="93"/>
        <v>6.8006791219846017E-3</v>
      </c>
      <c r="G352" s="76">
        <f>G267</f>
        <v>800389.72255806974</v>
      </c>
      <c r="H352" s="76">
        <f>H267</f>
        <v>-387300.75</v>
      </c>
      <c r="I352" s="89">
        <f>IF('2020 Assumptions'!$B$14="Gross",Canada!G352/Canada!$G$366,(Canada!G352+Canada!H352)/(Canada!$G$366+Canada!$H$366))</f>
        <v>5.6453591233798462E-3</v>
      </c>
      <c r="J352" s="108">
        <f>J267</f>
        <v>1.0084853463107229E-2</v>
      </c>
      <c r="K352" s="45">
        <f t="shared" si="95"/>
        <v>9.4907335432968475E-5</v>
      </c>
      <c r="L352" s="89">
        <f t="shared" si="98"/>
        <v>4.1803151935991389E-3</v>
      </c>
    </row>
    <row r="353" spans="2:12" x14ac:dyDescent="0.25">
      <c r="B353" s="68" t="str">
        <f t="shared" si="102"/>
        <v>RG GAAP - Related to LIEC</v>
      </c>
      <c r="E353" s="76">
        <f>E304</f>
        <v>0</v>
      </c>
      <c r="F353" s="45">
        <f t="shared" si="93"/>
        <v>0</v>
      </c>
      <c r="G353" s="76">
        <f>G304</f>
        <v>0</v>
      </c>
      <c r="H353" s="76">
        <f>H304</f>
        <v>0</v>
      </c>
      <c r="I353" s="89">
        <f>IF('2020 Assumptions'!$B$14="Gross",Canada!G353/Canada!$G$366,(Canada!G353+Canada!H353)/(Canada!$G$366+Canada!$H$366))</f>
        <v>0</v>
      </c>
      <c r="J353" s="108">
        <f>J304</f>
        <v>0</v>
      </c>
      <c r="K353" s="45">
        <f t="shared" si="95"/>
        <v>0</v>
      </c>
      <c r="L353" s="89">
        <f t="shared" si="98"/>
        <v>0</v>
      </c>
    </row>
    <row r="354" spans="2:12" x14ac:dyDescent="0.25">
      <c r="B354" s="68" t="str">
        <f t="shared" si="102"/>
        <v>LIEC</v>
      </c>
      <c r="E354" s="76">
        <f>E305</f>
        <v>1762448.2938636739</v>
      </c>
      <c r="F354" s="45">
        <f t="shared" si="93"/>
        <v>3.4081431852186886E-2</v>
      </c>
      <c r="G354" s="76">
        <f t="shared" ref="G354" si="122">G305</f>
        <v>6703862.601990263</v>
      </c>
      <c r="H354" s="76">
        <f>H305</f>
        <v>0</v>
      </c>
      <c r="I354" s="89">
        <f>IF('2020 Assumptions'!$B$14="Gross",Canada!G354/Canada!$G$366,(Canada!G354+Canada!H354)/(Canada!$G$366+Canada!$H$366))</f>
        <v>4.7284105274458858E-2</v>
      </c>
      <c r="J354" s="108">
        <f>J305</f>
        <v>2.11811890914848</v>
      </c>
      <c r="K354" s="45">
        <f t="shared" si="95"/>
        <v>1.9933360710977604E-2</v>
      </c>
      <c r="L354" s="89">
        <f t="shared" si="98"/>
        <v>3.3766299279207788E-2</v>
      </c>
    </row>
    <row r="355" spans="2:12" x14ac:dyDescent="0.25">
      <c r="B355" s="68" t="str">
        <f t="shared" si="102"/>
        <v>Beaver Barracks</v>
      </c>
      <c r="E355" s="76">
        <f>E306</f>
        <v>258968.85042809061</v>
      </c>
      <c r="F355" s="45">
        <f t="shared" si="93"/>
        <v>5.0078230711413114E-3</v>
      </c>
      <c r="G355" s="76">
        <f t="shared" ref="G355" si="123">G306</f>
        <v>2081321.6612741898</v>
      </c>
      <c r="H355" s="76">
        <f>H306</f>
        <v>-586371.73</v>
      </c>
      <c r="I355" s="89">
        <f>IF('2020 Assumptions'!$B$14="Gross",Canada!G355/Canada!$G$366,(Canada!G355+Canada!H355)/(Canada!$G$366+Canada!$H$366))</f>
        <v>1.4680108824498151E-2</v>
      </c>
      <c r="J355" s="108">
        <f>J306</f>
        <v>0.43249046909600131</v>
      </c>
      <c r="K355" s="45">
        <f t="shared" si="95"/>
        <v>4.0701154629776146E-3</v>
      </c>
      <c r="L355" s="89">
        <f t="shared" si="98"/>
        <v>7.9193491195390271E-3</v>
      </c>
    </row>
    <row r="356" spans="2:12" x14ac:dyDescent="0.25">
      <c r="B356" s="68" t="str">
        <f t="shared" si="102"/>
        <v>Coastal Ops</v>
      </c>
      <c r="E356" s="76">
        <f t="shared" ref="E356:E363" si="124">E268</f>
        <v>905168.62000481982</v>
      </c>
      <c r="F356" s="45">
        <f t="shared" si="93"/>
        <v>1.7503743369289747E-2</v>
      </c>
      <c r="G356" s="76">
        <f>G268</f>
        <v>125370.66311832656</v>
      </c>
      <c r="H356" s="76">
        <f>H268</f>
        <v>0</v>
      </c>
      <c r="I356" s="89">
        <f>IF('2020 Assumptions'!$B$14="Gross",Canada!G356/Canada!$G$366,(Canada!G356+Canada!H356)/(Canada!$G$366+Canada!$H$366))</f>
        <v>8.8427224499734453E-4</v>
      </c>
      <c r="J356" s="108">
        <f t="shared" ref="J356:J363" si="125">J268</f>
        <v>5.0502624086764385</v>
      </c>
      <c r="K356" s="45">
        <f t="shared" si="95"/>
        <v>4.7527408325582901E-2</v>
      </c>
      <c r="L356" s="89">
        <f t="shared" si="98"/>
        <v>2.1971807979956667E-2</v>
      </c>
    </row>
    <row r="357" spans="2:12" x14ac:dyDescent="0.25">
      <c r="B357" s="68" t="str">
        <f t="shared" si="102"/>
        <v>Island Ops</v>
      </c>
      <c r="E357" s="76">
        <f t="shared" si="124"/>
        <v>77812.707431577408</v>
      </c>
      <c r="F357" s="45">
        <f t="shared" si="93"/>
        <v>1.5047071138465933E-3</v>
      </c>
      <c r="G357" s="76">
        <f t="shared" ref="G357" si="126">G269</f>
        <v>84009.791875002469</v>
      </c>
      <c r="H357" s="76">
        <f t="shared" ref="H357:H363" si="127">H269</f>
        <v>0</v>
      </c>
      <c r="I357" s="89">
        <f>IF('2020 Assumptions'!$B$14="Gross",Canada!G357/Canada!$G$366,(Canada!G357+Canada!H357)/(Canada!$G$366+Canada!$H$366))</f>
        <v>5.9254314697972457E-4</v>
      </c>
      <c r="J357" s="108">
        <f t="shared" si="125"/>
        <v>1.645274549474593E-3</v>
      </c>
      <c r="K357" s="45">
        <f t="shared" si="95"/>
        <v>1.5483479667556872E-5</v>
      </c>
      <c r="L357" s="89">
        <f t="shared" si="98"/>
        <v>7.0424458016462503E-4</v>
      </c>
    </row>
    <row r="358" spans="2:12" x14ac:dyDescent="0.25">
      <c r="B358" s="68" t="str">
        <f t="shared" si="102"/>
        <v>Kamloops Ops</v>
      </c>
      <c r="E358" s="76">
        <f t="shared" si="124"/>
        <v>1419029.6730442645</v>
      </c>
      <c r="F358" s="45">
        <f t="shared" si="93"/>
        <v>2.744055713093731E-2</v>
      </c>
      <c r="G358" s="76">
        <f t="shared" ref="G358" si="128">G270</f>
        <v>29245.549154765216</v>
      </c>
      <c r="H358" s="76">
        <f t="shared" si="127"/>
        <v>0</v>
      </c>
      <c r="I358" s="89">
        <f>IF('2020 Assumptions'!$B$14="Gross",Canada!G358/Canada!$G$366,(Canada!G358+Canada!H358)/(Canada!$G$366+Canada!$H$366))</f>
        <v>2.0627654639472103E-4</v>
      </c>
      <c r="J358" s="108">
        <f t="shared" si="125"/>
        <v>9.7913271749113502</v>
      </c>
      <c r="K358" s="45">
        <f t="shared" si="95"/>
        <v>9.2144995058454277E-2</v>
      </c>
      <c r="L358" s="89">
        <f t="shared" si="98"/>
        <v>3.9930609578595441E-2</v>
      </c>
    </row>
    <row r="359" spans="2:12" x14ac:dyDescent="0.25">
      <c r="B359" s="68" t="str">
        <f t="shared" si="102"/>
        <v>Kootenay Ops</v>
      </c>
      <c r="E359" s="76">
        <f t="shared" si="124"/>
        <v>679153.56688648649</v>
      </c>
      <c r="F359" s="45">
        <f t="shared" si="93"/>
        <v>1.3133165998458408E-2</v>
      </c>
      <c r="G359" s="76">
        <f t="shared" ref="G359" si="129">G271</f>
        <v>11782.948358130883</v>
      </c>
      <c r="H359" s="76">
        <f t="shared" si="127"/>
        <v>0</v>
      </c>
      <c r="I359" s="89">
        <f>IF('2020 Assumptions'!$B$14="Gross",Canada!G359/Canada!$G$366,(Canada!G359+Canada!H359)/(Canada!$G$366+Canada!$H$366))</f>
        <v>8.3108232326236162E-5</v>
      </c>
      <c r="J359" s="108">
        <f t="shared" si="125"/>
        <v>6.053602207786609</v>
      </c>
      <c r="K359" s="45">
        <f t="shared" si="95"/>
        <v>5.6969717746909558E-2</v>
      </c>
      <c r="L359" s="89">
        <f t="shared" si="98"/>
        <v>2.3395330659231404E-2</v>
      </c>
    </row>
    <row r="360" spans="2:12" x14ac:dyDescent="0.25">
      <c r="B360" s="68" t="str">
        <f>B95</f>
        <v>Alberta Ops (North)</v>
      </c>
      <c r="E360" s="76">
        <f t="shared" si="124"/>
        <v>1551933.6885812096</v>
      </c>
      <c r="F360" s="45">
        <f t="shared" si="93"/>
        <v>3.0010595165060057E-2</v>
      </c>
      <c r="G360" s="76">
        <f t="shared" ref="G360" si="130">G272</f>
        <v>393040.44464193832</v>
      </c>
      <c r="H360" s="76">
        <f t="shared" si="127"/>
        <v>0</v>
      </c>
      <c r="I360" s="89">
        <f>IF('2020 Assumptions'!$B$14="Gross",Canada!G360/Canada!$G$366,(Canada!G360+Canada!H360)/(Canada!$G$366+Canada!$H$366))</f>
        <v>2.7722175803621169E-3</v>
      </c>
      <c r="J360" s="108">
        <f t="shared" si="125"/>
        <v>5.7658531080286926</v>
      </c>
      <c r="K360" s="45">
        <f t="shared" si="95"/>
        <v>5.4261745793607125E-2</v>
      </c>
      <c r="L360" s="89">
        <f t="shared" si="98"/>
        <v>2.90148528463431E-2</v>
      </c>
    </row>
    <row r="361" spans="2:12" x14ac:dyDescent="0.25">
      <c r="B361" s="68" t="str">
        <f>B96</f>
        <v>Alberta Ops (South)</v>
      </c>
      <c r="E361" s="76">
        <f t="shared" si="124"/>
        <v>2669147.4761368511</v>
      </c>
      <c r="F361" s="45">
        <f t="shared" si="93"/>
        <v>5.1614772545736397E-2</v>
      </c>
      <c r="G361" s="76">
        <f t="shared" ref="G361" si="131">G273</f>
        <v>171526.6926494567</v>
      </c>
      <c r="H361" s="76">
        <f t="shared" si="127"/>
        <v>0</v>
      </c>
      <c r="I361" s="89">
        <f>IF('2020 Assumptions'!$B$14="Gross",Canada!G361/Canada!$G$366,(Canada!G361+Canada!H361)/(Canada!$G$366+Canada!$H$366))</f>
        <v>1.209822854992403E-3</v>
      </c>
      <c r="J361" s="108">
        <f t="shared" si="125"/>
        <v>8.5011523344675872</v>
      </c>
      <c r="K361" s="45">
        <f t="shared" si="95"/>
        <v>8.0003315777033582E-2</v>
      </c>
      <c r="L361" s="89">
        <f t="shared" si="98"/>
        <v>4.4275970392587467E-2</v>
      </c>
    </row>
    <row r="362" spans="2:12" x14ac:dyDescent="0.25">
      <c r="B362" s="68" t="str">
        <f>B99</f>
        <v>Corix Water Services Inc. (See note)</v>
      </c>
      <c r="E362" s="76">
        <f t="shared" si="124"/>
        <v>6369588.2477218397</v>
      </c>
      <c r="F362" s="45">
        <f t="shared" si="93"/>
        <v>0.12317223066744558</v>
      </c>
      <c r="G362" s="76">
        <f t="shared" ref="G362" si="132">G274</f>
        <v>1116692.0534798473</v>
      </c>
      <c r="H362" s="76">
        <f t="shared" si="127"/>
        <v>0</v>
      </c>
      <c r="I362" s="89">
        <f>IF('2020 Assumptions'!$B$14="Gross",Canada!G362/Canada!$G$366,(Canada!G362+Canada!H362)/(Canada!$G$366+Canada!$H$366))</f>
        <v>7.8763226144009553E-3</v>
      </c>
      <c r="J362" s="108">
        <f t="shared" si="125"/>
        <v>39.383011390654531</v>
      </c>
      <c r="K362" s="45">
        <f t="shared" si="95"/>
        <v>0.37062875391167449</v>
      </c>
      <c r="L362" s="89">
        <f t="shared" si="98"/>
        <v>0.16722576906450703</v>
      </c>
    </row>
    <row r="363" spans="2:12" x14ac:dyDescent="0.25">
      <c r="B363" s="68" t="str">
        <f>B100</f>
        <v>Corix Energy Inc.</v>
      </c>
      <c r="E363" s="76">
        <f t="shared" si="124"/>
        <v>484841.88537760603</v>
      </c>
      <c r="F363" s="45">
        <f t="shared" si="93"/>
        <v>9.375654158544541E-3</v>
      </c>
      <c r="G363" s="76">
        <f t="shared" ref="G363" si="133">G275</f>
        <v>1162.3559404962753</v>
      </c>
      <c r="H363" s="76">
        <f t="shared" si="127"/>
        <v>0</v>
      </c>
      <c r="I363" s="89">
        <f>IF('2020 Assumptions'!$B$14="Gross",Canada!G363/Canada!$G$366,(Canada!G363+Canada!H363)/(Canada!$G$366+Canada!$H$366))</f>
        <v>8.1984020138631034E-6</v>
      </c>
      <c r="J363" s="108">
        <f t="shared" si="125"/>
        <v>6.9629768459141574E-3</v>
      </c>
      <c r="K363" s="45">
        <f t="shared" si="95"/>
        <v>6.5527732410259351E-5</v>
      </c>
      <c r="L363" s="89">
        <f t="shared" si="98"/>
        <v>3.1497934309895545E-3</v>
      </c>
    </row>
    <row r="364" spans="2:12" s="131" customFormat="1" x14ac:dyDescent="0.25">
      <c r="B364" s="131" t="str">
        <f>B101</f>
        <v>Cambie Thermal</v>
      </c>
      <c r="E364" s="76">
        <f>E307</f>
        <v>0</v>
      </c>
      <c r="F364" s="45">
        <f t="shared" si="93"/>
        <v>0</v>
      </c>
      <c r="G364" s="76">
        <f>G307</f>
        <v>0</v>
      </c>
      <c r="H364" s="76">
        <f>H307</f>
        <v>0</v>
      </c>
      <c r="I364" s="89">
        <f>IF('2020 Assumptions'!$B$14="Gross",Canada!G364/Canada!$G$366,(Canada!G364+Canada!H364)/(Canada!$G$366+Canada!$H$366))</f>
        <v>0</v>
      </c>
      <c r="J364" s="108">
        <f>J307</f>
        <v>0</v>
      </c>
      <c r="K364" s="45">
        <f t="shared" si="95"/>
        <v>0</v>
      </c>
      <c r="L364" s="89">
        <f t="shared" si="98"/>
        <v>0</v>
      </c>
    </row>
    <row r="365" spans="2:12" x14ac:dyDescent="0.25">
      <c r="E365" s="79"/>
      <c r="F365" s="79"/>
      <c r="G365" s="79"/>
      <c r="H365" s="79"/>
      <c r="I365" s="79"/>
      <c r="J365" s="79"/>
      <c r="K365" s="79"/>
      <c r="L365" s="79"/>
    </row>
    <row r="366" spans="2:12" x14ac:dyDescent="0.25">
      <c r="E366" s="76">
        <f t="shared" ref="E366:L366" si="134">SUM(E323:E365)</f>
        <v>51712859.410001107</v>
      </c>
      <c r="F366" s="65">
        <f t="shared" si="134"/>
        <v>1.0000000000000002</v>
      </c>
      <c r="G366" s="76">
        <f t="shared" si="134"/>
        <v>141778353.69999999</v>
      </c>
      <c r="H366" s="76">
        <f t="shared" si="134"/>
        <v>-25114841.090000004</v>
      </c>
      <c r="I366" s="80">
        <f t="shared" si="134"/>
        <v>0.99999999999999989</v>
      </c>
      <c r="J366" s="76">
        <f t="shared" si="134"/>
        <v>106.25999999999999</v>
      </c>
      <c r="K366" s="80">
        <f t="shared" si="134"/>
        <v>1.0000000000000002</v>
      </c>
      <c r="L366" s="45">
        <f t="shared" si="134"/>
        <v>1.0000000000000002</v>
      </c>
    </row>
    <row r="369" spans="2:12" x14ac:dyDescent="0.25">
      <c r="B369" s="69" t="s">
        <v>137</v>
      </c>
    </row>
    <row r="370" spans="2:12" x14ac:dyDescent="0.25">
      <c r="B370" s="68" t="str">
        <f t="shared" ref="B370:B411" si="135">B323</f>
        <v>Panorama - Wastewater Treatment Plant</v>
      </c>
      <c r="C370" s="76"/>
      <c r="E370" s="74">
        <f t="shared" ref="E370:E409" si="136">E323+(L323*$E$320)</f>
        <v>1631282.8328686915</v>
      </c>
      <c r="F370" s="45">
        <f t="shared" ref="F370:F411" si="137">E370/$E$414</f>
        <v>3.1721070610818108E-2</v>
      </c>
      <c r="G370" s="74">
        <f t="shared" ref="G370:G409" si="138">G323+(L323*$G$320)</f>
        <v>4740773.9312297842</v>
      </c>
      <c r="H370" s="74">
        <f t="shared" ref="H370:H411" si="139">H323+(L323*$H$320)</f>
        <v>0</v>
      </c>
      <c r="I370" s="89">
        <f>IF('2020 Assumptions'!$B$14="Gross",Canada!G370/Canada!$G$414,(Canada!G370+Canada!H370)/(Canada!$G$414+Canada!$H$414))</f>
        <v>3.2960882952784945E-2</v>
      </c>
      <c r="J370" s="75">
        <f t="shared" ref="J370:J411" si="140">J323+(L323*$J$320)</f>
        <v>1.7558885879002362</v>
      </c>
      <c r="K370" s="45">
        <f t="shared" ref="K370:K411" si="141">J370/$J$414</f>
        <v>1.3690071634962079E-2</v>
      </c>
      <c r="L370" s="89">
        <f t="shared" ref="L370:L410" si="142">(F370*$F$196)+(I370*$I$196)+(K370*$K$196)</f>
        <v>2.6124008399521715E-2</v>
      </c>
    </row>
    <row r="371" spans="2:12" x14ac:dyDescent="0.25">
      <c r="B371" s="68" t="str">
        <f t="shared" si="135"/>
        <v>Panorama - Propane Storage Farm</v>
      </c>
      <c r="C371" s="76"/>
      <c r="E371" s="74">
        <f t="shared" si="136"/>
        <v>683914.17581673211</v>
      </c>
      <c r="F371" s="45">
        <f t="shared" si="137"/>
        <v>1.3299036455052492E-2</v>
      </c>
      <c r="G371" s="74">
        <f t="shared" si="138"/>
        <v>641070.14542194596</v>
      </c>
      <c r="H371" s="74">
        <f t="shared" si="139"/>
        <v>0</v>
      </c>
      <c r="I371" s="89">
        <f>IF('2020 Assumptions'!$B$14="Gross",Canada!G371/Canada!$G$414,(Canada!G371+Canada!H371)/(Canada!$G$414+Canada!$H$414))</f>
        <v>4.4571283790991222E-3</v>
      </c>
      <c r="J371" s="75">
        <f t="shared" si="140"/>
        <v>0.46927114412435894</v>
      </c>
      <c r="K371" s="45">
        <f t="shared" si="141"/>
        <v>3.6587489796067285E-3</v>
      </c>
      <c r="L371" s="89">
        <f t="shared" si="142"/>
        <v>7.1383046045861154E-3</v>
      </c>
    </row>
    <row r="372" spans="2:12" x14ac:dyDescent="0.25">
      <c r="B372" s="68" t="str">
        <f t="shared" si="135"/>
        <v>Panorama - Propane Distribution</v>
      </c>
      <c r="C372" s="76"/>
      <c r="E372" s="74">
        <f t="shared" si="136"/>
        <v>832025.42649723962</v>
      </c>
      <c r="F372" s="45">
        <f t="shared" si="137"/>
        <v>1.6179130174196744E-2</v>
      </c>
      <c r="G372" s="74">
        <f t="shared" si="138"/>
        <v>229162.8279382507</v>
      </c>
      <c r="H372" s="74">
        <f t="shared" si="139"/>
        <v>-154771.78</v>
      </c>
      <c r="I372" s="89">
        <f>IF('2020 Assumptions'!$B$14="Gross",Canada!G372/Canada!$G$414,(Canada!G372+Canada!H372)/(Canada!$G$414+Canada!$H$414))</f>
        <v>1.5932860875402422E-3</v>
      </c>
      <c r="J372" s="75">
        <f t="shared" si="140"/>
        <v>0.46173829906009267</v>
      </c>
      <c r="K372" s="45">
        <f t="shared" si="141"/>
        <v>3.6000179249968244E-3</v>
      </c>
      <c r="L372" s="89">
        <f t="shared" si="142"/>
        <v>7.1241447289112705E-3</v>
      </c>
    </row>
    <row r="373" spans="2:12" x14ac:dyDescent="0.25">
      <c r="B373" s="68" t="str">
        <f t="shared" si="135"/>
        <v>Panorama - Water</v>
      </c>
      <c r="C373" s="76"/>
      <c r="E373" s="74">
        <f t="shared" si="136"/>
        <v>489182.79800963408</v>
      </c>
      <c r="F373" s="45">
        <f t="shared" si="137"/>
        <v>9.5123921888965492E-3</v>
      </c>
      <c r="G373" s="74">
        <f t="shared" si="138"/>
        <v>4697922.2971877279</v>
      </c>
      <c r="H373" s="74">
        <f t="shared" si="139"/>
        <v>-1352166.69</v>
      </c>
      <c r="I373" s="89">
        <f>IF('2020 Assumptions'!$B$14="Gross",Canada!G373/Canada!$G$414,(Canada!G373+Canada!H373)/(Canada!$G$414+Canada!$H$414))</f>
        <v>3.2662951071939193E-2</v>
      </c>
      <c r="J373" s="75">
        <f t="shared" si="140"/>
        <v>1.1759277021030807</v>
      </c>
      <c r="K373" s="45">
        <f t="shared" si="141"/>
        <v>9.1683120388514026E-3</v>
      </c>
      <c r="L373" s="89">
        <f t="shared" si="142"/>
        <v>1.7114551766562382E-2</v>
      </c>
    </row>
    <row r="374" spans="2:12" x14ac:dyDescent="0.25">
      <c r="B374" s="68" t="str">
        <f t="shared" si="135"/>
        <v>Panorama - Sewer</v>
      </c>
      <c r="C374" s="76"/>
      <c r="E374" s="74">
        <f t="shared" si="136"/>
        <v>948264.50099747127</v>
      </c>
      <c r="F374" s="45">
        <f t="shared" si="137"/>
        <v>1.8439454267397567E-2</v>
      </c>
      <c r="G374" s="74">
        <f t="shared" si="138"/>
        <v>1511136.1007235462</v>
      </c>
      <c r="H374" s="74">
        <f t="shared" si="139"/>
        <v>-304489.15000000002</v>
      </c>
      <c r="I374" s="89">
        <f>IF('2020 Assumptions'!$B$14="Gross",Canada!G374/Canada!$G$414,(Canada!G374+Canada!H374)/(Canada!$G$414+Canada!$H$414))</f>
        <v>1.0506381629709152E-2</v>
      </c>
      <c r="J374" s="75">
        <f t="shared" si="140"/>
        <v>0.77399542227112328</v>
      </c>
      <c r="K374" s="45">
        <f t="shared" si="141"/>
        <v>6.0345814928358284E-3</v>
      </c>
      <c r="L374" s="89">
        <f t="shared" si="142"/>
        <v>1.1660139129980849E-2</v>
      </c>
    </row>
    <row r="375" spans="2:12" x14ac:dyDescent="0.25">
      <c r="B375" s="68" t="str">
        <f t="shared" si="135"/>
        <v>Sun Rivers - Electric</v>
      </c>
      <c r="C375" s="76"/>
      <c r="E375" s="74">
        <f t="shared" si="136"/>
        <v>1619292.5765711037</v>
      </c>
      <c r="F375" s="45">
        <f t="shared" si="137"/>
        <v>3.148791437390195E-2</v>
      </c>
      <c r="G375" s="74">
        <f t="shared" si="138"/>
        <v>7964219.1354017165</v>
      </c>
      <c r="H375" s="74">
        <f t="shared" si="139"/>
        <v>-1657553.02</v>
      </c>
      <c r="I375" s="89">
        <f>IF('2020 Assumptions'!$B$14="Gross",Canada!G375/Canada!$G$414,(Canada!G375+Canada!H375)/(Canada!$G$414+Canada!$H$414))</f>
        <v>5.5372329189341887E-2</v>
      </c>
      <c r="J375" s="75">
        <f t="shared" si="140"/>
        <v>1.7189557410076588</v>
      </c>
      <c r="K375" s="45">
        <f t="shared" si="141"/>
        <v>1.3402118673067667E-2</v>
      </c>
      <c r="L375" s="89">
        <f t="shared" si="142"/>
        <v>3.3420787412103845E-2</v>
      </c>
    </row>
    <row r="376" spans="2:12" x14ac:dyDescent="0.25">
      <c r="B376" s="68" t="str">
        <f t="shared" si="135"/>
        <v>Sun Rivers - Gas</v>
      </c>
      <c r="C376" s="76"/>
      <c r="E376" s="74">
        <f t="shared" si="136"/>
        <v>171918.29554080445</v>
      </c>
      <c r="F376" s="45">
        <f t="shared" si="137"/>
        <v>3.3430330303612795E-3</v>
      </c>
      <c r="G376" s="74">
        <f t="shared" si="138"/>
        <v>1557697.9252871771</v>
      </c>
      <c r="H376" s="74">
        <f t="shared" si="139"/>
        <v>-1071272.3399999999</v>
      </c>
      <c r="I376" s="89">
        <f>IF('2020 Assumptions'!$B$14="Gross",Canada!G376/Canada!$G$414,(Canada!G376+Canada!H376)/(Canada!$G$414+Canada!$H$414))</f>
        <v>1.0830109120573039E-2</v>
      </c>
      <c r="J376" s="75">
        <f t="shared" si="140"/>
        <v>0.25789846315185938</v>
      </c>
      <c r="K376" s="45">
        <f t="shared" si="141"/>
        <v>2.0107474126918714E-3</v>
      </c>
      <c r="L376" s="89">
        <f t="shared" si="142"/>
        <v>5.3946298545420636E-3</v>
      </c>
    </row>
    <row r="377" spans="2:12" x14ac:dyDescent="0.25">
      <c r="B377" s="68" t="str">
        <f t="shared" si="135"/>
        <v>Sun Rivers - Domestic Water</v>
      </c>
      <c r="C377" s="76"/>
      <c r="E377" s="74">
        <f t="shared" si="136"/>
        <v>376686.10036473046</v>
      </c>
      <c r="F377" s="45">
        <f t="shared" si="137"/>
        <v>7.324840393722911E-3</v>
      </c>
      <c r="G377" s="74">
        <f t="shared" si="138"/>
        <v>3389710.6111132228</v>
      </c>
      <c r="H377" s="74">
        <f t="shared" si="139"/>
        <v>-1824487.84</v>
      </c>
      <c r="I377" s="89">
        <f>IF('2020 Assumptions'!$B$14="Gross",Canada!G377/Canada!$G$414,(Canada!G377+Canada!H377)/(Canada!$G$414+Canada!$H$414))</f>
        <v>2.3567429351716251E-2</v>
      </c>
      <c r="J377" s="75">
        <f t="shared" si="140"/>
        <v>0.56260572128775888</v>
      </c>
      <c r="K377" s="45">
        <f t="shared" si="141"/>
        <v>4.3864472266315216E-3</v>
      </c>
      <c r="L377" s="89">
        <f t="shared" si="142"/>
        <v>1.1759572324023564E-2</v>
      </c>
    </row>
    <row r="378" spans="2:12" x14ac:dyDescent="0.25">
      <c r="B378" s="68" t="str">
        <f t="shared" si="135"/>
        <v>Sun Rivers - Irrigation Water</v>
      </c>
      <c r="C378" s="76"/>
      <c r="E378" s="74">
        <f t="shared" si="136"/>
        <v>283191.26031853084</v>
      </c>
      <c r="F378" s="45">
        <f t="shared" si="137"/>
        <v>5.5067887578596113E-3</v>
      </c>
      <c r="G378" s="74">
        <f t="shared" si="138"/>
        <v>3537578.3711468959</v>
      </c>
      <c r="H378" s="74">
        <f t="shared" si="139"/>
        <v>-1890555.3</v>
      </c>
      <c r="I378" s="89">
        <f>IF('2020 Assumptions'!$B$14="Gross",Canada!G378/Canada!$G$414,(Canada!G378+Canada!H378)/(Canada!$G$414+Canada!$H$414))</f>
        <v>2.4595500295756412E-2</v>
      </c>
      <c r="J378" s="75">
        <f t="shared" si="140"/>
        <v>0.52769789617976692</v>
      </c>
      <c r="K378" s="45">
        <f t="shared" si="141"/>
        <v>4.1142826772163337E-3</v>
      </c>
      <c r="L378" s="89">
        <f t="shared" si="142"/>
        <v>1.1405523910277455E-2</v>
      </c>
    </row>
    <row r="379" spans="2:12" x14ac:dyDescent="0.25">
      <c r="B379" s="68" t="str">
        <f t="shared" si="135"/>
        <v>Sun Rivers - Sewer</v>
      </c>
      <c r="C379" s="76"/>
      <c r="E379" s="74">
        <f t="shared" si="136"/>
        <v>324264.60267144721</v>
      </c>
      <c r="F379" s="45">
        <f t="shared" si="137"/>
        <v>6.3054794365986063E-3</v>
      </c>
      <c r="G379" s="74">
        <f t="shared" si="138"/>
        <v>3073182.7193970247</v>
      </c>
      <c r="H379" s="74">
        <f t="shared" si="139"/>
        <v>-1784687.9500000002</v>
      </c>
      <c r="I379" s="89">
        <f>IF('2020 Assumptions'!$B$14="Gross",Canada!G379/Canada!$G$414,(Canada!G379+Canada!H379)/(Canada!$G$414+Canada!$H$414))</f>
        <v>2.1366725639307207E-2</v>
      </c>
      <c r="J379" s="75">
        <f t="shared" si="140"/>
        <v>0.50074274995903201</v>
      </c>
      <c r="K379" s="45">
        <f t="shared" si="141"/>
        <v>3.90412248525676E-3</v>
      </c>
      <c r="L379" s="89">
        <f t="shared" si="142"/>
        <v>1.0525442520387526E-2</v>
      </c>
    </row>
    <row r="380" spans="2:12" x14ac:dyDescent="0.25">
      <c r="B380" s="68" t="str">
        <f t="shared" si="135"/>
        <v>Sun Rivers - Geothermal</v>
      </c>
      <c r="C380" s="76"/>
      <c r="E380" s="74">
        <f t="shared" si="136"/>
        <v>1036020.1283765938</v>
      </c>
      <c r="F380" s="45">
        <f t="shared" si="137"/>
        <v>2.0145904183071914E-2</v>
      </c>
      <c r="G380" s="74">
        <f t="shared" si="138"/>
        <v>11841248.836181378</v>
      </c>
      <c r="H380" s="74">
        <f t="shared" si="139"/>
        <v>-2243871.87</v>
      </c>
      <c r="I380" s="89">
        <f>IF('2020 Assumptions'!$B$14="Gross",Canada!G380/Canada!$G$414,(Canada!G380+Canada!H380)/(Canada!$G$414+Canada!$H$414))</f>
        <v>8.2327911553236571E-2</v>
      </c>
      <c r="J380" s="75">
        <f t="shared" si="140"/>
        <v>1.8139965207764486</v>
      </c>
      <c r="K380" s="45">
        <f t="shared" si="141"/>
        <v>1.4143119606864561E-2</v>
      </c>
      <c r="L380" s="89">
        <f t="shared" si="142"/>
        <v>3.8872311781057683E-2</v>
      </c>
    </row>
    <row r="381" spans="2:12" x14ac:dyDescent="0.25">
      <c r="B381" s="68" t="str">
        <f t="shared" si="135"/>
        <v>Sun Rivers - Municipal</v>
      </c>
      <c r="C381" s="76"/>
      <c r="E381" s="74">
        <f t="shared" si="136"/>
        <v>820192.99443916208</v>
      </c>
      <c r="F381" s="45">
        <f t="shared" si="137"/>
        <v>1.5949042904687547E-2</v>
      </c>
      <c r="G381" s="74">
        <f t="shared" si="138"/>
        <v>6574395.149168402</v>
      </c>
      <c r="H381" s="74">
        <f t="shared" si="139"/>
        <v>-4272324.42</v>
      </c>
      <c r="I381" s="89">
        <f>IF('2020 Assumptions'!$B$14="Gross",Canada!G381/Canada!$G$414,(Canada!G381+Canada!H381)/(Canada!$G$414+Canada!$H$414))</f>
        <v>4.5709386724729163E-2</v>
      </c>
      <c r="J381" s="75">
        <f t="shared" si="140"/>
        <v>1.1396418579063812</v>
      </c>
      <c r="K381" s="45">
        <f t="shared" si="141"/>
        <v>8.8854035389551011E-3</v>
      </c>
      <c r="L381" s="89">
        <f t="shared" si="142"/>
        <v>2.351461105612394E-2</v>
      </c>
    </row>
    <row r="382" spans="2:12" x14ac:dyDescent="0.25">
      <c r="B382" s="68" t="str">
        <f t="shared" si="135"/>
        <v>Foothills - Wastewater</v>
      </c>
      <c r="C382" s="76"/>
      <c r="E382" s="74">
        <f t="shared" si="136"/>
        <v>921895.51803017163</v>
      </c>
      <c r="F382" s="45">
        <f t="shared" si="137"/>
        <v>1.7926696851094576E-2</v>
      </c>
      <c r="G382" s="74">
        <f t="shared" si="138"/>
        <v>2076752.2116059237</v>
      </c>
      <c r="H382" s="74">
        <f t="shared" si="139"/>
        <v>-189353.8</v>
      </c>
      <c r="I382" s="89">
        <f>IF('2020 Assumptions'!$B$14="Gross",Canada!G382/Canada!$G$414,(Canada!G382+Canada!H382)/(Canada!$G$414+Canada!$H$414))</f>
        <v>1.4438905453338792E-2</v>
      </c>
      <c r="J382" s="75">
        <f t="shared" si="140"/>
        <v>2.4186103152405045</v>
      </c>
      <c r="K382" s="45">
        <f t="shared" si="141"/>
        <v>1.8857089624516644E-2</v>
      </c>
      <c r="L382" s="89">
        <f t="shared" si="142"/>
        <v>1.7074230642983339E-2</v>
      </c>
    </row>
    <row r="383" spans="2:12" x14ac:dyDescent="0.25">
      <c r="B383" s="68" t="str">
        <f t="shared" si="135"/>
        <v>Foothills - Water</v>
      </c>
      <c r="C383" s="76"/>
      <c r="E383" s="74">
        <f t="shared" si="136"/>
        <v>1288243.2989863893</v>
      </c>
      <c r="F383" s="45">
        <f t="shared" si="137"/>
        <v>2.5050503706459261E-2</v>
      </c>
      <c r="G383" s="74">
        <f t="shared" si="138"/>
        <v>4308327.9783939058</v>
      </c>
      <c r="H383" s="74">
        <f t="shared" si="139"/>
        <v>-376811.81</v>
      </c>
      <c r="I383" s="89">
        <f>IF('2020 Assumptions'!$B$14="Gross",Canada!G383/Canada!$G$414,(Canada!G383+Canada!H383)/(Canada!$G$414+Canada!$H$414))</f>
        <v>2.9954242973406844E-2</v>
      </c>
      <c r="J383" s="75">
        <f t="shared" si="140"/>
        <v>4.0379034110772967</v>
      </c>
      <c r="K383" s="45">
        <f t="shared" si="141"/>
        <v>3.1482172236685618E-2</v>
      </c>
      <c r="L383" s="89">
        <f t="shared" si="142"/>
        <v>2.8828972972183911E-2</v>
      </c>
    </row>
    <row r="384" spans="2:12" x14ac:dyDescent="0.25">
      <c r="B384" s="68" t="str">
        <f t="shared" si="135"/>
        <v>Sage Meadows - Wastewater</v>
      </c>
      <c r="C384" s="76"/>
      <c r="E384" s="74">
        <f t="shared" si="136"/>
        <v>48479.358739741612</v>
      </c>
      <c r="F384" s="45">
        <f t="shared" si="137"/>
        <v>9.4270419007977803E-4</v>
      </c>
      <c r="G384" s="74">
        <f t="shared" si="138"/>
        <v>242333.59896795152</v>
      </c>
      <c r="H384" s="74">
        <f t="shared" si="139"/>
        <v>0</v>
      </c>
      <c r="I384" s="89">
        <f>IF('2020 Assumptions'!$B$14="Gross",Canada!G384/Canada!$G$414,(Canada!G384+Canada!H384)/(Canada!$G$414+Canada!$H$414))</f>
        <v>1.6848576850484335E-3</v>
      </c>
      <c r="J384" s="75">
        <f t="shared" si="140"/>
        <v>2.1717500722966195E-2</v>
      </c>
      <c r="K384" s="45">
        <f t="shared" si="141"/>
        <v>1.6932403495217681E-4</v>
      </c>
      <c r="L384" s="89">
        <f t="shared" si="142"/>
        <v>9.3229530336012953E-4</v>
      </c>
    </row>
    <row r="385" spans="2:12" x14ac:dyDescent="0.25">
      <c r="B385" s="68" t="str">
        <f t="shared" si="135"/>
        <v>Sage Meadows - Water</v>
      </c>
      <c r="C385" s="76"/>
      <c r="E385" s="74">
        <f t="shared" si="136"/>
        <v>49152.630513586882</v>
      </c>
      <c r="F385" s="45">
        <f t="shared" si="137"/>
        <v>9.5579627996639769E-4</v>
      </c>
      <c r="G385" s="74">
        <f t="shared" si="138"/>
        <v>124779.69519261121</v>
      </c>
      <c r="H385" s="74">
        <f t="shared" si="139"/>
        <v>0</v>
      </c>
      <c r="I385" s="89">
        <f>IF('2020 Assumptions'!$B$14="Gross",Canada!G385/Canada!$G$414,(Canada!G385+Canada!H385)/(Canada!$G$414+Canada!$H$414))</f>
        <v>8.675479969703898E-4</v>
      </c>
      <c r="J385" s="75">
        <f t="shared" si="140"/>
        <v>1.497218203037431E-2</v>
      </c>
      <c r="K385" s="45">
        <f t="shared" si="141"/>
        <v>1.1673305808805793E-4</v>
      </c>
      <c r="L385" s="89">
        <f t="shared" si="142"/>
        <v>6.46692445008282E-4</v>
      </c>
    </row>
    <row r="386" spans="2:12" x14ac:dyDescent="0.25">
      <c r="B386" s="68" t="str">
        <f t="shared" si="135"/>
        <v>Canadian Lakeview Estates (in Adventure Bay) - Wastewater</v>
      </c>
      <c r="C386" s="76"/>
      <c r="E386" s="74">
        <f t="shared" si="136"/>
        <v>151783.75034620726</v>
      </c>
      <c r="F386" s="45">
        <f t="shared" si="137"/>
        <v>2.9515072219817727E-3</v>
      </c>
      <c r="G386" s="74">
        <f t="shared" si="138"/>
        <v>312391.61824642052</v>
      </c>
      <c r="H386" s="74">
        <f t="shared" si="139"/>
        <v>0</v>
      </c>
      <c r="I386" s="89">
        <f>IF('2020 Assumptions'!$B$14="Gross",Canada!G386/Canada!$G$414,(Canada!G386+Canada!H386)/(Canada!$G$414+Canada!$H$414))</f>
        <v>2.1719457020766058E-3</v>
      </c>
      <c r="J386" s="75">
        <f t="shared" si="140"/>
        <v>4.1984070134051837E-2</v>
      </c>
      <c r="K386" s="45">
        <f t="shared" si="141"/>
        <v>3.2733564738852207E-4</v>
      </c>
      <c r="L386" s="89">
        <f t="shared" si="142"/>
        <v>1.8169295238156336E-3</v>
      </c>
    </row>
    <row r="387" spans="2:12" x14ac:dyDescent="0.25">
      <c r="B387" s="68" t="str">
        <f t="shared" si="135"/>
        <v>Canadian Lakeview Estates (in Adventure Bay) - Water</v>
      </c>
      <c r="C387" s="76"/>
      <c r="E387" s="74">
        <f t="shared" si="136"/>
        <v>149150.93849676158</v>
      </c>
      <c r="F387" s="45">
        <f t="shared" si="137"/>
        <v>2.9003109432626504E-3</v>
      </c>
      <c r="G387" s="74">
        <f t="shared" si="138"/>
        <v>220056.05156893426</v>
      </c>
      <c r="H387" s="74">
        <f t="shared" si="139"/>
        <v>0</v>
      </c>
      <c r="I387" s="89">
        <f>IF('2020 Assumptions'!$B$14="Gross",Canada!G387/Canada!$G$414,(Canada!G387+Canada!H387)/(Canada!$G$414+Canada!$H$414))</f>
        <v>1.5299699719986681E-3</v>
      </c>
      <c r="J387" s="75">
        <f t="shared" si="140"/>
        <v>3.6190489720238569E-2</v>
      </c>
      <c r="K387" s="45">
        <f t="shared" si="141"/>
        <v>2.8216505317510193E-4</v>
      </c>
      <c r="L387" s="89">
        <f t="shared" si="142"/>
        <v>1.5708153228121402E-3</v>
      </c>
    </row>
    <row r="388" spans="2:12" x14ac:dyDescent="0.25">
      <c r="B388" s="68" t="str">
        <f t="shared" si="135"/>
        <v>Cultus Lake - Water</v>
      </c>
      <c r="C388" s="76"/>
      <c r="E388" s="74">
        <f t="shared" si="136"/>
        <v>177997.42832449675</v>
      </c>
      <c r="F388" s="45">
        <f t="shared" si="137"/>
        <v>3.4612446589020701E-3</v>
      </c>
      <c r="G388" s="74">
        <f t="shared" si="138"/>
        <v>7673.2144849595679</v>
      </c>
      <c r="H388" s="74">
        <f t="shared" si="139"/>
        <v>0</v>
      </c>
      <c r="I388" s="89">
        <f>IF('2020 Assumptions'!$B$14="Gross",Canada!G388/Canada!$G$414,(Canada!G388+Canada!H388)/(Canada!$G$414+Canada!$H$414))</f>
        <v>5.3349079323164113E-5</v>
      </c>
      <c r="J388" s="75">
        <f t="shared" si="140"/>
        <v>2.8332375865783667E-2</v>
      </c>
      <c r="K388" s="45">
        <f t="shared" si="141"/>
        <v>2.2089798741449921E-4</v>
      </c>
      <c r="L388" s="89">
        <f t="shared" si="142"/>
        <v>1.2451639085465779E-3</v>
      </c>
    </row>
    <row r="389" spans="2:12" x14ac:dyDescent="0.25">
      <c r="B389" s="68" t="str">
        <f t="shared" si="135"/>
        <v>Cultus Lake - Wastewater</v>
      </c>
      <c r="C389" s="76"/>
      <c r="E389" s="74">
        <f t="shared" si="136"/>
        <v>143921.76946373604</v>
      </c>
      <c r="F389" s="45">
        <f t="shared" si="137"/>
        <v>2.7986272641419624E-3</v>
      </c>
      <c r="G389" s="74">
        <f t="shared" si="138"/>
        <v>358823.86715407763</v>
      </c>
      <c r="H389" s="74">
        <f t="shared" si="139"/>
        <v>-51421.39</v>
      </c>
      <c r="I389" s="89">
        <f>IF('2020 Assumptions'!$B$14="Gross",Canada!G389/Canada!$G$414,(Canada!G389+Canada!H389)/(Canada!$G$414+Canada!$H$414))</f>
        <v>2.4947723003664033E-3</v>
      </c>
      <c r="J389" s="75">
        <f t="shared" si="140"/>
        <v>4.3458380573991345E-2</v>
      </c>
      <c r="K389" s="45">
        <f t="shared" si="141"/>
        <v>3.3883034908772296E-4</v>
      </c>
      <c r="L389" s="89">
        <f t="shared" si="142"/>
        <v>1.8774099711986964E-3</v>
      </c>
    </row>
    <row r="390" spans="2:12" x14ac:dyDescent="0.25">
      <c r="B390" s="68" t="str">
        <f t="shared" si="135"/>
        <v>Sonoma Pines - Electric</v>
      </c>
      <c r="C390" s="76"/>
      <c r="E390" s="74">
        <f t="shared" si="136"/>
        <v>446977.27037472493</v>
      </c>
      <c r="F390" s="45">
        <f t="shared" si="137"/>
        <v>8.6916856288211056E-3</v>
      </c>
      <c r="G390" s="74">
        <f t="shared" si="138"/>
        <v>7043.1852135903619</v>
      </c>
      <c r="H390" s="74">
        <f t="shared" si="139"/>
        <v>0</v>
      </c>
      <c r="I390" s="89">
        <f>IF('2020 Assumptions'!$B$14="Gross",Canada!G390/Canada!$G$414,(Canada!G390+Canada!H390)/(Canada!$G$414+Canada!$H$414))</f>
        <v>4.8968714139827497E-5</v>
      </c>
      <c r="J390" s="75">
        <f t="shared" si="140"/>
        <v>7.0434222429603788E-2</v>
      </c>
      <c r="K390" s="45">
        <f t="shared" si="141"/>
        <v>5.4915189793859186E-4</v>
      </c>
      <c r="L390" s="89">
        <f t="shared" si="142"/>
        <v>3.0966020802998418E-3</v>
      </c>
    </row>
    <row r="391" spans="2:12" x14ac:dyDescent="0.25">
      <c r="B391" s="68" t="str">
        <f t="shared" si="135"/>
        <v>Sonoma Pines - Gas</v>
      </c>
      <c r="C391" s="76"/>
      <c r="E391" s="74">
        <f t="shared" si="136"/>
        <v>256115.67068240416</v>
      </c>
      <c r="F391" s="45">
        <f t="shared" si="137"/>
        <v>4.9802910387812156E-3</v>
      </c>
      <c r="G391" s="74">
        <f t="shared" si="138"/>
        <v>1053669.4751007697</v>
      </c>
      <c r="H391" s="74">
        <f t="shared" si="139"/>
        <v>-407369.99</v>
      </c>
      <c r="I391" s="89">
        <f>IF('2020 Assumptions'!$B$14="Gross",Canada!G391/Canada!$G$414,(Canada!G391+Canada!H391)/(Canada!$G$414+Canada!$H$414))</f>
        <v>7.3257819806458657E-3</v>
      </c>
      <c r="J391" s="75">
        <f t="shared" si="140"/>
        <v>0.10152889119901833</v>
      </c>
      <c r="K391" s="45">
        <f t="shared" si="141"/>
        <v>7.9158655230795517E-4</v>
      </c>
      <c r="L391" s="89">
        <f t="shared" si="142"/>
        <v>4.365886523911679E-3</v>
      </c>
    </row>
    <row r="392" spans="2:12" x14ac:dyDescent="0.25">
      <c r="B392" s="68" t="str">
        <f t="shared" si="135"/>
        <v>Dockside Green - Energy</v>
      </c>
      <c r="E392" s="74">
        <f t="shared" si="136"/>
        <v>378386.66188758559</v>
      </c>
      <c r="F392" s="45">
        <f t="shared" si="137"/>
        <v>7.3579086214131794E-3</v>
      </c>
      <c r="G392" s="74">
        <f t="shared" si="138"/>
        <v>7163275.429175009</v>
      </c>
      <c r="H392" s="74">
        <f t="shared" si="139"/>
        <v>0</v>
      </c>
      <c r="I392" s="89">
        <f>IF('2020 Assumptions'!$B$14="Gross",Canada!G392/Canada!$G$414,(Canada!G392+Canada!H392)/(Canada!$G$414+Canada!$H$414))</f>
        <v>4.9803657884684251E-2</v>
      </c>
      <c r="J392" s="75">
        <f t="shared" si="140"/>
        <v>1.585586934908072</v>
      </c>
      <c r="K392" s="45">
        <f t="shared" si="141"/>
        <v>1.2362287033432654E-2</v>
      </c>
      <c r="L392" s="89">
        <f t="shared" si="142"/>
        <v>2.317461784651003E-2</v>
      </c>
    </row>
    <row r="393" spans="2:12" x14ac:dyDescent="0.25">
      <c r="B393" s="68" t="str">
        <f t="shared" si="135"/>
        <v>Dockside Green  - Wastewater and Admin</v>
      </c>
      <c r="E393" s="74">
        <f t="shared" si="136"/>
        <v>440590.35293505626</v>
      </c>
      <c r="F393" s="45">
        <f t="shared" si="137"/>
        <v>8.5674889812459489E-3</v>
      </c>
      <c r="G393" s="74">
        <f t="shared" si="138"/>
        <v>194264.63590216808</v>
      </c>
      <c r="H393" s="74">
        <f t="shared" si="139"/>
        <v>0</v>
      </c>
      <c r="I393" s="89">
        <f>IF('2020 Assumptions'!$B$14="Gross",Canada!G393/Canada!$G$414,(Canada!G393+Canada!H393)/(Canada!$G$414+Canada!$H$414))</f>
        <v>1.350651606408858E-3</v>
      </c>
      <c r="J393" s="75">
        <f t="shared" si="140"/>
        <v>5.7223158146597166</v>
      </c>
      <c r="K393" s="45">
        <f t="shared" si="141"/>
        <v>4.4614968147978461E-2</v>
      </c>
      <c r="L393" s="89">
        <f t="shared" si="142"/>
        <v>1.8177702911877758E-2</v>
      </c>
    </row>
    <row r="394" spans="2:12" x14ac:dyDescent="0.25">
      <c r="B394" s="68" t="str">
        <f t="shared" si="135"/>
        <v>West Shore Environmental Services</v>
      </c>
      <c r="E394" s="74">
        <f t="shared" si="136"/>
        <v>18853452.601731803</v>
      </c>
      <c r="F394" s="45">
        <f t="shared" si="137"/>
        <v>0.36661435355482985</v>
      </c>
      <c r="G394" s="74">
        <f t="shared" si="138"/>
        <v>45263873.238687009</v>
      </c>
      <c r="H394" s="74">
        <f t="shared" si="139"/>
        <v>-5022747.38</v>
      </c>
      <c r="I394" s="89">
        <f>IF('2020 Assumptions'!$B$14="Gross",Canada!G394/Canada!$G$414,(Canada!G394+Canada!H394)/(Canada!$G$414+Canada!$H$414))</f>
        <v>0.31470330571595934</v>
      </c>
      <c r="J394" s="75">
        <f t="shared" si="140"/>
        <v>11.835632495075831</v>
      </c>
      <c r="K394" s="45">
        <f t="shared" si="141"/>
        <v>9.2278438290003373E-2</v>
      </c>
      <c r="L394" s="89">
        <f t="shared" si="142"/>
        <v>0.25786536585359754</v>
      </c>
    </row>
    <row r="395" spans="2:12" x14ac:dyDescent="0.25">
      <c r="B395" s="68" t="str">
        <f t="shared" si="135"/>
        <v>Rise</v>
      </c>
      <c r="E395" s="74">
        <f t="shared" si="136"/>
        <v>63601.550854547473</v>
      </c>
      <c r="F395" s="45">
        <f t="shared" si="137"/>
        <v>1.2367624086785426E-3</v>
      </c>
      <c r="G395" s="74">
        <f t="shared" si="138"/>
        <v>678120.18160205998</v>
      </c>
      <c r="H395" s="74">
        <f t="shared" si="139"/>
        <v>-146777.03</v>
      </c>
      <c r="I395" s="89">
        <f>IF('2020 Assumptions'!$B$14="Gross",Canada!G395/Canada!$G$414,(Canada!G395+Canada!H395)/(Canada!$G$414+Canada!$H$414))</f>
        <v>4.7147238526745513E-3</v>
      </c>
      <c r="J395" s="75">
        <f t="shared" si="140"/>
        <v>4.9483277648922096E-2</v>
      </c>
      <c r="K395" s="45">
        <f t="shared" si="141"/>
        <v>3.8580444136068997E-4</v>
      </c>
      <c r="L395" s="89">
        <f t="shared" si="142"/>
        <v>2.1124302342379283E-3</v>
      </c>
    </row>
    <row r="396" spans="2:12" x14ac:dyDescent="0.25">
      <c r="B396" s="68" t="str">
        <f t="shared" si="135"/>
        <v>UBC</v>
      </c>
      <c r="E396" s="74">
        <f t="shared" si="136"/>
        <v>1132965.9262828289</v>
      </c>
      <c r="F396" s="45">
        <f t="shared" si="137"/>
        <v>2.2031061335984418E-2</v>
      </c>
      <c r="G396" s="74">
        <f t="shared" si="138"/>
        <v>11302200.891435621</v>
      </c>
      <c r="H396" s="74">
        <f t="shared" si="139"/>
        <v>0</v>
      </c>
      <c r="I396" s="89">
        <f>IF('2020 Assumptions'!$B$14="Gross",Canada!G396/Canada!$G$414,(Canada!G396+Canada!H396)/(Canada!$G$414+Canada!$H$414))</f>
        <v>7.8580106559697216E-2</v>
      </c>
      <c r="J396" s="75">
        <f t="shared" si="140"/>
        <v>3.0249158528003566</v>
      </c>
      <c r="K396" s="45">
        <f t="shared" si="141"/>
        <v>2.358424959301697E-2</v>
      </c>
      <c r="L396" s="89">
        <f t="shared" si="142"/>
        <v>4.1398472496232873E-2</v>
      </c>
    </row>
    <row r="397" spans="2:12" x14ac:dyDescent="0.25">
      <c r="B397" s="68" t="str">
        <f t="shared" si="135"/>
        <v>SFU UniverCity</v>
      </c>
      <c r="E397" s="74">
        <f t="shared" si="136"/>
        <v>1284902.2314293338</v>
      </c>
      <c r="F397" s="45">
        <f t="shared" si="137"/>
        <v>2.4985535058621229E-2</v>
      </c>
      <c r="G397" s="74">
        <f t="shared" si="138"/>
        <v>8469640.5841674171</v>
      </c>
      <c r="H397" s="74">
        <f t="shared" si="139"/>
        <v>-1390506.85</v>
      </c>
      <c r="I397" s="89">
        <f>IF('2020 Assumptions'!$B$14="Gross",Canada!G397/Canada!$G$414,(Canada!G397+Canada!H397)/(Canada!$G$414+Canada!$H$414))</f>
        <v>5.8886341343528659E-2</v>
      </c>
      <c r="J397" s="75">
        <f t="shared" si="140"/>
        <v>2.6923070458134242</v>
      </c>
      <c r="K397" s="45">
        <f t="shared" si="141"/>
        <v>2.0991010804720291E-2</v>
      </c>
      <c r="L397" s="89">
        <f t="shared" si="142"/>
        <v>3.4954295735623399E-2</v>
      </c>
    </row>
    <row r="398" spans="2:12" x14ac:dyDescent="0.25">
      <c r="B398" s="68" t="str">
        <f t="shared" si="135"/>
        <v>SFU Biomass</v>
      </c>
      <c r="E398" s="74">
        <f t="shared" si="136"/>
        <v>0</v>
      </c>
      <c r="F398" s="45">
        <f t="shared" si="137"/>
        <v>0</v>
      </c>
      <c r="G398" s="74">
        <f t="shared" si="138"/>
        <v>0</v>
      </c>
      <c r="H398" s="74">
        <f t="shared" si="139"/>
        <v>0</v>
      </c>
      <c r="I398" s="89">
        <f>IF('2020 Assumptions'!$B$14="Gross",Canada!G398/Canada!$G$414,(Canada!G398+Canada!H398)/(Canada!$G$414+Canada!$H$414))</f>
        <v>0</v>
      </c>
      <c r="J398" s="75">
        <f t="shared" si="140"/>
        <v>0</v>
      </c>
      <c r="K398" s="45">
        <f t="shared" si="141"/>
        <v>0</v>
      </c>
      <c r="L398" s="89">
        <f t="shared" si="142"/>
        <v>0</v>
      </c>
    </row>
    <row r="399" spans="2:12" x14ac:dyDescent="0.25">
      <c r="B399" s="68" t="str">
        <f t="shared" si="135"/>
        <v>Riverport</v>
      </c>
      <c r="E399" s="74">
        <f t="shared" si="136"/>
        <v>350482.74899194035</v>
      </c>
      <c r="F399" s="45">
        <f t="shared" si="137"/>
        <v>6.8153037625584374E-3</v>
      </c>
      <c r="G399" s="74">
        <f t="shared" si="138"/>
        <v>808967.53628837958</v>
      </c>
      <c r="H399" s="74">
        <f t="shared" si="139"/>
        <v>-387300.75</v>
      </c>
      <c r="I399" s="89">
        <f>IF('2020 Assumptions'!$B$14="Gross",Canada!G399/Canada!$G$414,(Canada!G399+Canada!H399)/(Canada!$G$414+Canada!$H$414))</f>
        <v>5.6244580870126442E-3</v>
      </c>
      <c r="J399" s="75">
        <f t="shared" si="140"/>
        <v>0.10205178772228828</v>
      </c>
      <c r="K399" s="45">
        <f t="shared" si="141"/>
        <v>7.9566340029852084E-4</v>
      </c>
      <c r="L399" s="89">
        <f t="shared" si="142"/>
        <v>4.4118084166232018E-3</v>
      </c>
    </row>
    <row r="400" spans="2:12" x14ac:dyDescent="0.25">
      <c r="B400" s="68" t="str">
        <f t="shared" si="135"/>
        <v>RG GAAP - Related to LIEC</v>
      </c>
      <c r="E400" s="74">
        <f t="shared" si="136"/>
        <v>0</v>
      </c>
      <c r="F400" s="45">
        <f t="shared" si="137"/>
        <v>0</v>
      </c>
      <c r="G400" s="74">
        <f t="shared" si="138"/>
        <v>0</v>
      </c>
      <c r="H400" s="74">
        <f t="shared" si="139"/>
        <v>0</v>
      </c>
      <c r="I400" s="89">
        <f>IF('2020 Assumptions'!$B$14="Gross",Canada!G400/Canada!$G$414,(Canada!G400+Canada!H400)/(Canada!$G$414+Canada!$H$414))</f>
        <v>0</v>
      </c>
      <c r="J400" s="75">
        <f t="shared" si="140"/>
        <v>0</v>
      </c>
      <c r="K400" s="45">
        <f t="shared" si="141"/>
        <v>0</v>
      </c>
      <c r="L400" s="89">
        <f t="shared" si="142"/>
        <v>0</v>
      </c>
    </row>
    <row r="401" spans="2:12" x14ac:dyDescent="0.25">
      <c r="B401" s="68" t="str">
        <f t="shared" si="135"/>
        <v>LIEC</v>
      </c>
      <c r="E401" s="74">
        <f t="shared" si="136"/>
        <v>1752756.8500214883</v>
      </c>
      <c r="F401" s="45">
        <f t="shared" si="137"/>
        <v>3.4083190653917808E-2</v>
      </c>
      <c r="G401" s="74">
        <f t="shared" si="138"/>
        <v>6773149.4887834964</v>
      </c>
      <c r="H401" s="74">
        <f t="shared" si="139"/>
        <v>0</v>
      </c>
      <c r="I401" s="89">
        <f>IF('2020 Assumptions'!$B$14="Gross",Canada!G401/Canada!$G$414,(Canada!G401+Canada!H401)/(Canada!$G$414+Canada!$H$414))</f>
        <v>4.7091253613857922E-2</v>
      </c>
      <c r="J401" s="75">
        <f t="shared" si="140"/>
        <v>2.8609774932910512</v>
      </c>
      <c r="K401" s="45">
        <f t="shared" si="141"/>
        <v>2.230607744652309E-2</v>
      </c>
      <c r="L401" s="89">
        <f t="shared" si="142"/>
        <v>3.4493507238099616E-2</v>
      </c>
    </row>
    <row r="402" spans="2:12" x14ac:dyDescent="0.25">
      <c r="B402" s="68" t="str">
        <f t="shared" si="135"/>
        <v>Beaver Barracks</v>
      </c>
      <c r="E402" s="74">
        <f t="shared" si="136"/>
        <v>256695.87622312835</v>
      </c>
      <c r="F402" s="45">
        <f t="shared" si="137"/>
        <v>4.9915734114974993E-3</v>
      </c>
      <c r="G402" s="74">
        <f t="shared" si="138"/>
        <v>2097571.7999519417</v>
      </c>
      <c r="H402" s="74">
        <f t="shared" si="139"/>
        <v>-586371.73</v>
      </c>
      <c r="I402" s="89">
        <f>IF('2020 Assumptions'!$B$14="Gross",Canada!G402/Canada!$G$414,(Canada!G402+Canada!H402)/(Canada!$G$414+Canada!$H$414))</f>
        <v>1.4583656505498805E-2</v>
      </c>
      <c r="J402" s="75">
        <f t="shared" si="140"/>
        <v>0.60671614972585997</v>
      </c>
      <c r="K402" s="45">
        <f t="shared" si="141"/>
        <v>4.7303613731939807E-3</v>
      </c>
      <c r="L402" s="89">
        <f t="shared" si="142"/>
        <v>8.1018637633967633E-3</v>
      </c>
    </row>
    <row r="403" spans="2:12" x14ac:dyDescent="0.25">
      <c r="B403" s="68" t="str">
        <f t="shared" si="135"/>
        <v>Coastal Ops</v>
      </c>
      <c r="E403" s="74">
        <f t="shared" si="136"/>
        <v>898862.37538534636</v>
      </c>
      <c r="F403" s="45">
        <f t="shared" si="137"/>
        <v>1.7478806436566834E-2</v>
      </c>
      <c r="G403" s="74">
        <f t="shared" si="138"/>
        <v>170455.79843510513</v>
      </c>
      <c r="H403" s="74">
        <f t="shared" si="139"/>
        <v>0</v>
      </c>
      <c r="I403" s="89">
        <f>IF('2020 Assumptions'!$B$14="Gross",Canada!G403/Canada!$G$414,(Canada!G403+Canada!H403)/(Canada!$G$414+Canada!$H$414))</f>
        <v>1.1851173884989627E-3</v>
      </c>
      <c r="J403" s="75">
        <f t="shared" si="140"/>
        <v>5.533642184235485</v>
      </c>
      <c r="K403" s="45">
        <f t="shared" si="141"/>
        <v>4.3143943429249071E-2</v>
      </c>
      <c r="L403" s="89">
        <f t="shared" si="142"/>
        <v>2.0602622418104958E-2</v>
      </c>
    </row>
    <row r="404" spans="2:12" x14ac:dyDescent="0.25">
      <c r="B404" s="68" t="str">
        <f t="shared" si="135"/>
        <v>Island Ops</v>
      </c>
      <c r="E404" s="74">
        <f t="shared" si="136"/>
        <v>77610.578476212977</v>
      </c>
      <c r="F404" s="45">
        <f t="shared" si="137"/>
        <v>1.5091746142274025E-3</v>
      </c>
      <c r="G404" s="74">
        <f t="shared" si="138"/>
        <v>85454.869231485573</v>
      </c>
      <c r="H404" s="74">
        <f t="shared" si="139"/>
        <v>0</v>
      </c>
      <c r="I404" s="89">
        <f>IF('2020 Assumptions'!$B$14="Gross",Canada!G404/Canada!$G$414,(Canada!G404+Canada!H404)/(Canada!$G$414+Canada!$H$414))</f>
        <v>5.9413673449598117E-4</v>
      </c>
      <c r="J404" s="75">
        <f t="shared" si="140"/>
        <v>1.7138655313096343E-2</v>
      </c>
      <c r="K404" s="45">
        <f t="shared" si="141"/>
        <v>1.3362432023309172E-4</v>
      </c>
      <c r="L404" s="89">
        <f t="shared" si="142"/>
        <v>7.456452229854918E-4</v>
      </c>
    </row>
    <row r="405" spans="2:12" x14ac:dyDescent="0.25">
      <c r="B405" s="68" t="str">
        <f t="shared" si="135"/>
        <v>Kamloops Ops</v>
      </c>
      <c r="E405" s="74">
        <f t="shared" si="136"/>
        <v>1407568.9779554934</v>
      </c>
      <c r="F405" s="45">
        <f t="shared" si="137"/>
        <v>2.7370848291712092E-2</v>
      </c>
      <c r="G405" s="74">
        <f t="shared" si="138"/>
        <v>111181.31601449272</v>
      </c>
      <c r="H405" s="74">
        <f t="shared" si="139"/>
        <v>0</v>
      </c>
      <c r="I405" s="89">
        <f>IF('2020 Assumptions'!$B$14="Gross",Canada!G405/Canada!$G$414,(Canada!G405+Canada!H405)/(Canada!$G$414+Canada!$H$414))</f>
        <v>7.730033949835826E-4</v>
      </c>
      <c r="J405" s="75">
        <f t="shared" si="140"/>
        <v>10.66980058564045</v>
      </c>
      <c r="K405" s="45">
        <f t="shared" si="141"/>
        <v>8.3188839744584839E-2</v>
      </c>
      <c r="L405" s="89">
        <f t="shared" si="142"/>
        <v>3.7110897143760174E-2</v>
      </c>
    </row>
    <row r="406" spans="2:12" x14ac:dyDescent="0.25">
      <c r="B406" s="68" t="str">
        <f t="shared" si="135"/>
        <v>Kootenay Ops</v>
      </c>
      <c r="E406" s="74">
        <f t="shared" si="136"/>
        <v>672438.74950663454</v>
      </c>
      <c r="F406" s="45">
        <f t="shared" si="137"/>
        <v>1.3075891332123864E-2</v>
      </c>
      <c r="G406" s="74">
        <f t="shared" si="138"/>
        <v>59789.086474503878</v>
      </c>
      <c r="H406" s="74">
        <f t="shared" si="139"/>
        <v>0</v>
      </c>
      <c r="I406" s="89">
        <f>IF('2020 Assumptions'!$B$14="Gross",Canada!G406/Canada!$G$414,(Canada!G406+Canada!H406)/(Canada!$G$414+Canada!$H$414))</f>
        <v>4.1569184899496953E-4</v>
      </c>
      <c r="J406" s="75">
        <f t="shared" si="140"/>
        <v>6.5682994822896994</v>
      </c>
      <c r="K406" s="45">
        <f t="shared" si="141"/>
        <v>5.1210817731870417E-2</v>
      </c>
      <c r="L406" s="89">
        <f t="shared" si="142"/>
        <v>2.1567466970996419E-2</v>
      </c>
    </row>
    <row r="407" spans="2:12" x14ac:dyDescent="0.25">
      <c r="B407" s="68" t="str">
        <f t="shared" si="135"/>
        <v>Alberta Ops (North)</v>
      </c>
      <c r="E407" s="74">
        <f t="shared" si="136"/>
        <v>1543605.9824673578</v>
      </c>
      <c r="F407" s="45">
        <f t="shared" si="137"/>
        <v>3.0016152550947424E-2</v>
      </c>
      <c r="G407" s="74">
        <f t="shared" si="138"/>
        <v>452577.58277672995</v>
      </c>
      <c r="H407" s="74">
        <f t="shared" si="139"/>
        <v>0</v>
      </c>
      <c r="I407" s="89">
        <f>IF('2020 Assumptions'!$B$14="Gross",Canada!G407/Canada!$G$414,(Canada!G407+Canada!H407)/(Canada!$G$414+Canada!$H$414))</f>
        <v>3.1466079060826439E-3</v>
      </c>
      <c r="J407" s="75">
        <f t="shared" si="140"/>
        <v>6.4041798706482407</v>
      </c>
      <c r="K407" s="45">
        <f t="shared" si="141"/>
        <v>4.993123242357899E-2</v>
      </c>
      <c r="L407" s="89">
        <f t="shared" si="142"/>
        <v>2.769799762686969E-2</v>
      </c>
    </row>
    <row r="408" spans="2:12" x14ac:dyDescent="0.25">
      <c r="B408" s="68" t="str">
        <f t="shared" si="135"/>
        <v>Alberta Ops (South)</v>
      </c>
      <c r="E408" s="74">
        <f t="shared" si="136"/>
        <v>2656439.5960973511</v>
      </c>
      <c r="F408" s="45">
        <f t="shared" si="137"/>
        <v>5.1655731491388808E-2</v>
      </c>
      <c r="G408" s="74">
        <f t="shared" si="138"/>
        <v>262378.93923073343</v>
      </c>
      <c r="H408" s="74">
        <f t="shared" si="139"/>
        <v>0</v>
      </c>
      <c r="I408" s="89">
        <f>IF('2020 Assumptions'!$B$14="Gross",Canada!G408/Canada!$G$414,(Canada!G408+Canada!H408)/(Canada!$G$414+Canada!$H$414))</f>
        <v>1.8242256708951895E-3</v>
      </c>
      <c r="J408" s="75">
        <f t="shared" si="140"/>
        <v>9.4752236831045114</v>
      </c>
      <c r="K408" s="45">
        <f t="shared" si="141"/>
        <v>7.387512617421263E-2</v>
      </c>
      <c r="L408" s="89">
        <f t="shared" si="142"/>
        <v>4.2451694445498879E-2</v>
      </c>
    </row>
    <row r="409" spans="2:12" x14ac:dyDescent="0.25">
      <c r="B409" s="68" t="str">
        <f t="shared" si="135"/>
        <v>Corix Water Services Inc. (See note)</v>
      </c>
      <c r="E409" s="74">
        <f t="shared" si="136"/>
        <v>6321591.8967905752</v>
      </c>
      <c r="F409" s="45">
        <f t="shared" si="137"/>
        <v>0.12292636132155674</v>
      </c>
      <c r="G409" s="74">
        <f t="shared" si="138"/>
        <v>1459831.6091142003</v>
      </c>
      <c r="H409" s="74">
        <f t="shared" si="139"/>
        <v>0</v>
      </c>
      <c r="I409" s="89">
        <f>IF('2020 Assumptions'!$B$14="Gross",Canada!G409/Canada!$G$414,(Canada!G409+Canada!H409)/(Canada!$G$414+Canada!$H$414))</f>
        <v>1.0149680093753582E-2</v>
      </c>
      <c r="J409" s="75">
        <f t="shared" si="140"/>
        <v>43.061978310073684</v>
      </c>
      <c r="K409" s="45">
        <f t="shared" si="141"/>
        <v>0.33573973421233189</v>
      </c>
      <c r="L409" s="89">
        <f t="shared" si="142"/>
        <v>0.15627192520921407</v>
      </c>
    </row>
    <row r="410" spans="2:12" x14ac:dyDescent="0.25">
      <c r="B410" s="68" t="str">
        <f t="shared" si="135"/>
        <v>Corix Energy Inc.</v>
      </c>
      <c r="E410" s="74">
        <f t="shared" ref="E410" si="143">E363+(L363*$E$320)</f>
        <v>483937.84653406841</v>
      </c>
      <c r="F410" s="45">
        <f t="shared" si="137"/>
        <v>9.4104016126736901E-3</v>
      </c>
      <c r="G410" s="74">
        <f t="shared" ref="G410" si="144">G363+(L363*$G$320)</f>
        <v>7625.5866034261981</v>
      </c>
      <c r="H410" s="74">
        <f t="shared" si="139"/>
        <v>0</v>
      </c>
      <c r="I410" s="89">
        <f>IF('2020 Assumptions'!$B$14="Gross",Canada!G410/Canada!$G$414,(Canada!G410+Canada!H410)/(Canada!$G$414+Canada!$H$414))</f>
        <v>5.3017939924558938E-5</v>
      </c>
      <c r="J410" s="75">
        <f t="shared" si="140"/>
        <v>7.6258432327684353E-2</v>
      </c>
      <c r="K410" s="45">
        <f t="shared" si="141"/>
        <v>5.9456129991957243E-4</v>
      </c>
      <c r="L410" s="89">
        <f t="shared" si="142"/>
        <v>3.3526602841726077E-3</v>
      </c>
    </row>
    <row r="411" spans="2:12" s="131" customFormat="1" x14ac:dyDescent="0.25">
      <c r="B411" s="131" t="str">
        <f t="shared" si="135"/>
        <v>Cambie Thermal</v>
      </c>
      <c r="E411" s="74">
        <f t="shared" ref="E411" si="145">E364+(L364*$E$320)</f>
        <v>0</v>
      </c>
      <c r="F411" s="45">
        <f t="shared" si="137"/>
        <v>0</v>
      </c>
      <c r="G411" s="74">
        <f t="shared" ref="G411" si="146">G364+(L364*$G$320)</f>
        <v>0</v>
      </c>
      <c r="H411" s="74">
        <f t="shared" si="139"/>
        <v>0</v>
      </c>
      <c r="I411" s="89">
        <f>IF('2020 Assumptions'!$B$14="Gross",Canada!G411/Canada!$G$414,(Canada!G411+Canada!H411)/(Canada!$G$414+Canada!$H$414))</f>
        <v>0</v>
      </c>
      <c r="J411" s="75">
        <f t="shared" si="140"/>
        <v>0</v>
      </c>
      <c r="K411" s="45">
        <f t="shared" si="141"/>
        <v>0</v>
      </c>
      <c r="L411" s="89">
        <f t="shared" ref="L411" si="147">(F411*$F$196)+(I411*$I$196)+(K411*$K$196)</f>
        <v>0</v>
      </c>
    </row>
    <row r="412" spans="2:12" s="131" customFormat="1" x14ac:dyDescent="0.25">
      <c r="E412" s="74"/>
      <c r="F412" s="45"/>
      <c r="G412" s="74"/>
      <c r="H412" s="74"/>
      <c r="I412" s="89"/>
      <c r="J412" s="75"/>
      <c r="K412" s="45"/>
      <c r="L412" s="89"/>
    </row>
    <row r="413" spans="2:12" x14ac:dyDescent="0.25">
      <c r="E413" s="79"/>
      <c r="F413" s="79"/>
      <c r="G413" s="79"/>
      <c r="H413" s="79"/>
      <c r="I413" s="79"/>
      <c r="J413" s="79"/>
      <c r="K413" s="79"/>
      <c r="L413" s="88"/>
    </row>
    <row r="414" spans="2:12" x14ac:dyDescent="0.25">
      <c r="E414" s="76">
        <f t="shared" ref="E414:L414" si="148">SUM(E370:E413)</f>
        <v>51425844.13000112</v>
      </c>
      <c r="F414" s="65">
        <f t="shared" si="148"/>
        <v>0.99999999999999989</v>
      </c>
      <c r="G414" s="76">
        <f t="shared" si="148"/>
        <v>143830307.52000001</v>
      </c>
      <c r="H414" s="76">
        <f t="shared" si="148"/>
        <v>-25114841.090000004</v>
      </c>
      <c r="I414" s="80">
        <f t="shared" si="148"/>
        <v>0.99999999999999967</v>
      </c>
      <c r="J414" s="76">
        <f t="shared" si="148"/>
        <v>128.26</v>
      </c>
      <c r="K414" s="80">
        <f t="shared" si="148"/>
        <v>1.0000000000000002</v>
      </c>
      <c r="L414" s="45">
        <f t="shared" si="148"/>
        <v>0.99999999999999978</v>
      </c>
    </row>
    <row r="416" spans="2:12" x14ac:dyDescent="0.25">
      <c r="B416" t="s">
        <v>96</v>
      </c>
      <c r="E416" s="76">
        <f>E414-E366-E320</f>
        <v>1.3678800314664841E-8</v>
      </c>
      <c r="G416" s="76">
        <f>G414-G366-G320</f>
        <v>2.2584572434425354E-8</v>
      </c>
      <c r="J416" s="76">
        <f>J414-J366-J320</f>
        <v>0</v>
      </c>
    </row>
    <row r="417" spans="2:10" x14ac:dyDescent="0.25">
      <c r="B417" t="s">
        <v>154</v>
      </c>
      <c r="E417" s="76">
        <f>E414-E106</f>
        <v>0</v>
      </c>
      <c r="G417" s="76">
        <f>G414-F106</f>
        <v>0</v>
      </c>
      <c r="H417" s="76">
        <f>H414-G106</f>
        <v>0</v>
      </c>
      <c r="J417" s="76">
        <f>J414-J106</f>
        <v>0</v>
      </c>
    </row>
  </sheetData>
  <mergeCells count="72">
    <mergeCell ref="H53:H54"/>
    <mergeCell ref="I53:I54"/>
    <mergeCell ref="K128:K129"/>
    <mergeCell ref="L128:L129"/>
    <mergeCell ref="J128:J129"/>
    <mergeCell ref="I128:I129"/>
    <mergeCell ref="I149:I150"/>
    <mergeCell ref="J149:J150"/>
    <mergeCell ref="K149:K150"/>
    <mergeCell ref="L149:L150"/>
    <mergeCell ref="L199:L200"/>
    <mergeCell ref="L175:L176"/>
    <mergeCell ref="H199:H200"/>
    <mergeCell ref="I175:I176"/>
    <mergeCell ref="J175:J176"/>
    <mergeCell ref="K175:K176"/>
    <mergeCell ref="B175:B176"/>
    <mergeCell ref="C175:C176"/>
    <mergeCell ref="D175:D176"/>
    <mergeCell ref="B199:B200"/>
    <mergeCell ref="C199:C200"/>
    <mergeCell ref="D199:D200"/>
    <mergeCell ref="B128:B129"/>
    <mergeCell ref="C128:C129"/>
    <mergeCell ref="D128:D129"/>
    <mergeCell ref="G128:G129"/>
    <mergeCell ref="H128:H129"/>
    <mergeCell ref="B1:C1"/>
    <mergeCell ref="B53:B54"/>
    <mergeCell ref="C53:C54"/>
    <mergeCell ref="D53:D54"/>
    <mergeCell ref="F53:F54"/>
    <mergeCell ref="B4:B5"/>
    <mergeCell ref="C4:C5"/>
    <mergeCell ref="D4:D5"/>
    <mergeCell ref="F4:F5"/>
    <mergeCell ref="B149:B150"/>
    <mergeCell ref="C149:C150"/>
    <mergeCell ref="D149:D150"/>
    <mergeCell ref="G149:G150"/>
    <mergeCell ref="H149:H150"/>
    <mergeCell ref="L280:L281"/>
    <mergeCell ref="B314:B315"/>
    <mergeCell ref="C314:C315"/>
    <mergeCell ref="D314:D315"/>
    <mergeCell ref="G314:G315"/>
    <mergeCell ref="H314:H315"/>
    <mergeCell ref="I314:I315"/>
    <mergeCell ref="J314:J315"/>
    <mergeCell ref="K314:K315"/>
    <mergeCell ref="L314:L315"/>
    <mergeCell ref="B280:B281"/>
    <mergeCell ref="C280:C281"/>
    <mergeCell ref="D280:D281"/>
    <mergeCell ref="G280:G281"/>
    <mergeCell ref="H280:H281"/>
    <mergeCell ref="G4:G5"/>
    <mergeCell ref="I280:I281"/>
    <mergeCell ref="J280:J281"/>
    <mergeCell ref="K280:K281"/>
    <mergeCell ref="G175:G176"/>
    <mergeCell ref="H175:H176"/>
    <mergeCell ref="J53:J54"/>
    <mergeCell ref="K53:K54"/>
    <mergeCell ref="G53:G54"/>
    <mergeCell ref="H4:H5"/>
    <mergeCell ref="I4:I5"/>
    <mergeCell ref="J4:J5"/>
    <mergeCell ref="I199:I200"/>
    <mergeCell ref="J199:J200"/>
    <mergeCell ref="K199:K200"/>
    <mergeCell ref="G199:G200"/>
  </mergeCells>
  <pageMargins left="0.7" right="0.7" top="0.75" bottom="0.75" header="0.3" footer="0.3"/>
  <pageSetup scale="33" fitToHeight="4" orientation="landscape" horizontalDpi="90" verticalDpi="9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sheetPr>
  <dimension ref="B1:H64"/>
  <sheetViews>
    <sheetView showGridLines="0" zoomScale="80" zoomScaleNormal="80" workbookViewId="0">
      <pane xSplit="2" ySplit="2" topLeftCell="C3" activePane="bottomRight" state="frozen"/>
      <selection activeCell="W6" sqref="W6"/>
      <selection pane="topRight" activeCell="W6" sqref="W6"/>
      <selection pane="bottomLeft" activeCell="W6" sqref="W6"/>
      <selection pane="bottomRight" activeCell="W6" sqref="W6"/>
    </sheetView>
  </sheetViews>
  <sheetFormatPr defaultRowHeight="15" x14ac:dyDescent="0.25"/>
  <cols>
    <col min="2" max="2" width="36.85546875" bestFit="1" customWidth="1"/>
    <col min="3" max="7" width="17.5703125" customWidth="1"/>
    <col min="8" max="8" width="17.5703125" style="166" customWidth="1"/>
  </cols>
  <sheetData>
    <row r="1" spans="2:8" ht="15.75" thickBot="1" x14ac:dyDescent="0.3">
      <c r="B1" s="1" t="s">
        <v>435</v>
      </c>
      <c r="D1" t="s">
        <v>277</v>
      </c>
    </row>
    <row r="2" spans="2:8" x14ac:dyDescent="0.25">
      <c r="B2" t="s">
        <v>194</v>
      </c>
      <c r="C2" t="s">
        <v>291</v>
      </c>
      <c r="D2" t="s">
        <v>292</v>
      </c>
      <c r="E2" t="s">
        <v>293</v>
      </c>
      <c r="F2" t="s">
        <v>152</v>
      </c>
      <c r="G2" t="s">
        <v>294</v>
      </c>
      <c r="H2" s="169" t="s">
        <v>295</v>
      </c>
    </row>
    <row r="3" spans="2:8" x14ac:dyDescent="0.25">
      <c r="B3" t="s">
        <v>240</v>
      </c>
      <c r="C3" s="73" t="s">
        <v>434</v>
      </c>
      <c r="D3" s="73" t="s">
        <v>434</v>
      </c>
      <c r="E3" s="168"/>
      <c r="F3" s="76">
        <f>SUM(C3:E3)</f>
        <v>0</v>
      </c>
      <c r="G3" t="str">
        <f t="shared" ref="G3" si="0">IFERROR(-D3/C3,"")</f>
        <v/>
      </c>
      <c r="H3" s="170" t="str">
        <f t="shared" ref="H3" si="1">IFERROR(1-G3,"")</f>
        <v/>
      </c>
    </row>
    <row r="4" spans="2:8" x14ac:dyDescent="0.25">
      <c r="B4" t="s">
        <v>280</v>
      </c>
      <c r="C4" s="73">
        <v>641138</v>
      </c>
      <c r="D4" s="73">
        <v>-302694</v>
      </c>
      <c r="E4" s="168"/>
      <c r="F4" s="76">
        <f t="shared" ref="F4:F48" si="2">SUM(C4:E4)</f>
        <v>338444</v>
      </c>
      <c r="G4" s="77">
        <f>IFERROR(-D4/C4,"")</f>
        <v>0.47211988682623712</v>
      </c>
      <c r="H4" s="170">
        <f>IFERROR(1-G4,"")</f>
        <v>0.52788011317376293</v>
      </c>
    </row>
    <row r="5" spans="2:8" x14ac:dyDescent="0.25">
      <c r="B5" t="s">
        <v>241</v>
      </c>
      <c r="C5" s="73">
        <v>2631849</v>
      </c>
      <c r="D5" s="73" t="s">
        <v>434</v>
      </c>
      <c r="E5" s="168"/>
      <c r="F5" s="76">
        <f t="shared" si="2"/>
        <v>2631849</v>
      </c>
      <c r="G5" s="77" t="str">
        <f t="shared" ref="G5:G51" si="3">IFERROR(-D5/C5,"")</f>
        <v/>
      </c>
      <c r="H5" s="170" t="str">
        <f t="shared" ref="H5:H51" si="4">IFERROR(1-G5,"")</f>
        <v/>
      </c>
    </row>
    <row r="6" spans="2:8" x14ac:dyDescent="0.25">
      <c r="B6" t="s">
        <v>242</v>
      </c>
      <c r="C6" s="73">
        <v>149234</v>
      </c>
      <c r="D6" s="73" t="s">
        <v>434</v>
      </c>
      <c r="E6" s="168"/>
      <c r="F6" s="76">
        <f t="shared" si="2"/>
        <v>149234</v>
      </c>
      <c r="G6" s="77" t="str">
        <f t="shared" si="3"/>
        <v/>
      </c>
      <c r="H6" s="170" t="str">
        <f t="shared" si="4"/>
        <v/>
      </c>
    </row>
    <row r="7" spans="2:8" x14ac:dyDescent="0.25">
      <c r="B7" t="s">
        <v>281</v>
      </c>
      <c r="C7" s="73">
        <v>348460</v>
      </c>
      <c r="D7" s="73">
        <v>-164515</v>
      </c>
      <c r="E7" s="168"/>
      <c r="F7" s="76">
        <f t="shared" si="2"/>
        <v>183945</v>
      </c>
      <c r="G7" s="77">
        <f t="shared" si="3"/>
        <v>0.4721201859610859</v>
      </c>
      <c r="H7" s="170">
        <f t="shared" si="4"/>
        <v>0.52787981403891404</v>
      </c>
    </row>
    <row r="8" spans="2:8" x14ac:dyDescent="0.25">
      <c r="B8" t="s">
        <v>243</v>
      </c>
      <c r="C8" s="73">
        <v>776833</v>
      </c>
      <c r="D8" s="73" t="s">
        <v>434</v>
      </c>
      <c r="E8" s="168"/>
      <c r="F8" s="76">
        <f>SUM(C8:E8)</f>
        <v>776833</v>
      </c>
      <c r="G8" s="77" t="str">
        <f t="shared" si="3"/>
        <v/>
      </c>
      <c r="H8" s="170" t="str">
        <f t="shared" si="4"/>
        <v/>
      </c>
    </row>
    <row r="9" spans="2:8" x14ac:dyDescent="0.25">
      <c r="B9" t="s">
        <v>244</v>
      </c>
      <c r="C9" s="73">
        <v>5893487</v>
      </c>
      <c r="D9" s="73" t="s">
        <v>434</v>
      </c>
      <c r="E9" s="168"/>
      <c r="F9" s="76">
        <f>SUM(C9:E9)</f>
        <v>5893487</v>
      </c>
      <c r="G9" s="77" t="str">
        <f t="shared" si="3"/>
        <v/>
      </c>
      <c r="H9" s="170" t="str">
        <f t="shared" si="4"/>
        <v/>
      </c>
    </row>
    <row r="10" spans="2:8" s="176" customFormat="1" x14ac:dyDescent="0.25">
      <c r="B10" s="176" t="s">
        <v>245</v>
      </c>
      <c r="C10" s="73">
        <v>1178602</v>
      </c>
      <c r="D10" s="73" t="s">
        <v>434</v>
      </c>
      <c r="E10" s="168"/>
      <c r="F10" s="76">
        <f t="shared" si="2"/>
        <v>1178602</v>
      </c>
      <c r="G10" s="77" t="str">
        <f t="shared" si="3"/>
        <v/>
      </c>
      <c r="H10" s="170" t="str">
        <f t="shared" si="4"/>
        <v/>
      </c>
    </row>
    <row r="11" spans="2:8" x14ac:dyDescent="0.25">
      <c r="B11" t="s">
        <v>246</v>
      </c>
      <c r="C11" s="73">
        <v>2227948</v>
      </c>
      <c r="D11" s="73" t="s">
        <v>434</v>
      </c>
      <c r="E11" s="168"/>
      <c r="F11" s="76">
        <f t="shared" si="2"/>
        <v>2227948</v>
      </c>
      <c r="G11" s="77" t="str">
        <f t="shared" si="3"/>
        <v/>
      </c>
      <c r="H11" s="170" t="str">
        <f t="shared" si="4"/>
        <v/>
      </c>
    </row>
    <row r="12" spans="2:8" x14ac:dyDescent="0.25">
      <c r="B12" t="s">
        <v>247</v>
      </c>
      <c r="C12" s="73">
        <v>1070535</v>
      </c>
      <c r="D12" s="73">
        <v>-268911</v>
      </c>
      <c r="E12" s="168"/>
      <c r="F12" s="76">
        <f t="shared" si="2"/>
        <v>801624</v>
      </c>
      <c r="G12" s="77">
        <f t="shared" si="3"/>
        <v>0.25119309504126441</v>
      </c>
      <c r="H12" s="170">
        <f t="shared" si="4"/>
        <v>0.74880690495873559</v>
      </c>
    </row>
    <row r="13" spans="2:8" x14ac:dyDescent="0.25">
      <c r="B13" t="s">
        <v>248</v>
      </c>
      <c r="C13" s="73">
        <v>944400</v>
      </c>
      <c r="D13" s="73" t="s">
        <v>434</v>
      </c>
      <c r="E13" s="168"/>
      <c r="F13" s="76">
        <f t="shared" si="2"/>
        <v>944400</v>
      </c>
      <c r="G13" s="77" t="str">
        <f t="shared" si="3"/>
        <v/>
      </c>
      <c r="H13" s="170" t="str">
        <f t="shared" si="4"/>
        <v/>
      </c>
    </row>
    <row r="14" spans="2:8" x14ac:dyDescent="0.25">
      <c r="B14" t="s">
        <v>282</v>
      </c>
      <c r="C14" s="73">
        <v>581947</v>
      </c>
      <c r="D14" s="73">
        <v>-274749</v>
      </c>
      <c r="E14" s="168"/>
      <c r="F14" s="76">
        <f t="shared" si="2"/>
        <v>307198</v>
      </c>
      <c r="G14" s="77">
        <f t="shared" si="3"/>
        <v>0.47212031336186971</v>
      </c>
      <c r="H14" s="170">
        <f t="shared" si="4"/>
        <v>0.52787968663813034</v>
      </c>
    </row>
    <row r="15" spans="2:8" x14ac:dyDescent="0.25">
      <c r="B15" t="s">
        <v>249</v>
      </c>
      <c r="C15" s="73">
        <v>820067</v>
      </c>
      <c r="D15" s="73" t="s">
        <v>434</v>
      </c>
      <c r="E15" s="168"/>
      <c r="F15" s="76">
        <f t="shared" si="2"/>
        <v>820067</v>
      </c>
      <c r="G15" s="77" t="str">
        <f t="shared" si="3"/>
        <v/>
      </c>
      <c r="H15" s="170" t="str">
        <f t="shared" si="4"/>
        <v/>
      </c>
    </row>
    <row r="16" spans="2:8" x14ac:dyDescent="0.25">
      <c r="B16" t="s">
        <v>250</v>
      </c>
      <c r="C16" s="73">
        <v>1645221</v>
      </c>
      <c r="D16" s="73" t="s">
        <v>434</v>
      </c>
      <c r="E16" s="168"/>
      <c r="F16" s="76">
        <f t="shared" si="2"/>
        <v>1645221</v>
      </c>
      <c r="G16" s="77" t="str">
        <f t="shared" si="3"/>
        <v/>
      </c>
      <c r="H16" s="170" t="str">
        <f t="shared" si="4"/>
        <v/>
      </c>
    </row>
    <row r="17" spans="2:8" x14ac:dyDescent="0.25">
      <c r="B17" t="s">
        <v>251</v>
      </c>
      <c r="C17" s="73">
        <v>342297</v>
      </c>
      <c r="D17" s="73" t="s">
        <v>434</v>
      </c>
      <c r="E17" s="168"/>
      <c r="F17" s="76">
        <f t="shared" si="2"/>
        <v>342297</v>
      </c>
      <c r="G17" s="77" t="str">
        <f t="shared" si="3"/>
        <v/>
      </c>
      <c r="H17" s="170" t="str">
        <f t="shared" si="4"/>
        <v/>
      </c>
    </row>
    <row r="18" spans="2:8" x14ac:dyDescent="0.25">
      <c r="B18" t="s">
        <v>252</v>
      </c>
      <c r="C18" s="73">
        <v>962179</v>
      </c>
      <c r="D18" s="73">
        <v>-364331</v>
      </c>
      <c r="E18" s="168"/>
      <c r="F18" s="76">
        <f t="shared" si="2"/>
        <v>597848</v>
      </c>
      <c r="G18" s="77">
        <f t="shared" si="3"/>
        <v>0.37865199718555487</v>
      </c>
      <c r="H18" s="170">
        <f t="shared" si="4"/>
        <v>0.62134800281444513</v>
      </c>
    </row>
    <row r="19" spans="2:8" x14ac:dyDescent="0.25">
      <c r="B19" t="s">
        <v>300</v>
      </c>
      <c r="C19" s="73">
        <v>-50000</v>
      </c>
      <c r="D19" s="73">
        <v>23606</v>
      </c>
      <c r="E19" s="168"/>
      <c r="F19" s="76">
        <f t="shared" si="2"/>
        <v>-26394</v>
      </c>
      <c r="G19" s="77">
        <f t="shared" si="3"/>
        <v>0.47211999999999998</v>
      </c>
      <c r="H19" s="170">
        <f t="shared" si="4"/>
        <v>0.52788000000000002</v>
      </c>
    </row>
    <row r="20" spans="2:8" s="166" customFormat="1" x14ac:dyDescent="0.25">
      <c r="B20" s="166" t="s">
        <v>307</v>
      </c>
      <c r="C20" s="73">
        <v>210339</v>
      </c>
      <c r="D20" s="73">
        <v>-99305</v>
      </c>
      <c r="E20" s="168"/>
      <c r="F20" s="76">
        <f t="shared" si="2"/>
        <v>111034</v>
      </c>
      <c r="G20" s="77">
        <f t="shared" si="3"/>
        <v>0.47211881771806463</v>
      </c>
      <c r="H20" s="170">
        <f t="shared" si="4"/>
        <v>0.52788118228193537</v>
      </c>
    </row>
    <row r="21" spans="2:8" s="166" customFormat="1" x14ac:dyDescent="0.25">
      <c r="B21" s="166" t="s">
        <v>218</v>
      </c>
      <c r="C21" s="168"/>
      <c r="D21" s="168"/>
      <c r="E21" s="73">
        <v>1858103</v>
      </c>
      <c r="F21" s="76">
        <f t="shared" si="2"/>
        <v>1858103</v>
      </c>
      <c r="G21" s="77" t="str">
        <f t="shared" si="3"/>
        <v/>
      </c>
      <c r="H21" s="170" t="str">
        <f t="shared" si="4"/>
        <v/>
      </c>
    </row>
    <row r="22" spans="2:8" s="166" customFormat="1" x14ac:dyDescent="0.25">
      <c r="B22" s="166" t="s">
        <v>219</v>
      </c>
      <c r="C22" s="168"/>
      <c r="D22" s="168"/>
      <c r="E22" s="73">
        <v>129696</v>
      </c>
      <c r="F22" s="76">
        <f t="shared" si="2"/>
        <v>129696</v>
      </c>
      <c r="G22" s="77" t="str">
        <f t="shared" si="3"/>
        <v/>
      </c>
      <c r="H22" s="170" t="str">
        <f t="shared" si="4"/>
        <v/>
      </c>
    </row>
    <row r="23" spans="2:8" s="176" customFormat="1" x14ac:dyDescent="0.25">
      <c r="B23" s="176" t="s">
        <v>220</v>
      </c>
      <c r="C23" s="168"/>
      <c r="D23" s="168"/>
      <c r="E23" s="73">
        <v>216897</v>
      </c>
      <c r="F23" s="76">
        <f t="shared" si="2"/>
        <v>216897</v>
      </c>
      <c r="G23" s="77" t="str">
        <f t="shared" si="3"/>
        <v/>
      </c>
      <c r="H23" s="170" t="str">
        <f t="shared" si="4"/>
        <v/>
      </c>
    </row>
    <row r="24" spans="2:8" s="176" customFormat="1" x14ac:dyDescent="0.25">
      <c r="B24" s="177" t="s">
        <v>301</v>
      </c>
      <c r="C24" s="168"/>
      <c r="D24" s="168"/>
      <c r="E24" s="73" t="s">
        <v>434</v>
      </c>
      <c r="F24" s="76">
        <f t="shared" si="2"/>
        <v>0</v>
      </c>
      <c r="G24" s="77" t="str">
        <f t="shared" si="3"/>
        <v/>
      </c>
      <c r="H24" s="170" t="str">
        <f t="shared" si="4"/>
        <v/>
      </c>
    </row>
    <row r="25" spans="2:8" s="176" customFormat="1" x14ac:dyDescent="0.25">
      <c r="B25" s="172" t="s">
        <v>221</v>
      </c>
      <c r="C25" s="172"/>
      <c r="D25" s="172"/>
      <c r="E25" s="173">
        <v>591372</v>
      </c>
      <c r="F25" s="174">
        <f t="shared" si="2"/>
        <v>591372</v>
      </c>
      <c r="G25" s="175" t="str">
        <f t="shared" si="3"/>
        <v/>
      </c>
      <c r="H25" s="170" t="str">
        <f t="shared" si="4"/>
        <v/>
      </c>
    </row>
    <row r="26" spans="2:8" s="176" customFormat="1" x14ac:dyDescent="0.25">
      <c r="B26" s="176" t="s">
        <v>222</v>
      </c>
      <c r="C26" s="168"/>
      <c r="D26" s="168"/>
      <c r="E26" s="73">
        <v>120289</v>
      </c>
      <c r="F26" s="76">
        <f t="shared" si="2"/>
        <v>120289</v>
      </c>
      <c r="G26" s="77" t="str">
        <f t="shared" si="3"/>
        <v/>
      </c>
      <c r="H26" s="170" t="str">
        <f t="shared" si="4"/>
        <v/>
      </c>
    </row>
    <row r="27" spans="2:8" s="166" customFormat="1" x14ac:dyDescent="0.25">
      <c r="B27" s="166" t="s">
        <v>223</v>
      </c>
      <c r="C27" s="168"/>
      <c r="D27" s="168"/>
      <c r="E27" s="73">
        <v>1352528</v>
      </c>
      <c r="F27" s="76">
        <f t="shared" si="2"/>
        <v>1352528</v>
      </c>
      <c r="G27" s="77" t="str">
        <f t="shared" si="3"/>
        <v/>
      </c>
      <c r="H27" s="170" t="str">
        <f t="shared" si="4"/>
        <v/>
      </c>
    </row>
    <row r="28" spans="2:8" s="166" customFormat="1" x14ac:dyDescent="0.25">
      <c r="B28" s="166" t="s">
        <v>224</v>
      </c>
      <c r="C28" s="168"/>
      <c r="D28" s="168"/>
      <c r="E28" s="73">
        <v>775833</v>
      </c>
      <c r="F28" s="76">
        <f t="shared" si="2"/>
        <v>775833</v>
      </c>
      <c r="G28" s="77" t="str">
        <f t="shared" si="3"/>
        <v/>
      </c>
      <c r="H28" s="170" t="str">
        <f t="shared" si="4"/>
        <v/>
      </c>
    </row>
    <row r="29" spans="2:8" s="166" customFormat="1" x14ac:dyDescent="0.25">
      <c r="B29" s="166" t="s">
        <v>225</v>
      </c>
      <c r="C29" s="168"/>
      <c r="D29" s="168"/>
      <c r="E29" s="73">
        <v>72069</v>
      </c>
      <c r="F29" s="76">
        <f t="shared" si="2"/>
        <v>72069</v>
      </c>
      <c r="G29" s="77" t="str">
        <f t="shared" si="3"/>
        <v/>
      </c>
      <c r="H29" s="170" t="str">
        <f t="shared" si="4"/>
        <v/>
      </c>
    </row>
    <row r="30" spans="2:8" s="166" customFormat="1" x14ac:dyDescent="0.25">
      <c r="B30" s="166" t="s">
        <v>283</v>
      </c>
      <c r="C30" s="168"/>
      <c r="D30" s="168"/>
      <c r="E30" s="73">
        <v>164973</v>
      </c>
      <c r="F30" s="76">
        <f t="shared" si="2"/>
        <v>164973</v>
      </c>
      <c r="G30" s="77" t="str">
        <f t="shared" si="3"/>
        <v/>
      </c>
      <c r="H30" s="170" t="str">
        <f t="shared" si="4"/>
        <v/>
      </c>
    </row>
    <row r="31" spans="2:8" s="166" customFormat="1" x14ac:dyDescent="0.25">
      <c r="B31" s="166" t="s">
        <v>226</v>
      </c>
      <c r="C31" s="168"/>
      <c r="D31" s="168"/>
      <c r="E31" s="73">
        <v>125542</v>
      </c>
      <c r="F31" s="76">
        <f t="shared" si="2"/>
        <v>125542</v>
      </c>
      <c r="G31" s="77" t="str">
        <f t="shared" si="3"/>
        <v/>
      </c>
      <c r="H31" s="170" t="str">
        <f t="shared" si="4"/>
        <v/>
      </c>
    </row>
    <row r="32" spans="2:8" s="166" customFormat="1" x14ac:dyDescent="0.25">
      <c r="B32" s="166" t="s">
        <v>227</v>
      </c>
      <c r="C32" s="168"/>
      <c r="D32" s="168"/>
      <c r="E32" s="73">
        <v>150202</v>
      </c>
      <c r="F32" s="76">
        <f t="shared" si="2"/>
        <v>150202</v>
      </c>
      <c r="G32" s="77" t="str">
        <f t="shared" si="3"/>
        <v/>
      </c>
      <c r="H32" s="170" t="str">
        <f t="shared" si="4"/>
        <v/>
      </c>
    </row>
    <row r="33" spans="2:8" s="166" customFormat="1" x14ac:dyDescent="0.25">
      <c r="B33" s="166" t="s">
        <v>228</v>
      </c>
      <c r="C33" s="168"/>
      <c r="D33" s="168"/>
      <c r="E33" s="73">
        <v>83430</v>
      </c>
      <c r="F33" s="76">
        <f t="shared" si="2"/>
        <v>83430</v>
      </c>
      <c r="G33" s="77" t="str">
        <f t="shared" si="3"/>
        <v/>
      </c>
      <c r="H33" s="170" t="str">
        <f t="shared" si="4"/>
        <v/>
      </c>
    </row>
    <row r="34" spans="2:8" s="166" customFormat="1" x14ac:dyDescent="0.25">
      <c r="B34" s="166" t="s">
        <v>229</v>
      </c>
      <c r="C34" s="168"/>
      <c r="D34" s="168"/>
      <c r="E34" s="73">
        <v>168422</v>
      </c>
      <c r="F34" s="76">
        <f t="shared" si="2"/>
        <v>168422</v>
      </c>
      <c r="G34" s="77" t="str">
        <f t="shared" si="3"/>
        <v/>
      </c>
      <c r="H34" s="170" t="str">
        <f t="shared" si="4"/>
        <v/>
      </c>
    </row>
    <row r="35" spans="2:8" s="166" customFormat="1" x14ac:dyDescent="0.25">
      <c r="B35" s="166" t="s">
        <v>284</v>
      </c>
      <c r="C35" s="168"/>
      <c r="D35" s="168"/>
      <c r="E35" s="73">
        <v>450563</v>
      </c>
      <c r="F35" s="76">
        <f t="shared" si="2"/>
        <v>450563</v>
      </c>
      <c r="G35" s="77" t="str">
        <f t="shared" si="3"/>
        <v/>
      </c>
      <c r="H35" s="170" t="str">
        <f t="shared" si="4"/>
        <v/>
      </c>
    </row>
    <row r="36" spans="2:8" s="166" customFormat="1" x14ac:dyDescent="0.25">
      <c r="B36" s="166" t="s">
        <v>230</v>
      </c>
      <c r="C36" s="168"/>
      <c r="D36" s="168"/>
      <c r="E36" s="73" t="s">
        <v>434</v>
      </c>
      <c r="F36" s="76">
        <f t="shared" si="2"/>
        <v>0</v>
      </c>
      <c r="G36" s="77" t="str">
        <f t="shared" si="3"/>
        <v/>
      </c>
      <c r="H36" s="170" t="str">
        <f t="shared" si="4"/>
        <v/>
      </c>
    </row>
    <row r="37" spans="2:8" s="166" customFormat="1" x14ac:dyDescent="0.25">
      <c r="B37" s="166" t="s">
        <v>289</v>
      </c>
      <c r="C37" s="168"/>
      <c r="D37" s="168"/>
      <c r="E37" s="73" t="s">
        <v>434</v>
      </c>
      <c r="F37" s="76">
        <f t="shared" si="2"/>
        <v>0</v>
      </c>
      <c r="G37" s="77" t="str">
        <f t="shared" si="3"/>
        <v/>
      </c>
      <c r="H37" s="170" t="str">
        <f t="shared" si="4"/>
        <v/>
      </c>
    </row>
    <row r="38" spans="2:8" s="166" customFormat="1" x14ac:dyDescent="0.25">
      <c r="B38" s="166" t="s">
        <v>231</v>
      </c>
      <c r="C38" s="168"/>
      <c r="D38" s="168"/>
      <c r="E38" s="73" t="s">
        <v>434</v>
      </c>
      <c r="F38" s="76">
        <f t="shared" si="2"/>
        <v>0</v>
      </c>
      <c r="G38" s="77" t="str">
        <f t="shared" si="3"/>
        <v/>
      </c>
      <c r="H38" s="170" t="str">
        <f t="shared" si="4"/>
        <v/>
      </c>
    </row>
    <row r="39" spans="2:8" s="166" customFormat="1" x14ac:dyDescent="0.25">
      <c r="B39" s="166" t="s">
        <v>232</v>
      </c>
      <c r="C39" s="168"/>
      <c r="D39" s="168"/>
      <c r="E39" s="73" t="s">
        <v>434</v>
      </c>
      <c r="F39" s="76">
        <f t="shared" si="2"/>
        <v>0</v>
      </c>
      <c r="G39" s="77" t="str">
        <f t="shared" si="3"/>
        <v/>
      </c>
      <c r="H39" s="170" t="str">
        <f t="shared" si="4"/>
        <v/>
      </c>
    </row>
    <row r="40" spans="2:8" s="166" customFormat="1" x14ac:dyDescent="0.25">
      <c r="B40" s="166" t="s">
        <v>233</v>
      </c>
      <c r="C40" s="168"/>
      <c r="D40" s="168"/>
      <c r="E40" s="73" t="s">
        <v>434</v>
      </c>
      <c r="F40" s="76">
        <f t="shared" si="2"/>
        <v>0</v>
      </c>
      <c r="G40" s="77" t="str">
        <f t="shared" si="3"/>
        <v/>
      </c>
      <c r="H40" s="170" t="str">
        <f t="shared" si="4"/>
        <v/>
      </c>
    </row>
    <row r="41" spans="2:8" s="166" customFormat="1" x14ac:dyDescent="0.25">
      <c r="B41" s="166" t="s">
        <v>234</v>
      </c>
      <c r="C41" s="168"/>
      <c r="D41" s="168"/>
      <c r="E41" s="73" t="s">
        <v>434</v>
      </c>
      <c r="F41" s="76">
        <f t="shared" si="2"/>
        <v>0</v>
      </c>
      <c r="G41" s="77" t="str">
        <f t="shared" si="3"/>
        <v/>
      </c>
      <c r="H41" s="170" t="str">
        <f t="shared" si="4"/>
        <v/>
      </c>
    </row>
    <row r="42" spans="2:8" s="166" customFormat="1" x14ac:dyDescent="0.25">
      <c r="B42" s="166" t="s">
        <v>302</v>
      </c>
      <c r="C42" s="168"/>
      <c r="D42" s="168"/>
      <c r="E42" s="73">
        <v>74658</v>
      </c>
      <c r="F42" s="76">
        <f t="shared" si="2"/>
        <v>74658</v>
      </c>
      <c r="G42" s="77" t="str">
        <f t="shared" si="3"/>
        <v/>
      </c>
      <c r="H42" s="170" t="str">
        <f t="shared" si="4"/>
        <v/>
      </c>
    </row>
    <row r="43" spans="2:8" s="166" customFormat="1" x14ac:dyDescent="0.25">
      <c r="B43" s="166" t="s">
        <v>235</v>
      </c>
      <c r="C43" s="168"/>
      <c r="D43" s="168"/>
      <c r="E43" s="73" t="s">
        <v>434</v>
      </c>
      <c r="F43" s="76">
        <f t="shared" si="2"/>
        <v>0</v>
      </c>
      <c r="G43" s="77" t="str">
        <f t="shared" si="3"/>
        <v/>
      </c>
      <c r="H43" s="170" t="str">
        <f t="shared" si="4"/>
        <v/>
      </c>
    </row>
    <row r="44" spans="2:8" s="166" customFormat="1" x14ac:dyDescent="0.25">
      <c r="B44" s="166" t="s">
        <v>236</v>
      </c>
      <c r="C44" s="168"/>
      <c r="D44" s="168"/>
      <c r="E44" s="73" t="s">
        <v>434</v>
      </c>
      <c r="F44" s="76">
        <f t="shared" si="2"/>
        <v>0</v>
      </c>
      <c r="G44" s="77" t="str">
        <f t="shared" si="3"/>
        <v/>
      </c>
      <c r="H44" s="170" t="str">
        <f t="shared" si="4"/>
        <v/>
      </c>
    </row>
    <row r="45" spans="2:8" s="166" customFormat="1" x14ac:dyDescent="0.25">
      <c r="B45" s="166" t="s">
        <v>290</v>
      </c>
      <c r="C45" s="168"/>
      <c r="D45" s="168"/>
      <c r="E45" s="73" t="s">
        <v>434</v>
      </c>
      <c r="F45" s="76">
        <f t="shared" si="2"/>
        <v>0</v>
      </c>
      <c r="G45" s="77" t="str">
        <f t="shared" si="3"/>
        <v/>
      </c>
      <c r="H45" s="170" t="str">
        <f t="shared" si="4"/>
        <v/>
      </c>
    </row>
    <row r="46" spans="2:8" s="166" customFormat="1" x14ac:dyDescent="0.25">
      <c r="B46" s="172" t="s">
        <v>237</v>
      </c>
      <c r="C46" s="172"/>
      <c r="D46" s="172"/>
      <c r="E46" s="173">
        <v>330747</v>
      </c>
      <c r="F46" s="174">
        <f t="shared" si="2"/>
        <v>330747</v>
      </c>
      <c r="G46" s="175" t="str">
        <f t="shared" si="3"/>
        <v/>
      </c>
      <c r="H46" s="170" t="str">
        <f t="shared" si="4"/>
        <v/>
      </c>
    </row>
    <row r="47" spans="2:8" s="166" customFormat="1" x14ac:dyDescent="0.25">
      <c r="B47" s="166" t="s">
        <v>238</v>
      </c>
      <c r="C47" s="168"/>
      <c r="D47" s="168"/>
      <c r="E47" s="73" t="s">
        <v>434</v>
      </c>
      <c r="F47" s="76">
        <f t="shared" si="2"/>
        <v>0</v>
      </c>
      <c r="G47" s="77" t="str">
        <f t="shared" si="3"/>
        <v/>
      </c>
      <c r="H47" s="170" t="str">
        <f t="shared" si="4"/>
        <v/>
      </c>
    </row>
    <row r="48" spans="2:8" s="166" customFormat="1" x14ac:dyDescent="0.25">
      <c r="B48" s="177" t="s">
        <v>239</v>
      </c>
      <c r="C48" s="168"/>
      <c r="D48" s="168"/>
      <c r="E48" s="73">
        <v>104295</v>
      </c>
      <c r="F48" s="76">
        <f t="shared" si="2"/>
        <v>104295</v>
      </c>
      <c r="G48" s="77" t="str">
        <f t="shared" si="3"/>
        <v/>
      </c>
      <c r="H48" s="170" t="str">
        <f t="shared" si="4"/>
        <v/>
      </c>
    </row>
    <row r="49" spans="2:8" s="166" customFormat="1" x14ac:dyDescent="0.25">
      <c r="B49" s="166" t="s">
        <v>304</v>
      </c>
      <c r="C49" s="168"/>
      <c r="D49" s="168"/>
      <c r="E49" s="73">
        <v>51870</v>
      </c>
      <c r="F49" s="76">
        <f t="shared" ref="F49:F51" si="5">SUM(C49:E49)</f>
        <v>51870</v>
      </c>
      <c r="G49" s="77" t="str">
        <f t="shared" si="3"/>
        <v/>
      </c>
      <c r="H49" s="170" t="str">
        <f t="shared" si="4"/>
        <v/>
      </c>
    </row>
    <row r="50" spans="2:8" s="177" customFormat="1" x14ac:dyDescent="0.25">
      <c r="B50" s="177" t="s">
        <v>308</v>
      </c>
      <c r="C50" s="168"/>
      <c r="D50" s="168"/>
      <c r="E50" s="73" t="s">
        <v>434</v>
      </c>
      <c r="F50" s="76">
        <f t="shared" si="5"/>
        <v>0</v>
      </c>
      <c r="G50" s="77" t="str">
        <f t="shared" ref="G50" si="6">IFERROR(-D50/C50,"")</f>
        <v/>
      </c>
      <c r="H50" s="170" t="str">
        <f t="shared" ref="H50" si="7">IFERROR(1-G50,"")</f>
        <v/>
      </c>
    </row>
    <row r="51" spans="2:8" s="166" customFormat="1" x14ac:dyDescent="0.25">
      <c r="B51" s="166" t="s">
        <v>315</v>
      </c>
      <c r="C51" s="168"/>
      <c r="D51" s="168"/>
      <c r="E51" s="73" t="s">
        <v>434</v>
      </c>
      <c r="F51" s="76">
        <f t="shared" si="5"/>
        <v>0</v>
      </c>
      <c r="G51" s="77" t="str">
        <f t="shared" si="3"/>
        <v/>
      </c>
      <c r="H51" s="170" t="str">
        <f t="shared" si="4"/>
        <v/>
      </c>
    </row>
    <row r="52" spans="2:8" ht="15.75" thickBot="1" x14ac:dyDescent="0.3">
      <c r="B52" t="s">
        <v>162</v>
      </c>
      <c r="C52" s="76">
        <f>SUM(C3:C51)</f>
        <v>20374536</v>
      </c>
      <c r="D52" s="76">
        <f>SUM(D3:D51)</f>
        <v>-1450899</v>
      </c>
      <c r="E52" s="76">
        <f>SUM(E3:E51)</f>
        <v>6821489</v>
      </c>
      <c r="F52" s="76">
        <f>SUM(F3:F51)</f>
        <v>25745126</v>
      </c>
      <c r="G52" s="77">
        <f>IFERROR(-D52/C52,"")</f>
        <v>7.1211388568554398E-2</v>
      </c>
      <c r="H52" s="171">
        <f t="shared" ref="H52" si="8">IFERROR(1-G52,"")</f>
        <v>0.92878861143144564</v>
      </c>
    </row>
    <row r="54" spans="2:8" s="177" customFormat="1" x14ac:dyDescent="0.25">
      <c r="B54" s="177" t="s">
        <v>306</v>
      </c>
      <c r="E54" s="76">
        <v>258054</v>
      </c>
      <c r="F54" s="76">
        <f t="shared" ref="F54" si="9">SUM(C54:E54)</f>
        <v>258054</v>
      </c>
    </row>
    <row r="56" spans="2:8" s="177" customFormat="1" x14ac:dyDescent="0.25">
      <c r="B56" s="177" t="s">
        <v>305</v>
      </c>
      <c r="E56" s="76">
        <f>E52+E54</f>
        <v>7079543</v>
      </c>
      <c r="F56" s="76">
        <f>F52+F54</f>
        <v>26003180</v>
      </c>
    </row>
    <row r="57" spans="2:8" s="177" customFormat="1" x14ac:dyDescent="0.25"/>
    <row r="58" spans="2:8" x14ac:dyDescent="0.25">
      <c r="B58" s="199" t="s">
        <v>317</v>
      </c>
    </row>
    <row r="59" spans="2:8" x14ac:dyDescent="0.25">
      <c r="B59" t="s">
        <v>318</v>
      </c>
      <c r="E59" s="76">
        <f>SUM(E25,E46)</f>
        <v>922119</v>
      </c>
    </row>
    <row r="60" spans="2:8" x14ac:dyDescent="0.25">
      <c r="B60" t="s">
        <v>296</v>
      </c>
      <c r="E60" s="76">
        <f>SUM(E21:E24,E26:E45,E47:E51)</f>
        <v>5899370</v>
      </c>
    </row>
    <row r="61" spans="2:8" x14ac:dyDescent="0.25">
      <c r="B61" t="s">
        <v>319</v>
      </c>
      <c r="E61" s="76">
        <f>E54</f>
        <v>258054</v>
      </c>
    </row>
    <row r="62" spans="2:8" x14ac:dyDescent="0.25">
      <c r="B62" t="s">
        <v>305</v>
      </c>
      <c r="E62" s="76">
        <f>SUM(E59:E61)</f>
        <v>7079543</v>
      </c>
    </row>
    <row r="64" spans="2:8" x14ac:dyDescent="0.25">
      <c r="B64" t="s">
        <v>96</v>
      </c>
      <c r="F64" s="200" t="b">
        <f ca="1">(F52-'Allocation $'!AZ63)=(F56-'Allocation $'!AZ125)</f>
        <v>0</v>
      </c>
    </row>
  </sheetData>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
  <sheetViews>
    <sheetView workbookViewId="0">
      <selection activeCell="N17" sqref="N17"/>
    </sheetView>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E61"/>
  <sheetViews>
    <sheetView workbookViewId="0">
      <selection activeCell="M36" sqref="M36"/>
    </sheetView>
  </sheetViews>
  <sheetFormatPr defaultRowHeight="15" x14ac:dyDescent="0.25"/>
  <cols>
    <col min="1" max="1" width="21.7109375" style="177" customWidth="1"/>
    <col min="2" max="2" width="12.5703125" style="177" bestFit="1" customWidth="1"/>
    <col min="3" max="3" width="9.140625" style="177"/>
    <col min="4" max="4" width="11.5703125" style="177" customWidth="1"/>
    <col min="5" max="16384" width="9.140625" style="177"/>
  </cols>
  <sheetData>
    <row r="1" spans="1:5" x14ac:dyDescent="0.25">
      <c r="A1" s="1" t="s">
        <v>155</v>
      </c>
      <c r="B1" s="130"/>
    </row>
    <row r="2" spans="1:5" x14ac:dyDescent="0.25">
      <c r="A2" s="1" t="s">
        <v>138</v>
      </c>
    </row>
    <row r="4" spans="1:5" x14ac:dyDescent="0.25">
      <c r="A4" s="177" t="s">
        <v>68</v>
      </c>
      <c r="B4" s="587">
        <v>1.32683</v>
      </c>
      <c r="C4" s="177" t="s">
        <v>802</v>
      </c>
    </row>
    <row r="5" spans="1:5" x14ac:dyDescent="0.25">
      <c r="B5" s="587">
        <v>1.27</v>
      </c>
      <c r="C5" s="177" t="s">
        <v>115</v>
      </c>
      <c r="E5" s="139" t="s">
        <v>803</v>
      </c>
    </row>
    <row r="7" spans="1:5" x14ac:dyDescent="0.25">
      <c r="A7" s="177" t="s">
        <v>101</v>
      </c>
    </row>
    <row r="9" spans="1:5" x14ac:dyDescent="0.25">
      <c r="A9" s="177" t="s">
        <v>63</v>
      </c>
      <c r="B9" s="36">
        <v>0.33333333333333337</v>
      </c>
    </row>
    <row r="10" spans="1:5" x14ac:dyDescent="0.25">
      <c r="A10" s="177" t="s">
        <v>70</v>
      </c>
      <c r="B10" s="36">
        <v>0.33333333333333337</v>
      </c>
    </row>
    <row r="11" spans="1:5" x14ac:dyDescent="0.25">
      <c r="A11" s="177" t="s">
        <v>69</v>
      </c>
      <c r="B11" s="40">
        <v>0.33333333333333337</v>
      </c>
    </row>
    <row r="12" spans="1:5" x14ac:dyDescent="0.25">
      <c r="B12" s="42">
        <f>SUM(B9:B11)</f>
        <v>1</v>
      </c>
    </row>
    <row r="13" spans="1:5" x14ac:dyDescent="0.25">
      <c r="B13" s="41"/>
    </row>
    <row r="14" spans="1:5" x14ac:dyDescent="0.25">
      <c r="A14" s="177" t="s">
        <v>102</v>
      </c>
      <c r="B14" s="588" t="s">
        <v>103</v>
      </c>
      <c r="C14" s="43" t="s">
        <v>159</v>
      </c>
    </row>
    <row r="15" spans="1:5" x14ac:dyDescent="0.25">
      <c r="B15" s="41"/>
    </row>
    <row r="16" spans="1:5" x14ac:dyDescent="0.25">
      <c r="A16" s="177" t="s">
        <v>111</v>
      </c>
      <c r="B16" s="588" t="s">
        <v>112</v>
      </c>
      <c r="C16" s="43" t="s">
        <v>105</v>
      </c>
    </row>
    <row r="17" spans="1:5" x14ac:dyDescent="0.25">
      <c r="B17" s="41"/>
    </row>
    <row r="18" spans="1:5" x14ac:dyDescent="0.25">
      <c r="A18" s="177" t="s">
        <v>130</v>
      </c>
      <c r="B18" s="36">
        <v>0.02</v>
      </c>
      <c r="C18" s="177" t="s">
        <v>131</v>
      </c>
    </row>
    <row r="19" spans="1:5" x14ac:dyDescent="0.25">
      <c r="B19" s="36"/>
    </row>
    <row r="20" spans="1:5" ht="13.15" customHeight="1" x14ac:dyDescent="0.25">
      <c r="A20" s="177" t="s">
        <v>160</v>
      </c>
      <c r="B20" s="36">
        <v>0.06</v>
      </c>
      <c r="C20" s="177" t="s">
        <v>163</v>
      </c>
    </row>
    <row r="21" spans="1:5" ht="13.15" customHeight="1" x14ac:dyDescent="0.25">
      <c r="B21" s="36"/>
    </row>
    <row r="22" spans="1:5" ht="13.15" customHeight="1" x14ac:dyDescent="0.25">
      <c r="A22" s="177" t="s">
        <v>804</v>
      </c>
    </row>
    <row r="23" spans="1:5" x14ac:dyDescent="0.25">
      <c r="A23" s="177" t="s">
        <v>805</v>
      </c>
    </row>
    <row r="24" spans="1:5" ht="3" customHeight="1" x14ac:dyDescent="0.25"/>
    <row r="25" spans="1:5" x14ac:dyDescent="0.25">
      <c r="A25" s="177" t="s">
        <v>806</v>
      </c>
    </row>
    <row r="26" spans="1:5" x14ac:dyDescent="0.25">
      <c r="A26" s="177" t="s">
        <v>807</v>
      </c>
    </row>
    <row r="27" spans="1:5" x14ac:dyDescent="0.25">
      <c r="E27" s="177" t="s">
        <v>808</v>
      </c>
    </row>
    <row r="57" spans="1:1" x14ac:dyDescent="0.25">
      <c r="A57" s="177" t="s">
        <v>103</v>
      </c>
    </row>
    <row r="58" spans="1:1" x14ac:dyDescent="0.25">
      <c r="A58" s="177" t="s">
        <v>104</v>
      </c>
    </row>
    <row r="60" spans="1:1" x14ac:dyDescent="0.25">
      <c r="A60" s="177" t="s">
        <v>112</v>
      </c>
    </row>
    <row r="61" spans="1:1" x14ac:dyDescent="0.25">
      <c r="A61" s="177" t="s">
        <v>113</v>
      </c>
    </row>
  </sheetData>
  <dataValidations count="2">
    <dataValidation type="list" allowBlank="1" showInputMessage="1" showErrorMessage="1" sqref="B16" xr:uid="{00000000-0002-0000-1900-000000000000}">
      <formula1>$A$60:$A$61</formula1>
    </dataValidation>
    <dataValidation type="list" allowBlank="1" showInputMessage="1" showErrorMessage="1" sqref="B14" xr:uid="{00000000-0002-0000-1900-000001000000}">
      <formula1>$A$57:$A$58</formula1>
    </dataValidation>
  </dataValidations>
  <pageMargins left="0.7" right="0.7" top="0.75" bottom="0.75" header="0.3" footer="0.3"/>
  <pageSetup scale="82"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68"/>
  <sheetViews>
    <sheetView zoomScale="70" zoomScaleNormal="70" workbookViewId="0">
      <pane xSplit="2" ySplit="4" topLeftCell="C5" activePane="bottomRight" state="frozen"/>
      <selection activeCell="C27" sqref="C27"/>
      <selection pane="topRight" activeCell="C27" sqref="C27"/>
      <selection pane="bottomLeft" activeCell="C27" sqref="C27"/>
      <selection pane="bottomRight" activeCell="W32" sqref="W32"/>
    </sheetView>
  </sheetViews>
  <sheetFormatPr defaultRowHeight="15" outlineLevelCol="1" x14ac:dyDescent="0.25"/>
  <cols>
    <col min="1" max="1" width="4.7109375" style="446" hidden="1" customWidth="1"/>
    <col min="2" max="2" width="42.28515625" style="446" customWidth="1"/>
    <col min="3" max="4" width="16.7109375" style="446" customWidth="1" outlineLevel="1"/>
    <col min="5" max="5" width="16.85546875" style="446" customWidth="1" outlineLevel="1"/>
    <col min="6" max="6" width="16.7109375" style="446" customWidth="1" outlineLevel="1"/>
    <col min="7" max="7" width="24.42578125" style="446" customWidth="1" outlineLevel="1"/>
    <col min="8" max="8" width="13.28515625" style="446" customWidth="1" outlineLevel="1"/>
    <col min="9" max="9" width="9.140625" style="446" customWidth="1" outlineLevel="1"/>
    <col min="10" max="10" width="14.28515625" style="446" customWidth="1" outlineLevel="1"/>
    <col min="11" max="16" width="12.140625" style="446" customWidth="1" outlineLevel="1"/>
    <col min="17" max="17" width="9.140625" style="446" customWidth="1" outlineLevel="1"/>
    <col min="18" max="18" width="22.85546875" style="446" customWidth="1" outlineLevel="1"/>
    <col min="19" max="19" width="17.140625" style="446" customWidth="1"/>
    <col min="20" max="20" width="9.7109375" style="446" bestFit="1" customWidth="1"/>
    <col min="21" max="21" width="14.28515625" style="446" bestFit="1" customWidth="1"/>
    <col min="22" max="22" width="9.140625" style="446"/>
    <col min="23" max="23" width="16.28515625" style="446" bestFit="1" customWidth="1"/>
    <col min="24" max="24" width="19.7109375" style="446" bestFit="1" customWidth="1"/>
    <col min="25" max="16384" width="9.140625" style="446"/>
  </cols>
  <sheetData>
    <row r="1" spans="1:25" hidden="1" x14ac:dyDescent="0.25">
      <c r="A1" s="446" t="s">
        <v>441</v>
      </c>
      <c r="B1" s="447"/>
      <c r="F1" s="477"/>
      <c r="G1" s="477"/>
    </row>
    <row r="2" spans="1:25" ht="19.5" thickBot="1" x14ac:dyDescent="0.35">
      <c r="B2" s="450" t="s">
        <v>410</v>
      </c>
      <c r="C2" s="1200"/>
      <c r="E2" s="509"/>
      <c r="F2" s="1201"/>
      <c r="G2" s="1202"/>
    </row>
    <row r="3" spans="1:25" ht="16.5" thickBot="1" x14ac:dyDescent="0.3">
      <c r="B3" s="451"/>
      <c r="C3" s="1203"/>
      <c r="D3" s="452"/>
      <c r="E3" s="1204"/>
      <c r="F3" s="1204"/>
      <c r="G3" s="1204"/>
      <c r="J3" s="1344" t="s">
        <v>443</v>
      </c>
      <c r="K3" s="1345"/>
      <c r="L3" s="1345"/>
      <c r="M3" s="1345"/>
      <c r="N3" s="1345"/>
      <c r="O3" s="1345"/>
      <c r="P3" s="1345"/>
      <c r="Q3" s="1345"/>
      <c r="R3" s="1345"/>
      <c r="S3" s="454" t="s">
        <v>0</v>
      </c>
    </row>
    <row r="4" spans="1:25" ht="15.75" thickBot="1" x14ac:dyDescent="0.3">
      <c r="B4" s="447" t="s">
        <v>461</v>
      </c>
      <c r="C4" s="455" t="s">
        <v>444</v>
      </c>
      <c r="D4" s="455" t="s">
        <v>462</v>
      </c>
      <c r="E4" s="455" t="s">
        <v>446</v>
      </c>
      <c r="F4" s="455" t="s">
        <v>447</v>
      </c>
      <c r="G4" s="1205" t="s">
        <v>96</v>
      </c>
      <c r="J4" s="1206" t="s">
        <v>449</v>
      </c>
      <c r="K4" s="1207" t="s">
        <v>450</v>
      </c>
      <c r="L4" s="1207" t="s">
        <v>464</v>
      </c>
      <c r="M4" s="1207" t="s">
        <v>465</v>
      </c>
      <c r="N4" s="1207" t="s">
        <v>466</v>
      </c>
      <c r="O4" s="1207" t="s">
        <v>467</v>
      </c>
      <c r="P4" s="1207" t="s">
        <v>468</v>
      </c>
      <c r="Q4" s="1208"/>
      <c r="R4" s="1209"/>
      <c r="S4" s="462" t="s">
        <v>447</v>
      </c>
      <c r="W4" s="1243" t="s">
        <v>1136</v>
      </c>
      <c r="X4" s="1243" t="s">
        <v>1137</v>
      </c>
    </row>
    <row r="5" spans="1:25" x14ac:dyDescent="0.25">
      <c r="B5" s="463" t="s">
        <v>469</v>
      </c>
      <c r="C5" s="1210">
        <f>-'CII (2)'!C219-'CII (2)'!C210</f>
        <v>1381872.8900000001</v>
      </c>
      <c r="D5" s="472">
        <f>'CII (2)'!C234</f>
        <v>3947.21</v>
      </c>
      <c r="E5" s="465"/>
      <c r="F5" s="1211">
        <f>SUM(C5:E5)</f>
        <v>1385820.1</v>
      </c>
      <c r="G5" s="1212">
        <f>F5+'CII (2)'!C274</f>
        <v>0</v>
      </c>
      <c r="J5" s="443">
        <f>-F5</f>
        <v>-1385820.1</v>
      </c>
      <c r="K5" s="443"/>
      <c r="L5" s="443"/>
      <c r="M5" s="443"/>
      <c r="N5" s="443"/>
      <c r="O5" s="443"/>
      <c r="P5" s="443"/>
      <c r="Q5" s="442"/>
      <c r="R5" s="442"/>
      <c r="S5" s="469">
        <f t="shared" ref="S5:S17" si="0">F5+SUM(J5:P5)</f>
        <v>0</v>
      </c>
      <c r="W5" s="1242">
        <f>F5/Assumptions!$B$4</f>
        <v>1044459.4258495815</v>
      </c>
      <c r="X5" s="1242">
        <f>SUM(J5:P5)/Assumptions!$B$4</f>
        <v>-1044459.4258495815</v>
      </c>
      <c r="Y5" s="1242">
        <f>W5+X5</f>
        <v>0</v>
      </c>
    </row>
    <row r="6" spans="1:25" x14ac:dyDescent="0.25">
      <c r="B6" s="444" t="s">
        <v>470</v>
      </c>
      <c r="C6" s="472">
        <f>-'CII (2)'!E219-'CII (2)'!E210</f>
        <v>369737.56</v>
      </c>
      <c r="D6" s="472">
        <f>'CII (2)'!E234</f>
        <v>5284.77</v>
      </c>
      <c r="E6" s="465"/>
      <c r="F6" s="1211">
        <f t="shared" ref="F6:F17" si="1">SUM(C6:E6)</f>
        <v>375022.33</v>
      </c>
      <c r="G6" s="1212">
        <f>F6+'CII (2)'!E274</f>
        <v>0</v>
      </c>
      <c r="J6" s="443"/>
      <c r="K6" s="443">
        <f>-'CII (2)'!E76</f>
        <v>-40617.030000000006</v>
      </c>
      <c r="L6" s="443"/>
      <c r="M6" s="443"/>
      <c r="N6" s="443"/>
      <c r="O6" s="443"/>
      <c r="P6" s="443">
        <f>-'CII (2)'!E122</f>
        <v>-32736.959999999999</v>
      </c>
      <c r="Q6" s="442"/>
      <c r="R6" s="442"/>
      <c r="S6" s="469">
        <f t="shared" si="0"/>
        <v>301668.34000000003</v>
      </c>
      <c r="W6" s="1242">
        <f>F6/Assumptions!$B$4</f>
        <v>282645.35019557894</v>
      </c>
      <c r="X6" s="1242">
        <f>SUM(J6:P6)/Assumptions!$B$4</f>
        <v>-55285.145798632839</v>
      </c>
    </row>
    <row r="7" spans="1:25" x14ac:dyDescent="0.25">
      <c r="B7" s="444" t="s">
        <v>471</v>
      </c>
      <c r="C7" s="472">
        <f>-'CII (2)'!F274-C8-D7</f>
        <v>4401006.6499999994</v>
      </c>
      <c r="D7" s="472">
        <f>'CII (2)'!F234</f>
        <v>138077.53</v>
      </c>
      <c r="E7" s="470">
        <f>-8472.3-8472.31-8472.3-8472.3-3011.45-3011.46-3011.45-3011.46</f>
        <v>-45935.029999999992</v>
      </c>
      <c r="F7" s="1211">
        <f>SUM(C7:E7)</f>
        <v>4493149.1499999994</v>
      </c>
      <c r="G7" s="1212">
        <f>C7+D7+C8+'CII (2)'!F274</f>
        <v>0</v>
      </c>
      <c r="J7" s="443"/>
      <c r="K7" s="443">
        <f>-'CII (2)'!F76</f>
        <v>-18115.12</v>
      </c>
      <c r="L7" s="443">
        <f>-'CII (2)'!F159-'CII (2)'!F160</f>
        <v>-51780.4</v>
      </c>
      <c r="M7" s="443">
        <f>-N51-N52</f>
        <v>-43440</v>
      </c>
      <c r="N7" s="443"/>
      <c r="O7" s="443"/>
      <c r="P7" s="443">
        <f>-'CII (2)'!F161-'CII (2)'!F163</f>
        <v>-21600.55</v>
      </c>
      <c r="Q7" s="442"/>
      <c r="R7" s="442"/>
      <c r="S7" s="469">
        <f t="shared" si="0"/>
        <v>4358213.0799999991</v>
      </c>
      <c r="W7" s="1242">
        <f>F7/Assumptions!$B$4</f>
        <v>3386378.925710151</v>
      </c>
      <c r="X7" s="1242">
        <f>SUM(J7:P7)/Assumptions!$B$4</f>
        <v>-101698.08490914437</v>
      </c>
      <c r="Y7" s="486"/>
    </row>
    <row r="8" spans="1:25" x14ac:dyDescent="0.25">
      <c r="B8" s="444" t="s">
        <v>472</v>
      </c>
      <c r="C8" s="472">
        <f>'CII (2)'!F137</f>
        <v>573888.75</v>
      </c>
      <c r="D8" s="472"/>
      <c r="E8" s="472">
        <v>-178543</v>
      </c>
      <c r="F8" s="472">
        <f t="shared" si="1"/>
        <v>395345.75</v>
      </c>
      <c r="G8" s="1212"/>
      <c r="J8" s="443"/>
      <c r="K8" s="443"/>
      <c r="L8" s="443"/>
      <c r="M8" s="443"/>
      <c r="N8" s="443"/>
      <c r="O8" s="443">
        <f>-S61</f>
        <v>-21332</v>
      </c>
      <c r="P8" s="443"/>
      <c r="Q8" s="442"/>
      <c r="R8" s="442"/>
      <c r="S8" s="469">
        <f t="shared" si="0"/>
        <v>374013.75</v>
      </c>
      <c r="W8" s="1242">
        <f>F8/Assumptions!$B$4</f>
        <v>297962.62520443462</v>
      </c>
      <c r="X8" s="1242">
        <f>SUM(J8:P8)/Assumptions!$B$4</f>
        <v>-16077.417604365291</v>
      </c>
    </row>
    <row r="9" spans="1:25" ht="32.25" customHeight="1" x14ac:dyDescent="0.25">
      <c r="B9" s="444" t="s">
        <v>473</v>
      </c>
      <c r="C9" s="472">
        <f>-'CII (2)'!H219-'CII (2)'!H210</f>
        <v>3576955.79</v>
      </c>
      <c r="D9" s="472">
        <f>'CII (2)'!H234</f>
        <v>23390.69</v>
      </c>
      <c r="E9" s="465"/>
      <c r="F9" s="1211">
        <f t="shared" si="1"/>
        <v>3600346.48</v>
      </c>
      <c r="G9" s="1212">
        <f>F9+'CII (2)'!H274</f>
        <v>0</v>
      </c>
      <c r="J9" s="443"/>
      <c r="K9" s="443">
        <f>-'CII (2)'!H74</f>
        <v>-1146.04</v>
      </c>
      <c r="L9" s="443"/>
      <c r="M9" s="443">
        <f>-N53-N54-N57</f>
        <v>-104450</v>
      </c>
      <c r="N9" s="443"/>
      <c r="O9" s="443"/>
      <c r="P9" s="443"/>
      <c r="Q9" s="442"/>
      <c r="R9" s="442"/>
      <c r="S9" s="469">
        <f t="shared" si="0"/>
        <v>3494750.44</v>
      </c>
      <c r="W9" s="1242">
        <f>F9/Assumptions!$B$4</f>
        <v>2713494.9315285305</v>
      </c>
      <c r="X9" s="1242">
        <f>SUM(J9:P9)/Assumptions!$B$4</f>
        <v>-79585.206846393281</v>
      </c>
    </row>
    <row r="10" spans="1:25" ht="15.75" thickBot="1" x14ac:dyDescent="0.3">
      <c r="B10" s="444" t="s">
        <v>474</v>
      </c>
      <c r="C10" s="472">
        <f>-'CII (2)'!J219-'CII (2)'!J210+-'CII (2)'!$O$219-'CII (2)'!$O$210</f>
        <v>1580615.9600000002</v>
      </c>
      <c r="D10" s="472">
        <f>'CII (2)'!J234</f>
        <v>23228.73</v>
      </c>
      <c r="E10" s="465"/>
      <c r="F10" s="1211">
        <f t="shared" si="1"/>
        <v>1603844.6900000002</v>
      </c>
      <c r="G10" s="1212">
        <f>F10+'CII (2)'!J274+'CII (2)'!O274</f>
        <v>-1.0186340659856796E-10</v>
      </c>
      <c r="J10" s="443"/>
      <c r="K10" s="443"/>
      <c r="L10" s="443"/>
      <c r="M10" s="443"/>
      <c r="N10" s="443"/>
      <c r="O10" s="442"/>
      <c r="P10" s="443"/>
      <c r="Q10" s="442"/>
      <c r="R10" s="442"/>
      <c r="S10" s="469">
        <f t="shared" si="0"/>
        <v>1603844.6900000002</v>
      </c>
      <c r="W10" s="1242">
        <f>F10/Assumptions!$B$4</f>
        <v>1208779.3387246295</v>
      </c>
      <c r="X10" s="1242">
        <f>SUM(J10:P10)/Assumptions!$B$4</f>
        <v>0</v>
      </c>
    </row>
    <row r="11" spans="1:25" ht="15.75" thickBot="1" x14ac:dyDescent="0.3">
      <c r="B11" s="444" t="s">
        <v>475</v>
      </c>
      <c r="C11" s="472">
        <f>-'CII (2)'!P219-'CII (2)'!P210</f>
        <v>1151927.9499999997</v>
      </c>
      <c r="D11" s="472">
        <f>'CII (2)'!P234</f>
        <v>1531.13</v>
      </c>
      <c r="E11" s="465"/>
      <c r="F11" s="1211">
        <f t="shared" si="1"/>
        <v>1153459.0799999996</v>
      </c>
      <c r="G11" s="1212">
        <f>F11+'CII (2)'!P274</f>
        <v>0</v>
      </c>
      <c r="J11" s="443"/>
      <c r="K11" s="443"/>
      <c r="L11" s="443"/>
      <c r="M11" s="443"/>
      <c r="N11" s="443">
        <f>-S59</f>
        <v>-54600</v>
      </c>
      <c r="O11" s="443"/>
      <c r="P11" s="443">
        <f>-'CII (2)'!P154-'CII (2)'!P158+(517.02*5+517.08+317.37+317.33*5)</f>
        <v>-206025.12999999998</v>
      </c>
      <c r="Q11" s="442"/>
      <c r="R11" s="442"/>
      <c r="S11" s="469">
        <f>F11+SUM(J11:P11)</f>
        <v>892833.9499999996</v>
      </c>
      <c r="U11" s="1213">
        <f>SUM(S5:S17)</f>
        <v>12332275.229999999</v>
      </c>
      <c r="W11" s="1242">
        <f>F11/Assumptions!$B$4</f>
        <v>869334.4889699507</v>
      </c>
      <c r="X11" s="1242">
        <f>SUM(J11:P11)/Assumptions!$B$4</f>
        <v>-196426.91980133098</v>
      </c>
    </row>
    <row r="12" spans="1:25" x14ac:dyDescent="0.25">
      <c r="B12" s="463" t="s">
        <v>476</v>
      </c>
      <c r="C12" s="472">
        <f>-'CII (2)'!S219-'CII (2)'!S210</f>
        <v>879698.60999999987</v>
      </c>
      <c r="D12" s="472">
        <f>'CII (2)'!S234</f>
        <v>2103.77</v>
      </c>
      <c r="E12" s="465"/>
      <c r="F12" s="1211">
        <f t="shared" si="1"/>
        <v>881802.37999999989</v>
      </c>
      <c r="G12" s="1212">
        <f>F12+'CII (2)'!S274</f>
        <v>0</v>
      </c>
      <c r="J12" s="443"/>
      <c r="K12" s="443"/>
      <c r="L12" s="443"/>
      <c r="M12" s="443">
        <f>-N55-N56</f>
        <v>-23090</v>
      </c>
      <c r="N12" s="443"/>
      <c r="O12" s="443"/>
      <c r="P12" s="443"/>
      <c r="Q12" s="442"/>
      <c r="R12" s="442"/>
      <c r="S12" s="469">
        <f t="shared" si="0"/>
        <v>858712.37999999989</v>
      </c>
      <c r="W12" s="1242">
        <f>F12/Assumptions!$B$4</f>
        <v>664593.3390110262</v>
      </c>
      <c r="X12" s="1242">
        <f>SUM(J12:P12)/Assumptions!$B$4</f>
        <v>-17402.380108981557</v>
      </c>
    </row>
    <row r="13" spans="1:25" x14ac:dyDescent="0.25">
      <c r="B13" s="463" t="s">
        <v>477</v>
      </c>
      <c r="C13" s="472">
        <f>-'CII (2)'!T219-'CII (2)'!T210</f>
        <v>321262.46000000002</v>
      </c>
      <c r="D13" s="472">
        <f>'CII (2)'!T234</f>
        <v>1315.81</v>
      </c>
      <c r="E13" s="465"/>
      <c r="F13" s="1211">
        <f t="shared" si="1"/>
        <v>322578.27</v>
      </c>
      <c r="G13" s="1212">
        <f>F13+'CII (2)'!T274</f>
        <v>0</v>
      </c>
      <c r="J13" s="443"/>
      <c r="K13" s="443"/>
      <c r="L13" s="443"/>
      <c r="M13" s="443"/>
      <c r="N13" s="443"/>
      <c r="O13" s="443"/>
      <c r="P13" s="443"/>
      <c r="Q13" s="442"/>
      <c r="R13" s="442"/>
      <c r="S13" s="469">
        <f t="shared" si="0"/>
        <v>322578.27</v>
      </c>
      <c r="W13" s="1242">
        <f>F13/Assumptions!$B$4</f>
        <v>243119.51794879528</v>
      </c>
      <c r="X13" s="1242">
        <f>SUM(J13:P13)/Assumptions!$B$4</f>
        <v>0</v>
      </c>
    </row>
    <row r="14" spans="1:25" x14ac:dyDescent="0.25">
      <c r="B14" s="463" t="s">
        <v>479</v>
      </c>
      <c r="C14" s="472">
        <f>-'CII (2)'!U219-'CII (2)'!U210</f>
        <v>124497.29999999999</v>
      </c>
      <c r="D14" s="472">
        <f>'CII (2)'!U234</f>
        <v>2604.16</v>
      </c>
      <c r="E14" s="465"/>
      <c r="F14" s="1211">
        <f>SUM(C14:E14)</f>
        <v>127101.45999999999</v>
      </c>
      <c r="G14" s="1212">
        <f>F14+'CII (2)'!U274</f>
        <v>0</v>
      </c>
      <c r="J14" s="443"/>
      <c r="K14" s="443">
        <f>-'CII (2)'!U76</f>
        <v>-1441.1299999999999</v>
      </c>
      <c r="L14" s="443"/>
      <c r="M14" s="443"/>
      <c r="N14" s="443"/>
      <c r="O14" s="443"/>
      <c r="P14" s="443"/>
      <c r="Q14" s="442"/>
      <c r="R14" s="442"/>
      <c r="S14" s="469">
        <f t="shared" si="0"/>
        <v>125660.32999999999</v>
      </c>
      <c r="W14" s="1242">
        <f>F14/Assumptions!$B$4</f>
        <v>95793.326952209405</v>
      </c>
      <c r="X14" s="1242">
        <f>SUM(J14:P14)/Assumptions!$B$4</f>
        <v>-1086.1451730817059</v>
      </c>
    </row>
    <row r="15" spans="1:25" x14ac:dyDescent="0.25">
      <c r="B15" s="463" t="s">
        <v>480</v>
      </c>
      <c r="C15" s="472">
        <f>-'CII (2)'!W219-'CII (2)'!W210</f>
        <v>735848.72000000009</v>
      </c>
      <c r="D15" s="472">
        <f>'CII (2)'!W234</f>
        <v>0</v>
      </c>
      <c r="E15" s="465"/>
      <c r="F15" s="1211">
        <f t="shared" si="1"/>
        <v>735848.72000000009</v>
      </c>
      <c r="G15" s="1212">
        <f>F15+'CII (2)'!W274</f>
        <v>0</v>
      </c>
      <c r="J15" s="443">
        <f>-F15</f>
        <v>-735848.72000000009</v>
      </c>
      <c r="K15" s="443"/>
      <c r="L15" s="443"/>
      <c r="M15" s="443"/>
      <c r="N15" s="443"/>
      <c r="O15" s="443"/>
      <c r="P15" s="443"/>
      <c r="Q15" s="442"/>
      <c r="R15" s="442"/>
      <c r="S15" s="469">
        <f t="shared" si="0"/>
        <v>0</v>
      </c>
      <c r="W15" s="1242">
        <f>F15/Assumptions!$B$4</f>
        <v>554591.56033553672</v>
      </c>
      <c r="X15" s="1242">
        <f>SUM(J15:P15)/Assumptions!$B$4</f>
        <v>-554591.56033553672</v>
      </c>
    </row>
    <row r="16" spans="1:25" x14ac:dyDescent="0.25">
      <c r="B16" s="463" t="s">
        <v>481</v>
      </c>
      <c r="C16" s="472">
        <f>-'CII (2)'!X219-'CII (2)'!X210</f>
        <v>1103278.2600000002</v>
      </c>
      <c r="D16" s="472">
        <f>'CII (2)'!X234</f>
        <v>2377.48</v>
      </c>
      <c r="E16" s="465"/>
      <c r="F16" s="1211">
        <f t="shared" si="1"/>
        <v>1105655.7400000002</v>
      </c>
      <c r="G16" s="1212">
        <f>F16+'CII (2)'!X274</f>
        <v>0</v>
      </c>
      <c r="J16" s="443">
        <f>-F16</f>
        <v>-1105655.7400000002</v>
      </c>
      <c r="K16" s="443"/>
      <c r="L16" s="443"/>
      <c r="M16" s="443"/>
      <c r="N16" s="443"/>
      <c r="O16" s="443"/>
      <c r="P16" s="443"/>
      <c r="Q16" s="442"/>
      <c r="R16" s="442"/>
      <c r="S16" s="469">
        <f t="shared" si="0"/>
        <v>0</v>
      </c>
      <c r="W16" s="1242">
        <f>F16/Assumptions!$B$4</f>
        <v>833306.25626493245</v>
      </c>
      <c r="X16" s="1242">
        <f>SUM(J16:P16)/Assumptions!$B$4</f>
        <v>-833306.25626493245</v>
      </c>
    </row>
    <row r="17" spans="2:24" x14ac:dyDescent="0.25">
      <c r="B17" s="463" t="s">
        <v>482</v>
      </c>
      <c r="C17" s="472"/>
      <c r="D17" s="472"/>
      <c r="E17" s="465"/>
      <c r="F17" s="1211">
        <f t="shared" si="1"/>
        <v>0</v>
      </c>
      <c r="G17" s="1212"/>
      <c r="J17" s="443"/>
      <c r="K17" s="443"/>
      <c r="L17" s="443"/>
      <c r="M17" s="443"/>
      <c r="N17" s="443"/>
      <c r="O17" s="443"/>
      <c r="P17" s="443"/>
      <c r="Q17" s="442"/>
      <c r="R17" s="442"/>
      <c r="S17" s="469">
        <f t="shared" si="0"/>
        <v>0</v>
      </c>
      <c r="W17" s="1242">
        <f>F17/Assumptions!$B$4</f>
        <v>0</v>
      </c>
      <c r="X17" s="1242">
        <f>SUM(J17:P17)/Assumptions!$B$4</f>
        <v>0</v>
      </c>
    </row>
    <row r="18" spans="2:24" ht="15.75" thickBot="1" x14ac:dyDescent="0.3">
      <c r="B18" s="474" t="s">
        <v>483</v>
      </c>
      <c r="C18" s="1214">
        <f>SUM(C5:C17)</f>
        <v>16200590.900000002</v>
      </c>
      <c r="D18" s="1214">
        <f>SUM(D5:D17)</f>
        <v>203861.28000000003</v>
      </c>
      <c r="E18" s="475">
        <f>SUM(E5:E17)</f>
        <v>-224478.03</v>
      </c>
      <c r="F18" s="1214">
        <f>SUM(F5:F17)</f>
        <v>16179974.150000002</v>
      </c>
      <c r="G18" s="1212">
        <f>F18+'CII (2)'!Z286</f>
        <v>0</v>
      </c>
      <c r="J18" s="443"/>
      <c r="K18" s="443"/>
      <c r="L18" s="443"/>
      <c r="M18" s="443"/>
      <c r="N18" s="443"/>
      <c r="O18" s="443"/>
      <c r="P18" s="443"/>
      <c r="Q18" s="442"/>
      <c r="R18" s="442"/>
      <c r="S18" s="449"/>
    </row>
    <row r="19" spans="2:24" x14ac:dyDescent="0.25">
      <c r="B19" s="478"/>
      <c r="C19" s="1215"/>
      <c r="D19" s="1216"/>
      <c r="F19" s="457"/>
      <c r="G19" s="1212"/>
      <c r="J19" s="443"/>
      <c r="K19" s="443"/>
      <c r="L19" s="443"/>
      <c r="M19" s="443"/>
      <c r="N19" s="443"/>
      <c r="O19" s="443"/>
      <c r="P19" s="443"/>
      <c r="Q19" s="442"/>
      <c r="R19" s="442"/>
      <c r="S19" s="482"/>
    </row>
    <row r="20" spans="2:24" x14ac:dyDescent="0.25">
      <c r="B20" s="483" t="s">
        <v>485</v>
      </c>
      <c r="C20" s="1217"/>
      <c r="D20" s="442"/>
      <c r="F20" s="477"/>
      <c r="G20" s="1212"/>
      <c r="J20" s="443"/>
      <c r="K20" s="443"/>
      <c r="L20" s="443"/>
      <c r="M20" s="443"/>
      <c r="N20" s="443"/>
      <c r="O20" s="443"/>
      <c r="P20" s="443"/>
      <c r="S20" s="482">
        <f>F20+SUM(J20:P20)</f>
        <v>0</v>
      </c>
    </row>
    <row r="21" spans="2:24" x14ac:dyDescent="0.25">
      <c r="B21" s="446" t="s">
        <v>421</v>
      </c>
      <c r="C21" s="1218">
        <v>-127500</v>
      </c>
      <c r="D21" s="442"/>
      <c r="F21" s="1211">
        <f>SUM(C21:E21)</f>
        <v>-127500</v>
      </c>
      <c r="G21" s="1212">
        <v>0</v>
      </c>
      <c r="J21" s="443"/>
      <c r="K21" s="443"/>
      <c r="L21" s="443"/>
      <c r="M21" s="443"/>
      <c r="N21" s="443"/>
      <c r="O21" s="443"/>
      <c r="P21" s="443"/>
      <c r="S21" s="469">
        <f t="shared" ref="S21:S22" si="2">F21+SUM(J21:P21)</f>
        <v>-127500</v>
      </c>
      <c r="W21" s="477">
        <f>F21</f>
        <v>-127500</v>
      </c>
    </row>
    <row r="22" spans="2:24" x14ac:dyDescent="0.25">
      <c r="B22" s="446" t="s">
        <v>315</v>
      </c>
      <c r="C22" s="1218">
        <v>-111875</v>
      </c>
      <c r="D22" s="442"/>
      <c r="F22" s="1211">
        <f>SUM(C22:E22)</f>
        <v>-111875</v>
      </c>
      <c r="G22" s="1212">
        <v>0</v>
      </c>
      <c r="J22" s="443"/>
      <c r="K22" s="443"/>
      <c r="L22" s="443"/>
      <c r="M22" s="443"/>
      <c r="N22" s="443"/>
      <c r="O22" s="443"/>
      <c r="P22" s="443"/>
      <c r="S22" s="469">
        <f t="shared" si="2"/>
        <v>-111875</v>
      </c>
      <c r="W22" s="477">
        <f>F22</f>
        <v>-111875</v>
      </c>
    </row>
    <row r="23" spans="2:24" ht="15.75" thickBot="1" x14ac:dyDescent="0.3">
      <c r="C23" s="487">
        <f>SUM(C21:C22)</f>
        <v>-239375</v>
      </c>
      <c r="D23" s="487">
        <f t="shared" ref="D23:E23" si="3">SUM(D21:D22)</f>
        <v>0</v>
      </c>
      <c r="E23" s="487">
        <f t="shared" si="3"/>
        <v>0</v>
      </c>
      <c r="F23" s="487">
        <f>SUM(F21:F22)</f>
        <v>-239375</v>
      </c>
      <c r="G23" s="1212"/>
      <c r="J23" s="443"/>
      <c r="K23" s="443"/>
      <c r="L23" s="443"/>
      <c r="M23" s="443"/>
      <c r="N23" s="443"/>
      <c r="O23" s="443"/>
      <c r="P23" s="443"/>
      <c r="S23" s="449"/>
    </row>
    <row r="24" spans="2:24" x14ac:dyDescent="0.25">
      <c r="B24" s="490"/>
      <c r="C24" s="491"/>
      <c r="D24" s="491"/>
      <c r="F24" s="477"/>
      <c r="G24" s="1212"/>
    </row>
    <row r="25" spans="2:24" ht="15.75" thickBot="1" x14ac:dyDescent="0.3">
      <c r="B25" s="492" t="s">
        <v>486</v>
      </c>
      <c r="C25" s="493">
        <f>+C18+C23</f>
        <v>15961215.900000002</v>
      </c>
      <c r="D25" s="493">
        <f>+D18+D23</f>
        <v>203861.28000000003</v>
      </c>
      <c r="E25" s="493">
        <f>+E18+E23</f>
        <v>-224478.03</v>
      </c>
      <c r="F25" s="493">
        <f>+F18+F23</f>
        <v>15940599.150000002</v>
      </c>
      <c r="G25" s="1212"/>
      <c r="J25" s="494">
        <f t="shared" ref="J25:P25" si="4">SUM(J5:J23)</f>
        <v>-3227324.5600000005</v>
      </c>
      <c r="K25" s="494">
        <f t="shared" si="4"/>
        <v>-61319.320000000007</v>
      </c>
      <c r="L25" s="494">
        <f t="shared" si="4"/>
        <v>-51780.4</v>
      </c>
      <c r="M25" s="494">
        <f t="shared" si="4"/>
        <v>-170980</v>
      </c>
      <c r="N25" s="494">
        <f t="shared" si="4"/>
        <v>-54600</v>
      </c>
      <c r="O25" s="494">
        <f t="shared" si="4"/>
        <v>-21332</v>
      </c>
      <c r="P25" s="494">
        <f t="shared" si="4"/>
        <v>-260362.63999999996</v>
      </c>
      <c r="S25" s="495">
        <f>SUM(S5:S23)</f>
        <v>12092900.229999999</v>
      </c>
      <c r="T25" s="477">
        <f>S25-SUM(J25:P25)-F25</f>
        <v>0</v>
      </c>
    </row>
    <row r="26" spans="2:24" x14ac:dyDescent="0.25">
      <c r="B26" s="490"/>
      <c r="C26" s="491"/>
      <c r="D26" s="491"/>
      <c r="F26" s="477"/>
      <c r="G26" s="1212"/>
      <c r="K26" s="477"/>
      <c r="O26" s="509"/>
      <c r="P26" s="496"/>
      <c r="Q26" s="1219"/>
      <c r="R26" s="1220"/>
      <c r="S26" s="449"/>
    </row>
    <row r="27" spans="2:24" x14ac:dyDescent="0.25">
      <c r="B27" s="490"/>
      <c r="C27" s="491"/>
      <c r="D27" s="491"/>
      <c r="F27" s="1221"/>
      <c r="G27" s="1212"/>
    </row>
    <row r="28" spans="2:24" ht="46.5" customHeight="1" x14ac:dyDescent="0.25">
      <c r="B28" s="447" t="s">
        <v>487</v>
      </c>
      <c r="C28" s="455" t="s">
        <v>444</v>
      </c>
      <c r="D28" s="455" t="s">
        <v>462</v>
      </c>
      <c r="E28" s="455" t="s">
        <v>446</v>
      </c>
      <c r="F28" s="455" t="s">
        <v>447</v>
      </c>
      <c r="G28" s="1212"/>
    </row>
    <row r="29" spans="2:24" x14ac:dyDescent="0.25">
      <c r="B29" s="444" t="s">
        <v>469</v>
      </c>
      <c r="C29" s="1222">
        <f>-'CISUS (2)'!C275-D29</f>
        <v>471355.35000000003</v>
      </c>
      <c r="D29" s="470">
        <f>'CISUS (2)'!C235</f>
        <v>537.71999999999991</v>
      </c>
      <c r="E29" s="499"/>
      <c r="F29" s="1211">
        <f t="shared" ref="F29:F34" si="5">SUM(C29:E29)</f>
        <v>471893.07</v>
      </c>
      <c r="G29" s="1212">
        <f>F29+'CISUS (2)'!C275</f>
        <v>0</v>
      </c>
      <c r="J29" s="443">
        <f>-F29</f>
        <v>-471893.07</v>
      </c>
      <c r="K29" s="468"/>
      <c r="L29" s="468"/>
      <c r="M29" s="468"/>
      <c r="N29" s="468"/>
      <c r="O29" s="468"/>
      <c r="P29" s="443"/>
      <c r="Q29" s="477"/>
      <c r="S29" s="500">
        <f>F29+SUM(J29:P29)</f>
        <v>0</v>
      </c>
      <c r="W29" s="477">
        <f t="shared" ref="W29:W34" si="6">F29</f>
        <v>471893.07</v>
      </c>
      <c r="X29" s="477">
        <f>SUM(J29:P29)</f>
        <v>-471893.07</v>
      </c>
    </row>
    <row r="30" spans="2:24" x14ac:dyDescent="0.25">
      <c r="B30" s="444" t="s">
        <v>471</v>
      </c>
      <c r="C30" s="1222">
        <f>-'CISUS (2)'!E275-D30</f>
        <v>63794.029999999941</v>
      </c>
      <c r="D30" s="470">
        <f>'CISUS (2)'!E235</f>
        <v>3862.9700000000003</v>
      </c>
      <c r="E30" s="499"/>
      <c r="F30" s="1211">
        <f>SUM(C30:E30)</f>
        <v>67656.999999999942</v>
      </c>
      <c r="G30" s="1212">
        <f>F30+'CISUS (2)'!E275</f>
        <v>0</v>
      </c>
      <c r="J30" s="468"/>
      <c r="K30" s="468"/>
      <c r="L30" s="468"/>
      <c r="M30" s="468"/>
      <c r="N30" s="468"/>
      <c r="O30" s="468"/>
      <c r="P30" s="443"/>
      <c r="S30" s="500">
        <f>F30+SUM(J30:P30)</f>
        <v>67656.999999999942</v>
      </c>
      <c r="W30" s="477">
        <f t="shared" si="6"/>
        <v>67656.999999999942</v>
      </c>
      <c r="X30" s="477">
        <f t="shared" ref="X30:X34" si="7">SUM(J30:P30)</f>
        <v>0</v>
      </c>
    </row>
    <row r="31" spans="2:24" x14ac:dyDescent="0.25">
      <c r="B31" s="444" t="s">
        <v>473</v>
      </c>
      <c r="C31" s="1222">
        <f>-'CISUS (2)'!G275-D31</f>
        <v>107205.61</v>
      </c>
      <c r="D31" s="470">
        <f>'CISUS (2)'!G245</f>
        <v>3551.96</v>
      </c>
      <c r="E31" s="499"/>
      <c r="F31" s="1211">
        <f>SUM(C31:E31)</f>
        <v>110757.57</v>
      </c>
      <c r="G31" s="1212">
        <f>F31+'CISUS (2)'!G275</f>
        <v>0</v>
      </c>
      <c r="J31" s="468"/>
      <c r="K31" s="468"/>
      <c r="L31" s="468"/>
      <c r="M31" s="468"/>
      <c r="N31" s="468"/>
      <c r="O31" s="468"/>
      <c r="P31" s="443"/>
      <c r="S31" s="500">
        <f>F31+SUM(J31:P31)</f>
        <v>110757.57</v>
      </c>
      <c r="W31" s="477">
        <f t="shared" si="6"/>
        <v>110757.57</v>
      </c>
      <c r="X31" s="477">
        <f t="shared" si="7"/>
        <v>0</v>
      </c>
    </row>
    <row r="32" spans="2:24" x14ac:dyDescent="0.25">
      <c r="B32" s="444" t="s">
        <v>475</v>
      </c>
      <c r="C32" s="470">
        <f>-'CISUS (2)'!J275-D32</f>
        <v>119390.44</v>
      </c>
      <c r="D32" s="470">
        <f>'CISUS (2)'!J235</f>
        <v>279.98</v>
      </c>
      <c r="E32" s="499"/>
      <c r="F32" s="1211">
        <f t="shared" si="5"/>
        <v>119670.42</v>
      </c>
      <c r="G32" s="1212">
        <f>F32+'CISUS (2)'!J275</f>
        <v>0</v>
      </c>
      <c r="J32" s="468"/>
      <c r="K32" s="468"/>
      <c r="L32" s="468"/>
      <c r="M32" s="468"/>
      <c r="N32" s="468"/>
      <c r="O32" s="468"/>
      <c r="P32" s="443"/>
      <c r="S32" s="500">
        <f>F32+SUM(J32:P32)</f>
        <v>119670.42</v>
      </c>
      <c r="T32" s="477"/>
      <c r="W32" s="477">
        <f t="shared" si="6"/>
        <v>119670.42</v>
      </c>
      <c r="X32" s="477">
        <f t="shared" si="7"/>
        <v>0</v>
      </c>
    </row>
    <row r="33" spans="2:24" x14ac:dyDescent="0.25">
      <c r="B33" s="463" t="s">
        <v>479</v>
      </c>
      <c r="C33" s="470">
        <f>-'CISUS (2)'!L275-D33</f>
        <v>206160.63999999996</v>
      </c>
      <c r="D33" s="470">
        <f>'CISUS (2)'!L235</f>
        <v>0</v>
      </c>
      <c r="E33" s="499"/>
      <c r="F33" s="1211">
        <f t="shared" si="5"/>
        <v>206160.63999999996</v>
      </c>
      <c r="G33" s="1212">
        <f>F33+'CISUS (2)'!L275</f>
        <v>0</v>
      </c>
      <c r="J33" s="468"/>
      <c r="K33" s="468"/>
      <c r="L33" s="468"/>
      <c r="M33" s="468"/>
      <c r="N33" s="468"/>
      <c r="O33" s="468"/>
      <c r="P33" s="443"/>
      <c r="S33" s="500">
        <f>F33+SUM(J33:P33)</f>
        <v>206160.63999999996</v>
      </c>
      <c r="W33" s="477">
        <f t="shared" si="6"/>
        <v>206160.63999999996</v>
      </c>
      <c r="X33" s="477">
        <f t="shared" si="7"/>
        <v>0</v>
      </c>
    </row>
    <row r="34" spans="2:24" x14ac:dyDescent="0.25">
      <c r="B34" s="463" t="s">
        <v>482</v>
      </c>
      <c r="C34" s="499"/>
      <c r="D34" s="499"/>
      <c r="E34" s="499"/>
      <c r="F34" s="472">
        <f t="shared" si="5"/>
        <v>0</v>
      </c>
      <c r="G34" s="1212"/>
      <c r="J34" s="468"/>
      <c r="K34" s="468"/>
      <c r="L34" s="468"/>
      <c r="M34" s="468"/>
      <c r="N34" s="468"/>
      <c r="O34" s="468"/>
      <c r="P34" s="443"/>
      <c r="S34" s="501"/>
      <c r="W34" s="477">
        <f t="shared" si="6"/>
        <v>0</v>
      </c>
      <c r="X34" s="477">
        <f t="shared" si="7"/>
        <v>0</v>
      </c>
    </row>
    <row r="35" spans="2:24" ht="15.75" thickBot="1" x14ac:dyDescent="0.3">
      <c r="B35" s="492" t="s">
        <v>488</v>
      </c>
      <c r="C35" s="493">
        <f>SUM(C29:C34)</f>
        <v>967906.06999999983</v>
      </c>
      <c r="D35" s="493">
        <f>SUM(D29:D34)</f>
        <v>8232.630000000001</v>
      </c>
      <c r="E35" s="493">
        <f>SUM(E29:E34)</f>
        <v>0</v>
      </c>
      <c r="F35" s="493">
        <f>SUM(F29:F34)</f>
        <v>976138.7</v>
      </c>
      <c r="G35" s="1212">
        <f>F35+'CISUS (2)'!Q275</f>
        <v>0</v>
      </c>
      <c r="J35" s="494">
        <f>SUM(J29:J34)</f>
        <v>-471893.07</v>
      </c>
      <c r="K35" s="494">
        <f t="shared" ref="K35:P35" si="8">SUM(K29:K34)</f>
        <v>0</v>
      </c>
      <c r="L35" s="494">
        <f t="shared" si="8"/>
        <v>0</v>
      </c>
      <c r="M35" s="494">
        <f t="shared" si="8"/>
        <v>0</v>
      </c>
      <c r="N35" s="494">
        <f t="shared" si="8"/>
        <v>0</v>
      </c>
      <c r="O35" s="494"/>
      <c r="P35" s="494">
        <f t="shared" si="8"/>
        <v>0</v>
      </c>
      <c r="S35" s="495">
        <f>SUM(S29:S34)</f>
        <v>504245.62999999989</v>
      </c>
      <c r="T35" s="477">
        <f>S35-SUM(J35:P35)-F35</f>
        <v>0</v>
      </c>
      <c r="W35" s="1260">
        <f>SUM(W5:W33)</f>
        <v>12931222.786695359</v>
      </c>
    </row>
    <row r="37" spans="2:24" x14ac:dyDescent="0.25">
      <c r="F37" s="1221"/>
      <c r="G37" s="486"/>
    </row>
    <row r="38" spans="2:24" x14ac:dyDescent="0.25">
      <c r="B38" s="490"/>
      <c r="C38" s="484"/>
      <c r="F38" s="477"/>
      <c r="G38" s="477"/>
      <c r="S38" s="1242">
        <f>(U11/Assumptions!B4)+SUM(S21:S22,S29:S34)</f>
        <v>9559411.1740033738</v>
      </c>
    </row>
    <row r="39" spans="2:24" x14ac:dyDescent="0.25">
      <c r="E39" s="1223"/>
      <c r="F39" s="1224"/>
    </row>
    <row r="40" spans="2:24" x14ac:dyDescent="0.25">
      <c r="E40" s="1223"/>
      <c r="F40" s="1225"/>
    </row>
    <row r="41" spans="2:24" x14ac:dyDescent="0.25">
      <c r="E41" s="1226"/>
      <c r="F41" s="1226"/>
    </row>
    <row r="42" spans="2:24" x14ac:dyDescent="0.25">
      <c r="J42" s="422" t="s">
        <v>449</v>
      </c>
      <c r="K42" s="438" t="s">
        <v>489</v>
      </c>
      <c r="L42" s="442"/>
      <c r="M42" s="442"/>
      <c r="N42" s="442"/>
      <c r="O42" s="442"/>
      <c r="P42" s="442"/>
      <c r="Q42" s="442"/>
      <c r="R42" s="442"/>
      <c r="S42" s="507"/>
      <c r="T42" s="442"/>
    </row>
    <row r="43" spans="2:24" x14ac:dyDescent="0.25">
      <c r="J43" s="442"/>
      <c r="K43" s="442"/>
      <c r="L43" s="442"/>
      <c r="M43" s="442"/>
      <c r="N43" s="442"/>
      <c r="O43" s="442"/>
      <c r="P43" s="442"/>
      <c r="Q43" s="442"/>
      <c r="R43" s="442"/>
      <c r="S43" s="507"/>
      <c r="T43" s="442"/>
    </row>
    <row r="44" spans="2:24" x14ac:dyDescent="0.25">
      <c r="J44" s="422" t="s">
        <v>450</v>
      </c>
      <c r="K44" s="438" t="s">
        <v>490</v>
      </c>
      <c r="L44" s="442"/>
      <c r="M44" s="442"/>
      <c r="N44" s="442"/>
      <c r="O44" s="442"/>
      <c r="P44" s="442"/>
      <c r="Q44" s="442"/>
      <c r="R44" s="442"/>
      <c r="S44" s="507"/>
      <c r="T44" s="442"/>
    </row>
    <row r="45" spans="2:24" x14ac:dyDescent="0.25">
      <c r="J45" s="442"/>
      <c r="K45" s="442"/>
      <c r="L45" s="442"/>
      <c r="M45" s="442"/>
      <c r="N45" s="442"/>
      <c r="O45" s="442"/>
      <c r="P45" s="442"/>
      <c r="Q45" s="442"/>
      <c r="R45" s="442"/>
      <c r="S45" s="507"/>
      <c r="T45" s="442"/>
    </row>
    <row r="46" spans="2:24" x14ac:dyDescent="0.25">
      <c r="J46" s="422" t="s">
        <v>464</v>
      </c>
      <c r="K46" s="438" t="s">
        <v>460</v>
      </c>
      <c r="L46" s="442"/>
      <c r="M46" s="442"/>
      <c r="N46" s="442"/>
      <c r="O46" s="442"/>
      <c r="P46" s="442"/>
      <c r="Q46" s="442"/>
      <c r="R46" s="442"/>
      <c r="S46" s="507"/>
      <c r="T46" s="442"/>
    </row>
    <row r="47" spans="2:24" x14ac:dyDescent="0.25">
      <c r="J47" s="442"/>
      <c r="K47" s="442"/>
      <c r="L47" s="442"/>
      <c r="M47" s="442"/>
      <c r="N47" s="442"/>
      <c r="O47" s="442"/>
      <c r="P47" s="442"/>
      <c r="Q47" s="442"/>
      <c r="R47" s="442"/>
      <c r="S47" s="507"/>
      <c r="T47" s="442"/>
    </row>
    <row r="48" spans="2:24" x14ac:dyDescent="0.25">
      <c r="J48" s="422" t="s">
        <v>465</v>
      </c>
      <c r="K48" s="438" t="s">
        <v>491</v>
      </c>
      <c r="L48" s="442"/>
      <c r="M48" s="442"/>
      <c r="N48" s="442"/>
      <c r="O48" s="442"/>
      <c r="P48" s="442"/>
      <c r="Q48" s="442"/>
      <c r="R48" s="442"/>
      <c r="S48" s="507"/>
      <c r="T48" s="442"/>
    </row>
    <row r="49" spans="10:20" x14ac:dyDescent="0.25">
      <c r="J49" s="442"/>
      <c r="K49" s="442"/>
      <c r="L49" s="442"/>
      <c r="M49" s="442"/>
      <c r="N49" s="442"/>
      <c r="O49" s="442"/>
      <c r="P49" s="442"/>
      <c r="Q49" s="442"/>
      <c r="R49" s="442"/>
      <c r="S49" s="507"/>
      <c r="T49" s="442"/>
    </row>
    <row r="50" spans="10:20" ht="30" x14ac:dyDescent="0.25">
      <c r="J50" s="442"/>
      <c r="K50" s="439" t="s">
        <v>492</v>
      </c>
      <c r="L50" s="439" t="s">
        <v>493</v>
      </c>
      <c r="M50" s="440" t="s">
        <v>494</v>
      </c>
      <c r="N50" s="439" t="s">
        <v>3</v>
      </c>
      <c r="O50" s="441" t="s">
        <v>495</v>
      </c>
      <c r="P50" s="442"/>
      <c r="Q50" s="1227"/>
      <c r="R50" s="442"/>
      <c r="S50" s="507"/>
      <c r="T50" s="442"/>
    </row>
    <row r="51" spans="10:20" x14ac:dyDescent="0.25">
      <c r="J51" s="442"/>
      <c r="K51" s="438" t="s">
        <v>496</v>
      </c>
      <c r="L51" s="442">
        <f>24+24</f>
        <v>48</v>
      </c>
      <c r="M51" s="442">
        <v>424</v>
      </c>
      <c r="N51" s="443">
        <f t="shared" ref="N51:N57" si="9">L51*M51</f>
        <v>20352</v>
      </c>
      <c r="O51" s="444" t="s">
        <v>471</v>
      </c>
      <c r="P51" s="442"/>
      <c r="Q51" s="1227" t="s">
        <v>1109</v>
      </c>
      <c r="R51" s="442"/>
      <c r="S51" s="507"/>
      <c r="T51" s="442"/>
    </row>
    <row r="52" spans="10:20" x14ac:dyDescent="0.25">
      <c r="J52" s="442"/>
      <c r="K52" s="438" t="s">
        <v>1110</v>
      </c>
      <c r="L52" s="442">
        <f>24+24</f>
        <v>48</v>
      </c>
      <c r="M52" s="442">
        <v>481</v>
      </c>
      <c r="N52" s="443">
        <f t="shared" si="9"/>
        <v>23088</v>
      </c>
      <c r="O52" s="444" t="s">
        <v>471</v>
      </c>
      <c r="P52" s="442"/>
      <c r="Q52" s="1227" t="s">
        <v>1111</v>
      </c>
      <c r="R52" s="442"/>
      <c r="S52" s="507"/>
      <c r="T52" s="442"/>
    </row>
    <row r="53" spans="10:20" x14ac:dyDescent="0.25">
      <c r="J53" s="442"/>
      <c r="K53" s="438" t="s">
        <v>497</v>
      </c>
      <c r="L53" s="442">
        <f>31+31+31+31</f>
        <v>124</v>
      </c>
      <c r="M53" s="442">
        <v>208</v>
      </c>
      <c r="N53" s="443">
        <f t="shared" si="9"/>
        <v>25792</v>
      </c>
      <c r="O53" s="444" t="s">
        <v>473</v>
      </c>
      <c r="P53" s="442"/>
      <c r="Q53" s="442"/>
      <c r="R53" s="442"/>
      <c r="S53" s="507"/>
      <c r="T53" s="442"/>
    </row>
    <row r="54" spans="10:20" x14ac:dyDescent="0.25">
      <c r="J54" s="442"/>
      <c r="K54" s="438" t="s">
        <v>498</v>
      </c>
      <c r="L54" s="442">
        <f>31+31+31+10</f>
        <v>103</v>
      </c>
      <c r="M54" s="442">
        <v>46</v>
      </c>
      <c r="N54" s="443">
        <f t="shared" si="9"/>
        <v>4738</v>
      </c>
      <c r="O54" s="444" t="s">
        <v>473</v>
      </c>
      <c r="P54" s="442"/>
      <c r="Q54" s="1227" t="s">
        <v>1112</v>
      </c>
      <c r="R54" s="442"/>
      <c r="S54" s="507"/>
      <c r="T54" s="442"/>
    </row>
    <row r="55" spans="10:20" x14ac:dyDescent="0.25">
      <c r="J55" s="442"/>
      <c r="K55" s="438" t="s">
        <v>1113</v>
      </c>
      <c r="L55" s="442">
        <f>32+32+32+32</f>
        <v>128</v>
      </c>
      <c r="M55" s="442">
        <v>163</v>
      </c>
      <c r="N55" s="443">
        <f t="shared" si="9"/>
        <v>20864</v>
      </c>
      <c r="O55" s="444" t="s">
        <v>476</v>
      </c>
      <c r="P55" s="442"/>
      <c r="Q55" s="1227"/>
      <c r="R55" s="442"/>
      <c r="S55" s="507"/>
      <c r="T55" s="442"/>
    </row>
    <row r="56" spans="10:20" x14ac:dyDescent="0.25">
      <c r="J56" s="442"/>
      <c r="K56" s="438" t="s">
        <v>500</v>
      </c>
      <c r="L56" s="442">
        <f>13.25+13.25+13.25+13.25</f>
        <v>53</v>
      </c>
      <c r="M56" s="442">
        <v>42</v>
      </c>
      <c r="N56" s="443">
        <f t="shared" si="9"/>
        <v>2226</v>
      </c>
      <c r="O56" s="444" t="s">
        <v>476</v>
      </c>
      <c r="P56" s="442"/>
      <c r="Q56" s="442"/>
      <c r="R56" s="442"/>
      <c r="S56" s="507"/>
      <c r="T56" s="442"/>
    </row>
    <row r="57" spans="10:20" x14ac:dyDescent="0.25">
      <c r="J57" s="442"/>
      <c r="K57" s="438" t="s">
        <v>1114</v>
      </c>
      <c r="L57" s="442">
        <f>240+240+240+240</f>
        <v>960</v>
      </c>
      <c r="M57" s="442">
        <v>77</v>
      </c>
      <c r="N57" s="443">
        <f t="shared" si="9"/>
        <v>73920</v>
      </c>
      <c r="O57" s="444" t="s">
        <v>473</v>
      </c>
      <c r="P57" s="442"/>
      <c r="Q57" s="442"/>
      <c r="R57" s="442"/>
      <c r="S57" s="507"/>
      <c r="T57" s="442"/>
    </row>
    <row r="58" spans="10:20" x14ac:dyDescent="0.25">
      <c r="J58" s="442"/>
      <c r="K58" s="442"/>
      <c r="L58" s="442"/>
      <c r="M58" s="442"/>
      <c r="N58" s="1216">
        <f>SUM(N51:N57)+M25</f>
        <v>0</v>
      </c>
      <c r="O58" s="442"/>
      <c r="P58" s="442"/>
      <c r="Q58" s="442"/>
      <c r="R58" s="442"/>
      <c r="S58" s="507"/>
      <c r="T58" s="442"/>
    </row>
    <row r="59" spans="10:20" x14ac:dyDescent="0.25">
      <c r="J59" s="422" t="s">
        <v>466</v>
      </c>
      <c r="K59" s="438" t="s">
        <v>501</v>
      </c>
      <c r="L59" s="442"/>
      <c r="M59" s="442"/>
      <c r="N59" s="442"/>
      <c r="O59" s="442"/>
      <c r="P59" s="442"/>
      <c r="Q59" s="442"/>
      <c r="R59" s="442"/>
      <c r="S59" s="1228">
        <f>84000*1.3*12/12*0.5</f>
        <v>54600</v>
      </c>
      <c r="T59" s="442"/>
    </row>
    <row r="60" spans="10:20" x14ac:dyDescent="0.25">
      <c r="J60" s="442"/>
      <c r="K60" s="442"/>
      <c r="L60" s="442"/>
      <c r="M60" s="442"/>
      <c r="N60" s="442"/>
      <c r="O60" s="442"/>
      <c r="P60" s="442"/>
      <c r="Q60" s="442"/>
      <c r="R60" s="442"/>
      <c r="S60" s="442"/>
      <c r="T60" s="442"/>
    </row>
    <row r="61" spans="10:20" x14ac:dyDescent="0.25">
      <c r="J61" s="422" t="s">
        <v>467</v>
      </c>
      <c r="K61" s="438" t="s">
        <v>1115</v>
      </c>
      <c r="L61" s="442"/>
      <c r="M61" s="442"/>
      <c r="N61" s="442"/>
      <c r="O61" s="442"/>
      <c r="P61" s="442"/>
      <c r="Q61" s="442"/>
      <c r="R61" s="442"/>
      <c r="S61" s="1228">
        <f>5333*4</f>
        <v>21332</v>
      </c>
    </row>
    <row r="62" spans="10:20" x14ac:dyDescent="0.25">
      <c r="J62" s="422"/>
      <c r="K62" s="438"/>
      <c r="L62" s="442"/>
      <c r="M62" s="442"/>
      <c r="N62" s="442"/>
      <c r="O62" s="442"/>
      <c r="P62" s="442"/>
      <c r="Q62" s="442"/>
      <c r="R62" s="442"/>
      <c r="S62" s="507"/>
      <c r="T62" s="442"/>
    </row>
    <row r="63" spans="10:20" x14ac:dyDescent="0.25">
      <c r="J63" s="422" t="s">
        <v>503</v>
      </c>
      <c r="K63" s="438" t="s">
        <v>1116</v>
      </c>
      <c r="L63" s="442"/>
      <c r="M63" s="442"/>
      <c r="N63" s="442"/>
      <c r="O63" s="442"/>
      <c r="P63" s="442"/>
      <c r="Q63" s="442"/>
      <c r="R63" s="442"/>
      <c r="S63" s="507"/>
      <c r="T63" s="442"/>
    </row>
    <row r="64" spans="10:20" x14ac:dyDescent="0.25">
      <c r="J64" s="442"/>
      <c r="K64" s="508" t="s">
        <v>505</v>
      </c>
      <c r="L64" s="442"/>
      <c r="M64" s="442"/>
      <c r="N64" s="442"/>
      <c r="O64" s="442"/>
      <c r="P64" s="442"/>
      <c r="Q64" s="442"/>
      <c r="R64" s="442"/>
      <c r="S64" s="507"/>
      <c r="T64" s="442"/>
    </row>
    <row r="65" spans="10:20" x14ac:dyDescent="0.25">
      <c r="J65" s="442"/>
      <c r="K65" s="442"/>
      <c r="L65" s="442"/>
      <c r="M65" s="442"/>
      <c r="N65" s="442"/>
      <c r="O65" s="442"/>
      <c r="P65" s="442"/>
      <c r="Q65" s="442"/>
      <c r="R65" s="442"/>
      <c r="S65" s="442"/>
      <c r="T65" s="442"/>
    </row>
    <row r="66" spans="10:20" x14ac:dyDescent="0.25">
      <c r="J66" s="444" t="s">
        <v>1117</v>
      </c>
      <c r="K66" s="442"/>
      <c r="L66" s="438" t="s">
        <v>1118</v>
      </c>
      <c r="M66" s="442"/>
      <c r="N66" s="442"/>
      <c r="O66" s="442"/>
      <c r="P66" s="442"/>
      <c r="Q66" s="442"/>
      <c r="R66" s="442"/>
      <c r="S66" s="507"/>
      <c r="T66" s="442"/>
    </row>
    <row r="67" spans="10:20" x14ac:dyDescent="0.25">
      <c r="J67" s="444" t="s">
        <v>1119</v>
      </c>
      <c r="K67" s="442"/>
      <c r="L67" s="438" t="s">
        <v>509</v>
      </c>
      <c r="M67" s="442"/>
      <c r="N67" s="442"/>
      <c r="O67" s="442"/>
      <c r="P67" s="442"/>
      <c r="Q67" s="442"/>
      <c r="R67" s="442"/>
      <c r="S67" s="507"/>
      <c r="T67" s="442"/>
    </row>
    <row r="68" spans="10:20" x14ac:dyDescent="0.25">
      <c r="J68" s="444" t="s">
        <v>1120</v>
      </c>
      <c r="K68" s="442"/>
      <c r="L68" s="438" t="s">
        <v>511</v>
      </c>
      <c r="M68" s="442"/>
      <c r="N68" s="442"/>
      <c r="O68" s="442"/>
      <c r="P68" s="442"/>
      <c r="Q68" s="442"/>
      <c r="R68" s="442"/>
      <c r="S68" s="507"/>
      <c r="T68" s="442"/>
    </row>
  </sheetData>
  <mergeCells count="1">
    <mergeCell ref="J3:R3"/>
  </mergeCells>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V643"/>
  <sheetViews>
    <sheetView zoomScale="85" zoomScaleNormal="85" workbookViewId="0">
      <pane xSplit="7" ySplit="2" topLeftCell="BJ3" activePane="bottomRight" state="frozen"/>
      <selection activeCell="O29" sqref="O29"/>
      <selection pane="topRight" activeCell="O29" sqref="O29"/>
      <selection pane="bottomLeft" activeCell="O29" sqref="O29"/>
      <selection pane="bottomRight" activeCell="BK36" sqref="BK36"/>
    </sheetView>
  </sheetViews>
  <sheetFormatPr defaultRowHeight="15" outlineLevelRow="1" outlineLevelCol="1" x14ac:dyDescent="0.25"/>
  <cols>
    <col min="1" max="1" width="36.28515625" style="177" customWidth="1"/>
    <col min="2" max="2" width="19.140625" style="3" customWidth="1"/>
    <col min="3" max="3" width="11.28515625" style="643" customWidth="1"/>
    <col min="4" max="7" width="13" style="177" customWidth="1"/>
    <col min="8" max="8" width="13.28515625" style="177" customWidth="1"/>
    <col min="9" max="9" width="11.7109375" style="343" customWidth="1"/>
    <col min="10" max="20" width="11.7109375" style="177" customWidth="1" outlineLevel="1"/>
    <col min="21" max="21" width="13.28515625" style="177" customWidth="1" outlineLevel="1"/>
    <col min="22" max="22" width="11.7109375" style="177" customWidth="1" outlineLevel="1"/>
    <col min="23" max="23" width="13.28515625" style="177" customWidth="1" outlineLevel="1"/>
    <col min="24" max="24" width="14.140625" style="177" customWidth="1" outlineLevel="1"/>
    <col min="25" max="50" width="11.7109375" style="177" customWidth="1" outlineLevel="1"/>
    <col min="51" max="51" width="10.5703125" style="177" customWidth="1" outlineLevel="1"/>
    <col min="52" max="52" width="10.28515625" style="177" customWidth="1" outlineLevel="1"/>
    <col min="53" max="53" width="10.5703125" style="177" customWidth="1" outlineLevel="1"/>
    <col min="54" max="54" width="11.140625" style="177" customWidth="1" outlineLevel="1"/>
    <col min="55" max="55" width="14.28515625" style="241" customWidth="1"/>
    <col min="56" max="60" width="10.5703125" style="177" customWidth="1" outlineLevel="1"/>
    <col min="61" max="61" width="12.42578125" style="177" customWidth="1" outlineLevel="1"/>
    <col min="62" max="62" width="9" style="177" customWidth="1" outlineLevel="1"/>
    <col min="63" max="63" width="10.5703125" style="177" customWidth="1" outlineLevel="1"/>
    <col min="64" max="64" width="15" style="177" customWidth="1"/>
    <col min="65" max="65" width="11.5703125" style="631" customWidth="1"/>
    <col min="66" max="66" width="10.5703125" style="177" bestFit="1" customWidth="1"/>
    <col min="67" max="67" width="9.140625" style="177"/>
    <col min="68" max="70" width="15.28515625" style="204" customWidth="1"/>
    <col min="71" max="72" width="9.140625" style="177"/>
    <col min="73" max="73" width="31.42578125" style="31" customWidth="1"/>
    <col min="74" max="74" width="10.5703125" style="177" bestFit="1" customWidth="1"/>
    <col min="75" max="16384" width="9.140625" style="177"/>
  </cols>
  <sheetData>
    <row r="1" spans="1:74" x14ac:dyDescent="0.25">
      <c r="A1" s="638" t="s">
        <v>842</v>
      </c>
      <c r="B1" s="27"/>
      <c r="C1" s="639"/>
      <c r="D1" s="640" t="s">
        <v>843</v>
      </c>
      <c r="E1" s="69"/>
      <c r="F1" s="69"/>
      <c r="G1" s="69"/>
      <c r="H1" s="243" t="s">
        <v>841</v>
      </c>
      <c r="I1" s="666"/>
      <c r="J1" s="23" t="s">
        <v>12</v>
      </c>
      <c r="K1" s="19" t="s">
        <v>12</v>
      </c>
      <c r="L1" s="19" t="s">
        <v>8</v>
      </c>
      <c r="M1" s="19" t="s">
        <v>8</v>
      </c>
      <c r="N1" s="19" t="s">
        <v>8</v>
      </c>
      <c r="O1" s="19" t="s">
        <v>8</v>
      </c>
      <c r="P1" s="19" t="s">
        <v>8</v>
      </c>
      <c r="Q1" s="19" t="s">
        <v>8</v>
      </c>
      <c r="R1" s="19" t="s">
        <v>8</v>
      </c>
      <c r="S1" s="19" t="s">
        <v>8</v>
      </c>
      <c r="T1" s="19" t="s">
        <v>8</v>
      </c>
      <c r="U1" s="19" t="s">
        <v>47</v>
      </c>
      <c r="V1" s="19" t="s">
        <v>164</v>
      </c>
      <c r="W1" s="19" t="s">
        <v>165</v>
      </c>
      <c r="X1" s="19" t="s">
        <v>12</v>
      </c>
      <c r="Y1" s="19" t="s">
        <v>12</v>
      </c>
      <c r="Z1" s="641" t="s">
        <v>8</v>
      </c>
      <c r="AA1" s="641" t="s">
        <v>8</v>
      </c>
      <c r="AB1" s="19" t="s">
        <v>8</v>
      </c>
      <c r="AC1" s="19" t="s">
        <v>8</v>
      </c>
      <c r="AD1" s="19" t="s">
        <v>8</v>
      </c>
      <c r="AE1" s="19" t="s">
        <v>8</v>
      </c>
      <c r="AF1" s="641" t="s">
        <v>8</v>
      </c>
      <c r="AG1" s="19" t="s">
        <v>12</v>
      </c>
      <c r="AH1" s="19" t="s">
        <v>214</v>
      </c>
      <c r="AI1" s="641" t="s">
        <v>12</v>
      </c>
      <c r="AJ1" s="19" t="s">
        <v>8</v>
      </c>
      <c r="AK1" s="19" t="s">
        <v>8</v>
      </c>
      <c r="AL1" s="19" t="s">
        <v>8</v>
      </c>
      <c r="AM1" s="19" t="s">
        <v>12</v>
      </c>
      <c r="AN1" s="19" t="s">
        <v>12</v>
      </c>
      <c r="AO1" s="19" t="s">
        <v>12</v>
      </c>
      <c r="AP1" s="641" t="s">
        <v>12</v>
      </c>
      <c r="AQ1" s="19" t="s">
        <v>12</v>
      </c>
      <c r="AR1" s="641" t="s">
        <v>12</v>
      </c>
      <c r="AS1" s="19" t="s">
        <v>12</v>
      </c>
      <c r="AT1" s="19" t="s">
        <v>12</v>
      </c>
      <c r="AU1" s="19" t="s">
        <v>12</v>
      </c>
      <c r="AV1" s="19" t="s">
        <v>12</v>
      </c>
      <c r="AW1" s="19" t="s">
        <v>18</v>
      </c>
      <c r="AX1" s="19" t="s">
        <v>16</v>
      </c>
      <c r="AY1" s="642" t="s">
        <v>844</v>
      </c>
      <c r="AZ1" s="642" t="s">
        <v>845</v>
      </c>
      <c r="BA1" s="642" t="s">
        <v>846</v>
      </c>
      <c r="BB1" s="19" t="s">
        <v>265</v>
      </c>
    </row>
    <row r="2" spans="1:74" s="643" customFormat="1" ht="90" x14ac:dyDescent="0.25">
      <c r="A2" s="643" t="s">
        <v>847</v>
      </c>
      <c r="B2" s="644" t="s">
        <v>98</v>
      </c>
      <c r="C2" s="644" t="s">
        <v>848</v>
      </c>
      <c r="D2" s="645" t="s">
        <v>849</v>
      </c>
      <c r="E2" s="645" t="s">
        <v>850</v>
      </c>
      <c r="F2" s="645" t="s">
        <v>161</v>
      </c>
      <c r="G2" s="646" t="s">
        <v>851</v>
      </c>
      <c r="H2" s="647" t="s">
        <v>2</v>
      </c>
      <c r="I2" s="647" t="s">
        <v>852</v>
      </c>
      <c r="J2" s="648" t="str">
        <f t="array" ref="J2:AX2">TRANSPOSE('CU Composites'!B5:B45)</f>
        <v>Panorama - Wastewater Treatment Plant</v>
      </c>
      <c r="K2" s="648" t="str">
        <v>Panorama - Propane Storage Farm</v>
      </c>
      <c r="L2" s="648" t="str">
        <v>Panorama - Propane Distribution</v>
      </c>
      <c r="M2" s="648" t="str">
        <v>Panorama - Water</v>
      </c>
      <c r="N2" s="648" t="str">
        <v>Panorama - Sewer</v>
      </c>
      <c r="O2" s="648" t="str">
        <v>Sun Rivers - Electric</v>
      </c>
      <c r="P2" s="648" t="str">
        <v>Sun Rivers - Gas</v>
      </c>
      <c r="Q2" s="648" t="str">
        <v>Sun Rivers - Domestic Water</v>
      </c>
      <c r="R2" s="648" t="str">
        <v>Sun Rivers - Irrigation Water</v>
      </c>
      <c r="S2" s="648" t="str">
        <v>Sun Rivers - Sewer</v>
      </c>
      <c r="T2" s="648" t="str">
        <v>Sun Rivers - Geothermal</v>
      </c>
      <c r="U2" s="648" t="str">
        <v>Sun Rivers - Municipal</v>
      </c>
      <c r="V2" s="648" t="str">
        <v>Foothills - Wastewater</v>
      </c>
      <c r="W2" s="648" t="str">
        <v>Foothills - Water</v>
      </c>
      <c r="X2" s="648" t="str">
        <v>Sage Meadows - Wastewater</v>
      </c>
      <c r="Y2" s="648" t="str">
        <v>Sage Meadows - Water</v>
      </c>
      <c r="Z2" s="648" t="str">
        <v>Canadian Lakeview Estates (in Adventure Bay) - Wastewater</v>
      </c>
      <c r="AA2" s="648" t="str">
        <v>Canadian Lakeview Estates (in Adventure Bay) - Water</v>
      </c>
      <c r="AB2" s="648" t="str">
        <v>Cultus Lake - Water</v>
      </c>
      <c r="AC2" s="648" t="str">
        <v>Cultus Lake - Wastewater</v>
      </c>
      <c r="AD2" s="648" t="str">
        <v>Sonoma Pines - Electric</v>
      </c>
      <c r="AE2" s="648" t="str">
        <v>Sonoma Pines - Gas</v>
      </c>
      <c r="AF2" s="648" t="str">
        <v>Dockside Green - Energy</v>
      </c>
      <c r="AG2" s="648" t="str">
        <v>Dockside Green  - Wastewater and Admin</v>
      </c>
      <c r="AH2" s="648" t="str">
        <v>West Shore Environmental Services</v>
      </c>
      <c r="AI2" s="648" t="str">
        <v>Rise</v>
      </c>
      <c r="AJ2" s="648" t="str">
        <v>UBC</v>
      </c>
      <c r="AK2" s="648" t="str">
        <v>SFU UniverCity</v>
      </c>
      <c r="AL2" s="648" t="str">
        <v>SFU Biomass</v>
      </c>
      <c r="AM2" s="648" t="str">
        <v>Riverport</v>
      </c>
      <c r="AN2" s="648" t="str">
        <v>RG GAAP - Related to LIEC</v>
      </c>
      <c r="AO2" s="648" t="str">
        <v>LIEC</v>
      </c>
      <c r="AP2" s="648" t="str">
        <v>Beaver Barracks</v>
      </c>
      <c r="AQ2" s="648" t="str">
        <v>Coastal Ops</v>
      </c>
      <c r="AR2" s="648" t="str">
        <v>Island Ops</v>
      </c>
      <c r="AS2" s="648" t="str">
        <v>Kamloops Ops</v>
      </c>
      <c r="AT2" s="648" t="str">
        <v>Kootenay Ops</v>
      </c>
      <c r="AU2" s="648" t="str">
        <v>Alberta Ops (North)</v>
      </c>
      <c r="AV2" s="648" t="str">
        <v>Alberta Ops (South)</v>
      </c>
      <c r="AW2" s="649" t="str">
        <v>Corix Water Services Inc. (See note)</v>
      </c>
      <c r="AX2" s="648" t="str">
        <v>Corix Energy Inc.</v>
      </c>
      <c r="AY2" s="648" t="str">
        <f>'CU Composites'!B52</f>
        <v>Oklahoma</v>
      </c>
      <c r="AZ2" s="648" t="str">
        <f>'CU Composites'!B53</f>
        <v>Gillem Enclave</v>
      </c>
      <c r="BA2" s="648" t="str">
        <f>'CU Composites'!B54</f>
        <v>Cleveland Thermal</v>
      </c>
      <c r="BB2" s="650" t="str">
        <f>'CU Composites'!B55</f>
        <v>Shareholder Bucket</v>
      </c>
      <c r="BC2" s="647" t="s">
        <v>853</v>
      </c>
      <c r="BD2" s="648" t="str">
        <f>'RU Working Paper'!B5</f>
        <v>Atlantic</v>
      </c>
      <c r="BE2" s="648" t="str">
        <f>'RU Working Paper'!B6</f>
        <v>Midwest</v>
      </c>
      <c r="BF2" s="648" t="str">
        <f>'RU Working Paper'!B7</f>
        <v>South Carolina</v>
      </c>
      <c r="BG2" s="648" t="str">
        <f>'RU Working Paper'!B8</f>
        <v>Florida</v>
      </c>
      <c r="BH2" s="648" t="str">
        <f>'RU Working Paper'!B9</f>
        <v>South</v>
      </c>
      <c r="BI2" s="648" t="str">
        <f>'RU Working Paper'!B10</f>
        <v>West</v>
      </c>
      <c r="BJ2" s="648" t="str">
        <f>'RU Working Paper'!B11</f>
        <v>Texas</v>
      </c>
      <c r="BK2" s="650" t="str">
        <f>'RU Working Paper'!B12</f>
        <v>Alaska</v>
      </c>
      <c r="BL2" s="643" t="s">
        <v>3</v>
      </c>
      <c r="BM2" s="651" t="s">
        <v>96</v>
      </c>
      <c r="BP2" s="652"/>
      <c r="BQ2" s="652"/>
      <c r="BR2" s="652"/>
      <c r="BU2" s="31"/>
    </row>
    <row r="3" spans="1:74" outlineLevel="1" x14ac:dyDescent="0.25">
      <c r="A3" s="199" t="s">
        <v>854</v>
      </c>
      <c r="B3" s="653"/>
      <c r="C3" s="654" t="s">
        <v>118</v>
      </c>
      <c r="D3" s="655">
        <f>D5+D7+D8+D11+D12+D13+D15+D16+D17+D19+D20+D9</f>
        <v>16179972.905555554</v>
      </c>
      <c r="E3" s="655">
        <f>E6+E10+E14+E18+E50</f>
        <v>976139</v>
      </c>
      <c r="F3" s="655">
        <f>F21*Assumptions!$B$4</f>
        <v>4115088</v>
      </c>
      <c r="G3" s="656"/>
      <c r="H3" s="657"/>
      <c r="I3" s="658"/>
      <c r="J3" s="659"/>
      <c r="K3" s="660"/>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61"/>
      <c r="AX3" s="656"/>
      <c r="AY3" s="656"/>
      <c r="AZ3" s="656"/>
      <c r="BA3" s="656"/>
      <c r="BB3" s="656"/>
      <c r="BC3" s="658"/>
      <c r="BD3" s="656"/>
      <c r="BE3" s="656"/>
      <c r="BF3" s="656"/>
      <c r="BG3" s="656"/>
      <c r="BH3" s="656"/>
      <c r="BI3" s="656"/>
      <c r="BJ3" s="656"/>
      <c r="BK3" s="656"/>
    </row>
    <row r="4" spans="1:74" outlineLevel="1" x14ac:dyDescent="0.25">
      <c r="A4" s="1"/>
      <c r="B4" s="653"/>
      <c r="C4" s="653"/>
      <c r="D4" s="656"/>
      <c r="E4" s="656"/>
      <c r="F4" s="656"/>
      <c r="G4" s="656"/>
      <c r="H4" s="657"/>
      <c r="I4" s="658"/>
      <c r="J4" s="656"/>
      <c r="K4" s="660"/>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6"/>
      <c r="AO4" s="656"/>
      <c r="AP4" s="656"/>
      <c r="AQ4" s="656"/>
      <c r="AR4" s="656"/>
      <c r="AS4" s="656"/>
      <c r="AT4" s="656"/>
      <c r="AU4" s="656"/>
      <c r="AV4" s="656"/>
      <c r="AW4" s="661"/>
      <c r="AX4" s="656"/>
      <c r="AY4" s="656"/>
      <c r="AZ4" s="656"/>
      <c r="BA4" s="656"/>
      <c r="BB4" s="656"/>
      <c r="BC4" s="658"/>
      <c r="BD4" s="656"/>
      <c r="BE4" s="656"/>
      <c r="BF4" s="656"/>
      <c r="BG4" s="656"/>
      <c r="BH4" s="656"/>
      <c r="BI4" s="656"/>
      <c r="BJ4" s="656"/>
      <c r="BK4" s="656"/>
      <c r="BP4" s="218" t="s">
        <v>444</v>
      </c>
      <c r="BQ4" s="218" t="s">
        <v>855</v>
      </c>
      <c r="BR4" s="218" t="s">
        <v>856</v>
      </c>
      <c r="BV4" s="177" t="s">
        <v>182</v>
      </c>
    </row>
    <row r="5" spans="1:74" outlineLevel="1" x14ac:dyDescent="0.25">
      <c r="A5" s="177" t="s">
        <v>822</v>
      </c>
      <c r="B5" s="3" t="s">
        <v>132</v>
      </c>
      <c r="C5" s="662"/>
      <c r="D5" s="663">
        <v>1385820</v>
      </c>
      <c r="E5" s="664">
        <f>D5/Assumptions!$B$4</f>
        <v>1044459.3504819758</v>
      </c>
      <c r="F5" s="663">
        <f>561147/Assumptions!$B$4</f>
        <v>422923.05721154937</v>
      </c>
      <c r="G5" s="665"/>
      <c r="H5" s="242"/>
      <c r="I5" s="666">
        <f>SUM(J5:BB5)</f>
        <v>397780.77148981957</v>
      </c>
      <c r="J5" s="73">
        <f>($E$5-$H$5)*(VLOOKUP('Cost Allocation - Tier 1'!J2,'Allocation CU RU'!$B$11:$I$82,8,))</f>
        <v>2500.9860705461078</v>
      </c>
      <c r="K5" s="73">
        <f>($E$5-$H$5)*(VLOOKUP('Cost Allocation - Tier 1'!K2,'Allocation CU RU'!$B$11:$I$82,8,))</f>
        <v>742.03831025678642</v>
      </c>
      <c r="L5" s="73">
        <f>($E$5-$H$5)*(VLOOKUP('Cost Allocation - Tier 1'!L2,'Allocation CU RU'!$B$11:$I$82,8,))</f>
        <v>779.2527557091064</v>
      </c>
      <c r="M5" s="73">
        <f>($E$5-$H$5)*(VLOOKUP('Cost Allocation - Tier 1'!M2,'Allocation CU RU'!$B$11:$I$82,8,))</f>
        <v>744.58718850795503</v>
      </c>
      <c r="N5" s="73">
        <f>($E$5-$H$5)*(VLOOKUP('Cost Allocation - Tier 1'!N2,'Allocation CU RU'!$B$11:$I$82,8,))</f>
        <v>1303.7074461582906</v>
      </c>
      <c r="O5" s="73">
        <f>($E$5-$H$5)*(VLOOKUP('Cost Allocation - Tier 1'!O2,'Allocation CU RU'!$B$11:$I$82,8,))</f>
        <v>2984.6466321559101</v>
      </c>
      <c r="P5" s="73">
        <f>($E$5-$H$5)*(VLOOKUP('Cost Allocation - Tier 1'!P2,'Allocation CU RU'!$B$11:$I$82,8,))</f>
        <v>361.03340994818473</v>
      </c>
      <c r="Q5" s="73">
        <f>($E$5-$H$5)*(VLOOKUP('Cost Allocation - Tier 1'!Q2,'Allocation CU RU'!$B$11:$I$82,8,))</f>
        <v>955.87933167539995</v>
      </c>
      <c r="R5" s="73">
        <f>($E$5-$H$5)*(VLOOKUP('Cost Allocation - Tier 1'!R2,'Allocation CU RU'!$B$11:$I$82,8,))</f>
        <v>817.55397514017329</v>
      </c>
      <c r="S5" s="73">
        <f>($E$5-$H$5)*(VLOOKUP('Cost Allocation - Tier 1'!S2,'Allocation CU RU'!$B$11:$I$82,8,))</f>
        <v>841.08954593361466</v>
      </c>
      <c r="T5" s="73">
        <f>($E$5-$H$5)*(VLOOKUP('Cost Allocation - Tier 1'!T2,'Allocation CU RU'!$B$11:$I$82,8,))</f>
        <v>3046.4271424923859</v>
      </c>
      <c r="U5" s="73">
        <f>($E$5-$H$5)*(VLOOKUP('Cost Allocation - Tier 1'!U2,'Allocation CU RU'!$B$11:$I$82,8,))</f>
        <v>2432.2646042526662</v>
      </c>
      <c r="V5" s="73">
        <f>($E$5-$H$5)*(VLOOKUP('Cost Allocation - Tier 1'!V2,'Allocation CU RU'!$B$11:$I$82,8,))</f>
        <v>1930.3101011809265</v>
      </c>
      <c r="W5" s="73">
        <f>($E$5-$H$5)*(VLOOKUP('Cost Allocation - Tier 1'!W2,'Allocation CU RU'!$B$11:$I$82,8,))</f>
        <v>3095.37780885044</v>
      </c>
      <c r="X5" s="73">
        <f>($E$5-$H$5)*(VLOOKUP('Cost Allocation - Tier 1'!X2,'Allocation CU RU'!$B$11:$I$82,8,))</f>
        <v>76.551791983703822</v>
      </c>
      <c r="Y5" s="73">
        <f>($E$5-$H$5)*(VLOOKUP('Cost Allocation - Tier 1'!Y2,'Allocation CU RU'!$B$11:$I$82,8,))</f>
        <v>60.397442429267734</v>
      </c>
      <c r="Z5" s="73">
        <f>($E$5-$H$5)*(VLOOKUP('Cost Allocation - Tier 1'!Z2,'Allocation CU RU'!$B$11:$I$82,8,))</f>
        <v>292.10410263662982</v>
      </c>
      <c r="AA5" s="73">
        <f>($E$5-$H$5)*(VLOOKUP('Cost Allocation - Tier 1'!AA2,'Allocation CU RU'!$B$11:$I$82,8,))</f>
        <v>267.01446322757261</v>
      </c>
      <c r="AB5" s="73">
        <f>($E$5-$H$5)*(VLOOKUP('Cost Allocation - Tier 1'!AB2,'Allocation CU RU'!$B$11:$I$82,8,))</f>
        <v>160.65097802287329</v>
      </c>
      <c r="AC5" s="73">
        <f>($E$5-$H$5)*(VLOOKUP('Cost Allocation - Tier 1'!AC2,'Allocation CU RU'!$B$11:$I$82,8,))</f>
        <v>164.25866656095386</v>
      </c>
      <c r="AD5" s="73">
        <f>($E$5-$H$5)*(VLOOKUP('Cost Allocation - Tier 1'!AD2,'Allocation CU RU'!$B$11:$I$82,8,))</f>
        <v>931.59282304350882</v>
      </c>
      <c r="AE5" s="73">
        <f>($E$5-$H$5)*(VLOOKUP('Cost Allocation - Tier 1'!AE2,'Allocation CU RU'!$B$11:$I$82,8,))</f>
        <v>373.72502144135927</v>
      </c>
      <c r="AF5" s="73">
        <f>($E$5-$H$5)*(VLOOKUP('Cost Allocation - Tier 1'!AF2,'Allocation CU RU'!$B$11:$I$82,8,))</f>
        <v>972.29201129154785</v>
      </c>
      <c r="AG5" s="73">
        <f>($E$5-$H$5)*(VLOOKUP('Cost Allocation - Tier 1'!AG2,'Allocation CU RU'!$B$11:$I$82,8,))</f>
        <v>3018.9400963201369</v>
      </c>
      <c r="AH5" s="73">
        <f>($E$5-$H$5)*(VLOOKUP('Cost Allocation - Tier 1'!AH2,'Allocation CU RU'!$B$11:$I$82,8,))</f>
        <v>24742.012238331092</v>
      </c>
      <c r="AI5" s="73">
        <f>($E$5-$H$5)*(VLOOKUP('Cost Allocation - Tier 1'!AI2,'Allocation CU RU'!$B$11:$I$82,8,))</f>
        <v>171.75438573398915</v>
      </c>
      <c r="AJ5" s="73">
        <f>($E$5-$H$5)*(VLOOKUP('Cost Allocation - Tier 1'!AJ2,'Allocation CU RU'!$B$11:$I$82,8,))</f>
        <v>3643.8668669185922</v>
      </c>
      <c r="AK5" s="73">
        <f>($E$5-$H$5)*(VLOOKUP('Cost Allocation - Tier 1'!AK2,'Allocation CU RU'!$B$11:$I$82,8,))</f>
        <v>3133.5261619562066</v>
      </c>
      <c r="AL5" s="73">
        <f>($E$5-$H$5)*(VLOOKUP('Cost Allocation - Tier 1'!AL2,'Allocation CU RU'!$B$11:$I$82,8,))</f>
        <v>0</v>
      </c>
      <c r="AM5" s="73">
        <f>($E$5-$H$5)*(VLOOKUP('Cost Allocation - Tier 1'!AM2,'Allocation CU RU'!$B$11:$I$82,8,))</f>
        <v>382.44436797241468</v>
      </c>
      <c r="AN5" s="73">
        <f>($E$5-$H$5)*(VLOOKUP('Cost Allocation - Tier 1'!AN2,'Allocation CU RU'!$B$11:$I$82,8,))</f>
        <v>646.61152669279977</v>
      </c>
      <c r="AO5" s="73">
        <f>($E$5-$H$5)*(VLOOKUP('Cost Allocation - Tier 1'!AO2,'Allocation CU RU'!$B$11:$I$82,8,))</f>
        <v>3809.8968049035643</v>
      </c>
      <c r="AP5" s="73">
        <f>($E$5-$H$5)*(VLOOKUP('Cost Allocation - Tier 1'!AP2,'Allocation CU RU'!$B$11:$I$82,8,))</f>
        <v>577.09658971013187</v>
      </c>
      <c r="AQ5" s="73">
        <f>($E$5-$H$5)*(VLOOKUP('Cost Allocation - Tier 1'!AQ2,'Allocation CU RU'!$B$11:$I$82,8,))</f>
        <v>3620.2988696464322</v>
      </c>
      <c r="AR5" s="73">
        <f>($E$5-$H$5)*(VLOOKUP('Cost Allocation - Tier 1'!AR2,'Allocation CU RU'!$B$11:$I$82,8,))</f>
        <v>10.950451869213799</v>
      </c>
      <c r="AS5" s="73">
        <f>($E$5-$H$5)*(VLOOKUP('Cost Allocation - Tier 1'!AS2,'Allocation CU RU'!$B$11:$I$82,8,))</f>
        <v>5335.7323089793181</v>
      </c>
      <c r="AT5" s="73">
        <f>($E$5-$H$5)*(VLOOKUP('Cost Allocation - Tier 1'!AT2,'Allocation CU RU'!$B$11:$I$82,8,))</f>
        <v>4426.0971571226601</v>
      </c>
      <c r="AU5" s="73">
        <f>($E$5-$H$5)*(VLOOKUP('Cost Allocation - Tier 1'!AU2,'Allocation CU RU'!$B$11:$I$82,8,))</f>
        <v>6189.1598988351343</v>
      </c>
      <c r="AV5" s="73">
        <f>($E$5-$H$5)*(VLOOKUP('Cost Allocation - Tier 1'!AV2,'Allocation CU RU'!$B$11:$I$82,8,))</f>
        <v>8697.98582449692</v>
      </c>
      <c r="AW5" s="73">
        <f>($E$5-$H$5)*(VLOOKUP('Cost Allocation - Tier 1'!AW2,'Allocation CU RU'!$B$11:$I$82,8,))</f>
        <v>22277.562520793916</v>
      </c>
      <c r="AX5" s="73">
        <f>($E$5-$H$5)*(VLOOKUP('Cost Allocation - Tier 1'!AX2,'Allocation CU RU'!$B$11:$I$82,8,))</f>
        <v>232.30125255276607</v>
      </c>
      <c r="AY5" s="73">
        <f>($E$5-$H$5)*(VLOOKUP('Cost Allocation - Tier 1'!AY2,'Allocation CU RU'!$B$11:$I$82,8,))</f>
        <v>71663.949102036189</v>
      </c>
      <c r="AZ5" s="73">
        <f>($E$5-$H$5)*(VLOOKUP('Cost Allocation - Tier 1'!AZ2,'Allocation CU RU'!$B$11:$I$82,8,))</f>
        <v>2410.0699758139117</v>
      </c>
      <c r="BA5" s="73">
        <f>($E$5-$H$5)*(VLOOKUP('Cost Allocation - Tier 1'!BA2,'Allocation CU RU'!$B$11:$I$82,8,))</f>
        <v>43457.156325811404</v>
      </c>
      <c r="BB5" s="73">
        <f>($E$5-$H$5)*(VLOOKUP('Cost Allocation - Tier 1'!BB2,'Allocation CU RU'!$B$11:$I$82,8,))</f>
        <v>163499.6171398774</v>
      </c>
      <c r="BC5" s="666">
        <f>SUM(BD5:BK5)</f>
        <v>646678.57899215631</v>
      </c>
      <c r="BD5" s="73">
        <f>($E$5-$H$5)*(VLOOKUP('Cost Allocation - Tier 1'!BD2,'Allocation CU RU'!$B$11:$I$82,8,))</f>
        <v>103863.5916457803</v>
      </c>
      <c r="BE5" s="73">
        <f>($E$5-$H$5)*(VLOOKUP('Cost Allocation - Tier 1'!BE2,'Allocation CU RU'!$B$11:$I$82,8,))</f>
        <v>94723.64220434289</v>
      </c>
      <c r="BF5" s="73">
        <f>($E$5-$H$5)*(VLOOKUP('Cost Allocation - Tier 1'!BF2,'Allocation CU RU'!$B$11:$I$82,8,))</f>
        <v>57995.805824410963</v>
      </c>
      <c r="BG5" s="73">
        <f>($E$5-$H$5)*(VLOOKUP('Cost Allocation - Tier 1'!BG2,'Allocation CU RU'!$B$11:$I$82,8,))</f>
        <v>107184.73598672452</v>
      </c>
      <c r="BH5" s="73">
        <f>($E$5-$H$5)*(VLOOKUP('Cost Allocation - Tier 1'!BH2,'Allocation CU RU'!$B$11:$I$82,8,))</f>
        <v>83963.489618482927</v>
      </c>
      <c r="BI5" s="73">
        <f>($E$5-$H$5)*(VLOOKUP('Cost Allocation - Tier 1'!BI2,'Allocation CU RU'!$B$11:$I$82,8,))</f>
        <v>61137.80549691229</v>
      </c>
      <c r="BJ5" s="73">
        <f>($E$5-$H$5)*(VLOOKUP('Cost Allocation - Tier 1'!BJ2,'Allocation CU RU'!$B$11:$I$82,8,))</f>
        <v>34483.166964763965</v>
      </c>
      <c r="BK5" s="73">
        <f>($E$5-$H$5)*(VLOOKUP('Cost Allocation - Tier 1'!BK2,'Allocation CU RU'!$B$11:$I$82,8,))</f>
        <v>103326.34125073854</v>
      </c>
      <c r="BL5" s="76">
        <f>BC5+I5+H5</f>
        <v>1044459.3504819758</v>
      </c>
      <c r="BM5" s="667">
        <f>BL5-E5</f>
        <v>0</v>
      </c>
      <c r="BO5" s="668" t="s">
        <v>857</v>
      </c>
      <c r="BP5" s="204">
        <f>E5</f>
        <v>1044459.3504819758</v>
      </c>
      <c r="BQ5" s="204">
        <f t="shared" ref="BQ5:BQ10" si="0">G69</f>
        <v>1081751.5280782015</v>
      </c>
      <c r="BR5" s="204">
        <f>BQ5-BP5</f>
        <v>37292.177596225636</v>
      </c>
      <c r="BV5" s="1254">
        <f>+BC5-BK5</f>
        <v>543352.23774141772</v>
      </c>
    </row>
    <row r="6" spans="1:74" outlineLevel="1" x14ac:dyDescent="0.25">
      <c r="A6" s="177" t="s">
        <v>823</v>
      </c>
      <c r="B6" s="3" t="s">
        <v>132</v>
      </c>
      <c r="C6" s="662"/>
      <c r="D6" s="664">
        <f>E6*Assumptions!$B$4</f>
        <v>626121.78918999992</v>
      </c>
      <c r="E6" s="663">
        <v>471893</v>
      </c>
      <c r="F6" s="665"/>
      <c r="G6" s="665"/>
      <c r="H6" s="242"/>
      <c r="I6" s="666">
        <f t="shared" ref="I6" si="1">SUM(J6:BB6)</f>
        <v>179719.73874715646</v>
      </c>
      <c r="J6" s="73">
        <f>($E$6-$H$6)*(VLOOKUP('Cost Allocation - Tier 1'!J2,'Allocation CU RU'!$B$11:$I$82,8,))</f>
        <v>1129.960509467028</v>
      </c>
      <c r="K6" s="73">
        <f>($E$6-$H$6)*(VLOOKUP('Cost Allocation - Tier 1'!K2,'Allocation CU RU'!$B$11:$I$82,8,))</f>
        <v>335.25735987754791</v>
      </c>
      <c r="L6" s="73">
        <f>($E$6-$H$6)*(VLOOKUP('Cost Allocation - Tier 1'!L2,'Allocation CU RU'!$B$11:$I$82,8,))</f>
        <v>352.0710695731218</v>
      </c>
      <c r="M6" s="73">
        <f>($E$6-$H$6)*(VLOOKUP('Cost Allocation - Tier 1'!M2,'Allocation CU RU'!$B$11:$I$82,8,))</f>
        <v>336.4089583615135</v>
      </c>
      <c r="N6" s="73">
        <f>($E$6-$H$6)*(VLOOKUP('Cost Allocation - Tier 1'!N2,'Allocation CU RU'!$B$11:$I$82,8,))</f>
        <v>589.02284479149853</v>
      </c>
      <c r="O6" s="73">
        <f>($E$6-$H$6)*(VLOOKUP('Cost Allocation - Tier 1'!O2,'Allocation CU RU'!$B$11:$I$82,8,))</f>
        <v>1348.4812525619245</v>
      </c>
      <c r="P6" s="73">
        <f>($E$6-$H$6)*(VLOOKUP('Cost Allocation - Tier 1'!P2,'Allocation CU RU'!$B$11:$I$82,8,))</f>
        <v>163.11706036435046</v>
      </c>
      <c r="Q6" s="73">
        <f>($E$6-$H$6)*(VLOOKUP('Cost Allocation - Tier 1'!Q2,'Allocation CU RU'!$B$11:$I$82,8,))</f>
        <v>431.87201613365579</v>
      </c>
      <c r="R6" s="73">
        <f>($E$6-$H$6)*(VLOOKUP('Cost Allocation - Tier 1'!R2,'Allocation CU RU'!$B$11:$I$82,8,))</f>
        <v>369.3757902715808</v>
      </c>
      <c r="S6" s="73">
        <f>($E$6-$H$6)*(VLOOKUP('Cost Allocation - Tier 1'!S2,'Allocation CU RU'!$B$11:$I$82,8,))</f>
        <v>380.00930234010156</v>
      </c>
      <c r="T6" s="73">
        <f>($E$6-$H$6)*(VLOOKUP('Cost Allocation - Tier 1'!T2,'Allocation CU RU'!$B$11:$I$82,8,))</f>
        <v>1376.3940577378819</v>
      </c>
      <c r="U6" s="73">
        <f>($E$6-$H$6)*(VLOOKUP('Cost Allocation - Tier 1'!U2,'Allocation CU RU'!$B$11:$I$82,8,))</f>
        <v>1098.9117387526423</v>
      </c>
      <c r="V6" s="73">
        <f>($E$6-$H$6)*(VLOOKUP('Cost Allocation - Tier 1'!V2,'Allocation CU RU'!$B$11:$I$82,8,))</f>
        <v>872.12568316443094</v>
      </c>
      <c r="W6" s="73">
        <f>($E$6-$H$6)*(VLOOKUP('Cost Allocation - Tier 1'!W2,'Allocation CU RU'!$B$11:$I$82,8,))</f>
        <v>1398.5102624413412</v>
      </c>
      <c r="X6" s="73">
        <f>($E$6-$H$6)*(VLOOKUP('Cost Allocation - Tier 1'!X2,'Allocation CU RU'!$B$11:$I$82,8,))</f>
        <v>34.586558833425222</v>
      </c>
      <c r="Y6" s="73">
        <f>($E$6-$H$6)*(VLOOKUP('Cost Allocation - Tier 1'!Y2,'Allocation CU RU'!$B$11:$I$82,8,))</f>
        <v>27.287926798800086</v>
      </c>
      <c r="Z6" s="73">
        <f>($E$6-$H$6)*(VLOOKUP('Cost Allocation - Tier 1'!Z2,'Allocation CU RU'!$B$11:$I$82,8,))</f>
        <v>131.97438583119458</v>
      </c>
      <c r="AA6" s="73">
        <f>($E$6-$H$6)*(VLOOKUP('Cost Allocation - Tier 1'!AA2,'Allocation CU RU'!$B$11:$I$82,8,))</f>
        <v>120.63873623966693</v>
      </c>
      <c r="AB6" s="73">
        <f>($E$6-$H$6)*(VLOOKUP('Cost Allocation - Tier 1'!AB2,'Allocation CU RU'!$B$11:$I$82,8,))</f>
        <v>72.583075576052295</v>
      </c>
      <c r="AC6" s="73">
        <f>($E$6-$H$6)*(VLOOKUP('Cost Allocation - Tier 1'!AC2,'Allocation CU RU'!$B$11:$I$82,8,))</f>
        <v>74.213050899184637</v>
      </c>
      <c r="AD6" s="73">
        <f>($E$6-$H$6)*(VLOOKUP('Cost Allocation - Tier 1'!AD2,'Allocation CU RU'!$B$11:$I$82,8,))</f>
        <v>420.89922584503387</v>
      </c>
      <c r="AE6" s="73">
        <f>($E$6-$H$6)*(VLOOKUP('Cost Allocation - Tier 1'!AE2,'Allocation CU RU'!$B$11:$I$82,8,))</f>
        <v>168.85120657079202</v>
      </c>
      <c r="AF6" s="73">
        <f>($E$6-$H$6)*(VLOOKUP('Cost Allocation - Tier 1'!AF2,'Allocation CU RU'!$B$11:$I$82,8,))</f>
        <v>439.28736323982019</v>
      </c>
      <c r="AG6" s="73">
        <f>($E$6-$H$6)*(VLOOKUP('Cost Allocation - Tier 1'!AG2,'Allocation CU RU'!$B$11:$I$82,8,))</f>
        <v>1363.9752453892966</v>
      </c>
      <c r="AH6" s="73">
        <f>($E$6-$H$6)*(VLOOKUP('Cost Allocation - Tier 1'!AH2,'Allocation CU RU'!$B$11:$I$82,8,))</f>
        <v>11178.589550464518</v>
      </c>
      <c r="AI6" s="73">
        <f>($E$6-$H$6)*(VLOOKUP('Cost Allocation - Tier 1'!AI2,'Allocation CU RU'!$B$11:$I$82,8,))</f>
        <v>77.599661786519675</v>
      </c>
      <c r="AJ6" s="73">
        <f>($E$6-$H$6)*(VLOOKUP('Cost Allocation - Tier 1'!AJ2,'Allocation CU RU'!$B$11:$I$82,8,))</f>
        <v>1646.3209091261697</v>
      </c>
      <c r="AK6" s="73">
        <f>($E$6-$H$6)*(VLOOKUP('Cost Allocation - Tier 1'!AK2,'Allocation CU RU'!$B$11:$I$82,8,))</f>
        <v>1415.7459172170222</v>
      </c>
      <c r="AL6" s="73">
        <f>($E$6-$H$6)*(VLOOKUP('Cost Allocation - Tier 1'!AL2,'Allocation CU RU'!$B$11:$I$82,8,))</f>
        <v>0</v>
      </c>
      <c r="AM6" s="73">
        <f>($E$6-$H$6)*(VLOOKUP('Cost Allocation - Tier 1'!AM2,'Allocation CU RU'!$B$11:$I$82,8,))</f>
        <v>172.79065963871716</v>
      </c>
      <c r="AN6" s="73">
        <f>($E$6-$H$6)*(VLOOKUP('Cost Allocation - Tier 1'!AN2,'Allocation CU RU'!$B$11:$I$82,8,))</f>
        <v>292.14296662176417</v>
      </c>
      <c r="AO6" s="73">
        <f>($E$6-$H$6)*(VLOOKUP('Cost Allocation - Tier 1'!AO2,'Allocation CU RU'!$B$11:$I$82,8,))</f>
        <v>1721.3342310801431</v>
      </c>
      <c r="AP6" s="73">
        <f>($E$6-$H$6)*(VLOOKUP('Cost Allocation - Tier 1'!AP2,'Allocation CU RU'!$B$11:$I$82,8,))</f>
        <v>260.73570109015247</v>
      </c>
      <c r="AQ6" s="73">
        <f>($E$6-$H$6)*(VLOOKUP('Cost Allocation - Tier 1'!AQ2,'Allocation CU RU'!$B$11:$I$82,8,))</f>
        <v>1635.6727465800457</v>
      </c>
      <c r="AR6" s="73">
        <f>($E$6-$H$6)*(VLOOKUP('Cost Allocation - Tier 1'!AR2,'Allocation CU RU'!$B$11:$I$82,8,))</f>
        <v>4.9474798435519221</v>
      </c>
      <c r="AS6" s="73">
        <f>($E$6-$H$6)*(VLOOKUP('Cost Allocation - Tier 1'!AS2,'Allocation CU RU'!$B$11:$I$82,8,))</f>
        <v>2410.715864929804</v>
      </c>
      <c r="AT6" s="73">
        <f>($E$6-$H$6)*(VLOOKUP('Cost Allocation - Tier 1'!AT2,'Allocation CU RU'!$B$11:$I$82,8,))</f>
        <v>1999.7372466456052</v>
      </c>
      <c r="AU6" s="73">
        <f>($E$6-$H$6)*(VLOOKUP('Cost Allocation - Tier 1'!AU2,'Allocation CU RU'!$B$11:$I$82,8,))</f>
        <v>2796.2995695268169</v>
      </c>
      <c r="AV6" s="73">
        <f>($E$6-$H$6)*(VLOOKUP('Cost Allocation - Tier 1'!AV2,'Allocation CU RU'!$B$11:$I$82,8,))</f>
        <v>3929.8021725644517</v>
      </c>
      <c r="AW6" s="73">
        <f>($E$6-$H$6)*(VLOOKUP('Cost Allocation - Tier 1'!AW2,'Allocation CU RU'!$B$11:$I$82,8,))</f>
        <v>10065.136384459434</v>
      </c>
      <c r="AX6" s="73">
        <f>($E$6-$H$6)*(VLOOKUP('Cost Allocation - Tier 1'!AX2,'Allocation CU RU'!$B$11:$I$82,8,))</f>
        <v>104.95509942085981</v>
      </c>
      <c r="AY6" s="73">
        <f>($E$6-$H$6)*(VLOOKUP('Cost Allocation - Tier 1'!AY2,'Allocation CU RU'!$B$11:$I$82,8,))</f>
        <v>32378.202098532271</v>
      </c>
      <c r="AZ6" s="73">
        <f>($E$6-$H$6)*(VLOOKUP('Cost Allocation - Tier 1'!AZ2,'Allocation CU RU'!$B$11:$I$82,8,))</f>
        <v>1088.8840724839492</v>
      </c>
      <c r="BA6" s="73">
        <f>($E$6-$H$6)*(VLOOKUP('Cost Allocation - Tier 1'!BA2,'Allocation CU RU'!$B$11:$I$82,8,))</f>
        <v>19634.203916689443</v>
      </c>
      <c r="BB6" s="73">
        <f>($E$6-$H$6)*(VLOOKUP('Cost Allocation - Tier 1'!BB2,'Allocation CU RU'!$B$11:$I$82,8,))</f>
        <v>73870.107817393335</v>
      </c>
      <c r="BC6" s="666">
        <f>SUM(BD6:BK6)</f>
        <v>292173.2612528436</v>
      </c>
      <c r="BD6" s="73">
        <f>($E$6-$H$6)*(VLOOKUP('Cost Allocation - Tier 1'!BD2,'Allocation CU RU'!$B$11:$I$82,8,))</f>
        <v>46926.193757454428</v>
      </c>
      <c r="BE6" s="73">
        <f>($E$6-$H$6)*(VLOOKUP('Cost Allocation - Tier 1'!BE2,'Allocation CU RU'!$B$11:$I$82,8,))</f>
        <v>42796.709771526293</v>
      </c>
      <c r="BF6" s="73">
        <f>($E$6-$H$6)*(VLOOKUP('Cost Allocation - Tier 1'!BF2,'Allocation CU RU'!$B$11:$I$82,8,))</f>
        <v>26202.852973904271</v>
      </c>
      <c r="BG6" s="73">
        <f>($E$6-$H$6)*(VLOOKUP('Cost Allocation - Tier 1'!BG2,'Allocation CU RU'!$B$11:$I$82,8,))</f>
        <v>48426.706693413093</v>
      </c>
      <c r="BH6" s="73">
        <f>($E$6-$H$6)*(VLOOKUP('Cost Allocation - Tier 1'!BH2,'Allocation CU RU'!$B$11:$I$82,8,))</f>
        <v>37935.208285751774</v>
      </c>
      <c r="BI6" s="73">
        <f>($E$6-$H$6)*(VLOOKUP('Cost Allocation - Tier 1'!BI2,'Allocation CU RU'!$B$11:$I$82,8,))</f>
        <v>27622.427274016063</v>
      </c>
      <c r="BJ6" s="73">
        <f>($E$6-$H$6)*(VLOOKUP('Cost Allocation - Tier 1'!BJ2,'Allocation CU RU'!$B$11:$I$82,8,))</f>
        <v>15579.701690634798</v>
      </c>
      <c r="BK6" s="73">
        <f>($E$6-$H$6)*(VLOOKUP('Cost Allocation - Tier 1'!BK2,'Allocation CU RU'!$B$11:$I$82,8,))</f>
        <v>46683.460806142873</v>
      </c>
      <c r="BL6" s="76">
        <f t="shared" ref="BL6" si="2">BC6+I6+H6</f>
        <v>471893.00000000006</v>
      </c>
      <c r="BM6" s="667">
        <f t="shared" ref="BM6:BM20" si="3">BL6-E6</f>
        <v>0</v>
      </c>
      <c r="BO6" s="668" t="s">
        <v>857</v>
      </c>
      <c r="BP6" s="204">
        <f t="shared" ref="BP6:BP58" si="4">E6</f>
        <v>471893</v>
      </c>
      <c r="BQ6" s="204">
        <f t="shared" si="0"/>
        <v>500206.58</v>
      </c>
      <c r="BR6" s="204">
        <f t="shared" ref="BR6:BR58" si="5">BQ6-BP6</f>
        <v>28313.580000000016</v>
      </c>
      <c r="BV6" s="1254">
        <f t="shared" ref="BV6:BV20" si="6">+BC6-BK6</f>
        <v>245489.80044670071</v>
      </c>
    </row>
    <row r="7" spans="1:74" outlineLevel="1" x14ac:dyDescent="0.25">
      <c r="A7" s="177" t="s">
        <v>470</v>
      </c>
      <c r="B7" s="3" t="s">
        <v>132</v>
      </c>
      <c r="C7" s="662"/>
      <c r="D7" s="663">
        <v>375022</v>
      </c>
      <c r="E7" s="664">
        <f>D7/Assumptions!$B$4</f>
        <v>282645.10148248082</v>
      </c>
      <c r="F7" s="663">
        <f>32776/Assumptions!$B$4</f>
        <v>24702.486377305308</v>
      </c>
      <c r="G7" s="664"/>
      <c r="H7" s="242"/>
      <c r="I7" s="666">
        <f t="shared" ref="I7:I20" si="7">SUM(J7:BB7)</f>
        <v>107644.96145650599</v>
      </c>
      <c r="J7" s="73">
        <f>($E$7-$H$7)*(VLOOKUP('Cost Allocation - Tier 1'!J2,'Allocation CU RU'!$B$11:$I$82,8,))</f>
        <v>676.80131485210381</v>
      </c>
      <c r="K7" s="73">
        <f>($E$7-$H$7)*(VLOOKUP('Cost Allocation - Tier 1'!K2,'Allocation CU RU'!$B$11:$I$82,8,))</f>
        <v>200.8057981477541</v>
      </c>
      <c r="L7" s="73">
        <f>($E$7-$H$7)*(VLOOKUP('Cost Allocation - Tier 1'!L2,'Allocation CU RU'!$B$11:$I$82,8,))</f>
        <v>210.87654020835356</v>
      </c>
      <c r="M7" s="73">
        <f>($E$7-$H$7)*(VLOOKUP('Cost Allocation - Tier 1'!M2,'Allocation CU RU'!$B$11:$I$82,8,))</f>
        <v>201.49555974703088</v>
      </c>
      <c r="N7" s="73">
        <f>($E$7-$H$7)*(VLOOKUP('Cost Allocation - Tier 1'!N2,'Allocation CU RU'!$B$11:$I$82,8,))</f>
        <v>352.80121074394549</v>
      </c>
      <c r="O7" s="73">
        <f>($E$7-$H$7)*(VLOOKUP('Cost Allocation - Tier 1'!O2,'Allocation CU RU'!$B$11:$I$82,8,))</f>
        <v>807.68653164507214</v>
      </c>
      <c r="P7" s="73">
        <f>($E$7-$H$7)*(VLOOKUP('Cost Allocation - Tier 1'!P2,'Allocation CU RU'!$B$11:$I$82,8,))</f>
        <v>97.700618742396671</v>
      </c>
      <c r="Q7" s="73">
        <f>($E$7-$H$7)*(VLOOKUP('Cost Allocation - Tier 1'!Q2,'Allocation CU RU'!$B$11:$I$82,8,))</f>
        <v>258.67412703206179</v>
      </c>
      <c r="R7" s="73">
        <f>($E$7-$H$7)*(VLOOKUP('Cost Allocation - Tier 1'!R2,'Allocation CU RU'!$B$11:$I$82,8,))</f>
        <v>221.24137829228766</v>
      </c>
      <c r="S7" s="73">
        <f>($E$7-$H$7)*(VLOOKUP('Cost Allocation - Tier 1'!S2,'Allocation CU RU'!$B$11:$I$82,8,))</f>
        <v>227.61042826277298</v>
      </c>
      <c r="T7" s="73">
        <f>($E$7-$H$7)*(VLOOKUP('Cost Allocation - Tier 1'!T2,'Allocation CU RU'!$B$11:$I$82,8,))</f>
        <v>824.40518958579003</v>
      </c>
      <c r="U7" s="73">
        <f>($E$7-$H$7)*(VLOOKUP('Cost Allocation - Tier 1'!U2,'Allocation CU RU'!$B$11:$I$82,8,))</f>
        <v>658.20433852595829</v>
      </c>
      <c r="V7" s="73">
        <f>($E$7-$H$7)*(VLOOKUP('Cost Allocation - Tier 1'!V2,'Allocation CU RU'!$B$11:$I$82,8,))</f>
        <v>522.36852893238188</v>
      </c>
      <c r="W7" s="73">
        <f>($E$7-$H$7)*(VLOOKUP('Cost Allocation - Tier 1'!W2,'Allocation CU RU'!$B$11:$I$82,8,))</f>
        <v>837.65191484515299</v>
      </c>
      <c r="X7" s="73">
        <f>($E$7-$H$7)*(VLOOKUP('Cost Allocation - Tier 1'!X2,'Allocation CU RU'!$B$11:$I$82,8,))</f>
        <v>20.715970424234445</v>
      </c>
      <c r="Y7" s="73">
        <f>($E$7-$H$7)*(VLOOKUP('Cost Allocation - Tier 1'!Y2,'Allocation CU RU'!$B$11:$I$82,8,))</f>
        <v>16.344380694973985</v>
      </c>
      <c r="Z7" s="73">
        <f>($E$7-$H$7)*(VLOOKUP('Cost Allocation - Tier 1'!Z2,'Allocation CU RU'!$B$11:$I$82,8,))</f>
        <v>79.047397770990599</v>
      </c>
      <c r="AA7" s="73">
        <f>($E$7-$H$7)*(VLOOKUP('Cost Allocation - Tier 1'!AA2,'Allocation CU RU'!$B$11:$I$82,8,))</f>
        <v>72.257795405269619</v>
      </c>
      <c r="AB7" s="73">
        <f>($E$7-$H$7)*(VLOOKUP('Cost Allocation - Tier 1'!AB2,'Allocation CU RU'!$B$11:$I$82,8,))</f>
        <v>43.474369745056357</v>
      </c>
      <c r="AC7" s="73">
        <f>($E$7-$H$7)*(VLOOKUP('Cost Allocation - Tier 1'!AC2,'Allocation CU RU'!$B$11:$I$82,8,))</f>
        <v>44.450660007087528</v>
      </c>
      <c r="AD7" s="73">
        <f>($E$7-$H$7)*(VLOOKUP('Cost Allocation - Tier 1'!AD2,'Allocation CU RU'!$B$11:$I$82,8,))</f>
        <v>252.101862928391</v>
      </c>
      <c r="AE7" s="73">
        <f>($E$7-$H$7)*(VLOOKUP('Cost Allocation - Tier 1'!AE2,'Allocation CU RU'!$B$11:$I$82,8,))</f>
        <v>101.13514380726316</v>
      </c>
      <c r="AF7" s="73">
        <f>($E$7-$H$7)*(VLOOKUP('Cost Allocation - Tier 1'!AF2,'Allocation CU RU'!$B$11:$I$82,8,))</f>
        <v>263.11562443793485</v>
      </c>
      <c r="AG7" s="73">
        <f>($E$7-$H$7)*(VLOOKUP('Cost Allocation - Tier 1'!AG2,'Allocation CU RU'!$B$11:$I$82,8,))</f>
        <v>816.96681589396201</v>
      </c>
      <c r="AH7" s="73">
        <f>($E$7-$H$7)*(VLOOKUP('Cost Allocation - Tier 1'!AH2,'Allocation CU RU'!$B$11:$I$82,8,))</f>
        <v>6695.5296601603404</v>
      </c>
      <c r="AI7" s="73">
        <f>($E$7-$H$7)*(VLOOKUP('Cost Allocation - Tier 1'!AI2,'Allocation CU RU'!$B$11:$I$82,8,))</f>
        <v>46.479104967984362</v>
      </c>
      <c r="AJ7" s="73">
        <f>($E$7-$H$7)*(VLOOKUP('Cost Allocation - Tier 1'!AJ2,'Allocation CU RU'!$B$11:$I$82,8,))</f>
        <v>986.08061664974116</v>
      </c>
      <c r="AK7" s="73">
        <f>($E$7-$H$7)*(VLOOKUP('Cost Allocation - Tier 1'!AK2,'Allocation CU RU'!$B$11:$I$82,8,))</f>
        <v>847.97538519370516</v>
      </c>
      <c r="AL7" s="73">
        <f>($E$7-$H$7)*(VLOOKUP('Cost Allocation - Tier 1'!AL2,'Allocation CU RU'!$B$11:$I$82,8,))</f>
        <v>0</v>
      </c>
      <c r="AM7" s="73">
        <f>($E$7-$H$7)*(VLOOKUP('Cost Allocation - Tier 1'!AM2,'Allocation CU RU'!$B$11:$I$82,8,))</f>
        <v>103.49471920289136</v>
      </c>
      <c r="AN7" s="73">
        <f>($E$7-$H$7)*(VLOOKUP('Cost Allocation - Tier 1'!AN2,'Allocation CU RU'!$B$11:$I$82,8,))</f>
        <v>174.98199474923669</v>
      </c>
      <c r="AO7" s="73">
        <f>($E$7-$H$7)*(VLOOKUP('Cost Allocation - Tier 1'!AO2,'Allocation CU RU'!$B$11:$I$82,8,))</f>
        <v>1031.0106071268597</v>
      </c>
      <c r="AP7" s="73">
        <f>($E$7-$H$7)*(VLOOKUP('Cost Allocation - Tier 1'!AP2,'Allocation CU RU'!$B$11:$I$82,8,))</f>
        <v>156.1702943140329</v>
      </c>
      <c r="AQ7" s="73">
        <f>($E$7-$H$7)*(VLOOKUP('Cost Allocation - Tier 1'!AQ2,'Allocation CU RU'!$B$11:$I$82,8,))</f>
        <v>979.70279162701104</v>
      </c>
      <c r="AR7" s="73">
        <f>($E$7-$H$7)*(VLOOKUP('Cost Allocation - Tier 1'!AR2,'Allocation CU RU'!$B$11:$I$82,8,))</f>
        <v>2.9633432631195236</v>
      </c>
      <c r="AS7" s="73">
        <f>($E$7-$H$7)*(VLOOKUP('Cost Allocation - Tier 1'!AS2,'Allocation CU RU'!$B$11:$I$82,8,))</f>
        <v>1443.9227330952376</v>
      </c>
      <c r="AT7" s="73">
        <f>($E$7-$H$7)*(VLOOKUP('Cost Allocation - Tier 1'!AT2,'Allocation CU RU'!$B$11:$I$82,8,))</f>
        <v>1197.7629187473513</v>
      </c>
      <c r="AU7" s="73">
        <f>($E$7-$H$7)*(VLOOKUP('Cost Allocation - Tier 1'!AU2,'Allocation CU RU'!$B$11:$I$82,8,))</f>
        <v>1674.8720061631018</v>
      </c>
      <c r="AV7" s="73">
        <f>($E$7-$H$7)*(VLOOKUP('Cost Allocation - Tier 1'!AV2,'Allocation CU RU'!$B$11:$I$82,8,))</f>
        <v>2353.7948939072057</v>
      </c>
      <c r="AW7" s="73">
        <f>($E$7-$H$7)*(VLOOKUP('Cost Allocation - Tier 1'!AW2,'Allocation CU RU'!$B$11:$I$82,8,))</f>
        <v>6028.6155862039632</v>
      </c>
      <c r="AX7" s="73">
        <f>($E$7-$H$7)*(VLOOKUP('Cost Allocation - Tier 1'!AX2,'Allocation CU RU'!$B$11:$I$82,8,))</f>
        <v>62.863921963056846</v>
      </c>
      <c r="AY7" s="73">
        <f>($E$7-$H$7)*(VLOOKUP('Cost Allocation - Tier 1'!AY2,'Allocation CU RU'!$B$11:$I$82,8,))</f>
        <v>19393.252745770602</v>
      </c>
      <c r="AZ7" s="73">
        <f>($E$7-$H$7)*(VLOOKUP('Cost Allocation - Tier 1'!AZ2,'Allocation CU RU'!$B$11:$I$82,8,))</f>
        <v>652.19816604586811</v>
      </c>
      <c r="BA7" s="73">
        <f>($E$7-$H$7)*(VLOOKUP('Cost Allocation - Tier 1'!BA2,'Allocation CU RU'!$B$11:$I$82,8,))</f>
        <v>11760.10569887752</v>
      </c>
      <c r="BB7" s="73">
        <f>($E$7-$H$7)*(VLOOKUP('Cost Allocation - Tier 1'!BB2,'Allocation CU RU'!$B$11:$I$82,8,))</f>
        <v>44245.250767798927</v>
      </c>
      <c r="BC7" s="666">
        <f t="shared" ref="BC7:BC20" si="8">SUM(BD7:BK7)</f>
        <v>175000.14002597489</v>
      </c>
      <c r="BD7" s="73">
        <f>($E$7-$H$7)*(VLOOKUP('Cost Allocation - Tier 1'!BD2,'Allocation CU RU'!$B$11:$I$82,8,))</f>
        <v>28106.919994071253</v>
      </c>
      <c r="BE7" s="73">
        <f>($E$7-$H$7)*(VLOOKUP('Cost Allocation - Tier 1'!BE2,'Allocation CU RU'!$B$11:$I$82,8,))</f>
        <v>25633.523651525509</v>
      </c>
      <c r="BF7" s="73">
        <f>($E$7-$H$7)*(VLOOKUP('Cost Allocation - Tier 1'!BF2,'Allocation CU RU'!$B$11:$I$82,8,))</f>
        <v>15694.464715390348</v>
      </c>
      <c r="BG7" s="73">
        <f>($E$7-$H$7)*(VLOOKUP('Cost Allocation - Tier 1'!BG2,'Allocation CU RU'!$B$11:$I$82,8,))</f>
        <v>29005.667445421055</v>
      </c>
      <c r="BH7" s="73">
        <f>($E$7-$H$7)*(VLOOKUP('Cost Allocation - Tier 1'!BH2,'Allocation CU RU'!$B$11:$I$82,8,))</f>
        <v>22721.677998371149</v>
      </c>
      <c r="BI7" s="73">
        <f>($E$7-$H$7)*(VLOOKUP('Cost Allocation - Tier 1'!BI2,'Allocation CU RU'!$B$11:$I$82,8,))</f>
        <v>16544.733149372241</v>
      </c>
      <c r="BJ7" s="73">
        <f>($E$7-$H$7)*(VLOOKUP('Cost Allocation - Tier 1'!BJ2,'Allocation CU RU'!$B$11:$I$82,8,))</f>
        <v>9331.6204423804775</v>
      </c>
      <c r="BK7" s="73">
        <f>($E$7-$H$7)*(VLOOKUP('Cost Allocation - Tier 1'!BK2,'Allocation CU RU'!$B$11:$I$82,8,))</f>
        <v>27961.532629442838</v>
      </c>
      <c r="BL7" s="76">
        <f>BC7+I7+H7</f>
        <v>282645.10148248088</v>
      </c>
      <c r="BM7" s="667">
        <f t="shared" si="3"/>
        <v>0</v>
      </c>
      <c r="BO7" s="668" t="s">
        <v>857</v>
      </c>
      <c r="BP7" s="204">
        <f t="shared" si="4"/>
        <v>282645.10148248082</v>
      </c>
      <c r="BQ7" s="204">
        <f t="shared" si="0"/>
        <v>298121.65838879137</v>
      </c>
      <c r="BR7" s="204">
        <f t="shared" si="5"/>
        <v>15476.55690631055</v>
      </c>
      <c r="BU7" s="1251" t="s">
        <v>470</v>
      </c>
      <c r="BV7" s="1254">
        <f t="shared" si="6"/>
        <v>147038.60739653205</v>
      </c>
    </row>
    <row r="8" spans="1:74" outlineLevel="1" x14ac:dyDescent="0.25">
      <c r="A8" s="177" t="s">
        <v>471</v>
      </c>
      <c r="B8" s="3" t="s">
        <v>858</v>
      </c>
      <c r="C8" s="662"/>
      <c r="D8" s="663">
        <v>4493149.1499999994</v>
      </c>
      <c r="E8" s="664">
        <f>D8/Assumptions!$B$4</f>
        <v>3386378.925710151</v>
      </c>
      <c r="F8" s="663">
        <f>889869/Assumptions!$B$4</f>
        <v>670672.9573494721</v>
      </c>
      <c r="G8" s="665"/>
      <c r="H8" s="637">
        <f>E8*Assumptions!$B$18</f>
        <v>67727.578514203022</v>
      </c>
      <c r="I8" s="666">
        <f t="shared" si="7"/>
        <v>1263903.3702787594</v>
      </c>
      <c r="J8" s="73">
        <f>($E$8-$H$8)*(VLOOKUP('Cost Allocation - Tier 1'!J2,'Allocation CU RU'!$B$11:$I$82,8,))</f>
        <v>7946.6001127818636</v>
      </c>
      <c r="K8" s="73">
        <f>($E$8-$H$8)*(VLOOKUP('Cost Allocation - Tier 1'!K2,'Allocation CU RU'!$B$11:$I$82,8,))</f>
        <v>2357.7427277263728</v>
      </c>
      <c r="L8" s="73">
        <f>($E$8-$H$8)*(VLOOKUP('Cost Allocation - Tier 1'!L2,'Allocation CU RU'!$B$11:$I$82,8,))</f>
        <v>2475.987415256338</v>
      </c>
      <c r="M8" s="73">
        <f>($E$8-$H$8)*(VLOOKUP('Cost Allocation - Tier 1'!M2,'Allocation CU RU'!$B$11:$I$82,8,))</f>
        <v>2365.8414998214048</v>
      </c>
      <c r="N8" s="73">
        <f>($E$8-$H$8)*(VLOOKUP('Cost Allocation - Tier 1'!N2,'Allocation CU RU'!$B$11:$I$82,8,))</f>
        <v>4142.3828227935073</v>
      </c>
      <c r="O8" s="73">
        <f>($E$8-$H$8)*(VLOOKUP('Cost Allocation - Tier 1'!O2,'Allocation CU RU'!$B$11:$I$82,8,))</f>
        <v>9483.3767940679572</v>
      </c>
      <c r="P8" s="73">
        <f>($E$8-$H$8)*(VLOOKUP('Cost Allocation - Tier 1'!P2,'Allocation CU RU'!$B$11:$I$82,8,))</f>
        <v>1147.1427889983418</v>
      </c>
      <c r="Q8" s="73">
        <f>($E$8-$H$8)*(VLOOKUP('Cost Allocation - Tier 1'!Q2,'Allocation CU RU'!$B$11:$I$82,8,))</f>
        <v>3037.1983652187823</v>
      </c>
      <c r="R8" s="73">
        <f>($E$8-$H$8)*(VLOOKUP('Cost Allocation - Tier 1'!R2,'Allocation CU RU'!$B$11:$I$82,8,))</f>
        <v>2597.6852040745453</v>
      </c>
      <c r="S8" s="73">
        <f>($E$8-$H$8)*(VLOOKUP('Cost Allocation - Tier 1'!S2,'Allocation CU RU'!$B$11:$I$82,8,))</f>
        <v>2672.4668159052376</v>
      </c>
      <c r="T8" s="73">
        <f>($E$8-$H$8)*(VLOOKUP('Cost Allocation - Tier 1'!T2,'Allocation CU RU'!$B$11:$I$82,8,))</f>
        <v>9679.6773717438482</v>
      </c>
      <c r="U8" s="73">
        <f>($E$8-$H$8)*(VLOOKUP('Cost Allocation - Tier 1'!U2,'Allocation CU RU'!$B$11:$I$82,8,))</f>
        <v>7728.2454333098776</v>
      </c>
      <c r="V8" s="73">
        <f>($E$8-$H$8)*(VLOOKUP('Cost Allocation - Tier 1'!V2,'Allocation CU RU'!$B$11:$I$82,8,))</f>
        <v>6133.3418240105811</v>
      </c>
      <c r="W8" s="73">
        <f>($E$8-$H$8)*(VLOOKUP('Cost Allocation - Tier 1'!W2,'Allocation CU RU'!$B$11:$I$82,8,))</f>
        <v>9835.2125725923361</v>
      </c>
      <c r="X8" s="73">
        <f>($E$8-$H$8)*(VLOOKUP('Cost Allocation - Tier 1'!X2,'Allocation CU RU'!$B$11:$I$82,8,))</f>
        <v>243.23465291372943</v>
      </c>
      <c r="Y8" s="73">
        <f>($E$8-$H$8)*(VLOOKUP('Cost Allocation - Tier 1'!Y2,'Allocation CU RU'!$B$11:$I$82,8,))</f>
        <v>191.90603597218504</v>
      </c>
      <c r="Z8" s="73">
        <f>($E$8-$H$8)*(VLOOKUP('Cost Allocation - Tier 1'!Z2,'Allocation CU RU'!$B$11:$I$82,8,))</f>
        <v>928.12771822012974</v>
      </c>
      <c r="AA8" s="73">
        <f>($E$8-$H$8)*(VLOOKUP('Cost Allocation - Tier 1'!AA2,'Allocation CU RU'!$B$11:$I$82,8,))</f>
        <v>848.40822929305432</v>
      </c>
      <c r="AB8" s="73">
        <f>($E$8-$H$8)*(VLOOKUP('Cost Allocation - Tier 1'!AB2,'Allocation CU RU'!$B$11:$I$82,8,))</f>
        <v>510.45029602916611</v>
      </c>
      <c r="AC8" s="73">
        <f>($E$8-$H$8)*(VLOOKUP('Cost Allocation - Tier 1'!AC2,'Allocation CU RU'!$B$11:$I$82,8,))</f>
        <v>521.91331794729001</v>
      </c>
      <c r="AD8" s="73">
        <f>($E$8-$H$8)*(VLOOKUP('Cost Allocation - Tier 1'!AD2,'Allocation CU RU'!$B$11:$I$82,8,))</f>
        <v>2960.0307334170102</v>
      </c>
      <c r="AE8" s="73">
        <f>($E$8-$H$8)*(VLOOKUP('Cost Allocation - Tier 1'!AE2,'Allocation CU RU'!$B$11:$I$82,8,))</f>
        <v>1187.4689477526053</v>
      </c>
      <c r="AF8" s="73">
        <f>($E$8-$H$8)*(VLOOKUP('Cost Allocation - Tier 1'!AF2,'Allocation CU RU'!$B$11:$I$82,8,))</f>
        <v>3089.3477966869291</v>
      </c>
      <c r="AG8" s="73">
        <f>($E$8-$H$8)*(VLOOKUP('Cost Allocation - Tier 1'!AG2,'Allocation CU RU'!$B$11:$I$82,8,))</f>
        <v>9592.3403942273198</v>
      </c>
      <c r="AH8" s="73">
        <f>($E$8-$H$8)*(VLOOKUP('Cost Allocation - Tier 1'!AH2,'Allocation CU RU'!$B$11:$I$82,8,))</f>
        <v>78614.94294553982</v>
      </c>
      <c r="AI8" s="73">
        <f>($E$8-$H$8)*(VLOOKUP('Cost Allocation - Tier 1'!AI2,'Allocation CU RU'!$B$11:$I$82,8,))</f>
        <v>545.73011705997646</v>
      </c>
      <c r="AJ8" s="73">
        <f>($E$8-$H$8)*(VLOOKUP('Cost Allocation - Tier 1'!AJ2,'Allocation CU RU'!$B$11:$I$82,8,))</f>
        <v>11577.974462406564</v>
      </c>
      <c r="AK8" s="73">
        <f>($E$8-$H$8)*(VLOOKUP('Cost Allocation - Tier 1'!AK2,'Allocation CU RU'!$B$11:$I$82,8,))</f>
        <v>9956.4246459672722</v>
      </c>
      <c r="AL8" s="73">
        <f>($E$8-$H$8)*(VLOOKUP('Cost Allocation - Tier 1'!AL2,'Allocation CU RU'!$B$11:$I$82,8,))</f>
        <v>0</v>
      </c>
      <c r="AM8" s="73">
        <f>($E$8-$H$8)*(VLOOKUP('Cost Allocation - Tier 1'!AM2,'Allocation CU RU'!$B$11:$I$82,8,))</f>
        <v>1215.1736842735645</v>
      </c>
      <c r="AN8" s="73">
        <f>($E$8-$H$8)*(VLOOKUP('Cost Allocation - Tier 1'!AN2,'Allocation CU RU'!$B$11:$I$82,8,))</f>
        <v>2054.5349258266992</v>
      </c>
      <c r="AO8" s="73">
        <f>($E$8-$H$8)*(VLOOKUP('Cost Allocation - Tier 1'!AO2,'Allocation CU RU'!$B$11:$I$82,8,))</f>
        <v>12105.515794785299</v>
      </c>
      <c r="AP8" s="73">
        <f>($E$8-$H$8)*(VLOOKUP('Cost Allocation - Tier 1'!AP2,'Allocation CU RU'!$B$11:$I$82,8,))</f>
        <v>1833.6590830652594</v>
      </c>
      <c r="AQ8" s="73">
        <f>($E$8-$H$8)*(VLOOKUP('Cost Allocation - Tier 1'!AQ2,'Allocation CU RU'!$B$11:$I$82,8,))</f>
        <v>11503.089819110613</v>
      </c>
      <c r="AR8" s="73">
        <f>($E$8-$H$8)*(VLOOKUP('Cost Allocation - Tier 1'!AR2,'Allocation CU RU'!$B$11:$I$82,8,))</f>
        <v>34.793821158670255</v>
      </c>
      <c r="AS8" s="73">
        <f>($E$8-$H$8)*(VLOOKUP('Cost Allocation - Tier 1'!AS2,'Allocation CU RU'!$B$11:$I$82,8,))</f>
        <v>16953.685375404886</v>
      </c>
      <c r="AT8" s="73">
        <f>($E$8-$H$8)*(VLOOKUP('Cost Allocation - Tier 1'!AT2,'Allocation CU RU'!$B$11:$I$82,8,))</f>
        <v>14063.422656446171</v>
      </c>
      <c r="AU8" s="73">
        <f>($E$8-$H$8)*(VLOOKUP('Cost Allocation - Tier 1'!AU2,'Allocation CU RU'!$B$11:$I$82,8,))</f>
        <v>19665.354929133555</v>
      </c>
      <c r="AV8" s="73">
        <f>($E$8-$H$8)*(VLOOKUP('Cost Allocation - Tier 1'!AV2,'Allocation CU RU'!$B$11:$I$82,8,))</f>
        <v>27636.865294027633</v>
      </c>
      <c r="AW8" s="73">
        <f>($E$8-$H$8)*(VLOOKUP('Cost Allocation - Tier 1'!AW2,'Allocation CU RU'!$B$11:$I$82,8,))</f>
        <v>70784.432958313118</v>
      </c>
      <c r="AX8" s="73">
        <f>($E$8-$H$8)*(VLOOKUP('Cost Allocation - Tier 1'!AX2,'Allocation CU RU'!$B$11:$I$82,8,))</f>
        <v>738.11093211410446</v>
      </c>
      <c r="AY8" s="73">
        <f>($E$8-$H$8)*(VLOOKUP('Cost Allocation - Tier 1'!AY2,'Allocation CU RU'!$B$11:$I$82,8,))</f>
        <v>227704.08548988181</v>
      </c>
      <c r="AZ8" s="73">
        <f>($E$8-$H$8)*(VLOOKUP('Cost Allocation - Tier 1'!AZ2,'Allocation CU RU'!$B$11:$I$82,8,))</f>
        <v>7657.724514008617</v>
      </c>
      <c r="BA8" s="73">
        <f>($E$8-$H$8)*(VLOOKUP('Cost Allocation - Tier 1'!BA2,'Allocation CU RU'!$B$11:$I$82,8,))</f>
        <v>138080.19461878302</v>
      </c>
      <c r="BB8" s="73">
        <f>($E$8-$H$8)*(VLOOKUP('Cost Allocation - Tier 1'!BB2,'Allocation CU RU'!$B$11:$I$82,8,))</f>
        <v>519501.52434069227</v>
      </c>
      <c r="BC8" s="666">
        <f t="shared" si="8"/>
        <v>2054747.9769171893</v>
      </c>
      <c r="BD8" s="73">
        <f>($E$8-$H$8)*(VLOOKUP('Cost Allocation - Tier 1'!BD2,'Allocation CU RU'!$B$11:$I$82,8,))</f>
        <v>330014.80448312272</v>
      </c>
      <c r="BE8" s="73">
        <f>($E$8-$H$8)*(VLOOKUP('Cost Allocation - Tier 1'!BE2,'Allocation CU RU'!$B$11:$I$82,8,))</f>
        <v>300973.64982915559</v>
      </c>
      <c r="BF8" s="73">
        <f>($E$8-$H$8)*(VLOOKUP('Cost Allocation - Tier 1'!BF2,'Allocation CU RU'!$B$11:$I$82,8,))</f>
        <v>184275.10753968541</v>
      </c>
      <c r="BG8" s="73">
        <f>($E$8-$H$8)*(VLOOKUP('Cost Allocation - Tier 1'!BG2,'Allocation CU RU'!$B$11:$I$82,8,))</f>
        <v>340567.36465333967</v>
      </c>
      <c r="BH8" s="73">
        <f>($E$8-$H$8)*(VLOOKUP('Cost Allocation - Tier 1'!BH2,'Allocation CU RU'!$B$11:$I$82,8,))</f>
        <v>266784.48310034059</v>
      </c>
      <c r="BI8" s="73">
        <f>($E$8-$H$8)*(VLOOKUP('Cost Allocation - Tier 1'!BI2,'Allocation CU RU'!$B$11:$I$82,8,))</f>
        <v>194258.4558061584</v>
      </c>
      <c r="BJ8" s="73">
        <f>($E$8-$H$8)*(VLOOKUP('Cost Allocation - Tier 1'!BJ2,'Allocation CU RU'!$B$11:$I$82,8,))</f>
        <v>109566.35933259482</v>
      </c>
      <c r="BK8" s="73">
        <f>($E$8-$H$8)*(VLOOKUP('Cost Allocation - Tier 1'!BK2,'Allocation CU RU'!$B$11:$I$82,8,))</f>
        <v>328307.75217279192</v>
      </c>
      <c r="BL8" s="76">
        <f>BC8+I8+H8</f>
        <v>3386378.9257101514</v>
      </c>
      <c r="BM8" s="667">
        <f t="shared" si="3"/>
        <v>0</v>
      </c>
      <c r="BO8" s="668" t="s">
        <v>857</v>
      </c>
      <c r="BP8" s="204">
        <f t="shared" si="4"/>
        <v>3386378.925710151</v>
      </c>
      <c r="BQ8" s="204">
        <f t="shared" si="0"/>
        <v>3549321.2838117918</v>
      </c>
      <c r="BR8" s="204">
        <f t="shared" si="5"/>
        <v>162942.35810164083</v>
      </c>
      <c r="BU8" s="1251" t="s">
        <v>1049</v>
      </c>
      <c r="BV8" s="1254">
        <f t="shared" si="6"/>
        <v>1726440.2247443974</v>
      </c>
    </row>
    <row r="9" spans="1:74" outlineLevel="1" x14ac:dyDescent="0.25">
      <c r="A9" s="69" t="s">
        <v>472</v>
      </c>
      <c r="B9" s="3" t="s">
        <v>859</v>
      </c>
      <c r="C9" s="662"/>
      <c r="D9" s="663">
        <f>'Vancouver Rent'!F8</f>
        <v>395345.75555555557</v>
      </c>
      <c r="E9" s="664">
        <f>D9/Assumptions!$B$4</f>
        <v>297962.62939152383</v>
      </c>
      <c r="F9" s="664"/>
      <c r="G9" s="664"/>
      <c r="H9" s="637"/>
      <c r="I9" s="666">
        <f t="shared" si="7"/>
        <v>113478.61890441363</v>
      </c>
      <c r="J9" s="73">
        <f>($E$9-$H$9)*(VLOOKUP('Cost Allocation - Tier 1'!J2,'Allocation CU RU'!$B$11:$I$82,8,))</f>
        <v>713.47954834969266</v>
      </c>
      <c r="K9" s="73">
        <f>($E$9-$H$9)*(VLOOKUP('Cost Allocation - Tier 1'!K2,'Allocation CU RU'!$B$11:$I$82,8,))</f>
        <v>211.68816759726155</v>
      </c>
      <c r="L9" s="73">
        <f>($E$9-$H$9)*(VLOOKUP('Cost Allocation - Tier 1'!L2,'Allocation CU RU'!$B$11:$I$82,8,))</f>
        <v>222.30467843916631</v>
      </c>
      <c r="M9" s="73">
        <f>($E$9-$H$9)*(VLOOKUP('Cost Allocation - Tier 1'!M2,'Allocation CU RU'!$B$11:$I$82,8,))</f>
        <v>212.41530979323747</v>
      </c>
      <c r="N9" s="73">
        <f>($E$9-$H$9)*(VLOOKUP('Cost Allocation - Tier 1'!N2,'Allocation CU RU'!$B$11:$I$82,8,))</f>
        <v>371.92074390963705</v>
      </c>
      <c r="O9" s="73">
        <f>($E$9-$H$9)*(VLOOKUP('Cost Allocation - Tier 1'!O2,'Allocation CU RU'!$B$11:$I$82,8,))</f>
        <v>851.45789341763191</v>
      </c>
      <c r="P9" s="73">
        <f>($E$9-$H$9)*(VLOOKUP('Cost Allocation - Tier 1'!P2,'Allocation CU RU'!$B$11:$I$82,8,))</f>
        <v>102.99535743225219</v>
      </c>
      <c r="Q9" s="73">
        <f>($E$9-$H$9)*(VLOOKUP('Cost Allocation - Tier 1'!Q2,'Allocation CU RU'!$B$11:$I$82,8,))</f>
        <v>272.69258388618329</v>
      </c>
      <c r="R9" s="73">
        <f>($E$9-$H$9)*(VLOOKUP('Cost Allocation - Tier 1'!R2,'Allocation CU RU'!$B$11:$I$82,8,))</f>
        <v>233.23122339787253</v>
      </c>
      <c r="S9" s="73">
        <f>($E$9-$H$9)*(VLOOKUP('Cost Allocation - Tier 1'!S2,'Allocation CU RU'!$B$11:$I$82,8,))</f>
        <v>239.94543449149532</v>
      </c>
      <c r="T9" s="73">
        <f>($E$9-$H$9)*(VLOOKUP('Cost Allocation - Tier 1'!T2,'Allocation CU RU'!$B$11:$I$82,8,))</f>
        <v>869.08259398306018</v>
      </c>
      <c r="U9" s="73">
        <f>($E$9-$H$9)*(VLOOKUP('Cost Allocation - Tier 1'!U2,'Allocation CU RU'!$B$11:$I$82,8,))</f>
        <v>693.87473674741648</v>
      </c>
      <c r="V9" s="73">
        <f>($E$9-$H$9)*(VLOOKUP('Cost Allocation - Tier 1'!V2,'Allocation CU RU'!$B$11:$I$82,8,))</f>
        <v>550.67750891738774</v>
      </c>
      <c r="W9" s="73">
        <f>($E$9-$H$9)*(VLOOKUP('Cost Allocation - Tier 1'!W2,'Allocation CU RU'!$B$11:$I$82,8,))</f>
        <v>883.04720567597326</v>
      </c>
      <c r="X9" s="73">
        <f>($E$9-$H$9)*(VLOOKUP('Cost Allocation - Tier 1'!X2,'Allocation CU RU'!$B$11:$I$82,8,))</f>
        <v>21.838641411531881</v>
      </c>
      <c r="Y9" s="73">
        <f>($E$9-$H$9)*(VLOOKUP('Cost Allocation - Tier 1'!Y2,'Allocation CU RU'!$B$11:$I$82,8,))</f>
        <v>17.230139924970072</v>
      </c>
      <c r="Z9" s="73">
        <f>($E$9-$H$9)*(VLOOKUP('Cost Allocation - Tier 1'!Z2,'Allocation CU RU'!$B$11:$I$82,8,))</f>
        <v>83.331253090412872</v>
      </c>
      <c r="AA9" s="73">
        <f>($E$9-$H$9)*(VLOOKUP('Cost Allocation - Tier 1'!AA2,'Allocation CU RU'!$B$11:$I$82,8,))</f>
        <v>76.173698394427703</v>
      </c>
      <c r="AB9" s="73">
        <f>($E$9-$H$9)*(VLOOKUP('Cost Allocation - Tier 1'!AB2,'Allocation CU RU'!$B$11:$I$82,8,))</f>
        <v>45.830398094407499</v>
      </c>
      <c r="AC9" s="73">
        <f>($E$9-$H$9)*(VLOOKUP('Cost Allocation - Tier 1'!AC2,'Allocation CU RU'!$B$11:$I$82,8,))</f>
        <v>46.85959694483293</v>
      </c>
      <c r="AD9" s="73">
        <f>($E$9-$H$9)*(VLOOKUP('Cost Allocation - Tier 1'!AD2,'Allocation CU RU'!$B$11:$I$82,8,))</f>
        <v>265.76414577381547</v>
      </c>
      <c r="AE9" s="73">
        <f>($E$9-$H$9)*(VLOOKUP('Cost Allocation - Tier 1'!AE2,'Allocation CU RU'!$B$11:$I$82,8,))</f>
        <v>106.61601143853485</v>
      </c>
      <c r="AF9" s="73">
        <f>($E$9-$H$9)*(VLOOKUP('Cost Allocation - Tier 1'!AF2,'Allocation CU RU'!$B$11:$I$82,8,))</f>
        <v>277.37478159117904</v>
      </c>
      <c r="AG9" s="73">
        <f>($E$9-$H$9)*(VLOOKUP('Cost Allocation - Tier 1'!AG2,'Allocation CU RU'!$B$11:$I$82,8,))</f>
        <v>861.24110877072508</v>
      </c>
      <c r="AH9" s="73">
        <f>($E$9-$H$9)*(VLOOKUP('Cost Allocation - Tier 1'!AH2,'Allocation CU RU'!$B$11:$I$82,8,))</f>
        <v>7058.3838610554094</v>
      </c>
      <c r="AI9" s="73">
        <f>($E$9-$H$9)*(VLOOKUP('Cost Allocation - Tier 1'!AI2,'Allocation CU RU'!$B$11:$I$82,8,))</f>
        <v>48.997970442037406</v>
      </c>
      <c r="AJ9" s="73">
        <f>($E$9-$H$9)*(VLOOKUP('Cost Allocation - Tier 1'!AJ2,'Allocation CU RU'!$B$11:$I$82,8,))</f>
        <v>1039.5197786478661</v>
      </c>
      <c r="AK9" s="73">
        <f>($E$9-$H$9)*(VLOOKUP('Cost Allocation - Tier 1'!AK2,'Allocation CU RU'!$B$11:$I$82,8,))</f>
        <v>893.9301410368422</v>
      </c>
      <c r="AL9" s="73">
        <f>($E$9-$H$9)*(VLOOKUP('Cost Allocation - Tier 1'!AL2,'Allocation CU RU'!$B$11:$I$82,8,))</f>
        <v>0</v>
      </c>
      <c r="AM9" s="73">
        <f>($E$9-$H$9)*(VLOOKUP('Cost Allocation - Tier 1'!AM2,'Allocation CU RU'!$B$11:$I$82,8,))</f>
        <v>109.10346048839041</v>
      </c>
      <c r="AN9" s="73">
        <f>($E$9-$H$9)*(VLOOKUP('Cost Allocation - Tier 1'!AN2,'Allocation CU RU'!$B$11:$I$82,8,))</f>
        <v>184.4648818542785</v>
      </c>
      <c r="AO9" s="73">
        <f>($E$9-$H$9)*(VLOOKUP('Cost Allocation - Tier 1'!AO2,'Allocation CU RU'!$B$11:$I$82,8,))</f>
        <v>1086.8846826595782</v>
      </c>
      <c r="AP9" s="73">
        <f>($E$9-$H$9)*(VLOOKUP('Cost Allocation - Tier 1'!AP2,'Allocation CU RU'!$B$11:$I$82,8,))</f>
        <v>164.63370949148268</v>
      </c>
      <c r="AQ9" s="73">
        <f>($E$9-$H$9)*(VLOOKUP('Cost Allocation - Tier 1'!AQ2,'Allocation CU RU'!$B$11:$I$82,8,))</f>
        <v>1032.7963169511861</v>
      </c>
      <c r="AR9" s="73">
        <f>($E$9-$H$9)*(VLOOKUP('Cost Allocation - Tier 1'!AR2,'Allocation CU RU'!$B$11:$I$82,8,))</f>
        <v>3.1239372125594054</v>
      </c>
      <c r="AS9" s="73">
        <f>($E$9-$H$9)*(VLOOKUP('Cost Allocation - Tier 1'!AS2,'Allocation CU RU'!$B$11:$I$82,8,))</f>
        <v>1522.1739628058606</v>
      </c>
      <c r="AT9" s="73">
        <f>($E$9-$H$9)*(VLOOKUP('Cost Allocation - Tier 1'!AT2,'Allocation CU RU'!$B$11:$I$82,8,))</f>
        <v>1262.6738860349501</v>
      </c>
      <c r="AU9" s="73">
        <f>($E$9-$H$9)*(VLOOKUP('Cost Allocation - Tier 1'!AU2,'Allocation CU RU'!$B$11:$I$82,8,))</f>
        <v>1765.6391857955016</v>
      </c>
      <c r="AV9" s="73">
        <f>($E$9-$H$9)*(VLOOKUP('Cost Allocation - Tier 1'!AV2,'Allocation CU RU'!$B$11:$I$82,8,))</f>
        <v>2481.3552825022343</v>
      </c>
      <c r="AW9" s="73">
        <f>($E$9-$H$9)*(VLOOKUP('Cost Allocation - Tier 1'!AW2,'Allocation CU RU'!$B$11:$I$82,8,))</f>
        <v>6355.3273778119801</v>
      </c>
      <c r="AX9" s="73">
        <f>($E$9-$H$9)*(VLOOKUP('Cost Allocation - Tier 1'!AX2,'Allocation CU RU'!$B$11:$I$82,8,))</f>
        <v>66.270738051821468</v>
      </c>
      <c r="AY9" s="73">
        <f>($E$9-$H$9)*(VLOOKUP('Cost Allocation - Tier 1'!AY2,'Allocation CU RU'!$B$11:$I$82,8,))</f>
        <v>20444.241029743673</v>
      </c>
      <c r="AZ9" s="73">
        <f>($E$9-$H$9)*(VLOOKUP('Cost Allocation - Tier 1'!AZ2,'Allocation CU RU'!$B$11:$I$82,8,))</f>
        <v>687.54306874623728</v>
      </c>
      <c r="BA9" s="73">
        <f>($E$9-$H$9)*(VLOOKUP('Cost Allocation - Tier 1'!BA2,'Allocation CU RU'!$B$11:$I$82,8,))</f>
        <v>12397.427012111097</v>
      </c>
      <c r="BB9" s="73">
        <f>($E$9-$H$9)*(VLOOKUP('Cost Allocation - Tier 1'!BB2,'Allocation CU RU'!$B$11:$I$82,8,))</f>
        <v>46643.055859497552</v>
      </c>
      <c r="BC9" s="666">
        <f t="shared" si="8"/>
        <v>184484.01048711024</v>
      </c>
      <c r="BD9" s="73">
        <f>($E$9-$H$9)*(VLOOKUP('Cost Allocation - Tier 1'!BD2,'Allocation CU RU'!$B$11:$I$82,8,))</f>
        <v>29630.132422619605</v>
      </c>
      <c r="BE9" s="73">
        <f>($E$9-$H$9)*(VLOOKUP('Cost Allocation - Tier 1'!BE2,'Allocation CU RU'!$B$11:$I$82,8,))</f>
        <v>27022.69407011737</v>
      </c>
      <c r="BF9" s="73">
        <f>($E$9-$H$9)*(VLOOKUP('Cost Allocation - Tier 1'!BF2,'Allocation CU RU'!$B$11:$I$82,8,))</f>
        <v>16545.002722362966</v>
      </c>
      <c r="BG9" s="73">
        <f>($E$9-$H$9)*(VLOOKUP('Cost Allocation - Tier 1'!BG2,'Allocation CU RU'!$B$11:$I$82,8,))</f>
        <v>30577.586145887886</v>
      </c>
      <c r="BH9" s="73">
        <f>($E$9-$H$9)*(VLOOKUP('Cost Allocation - Tier 1'!BH2,'Allocation CU RU'!$B$11:$I$82,8,))</f>
        <v>23953.045303358431</v>
      </c>
      <c r="BI9" s="73">
        <f>($E$9-$H$9)*(VLOOKUP('Cost Allocation - Tier 1'!BI2,'Allocation CU RU'!$B$11:$I$82,8,))</f>
        <v>17441.350180532383</v>
      </c>
      <c r="BJ9" s="73">
        <f>($E$9-$H$9)*(VLOOKUP('Cost Allocation - Tier 1'!BJ2,'Allocation CU RU'!$B$11:$I$82,8,))</f>
        <v>9837.3336346949709</v>
      </c>
      <c r="BK9" s="73">
        <f>($E$9-$H$9)*(VLOOKUP('Cost Allocation - Tier 1'!BK2,'Allocation CU RU'!$B$11:$I$82,8,))</f>
        <v>29476.866007536621</v>
      </c>
      <c r="BL9" s="76">
        <f t="shared" ref="BL9:BL18" si="9">BC9+I9+H9</f>
        <v>297962.62939152389</v>
      </c>
      <c r="BM9" s="667">
        <f t="shared" si="3"/>
        <v>0</v>
      </c>
      <c r="BO9" s="668" t="s">
        <v>857</v>
      </c>
      <c r="BP9" s="204">
        <f t="shared" si="4"/>
        <v>297962.62939152383</v>
      </c>
      <c r="BQ9" s="204">
        <f t="shared" si="0"/>
        <v>315840.38715501525</v>
      </c>
      <c r="BR9" s="204">
        <f t="shared" si="5"/>
        <v>17877.75776349142</v>
      </c>
      <c r="BU9" s="1251" t="s">
        <v>472</v>
      </c>
      <c r="BV9" s="1254">
        <f t="shared" si="6"/>
        <v>155007.14447957362</v>
      </c>
    </row>
    <row r="10" spans="1:74" outlineLevel="1" x14ac:dyDescent="0.25">
      <c r="A10" s="69" t="s">
        <v>860</v>
      </c>
      <c r="B10" s="27" t="s">
        <v>861</v>
      </c>
      <c r="C10" s="662"/>
      <c r="D10" s="664">
        <f>E10*Assumptions!$B$4</f>
        <v>89769.337310000003</v>
      </c>
      <c r="E10" s="663">
        <v>67657</v>
      </c>
      <c r="F10" s="665"/>
      <c r="G10" s="665"/>
      <c r="H10" s="637"/>
      <c r="I10" s="666">
        <f t="shared" si="7"/>
        <v>67657.000000000015</v>
      </c>
      <c r="J10" s="73">
        <f>($E$10-$H$10)*(VLOOKUP('Cost Allocation - Tier 1'!J2,'CU Composites'!$B$5:$M$55,12,))</f>
        <v>420.87447093143635</v>
      </c>
      <c r="K10" s="73">
        <f>($E$10-$H$10)*(VLOOKUP('Cost Allocation - Tier 1'!K2,'CU Composites'!$B$5:$M$55,12,))</f>
        <v>121.41183035443066</v>
      </c>
      <c r="L10" s="73">
        <f>($E$10-$H$10)*(VLOOKUP('Cost Allocation - Tier 1'!L2,'CU Composites'!$B$5:$M$55,12,))</f>
        <v>125.45581892048241</v>
      </c>
      <c r="M10" s="73">
        <f>($E$10-$H$10)*(VLOOKUP('Cost Allocation - Tier 1'!M2,'CU Composites'!$B$5:$M$55,12,))</f>
        <v>128.83357282527436</v>
      </c>
      <c r="N10" s="73">
        <f>($E$10-$H$10)*(VLOOKUP('Cost Allocation - Tier 1'!N2,'CU Composites'!$B$5:$M$55,12,))</f>
        <v>214.44711572175271</v>
      </c>
      <c r="O10" s="73">
        <f>($E$10-$H$10)*(VLOOKUP('Cost Allocation - Tier 1'!O2,'CU Composites'!$B$5:$M$55,12,))</f>
        <v>504.01582081722358</v>
      </c>
      <c r="P10" s="73">
        <f>($E$10-$H$10)*(VLOOKUP('Cost Allocation - Tier 1'!P2,'CU Composites'!$B$5:$M$55,12,))</f>
        <v>61.459716909396796</v>
      </c>
      <c r="Q10" s="73">
        <f>($E$10-$H$10)*(VLOOKUP('Cost Allocation - Tier 1'!Q2,'CU Composites'!$B$5:$M$55,12,))</f>
        <v>164.57476986464266</v>
      </c>
      <c r="R10" s="73">
        <f>($E$10-$H$10)*(VLOOKUP('Cost Allocation - Tier 1'!R2,'CU Composites'!$B$5:$M$55,12,))</f>
        <v>141.26208650708932</v>
      </c>
      <c r="S10" s="73">
        <f>($E$10-$H$10)*(VLOOKUP('Cost Allocation - Tier 1'!S2,'CU Composites'!$B$5:$M$55,12,))</f>
        <v>144.90377847614585</v>
      </c>
      <c r="T10" s="73">
        <f>($E$10-$H$10)*(VLOOKUP('Cost Allocation - Tier 1'!T2,'CU Composites'!$B$5:$M$55,12,))</f>
        <v>527.55705099937563</v>
      </c>
      <c r="U10" s="73">
        <f>($E$10-$H$10)*(VLOOKUP('Cost Allocation - Tier 1'!U2,'CU Composites'!$B$5:$M$55,12,))</f>
        <v>420.33626300915284</v>
      </c>
      <c r="V10" s="73">
        <f>($E$10-$H$10)*(VLOOKUP('Cost Allocation - Tier 1'!V2,'CU Composites'!$B$5:$M$55,12,))</f>
        <v>328.27216430736985</v>
      </c>
      <c r="W10" s="73">
        <f>($E$10-$H$10)*(VLOOKUP('Cost Allocation - Tier 1'!W2,'CU Composites'!$B$5:$M$55,12,))</f>
        <v>529.42360392506191</v>
      </c>
      <c r="X10" s="73">
        <f>($E$10-$H$10)*(VLOOKUP('Cost Allocation - Tier 1'!X2,'CU Composites'!$B$5:$M$55,12,))</f>
        <v>12.83062758378323</v>
      </c>
      <c r="Y10" s="73">
        <f>($E$10-$H$10)*(VLOOKUP('Cost Allocation - Tier 1'!Y2,'CU Composites'!$B$5:$M$55,12,))</f>
        <v>9.9149797292572401</v>
      </c>
      <c r="Z10" s="73">
        <f>($E$10-$H$10)*(VLOOKUP('Cost Allocation - Tier 1'!Z2,'CU Composites'!$B$5:$M$55,12,))</f>
        <v>46.791825888221581</v>
      </c>
      <c r="AA10" s="73">
        <f>($E$10-$H$10)*(VLOOKUP('Cost Allocation - Tier 1'!AA2,'CU Composites'!$B$5:$M$55,12,))</f>
        <v>42.505193954424044</v>
      </c>
      <c r="AB10" s="73">
        <f>($E$10-$H$10)*(VLOOKUP('Cost Allocation - Tier 1'!AB2,'CU Composites'!$B$5:$M$55,12,))</f>
        <v>25.436455908637395</v>
      </c>
      <c r="AC10" s="73">
        <f>($E$10-$H$10)*(VLOOKUP('Cost Allocation - Tier 1'!AC2,'CU Composites'!$B$5:$M$55,12,))</f>
        <v>26.899364442383636</v>
      </c>
      <c r="AD10" s="73">
        <f>($E$10-$H$10)*(VLOOKUP('Cost Allocation - Tier 1'!AD2,'CU Composites'!$B$5:$M$55,12,))</f>
        <v>158.74026425970203</v>
      </c>
      <c r="AE10" s="73">
        <f>($E$10-$H$10)*(VLOOKUP('Cost Allocation - Tier 1'!AE2,'CU Composites'!$B$5:$M$55,12,))</f>
        <v>62.422015508675123</v>
      </c>
      <c r="AF10" s="73">
        <f>($E$10-$H$10)*(VLOOKUP('Cost Allocation - Tier 1'!AF2,'CU Composites'!$B$5:$M$55,12,))</f>
        <v>164.02325689578208</v>
      </c>
      <c r="AG10" s="73">
        <f>($E$10-$H$10)*(VLOOKUP('Cost Allocation - Tier 1'!AG2,'CU Composites'!$B$5:$M$55,12,))</f>
        <v>531.20982242573984</v>
      </c>
      <c r="AH10" s="73">
        <f>($E$10-$H$10)*(VLOOKUP('Cost Allocation - Tier 1'!AH2,'CU Composites'!$B$5:$M$55,12,))</f>
        <v>4045.0209361551897</v>
      </c>
      <c r="AI10" s="73">
        <f>($E$10-$H$10)*(VLOOKUP('Cost Allocation - Tier 1'!AI2,'CU Composites'!$B$5:$M$55,12,))</f>
        <v>29.587991085163782</v>
      </c>
      <c r="AJ10" s="73">
        <f>($E$10-$H$10)*(VLOOKUP('Cost Allocation - Tier 1'!AJ2,'CU Composites'!$B$5:$M$55,12,))</f>
        <v>634.30131211929961</v>
      </c>
      <c r="AK10" s="73">
        <f>($E$10-$H$10)*(VLOOKUP('Cost Allocation - Tier 1'!AK2,'CU Composites'!$B$5:$M$55,12,))</f>
        <v>539.42256027441658</v>
      </c>
      <c r="AL10" s="73">
        <f>($E$10-$H$10)*(VLOOKUP('Cost Allocation - Tier 1'!AL2,'CU Composites'!$B$5:$M$55,12,))</f>
        <v>0</v>
      </c>
      <c r="AM10" s="73">
        <f>($E$10-$H$10)*(VLOOKUP('Cost Allocation - Tier 1'!AM2,'CU Composites'!$B$5:$M$55,12,))</f>
        <v>61.402950376684991</v>
      </c>
      <c r="AN10" s="73">
        <f>($E$10-$H$10)*(VLOOKUP('Cost Allocation - Tier 1'!AN2,'CU Composites'!$B$5:$M$55,12,))</f>
        <v>105.78012688071635</v>
      </c>
      <c r="AO10" s="73">
        <f>($E$10-$H$10)*(VLOOKUP('Cost Allocation - Tier 1'!AO2,'CU Composites'!$B$5:$M$55,12,))</f>
        <v>658.33737273632175</v>
      </c>
      <c r="AP10" s="73">
        <f>($E$10-$H$10)*(VLOOKUP('Cost Allocation - Tier 1'!AP2,'CU Composites'!$B$5:$M$55,12,))</f>
        <v>98.619360667081267</v>
      </c>
      <c r="AQ10" s="73">
        <f>($E$10-$H$10)*(VLOOKUP('Cost Allocation - Tier 1'!AQ2,'CU Composites'!$B$5:$M$55,12,))</f>
        <v>632.04790475708887</v>
      </c>
      <c r="AR10" s="73">
        <f>($E$10-$H$10)*(VLOOKUP('Cost Allocation - Tier 1'!AR2,'CU Composites'!$B$5:$M$55,12,))</f>
        <v>1.7124010346157119</v>
      </c>
      <c r="AS10" s="73">
        <f>($E$10-$H$10)*(VLOOKUP('Cost Allocation - Tier 1'!AS2,'CU Composites'!$B$5:$M$55,12,))</f>
        <v>928.61202696072348</v>
      </c>
      <c r="AT10" s="73">
        <f>($E$10-$H$10)*(VLOOKUP('Cost Allocation - Tier 1'!AT2,'CU Composites'!$B$5:$M$55,12,))</f>
        <v>776.80705148626987</v>
      </c>
      <c r="AU10" s="73">
        <f>($E$10-$H$10)*(VLOOKUP('Cost Allocation - Tier 1'!AU2,'CU Composites'!$B$5:$M$55,12,))</f>
        <v>1064.1445440788348</v>
      </c>
      <c r="AV10" s="73">
        <f>($E$10-$H$10)*(VLOOKUP('Cost Allocation - Tier 1'!AV2,'CU Composites'!$B$5:$M$55,12,))</f>
        <v>1509.2659407749065</v>
      </c>
      <c r="AW10" s="73">
        <f>($E$10-$H$10)*(VLOOKUP('Cost Allocation - Tier 1'!AW2,'CU Composites'!$B$5:$M$55,12,))</f>
        <v>3851.7640891474334</v>
      </c>
      <c r="AX10" s="73">
        <f>($E$10-$H$10)*(VLOOKUP('Cost Allocation - Tier 1'!AX2,'CU Composites'!$B$5:$M$55,12,))</f>
        <v>36.326620121699364</v>
      </c>
      <c r="AY10" s="73">
        <f>($E$10-$H$10)*(VLOOKUP('Cost Allocation - Tier 1'!AY2,'CU Composites'!$B$5:$M$55,12,))</f>
        <v>12394.86308676543</v>
      </c>
      <c r="AZ10" s="73">
        <f>($E$10-$H$10)*(VLOOKUP('Cost Allocation - Tier 1'!AZ2,'CU Composites'!$B$5:$M$55,12,))</f>
        <v>409.6318366000329</v>
      </c>
      <c r="BA10" s="73">
        <f>($E$10-$H$10)*(VLOOKUP('Cost Allocation - Tier 1'!BA2,'CU Composites'!$B$5:$M$55,12,))</f>
        <v>7170.0921142448142</v>
      </c>
      <c r="BB10" s="73">
        <f>($E$10-$H$10)*(VLOOKUP('Cost Allocation - Tier 1'!BB2,'CU Composites'!$B$5:$M$55,12,))</f>
        <v>27795.657903567848</v>
      </c>
      <c r="BC10" s="666">
        <f t="shared" si="8"/>
        <v>0</v>
      </c>
      <c r="BD10" s="73">
        <v>0</v>
      </c>
      <c r="BE10" s="73">
        <v>0</v>
      </c>
      <c r="BF10" s="73">
        <v>0</v>
      </c>
      <c r="BG10" s="73">
        <v>0</v>
      </c>
      <c r="BH10" s="73">
        <v>0</v>
      </c>
      <c r="BI10" s="73">
        <v>0</v>
      </c>
      <c r="BJ10" s="73">
        <v>0</v>
      </c>
      <c r="BK10" s="73">
        <v>0</v>
      </c>
      <c r="BL10" s="76">
        <f t="shared" si="9"/>
        <v>67657.000000000015</v>
      </c>
      <c r="BM10" s="667">
        <f t="shared" si="3"/>
        <v>0</v>
      </c>
      <c r="BO10" s="668" t="s">
        <v>857</v>
      </c>
      <c r="BP10" s="204">
        <f t="shared" si="4"/>
        <v>67657</v>
      </c>
      <c r="BQ10" s="204">
        <f t="shared" si="0"/>
        <v>71716.42</v>
      </c>
      <c r="BR10" s="204">
        <f t="shared" si="5"/>
        <v>4059.4199999999983</v>
      </c>
      <c r="BU10" s="1251" t="s">
        <v>1050</v>
      </c>
      <c r="BV10" s="1254">
        <f t="shared" si="6"/>
        <v>0</v>
      </c>
    </row>
    <row r="11" spans="1:74" outlineLevel="1" x14ac:dyDescent="0.25">
      <c r="A11" s="177" t="s">
        <v>473</v>
      </c>
      <c r="B11" s="3" t="s">
        <v>858</v>
      </c>
      <c r="C11" s="662"/>
      <c r="D11" s="663">
        <v>3600346</v>
      </c>
      <c r="E11" s="664">
        <f>D11/Assumptions!$B$4</f>
        <v>2713494.5697640241</v>
      </c>
      <c r="F11" s="663">
        <f>919407/Assumptions!$B$4</f>
        <v>692935.04066082323</v>
      </c>
      <c r="G11" s="665"/>
      <c r="H11" s="637">
        <f>E11*Assumptions!$B$18</f>
        <v>54269.891395280487</v>
      </c>
      <c r="I11" s="666">
        <f t="shared" si="7"/>
        <v>1012761.7160382159</v>
      </c>
      <c r="J11" s="73">
        <f>($E$11-$H$11)*(VLOOKUP('Cost Allocation - Tier 1'!J2,'Allocation CU RU'!$B$11:$I$82,8,))</f>
        <v>6367.585177904396</v>
      </c>
      <c r="K11" s="73">
        <f>($E$11-$H$11)*(VLOOKUP('Cost Allocation - Tier 1'!K2,'Allocation CU RU'!$B$11:$I$82,8,))</f>
        <v>1889.2516841553625</v>
      </c>
      <c r="L11" s="73">
        <f>($E$11-$H$11)*(VLOOKUP('Cost Allocation - Tier 1'!L2,'Allocation CU RU'!$B$11:$I$82,8,))</f>
        <v>1984.0007729475208</v>
      </c>
      <c r="M11" s="73">
        <f>($E$11-$H$11)*(VLOOKUP('Cost Allocation - Tier 1'!M2,'Allocation CU RU'!$B$11:$I$82,8,))</f>
        <v>1895.7412042544809</v>
      </c>
      <c r="N11" s="73">
        <f>($E$11-$H$11)*(VLOOKUP('Cost Allocation - Tier 1'!N2,'Allocation CU RU'!$B$11:$I$82,8,))</f>
        <v>3319.2780672578638</v>
      </c>
      <c r="O11" s="73">
        <f>($E$11-$H$11)*(VLOOKUP('Cost Allocation - Tier 1'!O2,'Allocation CU RU'!$B$11:$I$82,8,))</f>
        <v>7598.9994026829472</v>
      </c>
      <c r="P11" s="73">
        <f>($E$11-$H$11)*(VLOOKUP('Cost Allocation - Tier 1'!P2,'Allocation CU RU'!$B$11:$I$82,8,))</f>
        <v>919.20183682284926</v>
      </c>
      <c r="Q11" s="73">
        <f>($E$11-$H$11)*(VLOOKUP('Cost Allocation - Tier 1'!Q2,'Allocation CU RU'!$B$11:$I$82,8,))</f>
        <v>2433.6973068036218</v>
      </c>
      <c r="R11" s="73">
        <f>($E$11-$H$11)*(VLOOKUP('Cost Allocation - Tier 1'!R2,'Allocation CU RU'!$B$11:$I$82,8,))</f>
        <v>2081.5168207244965</v>
      </c>
      <c r="S11" s="73">
        <f>($E$11-$H$11)*(VLOOKUP('Cost Allocation - Tier 1'!S2,'Allocation CU RU'!$B$11:$I$82,8,))</f>
        <v>2141.4390863871408</v>
      </c>
      <c r="T11" s="73">
        <f>($E$11-$H$11)*(VLOOKUP('Cost Allocation - Tier 1'!T2,'Allocation CU RU'!$B$11:$I$82,8,))</f>
        <v>7756.2944258479547</v>
      </c>
      <c r="U11" s="73">
        <f>($E$11-$H$11)*(VLOOKUP('Cost Allocation - Tier 1'!U2,'Allocation CU RU'!$B$11:$I$82,8,))</f>
        <v>6192.6182737191102</v>
      </c>
      <c r="V11" s="73">
        <f>($E$11-$H$11)*(VLOOKUP('Cost Allocation - Tier 1'!V2,'Allocation CU RU'!$B$11:$I$82,8,))</f>
        <v>4914.6271279931143</v>
      </c>
      <c r="W11" s="73">
        <f>($E$11-$H$11)*(VLOOKUP('Cost Allocation - Tier 1'!W2,'Allocation CU RU'!$B$11:$I$82,8,))</f>
        <v>7880.9242833353373</v>
      </c>
      <c r="X11" s="73">
        <f>($E$11-$H$11)*(VLOOKUP('Cost Allocation - Tier 1'!X2,'Allocation CU RU'!$B$11:$I$82,8,))</f>
        <v>194.90314708990556</v>
      </c>
      <c r="Y11" s="73">
        <f>($E$11-$H$11)*(VLOOKUP('Cost Allocation - Tier 1'!Y2,'Allocation CU RU'!$B$11:$I$82,8,))</f>
        <v>153.77369099539297</v>
      </c>
      <c r="Z11" s="73">
        <f>($E$11-$H$11)*(VLOOKUP('Cost Allocation - Tier 1'!Z2,'Allocation CU RU'!$B$11:$I$82,8,))</f>
        <v>743.7057632024015</v>
      </c>
      <c r="AA11" s="73">
        <f>($E$11-$H$11)*(VLOOKUP('Cost Allocation - Tier 1'!AA2,'Allocation CU RU'!$B$11:$I$82,8,))</f>
        <v>679.82679246299472</v>
      </c>
      <c r="AB11" s="73">
        <f>($E$11-$H$11)*(VLOOKUP('Cost Allocation - Tier 1'!AB2,'Allocation CU RU'!$B$11:$I$82,8,))</f>
        <v>409.02218469810293</v>
      </c>
      <c r="AC11" s="73">
        <f>($E$11-$H$11)*(VLOOKUP('Cost Allocation - Tier 1'!AC2,'Allocation CU RU'!$B$11:$I$82,8,))</f>
        <v>418.20746738804655</v>
      </c>
      <c r="AD11" s="73">
        <f>($E$11-$H$11)*(VLOOKUP('Cost Allocation - Tier 1'!AD2,'Allocation CU RU'!$B$11:$I$82,8,))</f>
        <v>2371.8631309924353</v>
      </c>
      <c r="AE11" s="73">
        <f>($E$11-$H$11)*(VLOOKUP('Cost Allocation - Tier 1'!AE2,'Allocation CU RU'!$B$11:$I$82,8,))</f>
        <v>951.5150584674675</v>
      </c>
      <c r="AF11" s="73">
        <f>($E$11-$H$11)*(VLOOKUP('Cost Allocation - Tier 1'!AF2,'Allocation CU RU'!$B$11:$I$82,8,))</f>
        <v>2475.4844789451513</v>
      </c>
      <c r="AG11" s="73">
        <f>($E$11-$H$11)*(VLOOKUP('Cost Allocation - Tier 1'!AG2,'Allocation CU RU'!$B$11:$I$82,8,))</f>
        <v>7686.311585938508</v>
      </c>
      <c r="AH11" s="73">
        <f>($E$11-$H$11)*(VLOOKUP('Cost Allocation - Tier 1'!AH2,'Allocation CU RU'!$B$11:$I$82,8,))</f>
        <v>62993.901587754444</v>
      </c>
      <c r="AI11" s="73">
        <f>($E$11-$H$11)*(VLOOKUP('Cost Allocation - Tier 1'!AI2,'Allocation CU RU'!$B$11:$I$82,8,))</f>
        <v>437.29179211342631</v>
      </c>
      <c r="AJ11" s="73">
        <f>($E$11-$H$11)*(VLOOKUP('Cost Allocation - Tier 1'!AJ2,'Allocation CU RU'!$B$11:$I$82,8,))</f>
        <v>9277.3937949127794</v>
      </c>
      <c r="AK11" s="73">
        <f>($E$11-$H$11)*(VLOOKUP('Cost Allocation - Tier 1'!AK2,'Allocation CU RU'!$B$11:$I$82,8,))</f>
        <v>7978.0511288857806</v>
      </c>
      <c r="AL11" s="73">
        <f>($E$11-$H$11)*(VLOOKUP('Cost Allocation - Tier 1'!AL2,'Allocation CU RU'!$B$11:$I$82,8,))</f>
        <v>0</v>
      </c>
      <c r="AM11" s="73">
        <f>($E$11-$H$11)*(VLOOKUP('Cost Allocation - Tier 1'!AM2,'Allocation CU RU'!$B$11:$I$82,8,))</f>
        <v>973.71477496570333</v>
      </c>
      <c r="AN11" s="73">
        <f>($E$11-$H$11)*(VLOOKUP('Cost Allocation - Tier 1'!AN2,'Allocation CU RU'!$B$11:$I$82,8,))</f>
        <v>1646.2922451751806</v>
      </c>
      <c r="AO11" s="73">
        <f>($E$11-$H$11)*(VLOOKUP('Cost Allocation - Tier 1'!AO2,'Allocation CU RU'!$B$11:$I$82,8,))</f>
        <v>9700.1109722102301</v>
      </c>
      <c r="AP11" s="73">
        <f>($E$11-$H$11)*(VLOOKUP('Cost Allocation - Tier 1'!AP2,'Allocation CU RU'!$B$11:$I$82,8,))</f>
        <v>1469.3051409338759</v>
      </c>
      <c r="AQ11" s="73">
        <f>($E$11-$H$11)*(VLOOKUP('Cost Allocation - Tier 1'!AQ2,'Allocation CU RU'!$B$11:$I$82,8,))</f>
        <v>9217.3889704675439</v>
      </c>
      <c r="AR11" s="73">
        <f>($E$11-$H$11)*(VLOOKUP('Cost Allocation - Tier 1'!AR2,'Allocation CU RU'!$B$11:$I$82,8,))</f>
        <v>27.88017727685132</v>
      </c>
      <c r="AS11" s="73">
        <f>($E$11-$H$11)*(VLOOKUP('Cost Allocation - Tier 1'!AS2,'Allocation CU RU'!$B$11:$I$82,8,))</f>
        <v>13584.933704370238</v>
      </c>
      <c r="AT11" s="73">
        <f>($E$11-$H$11)*(VLOOKUP('Cost Allocation - Tier 1'!AT2,'Allocation CU RU'!$B$11:$I$82,8,))</f>
        <v>11268.975459549423</v>
      </c>
      <c r="AU11" s="73">
        <f>($E$11-$H$11)*(VLOOKUP('Cost Allocation - Tier 1'!AU2,'Allocation CU RU'!$B$11:$I$82,8,))</f>
        <v>15757.785818814024</v>
      </c>
      <c r="AV11" s="73">
        <f>($E$11-$H$11)*(VLOOKUP('Cost Allocation - Tier 1'!AV2,'Allocation CU RU'!$B$11:$I$82,8,))</f>
        <v>22145.331501824552</v>
      </c>
      <c r="AW11" s="73">
        <f>($E$11-$H$11)*(VLOOKUP('Cost Allocation - Tier 1'!AW2,'Allocation CU RU'!$B$11:$I$82,8,))</f>
        <v>56719.339055043572</v>
      </c>
      <c r="AX11" s="73">
        <f>($E$11-$H$11)*(VLOOKUP('Cost Allocation - Tier 1'!AX2,'Allocation CU RU'!$B$11:$I$82,8,))</f>
        <v>591.44592206410232</v>
      </c>
      <c r="AY11" s="73">
        <f>($E$11-$H$11)*(VLOOKUP('Cost Allocation - Tier 1'!AY2,'Allocation CU RU'!$B$11:$I$82,8,))</f>
        <v>182458.55323479616</v>
      </c>
      <c r="AZ11" s="73">
        <f>($E$11-$H$11)*(VLOOKUP('Cost Allocation - Tier 1'!AZ2,'Allocation CU RU'!$B$11:$I$82,8,))</f>
        <v>6136.1100873121177</v>
      </c>
      <c r="BA11" s="73">
        <f>($E$11-$H$11)*(VLOOKUP('Cost Allocation - Tier 1'!BA2,'Allocation CU RU'!$B$11:$I$82,8,))</f>
        <v>110643.21699068391</v>
      </c>
      <c r="BB11" s="73">
        <f>($E$11-$H$11)*(VLOOKUP('Cost Allocation - Tier 1'!BB2,'Allocation CU RU'!$B$11:$I$82,8,))</f>
        <v>416274.90490804525</v>
      </c>
      <c r="BC11" s="666">
        <f t="shared" si="8"/>
        <v>1646462.9623305281</v>
      </c>
      <c r="BD11" s="73">
        <f>($E$11-$H$11)*(VLOOKUP('Cost Allocation - Tier 1'!BD2,'Allocation CU RU'!$B$11:$I$82,8,))</f>
        <v>264439.80415419617</v>
      </c>
      <c r="BE11" s="73">
        <f>($E$11-$H$11)*(VLOOKUP('Cost Allocation - Tier 1'!BE2,'Allocation CU RU'!$B$11:$I$82,8,))</f>
        <v>241169.22009317254</v>
      </c>
      <c r="BF11" s="73">
        <f>($E$11-$H$11)*(VLOOKUP('Cost Allocation - Tier 1'!BF2,'Allocation CU RU'!$B$11:$I$82,8,))</f>
        <v>147659.05252223293</v>
      </c>
      <c r="BG11" s="73">
        <f>($E$11-$H$11)*(VLOOKUP('Cost Allocation - Tier 1'!BG2,'Allocation CU RU'!$B$11:$I$82,8,))</f>
        <v>272895.53676627734</v>
      </c>
      <c r="BH11" s="73">
        <f>($E$11-$H$11)*(VLOOKUP('Cost Allocation - Tier 1'!BH2,'Allocation CU RU'!$B$11:$I$82,8,))</f>
        <v>213773.55047124997</v>
      </c>
      <c r="BI11" s="73">
        <f>($E$11-$H$11)*(VLOOKUP('Cost Allocation - Tier 1'!BI2,'Allocation CU RU'!$B$11:$I$82,8,))</f>
        <v>155658.67746185971</v>
      </c>
      <c r="BJ11" s="73">
        <f>($E$11-$H$11)*(VLOOKUP('Cost Allocation - Tier 1'!BJ2,'Allocation CU RU'!$B$11:$I$82,8,))</f>
        <v>87795.172247435941</v>
      </c>
      <c r="BK11" s="73">
        <f>($E$11-$H$11)*(VLOOKUP('Cost Allocation - Tier 1'!BK2,'Allocation CU RU'!$B$11:$I$82,8,))</f>
        <v>263071.94861410349</v>
      </c>
      <c r="BL11" s="76">
        <f t="shared" si="9"/>
        <v>2713494.5697640246</v>
      </c>
      <c r="BM11" s="667">
        <f t="shared" si="3"/>
        <v>0</v>
      </c>
      <c r="BO11" s="668" t="s">
        <v>857</v>
      </c>
      <c r="BP11" s="204">
        <f t="shared" si="4"/>
        <v>2713494.5697640241</v>
      </c>
      <c r="BQ11" s="204">
        <f>G75</f>
        <v>2834728.1415102161</v>
      </c>
      <c r="BR11" s="204">
        <f t="shared" si="5"/>
        <v>121233.57174619194</v>
      </c>
      <c r="BU11" s="1251" t="s">
        <v>1139</v>
      </c>
      <c r="BV11" s="1254">
        <f t="shared" si="6"/>
        <v>1383391.0137164246</v>
      </c>
    </row>
    <row r="12" spans="1:74" outlineLevel="1" x14ac:dyDescent="0.25">
      <c r="A12" s="177" t="s">
        <v>474</v>
      </c>
      <c r="B12" s="3" t="s">
        <v>132</v>
      </c>
      <c r="C12" s="662"/>
      <c r="D12" s="663">
        <v>1603845</v>
      </c>
      <c r="E12" s="664">
        <f>D12/Assumptions!$B$4</f>
        <v>1208779.5723642064</v>
      </c>
      <c r="F12" s="663">
        <f>876850/Assumptions!$B$4</f>
        <v>660860.84878997307</v>
      </c>
      <c r="G12" s="664"/>
      <c r="H12" s="242"/>
      <c r="I12" s="666">
        <f t="shared" si="7"/>
        <v>460361.88065556111</v>
      </c>
      <c r="J12" s="73">
        <f>($E$12-$H$12)*(VLOOKUP('Cost Allocation - Tier 1'!J2,'Allocation CU RU'!$B$11:$I$82,8,))</f>
        <v>2894.4552714746669</v>
      </c>
      <c r="K12" s="73">
        <f>($E$12-$H$12)*(VLOOKUP('Cost Allocation - Tier 1'!K2,'Allocation CU RU'!$B$11:$I$82,8,))</f>
        <v>858.77995245688157</v>
      </c>
      <c r="L12" s="73">
        <f>($E$12-$H$12)*(VLOOKUP('Cost Allocation - Tier 1'!L2,'Allocation CU RU'!$B$11:$I$82,8,))</f>
        <v>901.84918386245818</v>
      </c>
      <c r="M12" s="73">
        <f>($E$12-$H$12)*(VLOOKUP('Cost Allocation - Tier 1'!M2,'Allocation CU RU'!$B$11:$I$82,8,))</f>
        <v>861.72983457630937</v>
      </c>
      <c r="N12" s="73">
        <f>($E$12-$H$12)*(VLOOKUP('Cost Allocation - Tier 1'!N2,'Allocation CU RU'!$B$11:$I$82,8,))</f>
        <v>1508.8140371648149</v>
      </c>
      <c r="O12" s="73">
        <f>($E$12-$H$12)*(VLOOKUP('Cost Allocation - Tier 1'!O2,'Allocation CU RU'!$B$11:$I$82,8,))</f>
        <v>3454.2080340521106</v>
      </c>
      <c r="P12" s="73">
        <f>($E$12-$H$12)*(VLOOKUP('Cost Allocation - Tier 1'!P2,'Allocation CU RU'!$B$11:$I$82,8,))</f>
        <v>417.83321742964193</v>
      </c>
      <c r="Q12" s="73">
        <f>($E$12-$H$12)*(VLOOKUP('Cost Allocation - Tier 1'!Q2,'Allocation CU RU'!$B$11:$I$82,8,))</f>
        <v>1106.2636465853659</v>
      </c>
      <c r="R12" s="73">
        <f>($E$12-$H$12)*(VLOOKUP('Cost Allocation - Tier 1'!R2,'Allocation CU RU'!$B$11:$I$82,8,))</f>
        <v>946.17616664407444</v>
      </c>
      <c r="S12" s="73">
        <f>($E$12-$H$12)*(VLOOKUP('Cost Allocation - Tier 1'!S2,'Allocation CU RU'!$B$11:$I$82,8,))</f>
        <v>973.41448586244837</v>
      </c>
      <c r="T12" s="73">
        <f>($E$12-$H$12)*(VLOOKUP('Cost Allocation - Tier 1'!T2,'Allocation CU RU'!$B$11:$I$82,8,))</f>
        <v>3525.7082018954125</v>
      </c>
      <c r="U12" s="73">
        <f>($E$12-$H$12)*(VLOOKUP('Cost Allocation - Tier 1'!U2,'Allocation CU RU'!$B$11:$I$82,8,))</f>
        <v>2814.9221574285389</v>
      </c>
      <c r="V12" s="73">
        <f>($E$12-$H$12)*(VLOOKUP('Cost Allocation - Tier 1'!V2,'Allocation CU RU'!$B$11:$I$82,8,))</f>
        <v>2233.9973475837578</v>
      </c>
      <c r="W12" s="73">
        <f>($E$12-$H$12)*(VLOOKUP('Cost Allocation - Tier 1'!W2,'Allocation CU RU'!$B$11:$I$82,8,))</f>
        <v>3582.3600625158638</v>
      </c>
      <c r="X12" s="73">
        <f>($E$12-$H$12)*(VLOOKUP('Cost Allocation - Tier 1'!X2,'Allocation CU RU'!$B$11:$I$82,8,))</f>
        <v>88.595350632912982</v>
      </c>
      <c r="Y12" s="73">
        <f>($E$12-$H$12)*(VLOOKUP('Cost Allocation - Tier 1'!Y2,'Allocation CU RU'!$B$11:$I$82,8,))</f>
        <v>69.899507910817363</v>
      </c>
      <c r="Z12" s="73">
        <f>($E$12-$H$12)*(VLOOKUP('Cost Allocation - Tier 1'!Z2,'Allocation CU RU'!$B$11:$I$82,8,))</f>
        <v>338.05956364697118</v>
      </c>
      <c r="AA12" s="73">
        <f>($E$12-$H$12)*(VLOOKUP('Cost Allocation - Tier 1'!AA2,'Allocation CU RU'!$B$11:$I$82,8,))</f>
        <v>309.02268099408741</v>
      </c>
      <c r="AB12" s="73">
        <f>($E$12-$H$12)*(VLOOKUP('Cost Allocation - Tier 1'!AB2,'Allocation CU RU'!$B$11:$I$82,8,))</f>
        <v>185.92549382105557</v>
      </c>
      <c r="AC12" s="73">
        <f>($E$12-$H$12)*(VLOOKUP('Cost Allocation - Tier 1'!AC2,'Allocation CU RU'!$B$11:$I$82,8,))</f>
        <v>190.10076421934525</v>
      </c>
      <c r="AD12" s="73">
        <f>($E$12-$H$12)*(VLOOKUP('Cost Allocation - Tier 1'!AD2,'Allocation CU RU'!$B$11:$I$82,8,))</f>
        <v>1078.1562477624918</v>
      </c>
      <c r="AE12" s="73">
        <f>($E$12-$H$12)*(VLOOKUP('Cost Allocation - Tier 1'!AE2,'Allocation CU RU'!$B$11:$I$82,8,))</f>
        <v>432.52154465487354</v>
      </c>
      <c r="AF12" s="73">
        <f>($E$12-$H$12)*(VLOOKUP('Cost Allocation - Tier 1'!AF2,'Allocation CU RU'!$B$11:$I$82,8,))</f>
        <v>1125.2584613080289</v>
      </c>
      <c r="AG12" s="73">
        <f>($E$12-$H$12)*(VLOOKUP('Cost Allocation - Tier 1'!AG2,'Allocation CU RU'!$B$11:$I$82,8,))</f>
        <v>3493.8967389578515</v>
      </c>
      <c r="AH12" s="73">
        <f>($E$12-$H$12)*(VLOOKUP('Cost Allocation - Tier 1'!AH2,'Allocation CU RU'!$B$11:$I$82,8,))</f>
        <v>28634.564819663541</v>
      </c>
      <c r="AI12" s="73">
        <f>($E$12-$H$12)*(VLOOKUP('Cost Allocation - Tier 1'!AI2,'Allocation CU RU'!$B$11:$I$82,8,))</f>
        <v>198.77575210888128</v>
      </c>
      <c r="AJ12" s="73">
        <f>($E$12-$H$12)*(VLOOKUP('Cost Allocation - Tier 1'!AJ2,'Allocation CU RU'!$B$11:$I$82,8,))</f>
        <v>4217.140505385295</v>
      </c>
      <c r="AK12" s="73">
        <f>($E$12-$H$12)*(VLOOKUP('Cost Allocation - Tier 1'!AK2,'Allocation CU RU'!$B$11:$I$82,8,))</f>
        <v>3626.5101291817496</v>
      </c>
      <c r="AL12" s="73">
        <f>($E$12-$H$12)*(VLOOKUP('Cost Allocation - Tier 1'!AL2,'Allocation CU RU'!$B$11:$I$82,8,))</f>
        <v>0</v>
      </c>
      <c r="AM12" s="73">
        <f>($E$12-$H$12)*(VLOOKUP('Cost Allocation - Tier 1'!AM2,'Allocation CU RU'!$B$11:$I$82,8,))</f>
        <v>442.61266784338329</v>
      </c>
      <c r="AN12" s="73">
        <f>($E$12-$H$12)*(VLOOKUP('Cost Allocation - Tier 1'!AN2,'Allocation CU RU'!$B$11:$I$82,8,))</f>
        <v>748.34009036427062</v>
      </c>
      <c r="AO12" s="73">
        <f>($E$12-$H$12)*(VLOOKUP('Cost Allocation - Tier 1'!AO2,'Allocation CU RU'!$B$11:$I$82,8,))</f>
        <v>4409.2912074155065</v>
      </c>
      <c r="AP12" s="73">
        <f>($E$12-$H$12)*(VLOOKUP('Cost Allocation - Tier 1'!AP2,'Allocation CU RU'!$B$11:$I$82,8,))</f>
        <v>667.88867235546206</v>
      </c>
      <c r="AQ12" s="73">
        <f>($E$12-$H$12)*(VLOOKUP('Cost Allocation - Tier 1'!AQ2,'Allocation CU RU'!$B$11:$I$82,8,))</f>
        <v>4189.8646581721159</v>
      </c>
      <c r="AR12" s="73">
        <f>($E$12-$H$12)*(VLOOKUP('Cost Allocation - Tier 1'!AR2,'Allocation CU RU'!$B$11:$I$82,8,))</f>
        <v>12.673238572238246</v>
      </c>
      <c r="AS12" s="73">
        <f>($E$12-$H$12)*(VLOOKUP('Cost Allocation - Tier 1'!AS2,'Allocation CU RU'!$B$11:$I$82,8,))</f>
        <v>6175.1797384183619</v>
      </c>
      <c r="AT12" s="73">
        <f>($E$12-$H$12)*(VLOOKUP('Cost Allocation - Tier 1'!AT2,'Allocation CU RU'!$B$11:$I$82,8,))</f>
        <v>5122.4356662231694</v>
      </c>
      <c r="AU12" s="73">
        <f>($E$12-$H$12)*(VLOOKUP('Cost Allocation - Tier 1'!AU2,'Allocation CU RU'!$B$11:$I$82,8,))</f>
        <v>7162.8733586953831</v>
      </c>
      <c r="AV12" s="73">
        <f>($E$12-$H$12)*(VLOOKUP('Cost Allocation - Tier 1'!AV2,'Allocation CU RU'!$B$11:$I$82,8,))</f>
        <v>10066.401895405075</v>
      </c>
      <c r="AW12" s="73">
        <f>($E$12-$H$12)*(VLOOKUP('Cost Allocation - Tier 1'!AW2,'Allocation CU RU'!$B$11:$I$82,8,))</f>
        <v>25782.394005832444</v>
      </c>
      <c r="AX12" s="73">
        <f>($E$12-$H$12)*(VLOOKUP('Cost Allocation - Tier 1'!AX2,'Allocation CU RU'!$B$11:$I$82,8,))</f>
        <v>268.84819269493232</v>
      </c>
      <c r="AY12" s="73">
        <f>($E$12-$H$12)*(VLOOKUP('Cost Allocation - Tier 1'!AY2,'Allocation CU RU'!$B$11:$I$82,8,))</f>
        <v>82938.524806652553</v>
      </c>
      <c r="AZ12" s="73">
        <f>($E$12-$H$12)*(VLOOKUP('Cost Allocation - Tier 1'!AZ2,'Allocation CU RU'!$B$11:$I$82,8,))</f>
        <v>2789.2357451611779</v>
      </c>
      <c r="BA12" s="73">
        <f>($E$12-$H$12)*(VLOOKUP('Cost Allocation - Tier 1'!BA2,'Allocation CU RU'!$B$11:$I$82,8,))</f>
        <v>50294.080679576706</v>
      </c>
      <c r="BB12" s="73">
        <f>($E$12-$H$12)*(VLOOKUP('Cost Allocation - Tier 1'!BB2,'Allocation CU RU'!$B$11:$I$82,8,))</f>
        <v>189222.29687239806</v>
      </c>
      <c r="BC12" s="666">
        <f t="shared" si="8"/>
        <v>748417.69170864555</v>
      </c>
      <c r="BD12" s="73">
        <f>($E$12-$H$12)*(VLOOKUP('Cost Allocation - Tier 1'!BD2,'Allocation CU RU'!$B$11:$I$82,8,))</f>
        <v>120203.99629326067</v>
      </c>
      <c r="BE12" s="73">
        <f>($E$12-$H$12)*(VLOOKUP('Cost Allocation - Tier 1'!BE2,'Allocation CU RU'!$B$11:$I$82,8,))</f>
        <v>109626.09857789925</v>
      </c>
      <c r="BF12" s="73">
        <f>($E$12-$H$12)*(VLOOKUP('Cost Allocation - Tier 1'!BF2,'Allocation CU RU'!$B$11:$I$82,8,))</f>
        <v>67120.032321984385</v>
      </c>
      <c r="BG12" s="73">
        <f>($E$12-$H$12)*(VLOOKUP('Cost Allocation - Tier 1'!BG2,'Allocation CU RU'!$B$11:$I$82,8,))</f>
        <v>124047.64174902093</v>
      </c>
      <c r="BH12" s="73">
        <f>($E$12-$H$12)*(VLOOKUP('Cost Allocation - Tier 1'!BH2,'Allocation CU RU'!$B$11:$I$82,8,))</f>
        <v>97173.098243029948</v>
      </c>
      <c r="BI12" s="73">
        <f>($E$12-$H$12)*(VLOOKUP('Cost Allocation - Tier 1'!BI2,'Allocation CU RU'!$B$11:$I$82,8,))</f>
        <v>70756.349062068155</v>
      </c>
      <c r="BJ12" s="73">
        <f>($E$12-$H$12)*(VLOOKUP('Cost Allocation - Tier 1'!BJ2,'Allocation CU RU'!$B$11:$I$82,8,))</f>
        <v>39908.252818260575</v>
      </c>
      <c r="BK12" s="73">
        <f>($E$12-$H$12)*(VLOOKUP('Cost Allocation - Tier 1'!BK2,'Allocation CU RU'!$B$11:$I$82,8,))</f>
        <v>119582.2226431216</v>
      </c>
      <c r="BL12" s="76">
        <f t="shared" si="9"/>
        <v>1208779.5723642067</v>
      </c>
      <c r="BM12" s="667">
        <f>BL12-E12</f>
        <v>0</v>
      </c>
      <c r="BO12" s="668" t="s">
        <v>857</v>
      </c>
      <c r="BP12" s="204">
        <f t="shared" si="4"/>
        <v>1208779.5723642064</v>
      </c>
      <c r="BQ12" s="204">
        <f>G76</f>
        <v>1241654.6957786605</v>
      </c>
      <c r="BR12" s="204">
        <f t="shared" si="5"/>
        <v>32875.12341445405</v>
      </c>
      <c r="BU12" s="1251" t="s">
        <v>474</v>
      </c>
      <c r="BV12" s="1254">
        <f t="shared" si="6"/>
        <v>628835.46906552394</v>
      </c>
    </row>
    <row r="13" spans="1:74" outlineLevel="1" x14ac:dyDescent="0.25">
      <c r="A13" s="177" t="s">
        <v>475</v>
      </c>
      <c r="B13" s="3" t="s">
        <v>132</v>
      </c>
      <c r="C13" s="662"/>
      <c r="D13" s="663">
        <v>1153459</v>
      </c>
      <c r="E13" s="664">
        <f>D13/Assumptions!$B$4</f>
        <v>869334.42867586657</v>
      </c>
      <c r="F13" s="663">
        <f>55573/Assumptions!$B$4</f>
        <v>41884.039402184157</v>
      </c>
      <c r="G13" s="665"/>
      <c r="H13" s="242"/>
      <c r="I13" s="666">
        <f t="shared" si="7"/>
        <v>331084.70862152067</v>
      </c>
      <c r="J13" s="73">
        <f>($E$13-$H$13)*(VLOOKUP('Cost Allocation - Tier 1'!J2,'Allocation CU RU'!$B$11:$I$82,8,))</f>
        <v>2081.6447243841503</v>
      </c>
      <c r="K13" s="73">
        <f>($E$13-$H$13)*(VLOOKUP('Cost Allocation - Tier 1'!K2,'Allocation CU RU'!$B$11:$I$82,8,))</f>
        <v>617.62044660236006</v>
      </c>
      <c r="L13" s="73">
        <f>($E$13-$H$13)*(VLOOKUP('Cost Allocation - Tier 1'!L2,'Allocation CU RU'!$B$11:$I$82,8,))</f>
        <v>648.59513093148473</v>
      </c>
      <c r="M13" s="73">
        <f>($E$13-$H$13)*(VLOOKUP('Cost Allocation - Tier 1'!M2,'Allocation CU RU'!$B$11:$I$82,8,))</f>
        <v>619.74195340606809</v>
      </c>
      <c r="N13" s="73">
        <f>($E$13-$H$13)*(VLOOKUP('Cost Allocation - Tier 1'!N2,'Allocation CU RU'!$B$11:$I$82,8,))</f>
        <v>1085.1142912775799</v>
      </c>
      <c r="O13" s="73">
        <f>($E$13-$H$13)*(VLOOKUP('Cost Allocation - Tier 1'!O2,'Allocation CU RU'!$B$11:$I$82,8,))</f>
        <v>2484.2097239756417</v>
      </c>
      <c r="P13" s="73">
        <f>($E$13-$H$13)*(VLOOKUP('Cost Allocation - Tier 1'!P2,'Allocation CU RU'!$B$11:$I$82,8,))</f>
        <v>300.4987920548291</v>
      </c>
      <c r="Q13" s="73">
        <f>($E$13-$H$13)*(VLOOKUP('Cost Allocation - Tier 1'!Q2,'Allocation CU RU'!$B$11:$I$82,8,))</f>
        <v>795.60665745549579</v>
      </c>
      <c r="R13" s="73">
        <f>($E$13-$H$13)*(VLOOKUP('Cost Allocation - Tier 1'!R2,'Allocation CU RU'!$B$11:$I$82,8,))</f>
        <v>680.47436940671162</v>
      </c>
      <c r="S13" s="73">
        <f>($E$13-$H$13)*(VLOOKUP('Cost Allocation - Tier 1'!S2,'Allocation CU RU'!$B$11:$I$82,8,))</f>
        <v>700.06372152447022</v>
      </c>
      <c r="T13" s="73">
        <f>($E$13-$H$13)*(VLOOKUP('Cost Allocation - Tier 1'!T2,'Allocation CU RU'!$B$11:$I$82,8,))</f>
        <v>2535.6314711521877</v>
      </c>
      <c r="U13" s="73">
        <f>($E$13-$H$13)*(VLOOKUP('Cost Allocation - Tier 1'!U2,'Allocation CU RU'!$B$11:$I$82,8,))</f>
        <v>2024.445814143739</v>
      </c>
      <c r="V13" s="73">
        <f>($E$13-$H$13)*(VLOOKUP('Cost Allocation - Tier 1'!V2,'Allocation CU RU'!$B$11:$I$82,8,))</f>
        <v>1606.6542256556049</v>
      </c>
      <c r="W13" s="73">
        <f>($E$13-$H$13)*(VLOOKUP('Cost Allocation - Tier 1'!W2,'Allocation CU RU'!$B$11:$I$82,8,))</f>
        <v>2576.3745594801776</v>
      </c>
      <c r="X13" s="73">
        <f>($E$13-$H$13)*(VLOOKUP('Cost Allocation - Tier 1'!X2,'Allocation CU RU'!$B$11:$I$82,8,))</f>
        <v>63.716322054618225</v>
      </c>
      <c r="Y13" s="73">
        <f>($E$13-$H$13)*(VLOOKUP('Cost Allocation - Tier 1'!Y2,'Allocation CU RU'!$B$11:$I$82,8,))</f>
        <v>50.270578824826266</v>
      </c>
      <c r="Z13" s="73">
        <f>($E$13-$H$13)*(VLOOKUP('Cost Allocation - Tier 1'!Z2,'Allocation CU RU'!$B$11:$I$82,8,))</f>
        <v>243.12688958388853</v>
      </c>
      <c r="AA13" s="73">
        <f>($E$13-$H$13)*(VLOOKUP('Cost Allocation - Tier 1'!AA2,'Allocation CU RU'!$B$11:$I$82,8,))</f>
        <v>222.24404016395542</v>
      </c>
      <c r="AB13" s="73">
        <f>($E$13-$H$13)*(VLOOKUP('Cost Allocation - Tier 1'!AB2,'Allocation CU RU'!$B$11:$I$82,8,))</f>
        <v>133.71456355030625</v>
      </c>
      <c r="AC13" s="73">
        <f>($E$13-$H$13)*(VLOOKUP('Cost Allocation - Tier 1'!AC2,'Allocation CU RU'!$B$11:$I$82,8,))</f>
        <v>136.71734949180362</v>
      </c>
      <c r="AD13" s="73">
        <f>($E$13-$H$13)*(VLOOKUP('Cost Allocation - Tier 1'!AD2,'Allocation CU RU'!$B$11:$I$82,8,))</f>
        <v>775.39227755043419</v>
      </c>
      <c r="AE13" s="73">
        <f>($E$13-$H$13)*(VLOOKUP('Cost Allocation - Tier 1'!AE2,'Allocation CU RU'!$B$11:$I$82,8,))</f>
        <v>311.0623959148582</v>
      </c>
      <c r="AF13" s="73">
        <f>($E$13-$H$13)*(VLOOKUP('Cost Allocation - Tier 1'!AF2,'Allocation CU RU'!$B$11:$I$82,8,))</f>
        <v>809.26741644105118</v>
      </c>
      <c r="AG13" s="73">
        <f>($E$13-$H$13)*(VLOOKUP('Cost Allocation - Tier 1'!AG2,'Allocation CU RU'!$B$11:$I$82,8,))</f>
        <v>2512.7531891308604</v>
      </c>
      <c r="AH13" s="73">
        <f>($E$13-$H$13)*(VLOOKUP('Cost Allocation - Tier 1'!AH2,'Allocation CU RU'!$B$11:$I$82,8,))</f>
        <v>20593.509037546824</v>
      </c>
      <c r="AI13" s="73">
        <f>($E$13-$H$13)*(VLOOKUP('Cost Allocation - Tier 1'!AI2,'Allocation CU RU'!$B$11:$I$82,8,))</f>
        <v>142.95625839888399</v>
      </c>
      <c r="AJ13" s="73">
        <f>($E$13-$H$13)*(VLOOKUP('Cost Allocation - Tier 1'!AJ2,'Allocation CU RU'!$B$11:$I$82,8,))</f>
        <v>3032.8982353040456</v>
      </c>
      <c r="AK13" s="73">
        <f>($E$13-$H$13)*(VLOOKUP('Cost Allocation - Tier 1'!AK2,'Allocation CU RU'!$B$11:$I$82,8,))</f>
        <v>2608.1265627887055</v>
      </c>
      <c r="AL13" s="73">
        <f>($E$13-$H$13)*(VLOOKUP('Cost Allocation - Tier 1'!AL2,'Allocation CU RU'!$B$11:$I$82,8,))</f>
        <v>0</v>
      </c>
      <c r="AM13" s="73">
        <f>($E$13-$H$13)*(VLOOKUP('Cost Allocation - Tier 1'!AM2,'Allocation CU RU'!$B$11:$I$82,8,))</f>
        <v>318.31976608585057</v>
      </c>
      <c r="AN13" s="73">
        <f>($E$13-$H$13)*(VLOOKUP('Cost Allocation - Tier 1'!AN2,'Allocation CU RU'!$B$11:$I$82,8,))</f>
        <v>538.19391044114684</v>
      </c>
      <c r="AO13" s="73">
        <f>($E$13-$H$13)*(VLOOKUP('Cost Allocation - Tier 1'!AO2,'Allocation CU RU'!$B$11:$I$82,8,))</f>
        <v>3171.0898664236774</v>
      </c>
      <c r="AP13" s="73">
        <f>($E$13-$H$13)*(VLOOKUP('Cost Allocation - Tier 1'!AP2,'Allocation CU RU'!$B$11:$I$82,8,))</f>
        <v>480.33457106295117</v>
      </c>
      <c r="AQ13" s="73">
        <f>($E$13-$H$13)*(VLOOKUP('Cost Allocation - Tier 1'!AQ2,'Allocation CU RU'!$B$11:$I$82,8,))</f>
        <v>3013.281893668373</v>
      </c>
      <c r="AR13" s="73">
        <f>($E$13-$H$13)*(VLOOKUP('Cost Allocation - Tier 1'!AR2,'Allocation CU RU'!$B$11:$I$82,8,))</f>
        <v>9.1143851745619777</v>
      </c>
      <c r="AS13" s="73">
        <f>($E$13-$H$13)*(VLOOKUP('Cost Allocation - Tier 1'!AS2,'Allocation CU RU'!$B$11:$I$82,8,))</f>
        <v>4441.0879142911599</v>
      </c>
      <c r="AT13" s="73">
        <f>($E$13-$H$13)*(VLOOKUP('Cost Allocation - Tier 1'!AT2,'Allocation CU RU'!$B$11:$I$82,8,))</f>
        <v>3683.9716563172324</v>
      </c>
      <c r="AU13" s="73">
        <f>($E$13-$H$13)*(VLOOKUP('Cost Allocation - Tier 1'!AU2,'Allocation CU RU'!$B$11:$I$82,8,))</f>
        <v>5151.4209549223388</v>
      </c>
      <c r="AV13" s="73">
        <f>($E$13-$H$13)*(VLOOKUP('Cost Allocation - Tier 1'!AV2,'Allocation CU RU'!$B$11:$I$82,8,))</f>
        <v>7239.591022743497</v>
      </c>
      <c r="AW13" s="73">
        <f>($E$13-$H$13)*(VLOOKUP('Cost Allocation - Tier 1'!AW2,'Allocation CU RU'!$B$11:$I$82,8,))</f>
        <v>18542.274601082703</v>
      </c>
      <c r="AX13" s="73">
        <f>($E$13-$H$13)*(VLOOKUP('Cost Allocation - Tier 1'!AX2,'Allocation CU RU'!$B$11:$I$82,8,))</f>
        <v>193.35120756538439</v>
      </c>
      <c r="AY13" s="73">
        <f>($E$13-$H$13)*(VLOOKUP('Cost Allocation - Tier 1'!AY2,'Allocation CU RU'!$B$11:$I$82,8,))</f>
        <v>59648.025766178551</v>
      </c>
      <c r="AZ13" s="73">
        <f>($E$13-$H$13)*(VLOOKUP('Cost Allocation - Tier 1'!AZ2,'Allocation CU RU'!$B$11:$I$82,8,))</f>
        <v>2005.9725680336112</v>
      </c>
      <c r="BA13" s="73">
        <f>($E$13-$H$13)*(VLOOKUP('Cost Allocation - Tier 1'!BA2,'Allocation CU RU'!$B$11:$I$82,8,))</f>
        <v>36170.677345119926</v>
      </c>
      <c r="BB13" s="73">
        <f>($E$13-$H$13)*(VLOOKUP('Cost Allocation - Tier 1'!BB2,'Allocation CU RU'!$B$11:$I$82,8,))</f>
        <v>136085.57019421415</v>
      </c>
      <c r="BC13" s="666">
        <f t="shared" si="8"/>
        <v>538249.72005434602</v>
      </c>
      <c r="BD13" s="73">
        <f>($E$13-$H$13)*(VLOOKUP('Cost Allocation - Tier 1'!BD2,'Allocation CU RU'!$B$11:$I$82,8,))</f>
        <v>86448.741219025629</v>
      </c>
      <c r="BE13" s="73">
        <f>($E$13-$H$13)*(VLOOKUP('Cost Allocation - Tier 1'!BE2,'Allocation CU RU'!$B$11:$I$82,8,))</f>
        <v>78841.290797779759</v>
      </c>
      <c r="BF13" s="73">
        <f>($E$13-$H$13)*(VLOOKUP('Cost Allocation - Tier 1'!BF2,'Allocation CU RU'!$B$11:$I$82,8,))</f>
        <v>48271.625601029897</v>
      </c>
      <c r="BG13" s="73">
        <f>($E$13-$H$13)*(VLOOKUP('Cost Allocation - Tier 1'!BG2,'Allocation CU RU'!$B$11:$I$82,8,))</f>
        <v>89213.027944835034</v>
      </c>
      <c r="BH13" s="73">
        <f>($E$13-$H$13)*(VLOOKUP('Cost Allocation - Tier 1'!BH2,'Allocation CU RU'!$B$11:$I$82,8,))</f>
        <v>69885.297348750712</v>
      </c>
      <c r="BI13" s="73">
        <f>($E$13-$H$13)*(VLOOKUP('Cost Allocation - Tier 1'!BI2,'Allocation CU RU'!$B$11:$I$82,8,))</f>
        <v>50886.804917422865</v>
      </c>
      <c r="BJ13" s="73">
        <f>($E$13-$H$13)*(VLOOKUP('Cost Allocation - Tier 1'!BJ2,'Allocation CU RU'!$B$11:$I$82,8,))</f>
        <v>28701.360410449903</v>
      </c>
      <c r="BK13" s="73">
        <f>($E$13-$H$13)*(VLOOKUP('Cost Allocation - Tier 1'!BK2,'Allocation CU RU'!$B$11:$I$82,8,))</f>
        <v>86001.571815052201</v>
      </c>
      <c r="BL13" s="76">
        <f t="shared" si="9"/>
        <v>869334.42867586669</v>
      </c>
      <c r="BM13" s="667">
        <f t="shared" si="3"/>
        <v>0</v>
      </c>
      <c r="BO13" s="668" t="s">
        <v>857</v>
      </c>
      <c r="BP13" s="204">
        <f t="shared" si="4"/>
        <v>869334.42867586657</v>
      </c>
      <c r="BQ13" s="204">
        <f>G77</f>
        <v>918981.45203228761</v>
      </c>
      <c r="BR13" s="204">
        <f>BQ13-BP13</f>
        <v>49647.023356421036</v>
      </c>
      <c r="BU13" s="1251" t="s">
        <v>1051</v>
      </c>
      <c r="BV13" s="1254">
        <f t="shared" si="6"/>
        <v>452248.14823929383</v>
      </c>
    </row>
    <row r="14" spans="1:74" s="643" customFormat="1" ht="30" outlineLevel="1" x14ac:dyDescent="0.25">
      <c r="A14" s="669" t="s">
        <v>827</v>
      </c>
      <c r="B14" s="670" t="s">
        <v>862</v>
      </c>
      <c r="C14" s="662"/>
      <c r="D14" s="671">
        <f>E14*Assumptions!$B$4</f>
        <v>158781.74609999999</v>
      </c>
      <c r="E14" s="672">
        <v>119670</v>
      </c>
      <c r="F14" s="673"/>
      <c r="G14" s="673"/>
      <c r="H14" s="674"/>
      <c r="I14" s="675">
        <f t="shared" si="7"/>
        <v>119670</v>
      </c>
      <c r="J14" s="676">
        <v>0</v>
      </c>
      <c r="K14" s="676">
        <v>0</v>
      </c>
      <c r="L14" s="676">
        <v>0</v>
      </c>
      <c r="M14" s="676">
        <v>0</v>
      </c>
      <c r="N14" s="676">
        <v>0</v>
      </c>
      <c r="O14" s="676">
        <v>0</v>
      </c>
      <c r="P14" s="676">
        <v>0</v>
      </c>
      <c r="Q14" s="676">
        <v>0</v>
      </c>
      <c r="R14" s="676">
        <v>0</v>
      </c>
      <c r="S14" s="676">
        <v>0</v>
      </c>
      <c r="T14" s="676">
        <v>0</v>
      </c>
      <c r="U14" s="676">
        <v>0</v>
      </c>
      <c r="V14" s="676">
        <v>0</v>
      </c>
      <c r="W14" s="676">
        <v>0</v>
      </c>
      <c r="X14" s="676">
        <v>0</v>
      </c>
      <c r="Y14" s="676">
        <v>0</v>
      </c>
      <c r="Z14" s="676">
        <v>0</v>
      </c>
      <c r="AA14" s="676">
        <v>0</v>
      </c>
      <c r="AB14" s="676">
        <v>0</v>
      </c>
      <c r="AC14" s="676">
        <v>0</v>
      </c>
      <c r="AD14" s="676">
        <v>0</v>
      </c>
      <c r="AE14" s="676">
        <v>0</v>
      </c>
      <c r="AF14" s="676">
        <v>0</v>
      </c>
      <c r="AG14" s="676">
        <v>0</v>
      </c>
      <c r="AH14" s="676">
        <v>0</v>
      </c>
      <c r="AI14" s="676">
        <v>0</v>
      </c>
      <c r="AJ14" s="676">
        <v>0</v>
      </c>
      <c r="AK14" s="676">
        <v>0</v>
      </c>
      <c r="AL14" s="676">
        <v>0</v>
      </c>
      <c r="AM14" s="676">
        <v>0</v>
      </c>
      <c r="AN14" s="676">
        <v>0</v>
      </c>
      <c r="AO14" s="676">
        <v>0</v>
      </c>
      <c r="AP14" s="676">
        <v>0</v>
      </c>
      <c r="AQ14" s="676">
        <v>0</v>
      </c>
      <c r="AR14" s="676">
        <v>0</v>
      </c>
      <c r="AS14" s="676">
        <v>0</v>
      </c>
      <c r="AT14" s="676">
        <v>0</v>
      </c>
      <c r="AU14" s="676">
        <v>0</v>
      </c>
      <c r="AV14" s="676">
        <v>0</v>
      </c>
      <c r="AW14" s="676">
        <v>0</v>
      </c>
      <c r="AX14" s="676">
        <v>0</v>
      </c>
      <c r="AY14" s="676">
        <f>($E$14-$H$14)*(VLOOKUP('Cost Allocation - Tier 1'!AY2,'CU Composites'!$B$52:$J$55,8,))</f>
        <v>32481.857142857149</v>
      </c>
      <c r="AZ14" s="676">
        <f>($E$14-$H$14)*(VLOOKUP('Cost Allocation - Tier 1'!AZ2,'CU Composites'!$B$52:$J$55,8,))</f>
        <v>2778.0535714285716</v>
      </c>
      <c r="BA14" s="676">
        <f>($E$14-$H$14)*(VLOOKUP('Cost Allocation - Tier 1'!BA2,'CU Composites'!$B$52:$J$55,8,))</f>
        <v>23506.607142857141</v>
      </c>
      <c r="BB14" s="676">
        <f>($E$14-$H$14)*(VLOOKUP('Cost Allocation - Tier 1'!BB2,'CU Composites'!$B$52:$J$55,8,))</f>
        <v>60903.482142857138</v>
      </c>
      <c r="BC14" s="675">
        <f t="shared" si="8"/>
        <v>0</v>
      </c>
      <c r="BD14" s="676">
        <v>0</v>
      </c>
      <c r="BE14" s="676">
        <v>0</v>
      </c>
      <c r="BF14" s="676">
        <v>0</v>
      </c>
      <c r="BG14" s="676">
        <v>0</v>
      </c>
      <c r="BH14" s="676">
        <v>0</v>
      </c>
      <c r="BI14" s="676">
        <v>0</v>
      </c>
      <c r="BJ14" s="676">
        <v>0</v>
      </c>
      <c r="BK14" s="676">
        <v>0</v>
      </c>
      <c r="BL14" s="677">
        <f t="shared" si="9"/>
        <v>119670</v>
      </c>
      <c r="BM14" s="678">
        <f t="shared" si="3"/>
        <v>0</v>
      </c>
      <c r="BO14" s="679" t="s">
        <v>863</v>
      </c>
      <c r="BP14" s="652">
        <f t="shared" si="4"/>
        <v>119670</v>
      </c>
      <c r="BQ14" s="652">
        <f>G78</f>
        <v>119670</v>
      </c>
      <c r="BR14" s="652">
        <f>BQ14-BP14</f>
        <v>0</v>
      </c>
      <c r="BU14" s="1251" t="s">
        <v>1052</v>
      </c>
      <c r="BV14" s="1254">
        <f t="shared" si="6"/>
        <v>0</v>
      </c>
    </row>
    <row r="15" spans="1:74" outlineLevel="1" x14ac:dyDescent="0.25">
      <c r="A15" s="177" t="s">
        <v>476</v>
      </c>
      <c r="B15" s="3" t="s">
        <v>132</v>
      </c>
      <c r="C15" s="662"/>
      <c r="D15" s="663">
        <v>881802</v>
      </c>
      <c r="E15" s="664">
        <f>D15/Assumptions!$B$4</f>
        <v>664593.05261412542</v>
      </c>
      <c r="F15" s="663">
        <f>377162/Assumptions!$B$4</f>
        <v>284257.96824009105</v>
      </c>
      <c r="G15" s="665"/>
      <c r="H15" s="242"/>
      <c r="I15" s="666">
        <f t="shared" si="7"/>
        <v>253109.26372924756</v>
      </c>
      <c r="J15" s="73">
        <f>($E$15-$H$15)*(VLOOKUP('Cost Allocation - Tier 1'!J2,'Allocation CU RU'!$B$11:$I$82,8,))</f>
        <v>1591.3859801270721</v>
      </c>
      <c r="K15" s="73">
        <f>($E$15-$H$15)*(VLOOKUP('Cost Allocation - Tier 1'!K2,'Allocation CU RU'!$B$11:$I$82,8,))</f>
        <v>472.16151164007937</v>
      </c>
      <c r="L15" s="73">
        <f>($E$15-$H$15)*(VLOOKUP('Cost Allocation - Tier 1'!L2,'Allocation CU RU'!$B$11:$I$82,8,))</f>
        <v>495.84119040698033</v>
      </c>
      <c r="M15" s="73">
        <f>($E$15-$H$15)*(VLOOKUP('Cost Allocation - Tier 1'!M2,'Allocation CU RU'!$B$11:$I$82,8,))</f>
        <v>473.78337157833755</v>
      </c>
      <c r="N15" s="73">
        <f>($E$15-$H$15)*(VLOOKUP('Cost Allocation - Tier 1'!N2,'Allocation CU RU'!$B$11:$I$82,8,))</f>
        <v>829.55350149173273</v>
      </c>
      <c r="O15" s="73">
        <f>($E$15-$H$15)*(VLOOKUP('Cost Allocation - Tier 1'!O2,'Allocation CU RU'!$B$11:$I$82,8,))</f>
        <v>1899.1408476774373</v>
      </c>
      <c r="P15" s="73">
        <f>($E$15-$H$15)*(VLOOKUP('Cost Allocation - Tier 1'!P2,'Allocation CU RU'!$B$11:$I$82,8,))</f>
        <v>229.72679205028734</v>
      </c>
      <c r="Q15" s="73">
        <f>($E$15-$H$15)*(VLOOKUP('Cost Allocation - Tier 1'!Q2,'Allocation CU RU'!$B$11:$I$82,8,))</f>
        <v>608.22928405567177</v>
      </c>
      <c r="R15" s="73">
        <f>($E$15-$H$15)*(VLOOKUP('Cost Allocation - Tier 1'!R2,'Allocation CU RU'!$B$11:$I$82,8,))</f>
        <v>520.21238716900825</v>
      </c>
      <c r="S15" s="73">
        <f>($E$15-$H$15)*(VLOOKUP('Cost Allocation - Tier 1'!S2,'Allocation CU RU'!$B$11:$I$82,8,))</f>
        <v>535.18815126304526</v>
      </c>
      <c r="T15" s="73">
        <f>($E$15-$H$15)*(VLOOKUP('Cost Allocation - Tier 1'!T2,'Allocation CU RU'!$B$11:$I$82,8,))</f>
        <v>1938.4519974484931</v>
      </c>
      <c r="U15" s="73">
        <f>($E$15-$H$15)*(VLOOKUP('Cost Allocation - Tier 1'!U2,'Allocation CU RU'!$B$11:$I$82,8,))</f>
        <v>1547.6582763700985</v>
      </c>
      <c r="V15" s="73">
        <f>($E$15-$H$15)*(VLOOKUP('Cost Allocation - Tier 1'!V2,'Allocation CU RU'!$B$11:$I$82,8,))</f>
        <v>1228.2629113748851</v>
      </c>
      <c r="W15" s="73">
        <f>($E$15-$H$15)*(VLOOKUP('Cost Allocation - Tier 1'!W2,'Allocation CU RU'!$B$11:$I$82,8,))</f>
        <v>1969.5994736689729</v>
      </c>
      <c r="X15" s="73">
        <f>($E$15-$H$15)*(VLOOKUP('Cost Allocation - Tier 1'!X2,'Allocation CU RU'!$B$11:$I$82,8,))</f>
        <v>48.710166742299869</v>
      </c>
      <c r="Y15" s="73">
        <f>($E$15-$H$15)*(VLOOKUP('Cost Allocation - Tier 1'!Y2,'Allocation CU RU'!$B$11:$I$82,8,))</f>
        <v>38.431098937100884</v>
      </c>
      <c r="Z15" s="73">
        <f>($E$15-$H$15)*(VLOOKUP('Cost Allocation - Tier 1'!Z2,'Allocation CU RU'!$B$11:$I$82,8,))</f>
        <v>185.86683834349734</v>
      </c>
      <c r="AA15" s="73">
        <f>($E$15-$H$15)*(VLOOKUP('Cost Allocation - Tier 1'!AA2,'Allocation CU RU'!$B$11:$I$82,8,))</f>
        <v>169.9022150806021</v>
      </c>
      <c r="AB15" s="73">
        <f>($E$15-$H$15)*(VLOOKUP('Cost Allocation - Tier 1'!AB2,'Allocation CU RU'!$B$11:$I$82,8,))</f>
        <v>102.22276610420236</v>
      </c>
      <c r="AC15" s="73">
        <f>($E$15-$H$15)*(VLOOKUP('Cost Allocation - Tier 1'!AC2,'Allocation CU RU'!$B$11:$I$82,8,))</f>
        <v>104.51835064494828</v>
      </c>
      <c r="AD15" s="73">
        <f>($E$15-$H$15)*(VLOOKUP('Cost Allocation - Tier 1'!AD2,'Allocation CU RU'!$B$11:$I$82,8,))</f>
        <v>592.77569564980456</v>
      </c>
      <c r="AE15" s="73">
        <f>($E$15-$H$15)*(VLOOKUP('Cost Allocation - Tier 1'!AE2,'Allocation CU RU'!$B$11:$I$82,8,))</f>
        <v>237.80250779829524</v>
      </c>
      <c r="AF15" s="73">
        <f>($E$15-$H$15)*(VLOOKUP('Cost Allocation - Tier 1'!AF2,'Allocation CU RU'!$B$11:$I$82,8,))</f>
        <v>618.67272816160073</v>
      </c>
      <c r="AG15" s="73">
        <f>($E$15-$H$15)*(VLOOKUP('Cost Allocation - Tier 1'!AG2,'Allocation CU RU'!$B$11:$I$82,8,))</f>
        <v>1920.9618960725704</v>
      </c>
      <c r="AH15" s="73">
        <f>($E$15-$H$15)*(VLOOKUP('Cost Allocation - Tier 1'!AH2,'Allocation CU RU'!$B$11:$I$82,8,))</f>
        <v>15743.426906658031</v>
      </c>
      <c r="AI15" s="73">
        <f>($E$15-$H$15)*(VLOOKUP('Cost Allocation - Tier 1'!AI2,'Allocation CU RU'!$B$11:$I$82,8,))</f>
        <v>109.28790236033764</v>
      </c>
      <c r="AJ15" s="73">
        <f>($E$15-$H$15)*(VLOOKUP('Cost Allocation - Tier 1'!AJ2,'Allocation CU RU'!$B$11:$I$82,8,))</f>
        <v>2318.6049349717487</v>
      </c>
      <c r="AK15" s="73">
        <f>($E$15-$H$15)*(VLOOKUP('Cost Allocation - Tier 1'!AK2,'Allocation CU RU'!$B$11:$I$82,8,))</f>
        <v>1993.8734010660164</v>
      </c>
      <c r="AL15" s="73">
        <f>($E$15-$H$15)*(VLOOKUP('Cost Allocation - Tier 1'!AL2,'Allocation CU RU'!$B$11:$I$82,8,))</f>
        <v>0</v>
      </c>
      <c r="AM15" s="73">
        <f>($E$15-$H$15)*(VLOOKUP('Cost Allocation - Tier 1'!AM2,'Allocation CU RU'!$B$11:$I$82,8,))</f>
        <v>243.35065778153816</v>
      </c>
      <c r="AN15" s="73">
        <f>($E$15-$H$15)*(VLOOKUP('Cost Allocation - Tier 1'!AN2,'Allocation CU RU'!$B$11:$I$82,8,))</f>
        <v>411.44112327774479</v>
      </c>
      <c r="AO15" s="73">
        <f>($E$15-$H$15)*(VLOOKUP('Cost Allocation - Tier 1'!AO2,'Allocation CU RU'!$B$11:$I$82,8,))</f>
        <v>2424.2503516745123</v>
      </c>
      <c r="AP15" s="73">
        <f>($E$15-$H$15)*(VLOOKUP('Cost Allocation - Tier 1'!AP2,'Allocation CU RU'!$B$11:$I$82,8,))</f>
        <v>367.20853141069813</v>
      </c>
      <c r="AQ15" s="73">
        <f>($E$15-$H$15)*(VLOOKUP('Cost Allocation - Tier 1'!AQ2,'Allocation CU RU'!$B$11:$I$82,8,))</f>
        <v>2303.6085377985332</v>
      </c>
      <c r="AR15" s="73">
        <f>($E$15-$H$15)*(VLOOKUP('Cost Allocation - Tier 1'!AR2,'Allocation CU RU'!$B$11:$I$82,8,))</f>
        <v>6.9678099314315478</v>
      </c>
      <c r="AS15" s="73">
        <f>($E$15-$H$15)*(VLOOKUP('Cost Allocation - Tier 1'!AS2,'Allocation CU RU'!$B$11:$I$82,8,))</f>
        <v>3395.1446952148049</v>
      </c>
      <c r="AT15" s="73">
        <f>($E$15-$H$15)*(VLOOKUP('Cost Allocation - Tier 1'!AT2,'Allocation CU RU'!$B$11:$I$82,8,))</f>
        <v>2816.3407407492141</v>
      </c>
      <c r="AU15" s="73">
        <f>($E$15-$H$15)*(VLOOKUP('Cost Allocation - Tier 1'!AU2,'Allocation CU RU'!$B$11:$I$82,8,))</f>
        <v>3938.1835859726511</v>
      </c>
      <c r="AV15" s="73">
        <f>($E$15-$H$15)*(VLOOKUP('Cost Allocation - Tier 1'!AV2,'Allocation CU RU'!$B$11:$I$82,8,))</f>
        <v>5534.5580926909934</v>
      </c>
      <c r="AW15" s="73">
        <f>($E$15-$H$15)*(VLOOKUP('Cost Allocation - Tier 1'!AW2,'Allocation CU RU'!$B$11:$I$82,8,))</f>
        <v>14175.28913275975</v>
      </c>
      <c r="AX15" s="73">
        <f>($E$15-$H$15)*(VLOOKUP('Cost Allocation - Tier 1'!AX2,'Allocation CU RU'!$B$11:$I$82,8,))</f>
        <v>147.81408054692113</v>
      </c>
      <c r="AY15" s="73">
        <f>($E$15-$H$15)*(VLOOKUP('Cost Allocation - Tier 1'!AY2,'Allocation CU RU'!$B$11:$I$82,8,))</f>
        <v>45600.015619686339</v>
      </c>
      <c r="AZ15" s="73">
        <f>($E$15-$H$15)*(VLOOKUP('Cost Allocation - Tier 1'!AZ2,'Allocation CU RU'!$B$11:$I$82,8,))</f>
        <v>1533.5357584770454</v>
      </c>
      <c r="BA15" s="73">
        <f>($E$15-$H$15)*(VLOOKUP('Cost Allocation - Tier 1'!BA2,'Allocation CU RU'!$B$11:$I$82,8,))</f>
        <v>27651.937020979021</v>
      </c>
      <c r="BB15" s="73">
        <f>($E$15-$H$15)*(VLOOKUP('Cost Allocation - Tier 1'!BB2,'Allocation CU RU'!$B$11:$I$82,8,))</f>
        <v>104035.36490538322</v>
      </c>
      <c r="BC15" s="666">
        <f t="shared" si="8"/>
        <v>411483.78888487793</v>
      </c>
      <c r="BD15" s="73">
        <f>($E$15-$H$15)*(VLOOKUP('Cost Allocation - Tier 1'!BD2,'Allocation CU RU'!$B$11:$I$82,8,))</f>
        <v>66088.75816515302</v>
      </c>
      <c r="BE15" s="73">
        <f>($E$15-$H$15)*(VLOOKUP('Cost Allocation - Tier 1'!BE2,'Allocation CU RU'!$B$11:$I$82,8,))</f>
        <v>60272.977113242683</v>
      </c>
      <c r="BF15" s="73">
        <f>($E$15-$H$15)*(VLOOKUP('Cost Allocation - Tier 1'!BF2,'Allocation CU RU'!$B$11:$I$82,8,))</f>
        <v>36902.929361372502</v>
      </c>
      <c r="BG15" s="73">
        <f>($E$15-$H$15)*(VLOOKUP('Cost Allocation - Tier 1'!BG2,'Allocation CU RU'!$B$11:$I$82,8,))</f>
        <v>68202.013654418071</v>
      </c>
      <c r="BH15" s="73">
        <f>($E$15-$H$15)*(VLOOKUP('Cost Allocation - Tier 1'!BH2,'Allocation CU RU'!$B$11:$I$82,8,))</f>
        <v>53426.255265876876</v>
      </c>
      <c r="BI15" s="73">
        <f>($E$15-$H$15)*(VLOOKUP('Cost Allocation - Tier 1'!BI2,'Allocation CU RU'!$B$11:$I$82,8,))</f>
        <v>38902.194486144122</v>
      </c>
      <c r="BJ15" s="73">
        <f>($E$15-$H$15)*(VLOOKUP('Cost Allocation - Tier 1'!BJ2,'Allocation CU RU'!$B$11:$I$82,8,))</f>
        <v>21941.756935145109</v>
      </c>
      <c r="BK15" s="73">
        <f>($E$15-$H$15)*(VLOOKUP('Cost Allocation - Tier 1'!BK2,'Allocation CU RU'!$B$11:$I$82,8,))</f>
        <v>65746.903903525526</v>
      </c>
      <c r="BL15" s="76">
        <f t="shared" si="9"/>
        <v>664593.05261412542</v>
      </c>
      <c r="BM15" s="667">
        <f t="shared" si="3"/>
        <v>0</v>
      </c>
      <c r="BO15" s="668" t="s">
        <v>857</v>
      </c>
      <c r="BP15" s="204">
        <f t="shared" si="4"/>
        <v>664593.05261412542</v>
      </c>
      <c r="BQ15" s="204">
        <f>G79</f>
        <v>687413.15767656756</v>
      </c>
      <c r="BR15" s="204">
        <f t="shared" si="5"/>
        <v>22820.105062442133</v>
      </c>
      <c r="BU15" s="1251" t="s">
        <v>1133</v>
      </c>
      <c r="BV15" s="1254">
        <f t="shared" si="6"/>
        <v>345736.88498135237</v>
      </c>
    </row>
    <row r="16" spans="1:74" outlineLevel="1" x14ac:dyDescent="0.25">
      <c r="A16" s="177" t="s">
        <v>477</v>
      </c>
      <c r="B16" s="3" t="s">
        <v>858</v>
      </c>
      <c r="C16" s="662"/>
      <c r="D16" s="663">
        <v>322578</v>
      </c>
      <c r="E16" s="664">
        <f>D16/Assumptions!$B$4</f>
        <v>243119.31445626041</v>
      </c>
      <c r="F16" s="663">
        <f>39/Assumptions!$B$4</f>
        <v>29.393366143364261</v>
      </c>
      <c r="G16" s="664"/>
      <c r="H16" s="637">
        <f>E16*Assumptions!$B$18</f>
        <v>4862.3862891252084</v>
      </c>
      <c r="I16" s="666">
        <f t="shared" si="7"/>
        <v>90739.792463328675</v>
      </c>
      <c r="J16" s="73">
        <f>($E$16-$H$16)*(VLOOKUP('Cost Allocation - Tier 1'!J2,'Allocation CU RU'!$B$11:$I$82,8,))</f>
        <v>570.51263726265313</v>
      </c>
      <c r="K16" s="73">
        <f>($E$16-$H$16)*(VLOOKUP('Cost Allocation - Tier 1'!K2,'Allocation CU RU'!$B$11:$I$82,8,))</f>
        <v>169.270128418621</v>
      </c>
      <c r="L16" s="73">
        <f>($E$16-$H$16)*(VLOOKUP('Cost Allocation - Tier 1'!L2,'Allocation CU RU'!$B$11:$I$82,8,))</f>
        <v>177.75930461568564</v>
      </c>
      <c r="M16" s="73">
        <f>($E$16-$H$16)*(VLOOKUP('Cost Allocation - Tier 1'!M2,'Allocation CU RU'!$B$11:$I$82,8,))</f>
        <v>169.85156598449203</v>
      </c>
      <c r="N16" s="73">
        <f>($E$16-$H$16)*(VLOOKUP('Cost Allocation - Tier 1'!N2,'Allocation CU RU'!$B$11:$I$82,8,))</f>
        <v>297.39532822120628</v>
      </c>
      <c r="O16" s="73">
        <f>($E$16-$H$16)*(VLOOKUP('Cost Allocation - Tier 1'!O2,'Allocation CU RU'!$B$11:$I$82,8,))</f>
        <v>680.84290490932256</v>
      </c>
      <c r="P16" s="73">
        <f>($E$16-$H$16)*(VLOOKUP('Cost Allocation - Tier 1'!P2,'Allocation CU RU'!$B$11:$I$82,8,))</f>
        <v>82.35716514986089</v>
      </c>
      <c r="Q16" s="73">
        <f>($E$16-$H$16)*(VLOOKUP('Cost Allocation - Tier 1'!Q2,'Allocation CU RU'!$B$11:$I$82,8,))</f>
        <v>218.0504901012566</v>
      </c>
      <c r="R16" s="73">
        <f>($E$16-$H$16)*(VLOOKUP('Cost Allocation - Tier 1'!R2,'Allocation CU RU'!$B$11:$I$82,8,))</f>
        <v>186.49639034572417</v>
      </c>
      <c r="S16" s="73">
        <f>($E$16-$H$16)*(VLOOKUP('Cost Allocation - Tier 1'!S2,'Allocation CU RU'!$B$11:$I$82,8,))</f>
        <v>191.86520895730331</v>
      </c>
      <c r="T16" s="73">
        <f>($E$16-$H$16)*(VLOOKUP('Cost Allocation - Tier 1'!T2,'Allocation CU RU'!$B$11:$I$82,8,))</f>
        <v>694.935970959786</v>
      </c>
      <c r="U16" s="73">
        <f>($E$16-$H$16)*(VLOOKUP('Cost Allocation - Tier 1'!U2,'Allocation CU RU'!$B$11:$I$82,8,))</f>
        <v>554.8362344896193</v>
      </c>
      <c r="V16" s="73">
        <f>($E$16-$H$16)*(VLOOKUP('Cost Allocation - Tier 1'!V2,'Allocation CU RU'!$B$11:$I$82,8,))</f>
        <v>440.33284292503072</v>
      </c>
      <c r="W16" s="73">
        <f>($E$16-$H$16)*(VLOOKUP('Cost Allocation - Tier 1'!W2,'Allocation CU RU'!$B$11:$I$82,8,))</f>
        <v>706.1023561262574</v>
      </c>
      <c r="X16" s="73">
        <f>($E$16-$H$16)*(VLOOKUP('Cost Allocation - Tier 1'!X2,'Allocation CU RU'!$B$11:$I$82,8,))</f>
        <v>17.46261814335832</v>
      </c>
      <c r="Y16" s="73">
        <f>($E$16-$H$16)*(VLOOKUP('Cost Allocation - Tier 1'!Y2,'Allocation CU RU'!$B$11:$I$82,8,))</f>
        <v>13.777567404330549</v>
      </c>
      <c r="Z16" s="73">
        <f>($E$16-$H$16)*(VLOOKUP('Cost Allocation - Tier 1'!Z2,'Allocation CU RU'!$B$11:$I$82,8,))</f>
        <v>66.63335070637774</v>
      </c>
      <c r="AA16" s="73">
        <f>($E$16-$H$16)*(VLOOKUP('Cost Allocation - Tier 1'!AA2,'Allocation CU RU'!$B$11:$I$82,8,))</f>
        <v>60.910025608407615</v>
      </c>
      <c r="AB16" s="73">
        <f>($E$16-$H$16)*(VLOOKUP('Cost Allocation - Tier 1'!AB2,'Allocation CU RU'!$B$11:$I$82,8,))</f>
        <v>36.64691068456883</v>
      </c>
      <c r="AC16" s="73">
        <f>($E$16-$H$16)*(VLOOKUP('Cost Allocation - Tier 1'!AC2,'Allocation CU RU'!$B$11:$I$82,8,))</f>
        <v>37.469878843617053</v>
      </c>
      <c r="AD16" s="73">
        <f>($E$16-$H$16)*(VLOOKUP('Cost Allocation - Tier 1'!AD2,'Allocation CU RU'!$B$11:$I$82,8,))</f>
        <v>212.51037124467422</v>
      </c>
      <c r="AE16" s="73">
        <f>($E$16-$H$16)*(VLOOKUP('Cost Allocation - Tier 1'!AE2,'Allocation CU RU'!$B$11:$I$82,8,))</f>
        <v>85.252313119438725</v>
      </c>
      <c r="AF16" s="73">
        <f>($E$16-$H$16)*(VLOOKUP('Cost Allocation - Tier 1'!AF2,'Allocation CU RU'!$B$11:$I$82,8,))</f>
        <v>221.79446982294729</v>
      </c>
      <c r="AG16" s="73">
        <f>($E$16-$H$16)*(VLOOKUP('Cost Allocation - Tier 1'!AG2,'Allocation CU RU'!$B$11:$I$82,8,))</f>
        <v>688.6657612265243</v>
      </c>
      <c r="AH16" s="73">
        <f>($E$16-$H$16)*(VLOOKUP('Cost Allocation - Tier 1'!AH2,'Allocation CU RU'!$B$11:$I$82,8,))</f>
        <v>5644.0260981513029</v>
      </c>
      <c r="AI16" s="73">
        <f>($E$16-$H$16)*(VLOOKUP('Cost Allocation - Tier 1'!AI2,'Allocation CU RU'!$B$11:$I$82,8,))</f>
        <v>39.179765421535826</v>
      </c>
      <c r="AJ16" s="73">
        <f>($E$16-$H$16)*(VLOOKUP('Cost Allocation - Tier 1'!AJ2,'Allocation CU RU'!$B$11:$I$82,8,))</f>
        <v>831.22098142105631</v>
      </c>
      <c r="AK16" s="73">
        <f>($E$16-$H$16)*(VLOOKUP('Cost Allocation - Tier 1'!AK2,'Allocation CU RU'!$B$11:$I$82,8,))</f>
        <v>714.804570742289</v>
      </c>
      <c r="AL16" s="73">
        <f>($E$16-$H$16)*(VLOOKUP('Cost Allocation - Tier 1'!AL2,'Allocation CU RU'!$B$11:$I$82,8,))</f>
        <v>0</v>
      </c>
      <c r="AM16" s="73">
        <f>($E$16-$H$16)*(VLOOKUP('Cost Allocation - Tier 1'!AM2,'Allocation CU RU'!$B$11:$I$82,8,))</f>
        <v>87.241327549876218</v>
      </c>
      <c r="AN16" s="73">
        <f>($E$16-$H$16)*(VLOOKUP('Cost Allocation - Tier 1'!AN2,'Allocation CU RU'!$B$11:$I$82,8,))</f>
        <v>147.50184006318264</v>
      </c>
      <c r="AO16" s="73">
        <f>($E$16-$H$16)*(VLOOKUP('Cost Allocation - Tier 1'!AO2,'Allocation CU RU'!$B$11:$I$82,8,))</f>
        <v>869.09491398705336</v>
      </c>
      <c r="AP16" s="73">
        <f>($E$16-$H$16)*(VLOOKUP('Cost Allocation - Tier 1'!AP2,'Allocation CU RU'!$B$11:$I$82,8,))</f>
        <v>131.64443466049315</v>
      </c>
      <c r="AQ16" s="73">
        <f>($E$16-$H$16)*(VLOOKUP('Cost Allocation - Tier 1'!AQ2,'Allocation CU RU'!$B$11:$I$82,8,))</f>
        <v>825.84476584069409</v>
      </c>
      <c r="AR16" s="73">
        <f>($E$16-$H$16)*(VLOOKUP('Cost Allocation - Tier 1'!AR2,'Allocation CU RU'!$B$11:$I$82,8,))</f>
        <v>2.4979632028733199</v>
      </c>
      <c r="AS16" s="73">
        <f>($E$16-$H$16)*(VLOOKUP('Cost Allocation - Tier 1'!AS2,'Allocation CU RU'!$B$11:$I$82,8,))</f>
        <v>1217.161001883803</v>
      </c>
      <c r="AT16" s="73">
        <f>($E$16-$H$16)*(VLOOKUP('Cost Allocation - Tier 1'!AT2,'Allocation CU RU'!$B$11:$I$82,8,))</f>
        <v>1009.6595065559071</v>
      </c>
      <c r="AU16" s="73">
        <f>($E$16-$H$16)*(VLOOKUP('Cost Allocation - Tier 1'!AU2,'Allocation CU RU'!$B$11:$I$82,8,))</f>
        <v>1411.8407047159883</v>
      </c>
      <c r="AV16" s="73">
        <f>($E$16-$H$16)*(VLOOKUP('Cost Allocation - Tier 1'!AV2,'Allocation CU RU'!$B$11:$I$82,8,))</f>
        <v>1984.1417311546058</v>
      </c>
      <c r="AW16" s="73">
        <f>($E$16-$H$16)*(VLOOKUP('Cost Allocation - Tier 1'!AW2,'Allocation CU RU'!$B$11:$I$82,8,))</f>
        <v>5081.8479539738255</v>
      </c>
      <c r="AX16" s="73">
        <f>($E$16-$H$16)*(VLOOKUP('Cost Allocation - Tier 1'!AX2,'Allocation CU RU'!$B$11:$I$82,8,))</f>
        <v>52.991418782415352</v>
      </c>
      <c r="AY16" s="73">
        <f>($E$16-$H$16)*(VLOOKUP('Cost Allocation - Tier 1'!AY2,'Allocation CU RU'!$B$11:$I$82,8,))</f>
        <v>16347.627473963355</v>
      </c>
      <c r="AZ16" s="73">
        <f>($E$16-$H$16)*(VLOOKUP('Cost Allocation - Tier 1'!AZ2,'Allocation CU RU'!$B$11:$I$82,8,))</f>
        <v>549.7733050503947</v>
      </c>
      <c r="BA16" s="73">
        <f>($E$16-$H$16)*(VLOOKUP('Cost Allocation - Tier 1'!BA2,'Allocation CU RU'!$B$11:$I$82,8,))</f>
        <v>9913.2326866420153</v>
      </c>
      <c r="BB16" s="73">
        <f>($E$16-$H$16)*(VLOOKUP('Cost Allocation - Tier 1'!BB2,'Allocation CU RU'!$B$11:$I$82,8,))</f>
        <v>37296.728224294944</v>
      </c>
      <c r="BC16" s="666">
        <f t="shared" si="8"/>
        <v>147517.13570380653</v>
      </c>
      <c r="BD16" s="73">
        <f>($E$16-$H$16)*(VLOOKUP('Cost Allocation - Tier 1'!BD2,'Allocation CU RU'!$B$11:$I$82,8,))</f>
        <v>23692.851504953214</v>
      </c>
      <c r="BE16" s="73">
        <f>($E$16-$H$16)*(VLOOKUP('Cost Allocation - Tier 1'!BE2,'Allocation CU RU'!$B$11:$I$82,8,))</f>
        <v>21607.891208015953</v>
      </c>
      <c r="BF16" s="73">
        <f>($E$16-$H$16)*(VLOOKUP('Cost Allocation - Tier 1'!BF2,'Allocation CU RU'!$B$11:$I$82,8,))</f>
        <v>13229.717878369704</v>
      </c>
      <c r="BG16" s="73">
        <f>($E$16-$H$16)*(VLOOKUP('Cost Allocation - Tier 1'!BG2,'Allocation CU RU'!$B$11:$I$82,8,))</f>
        <v>24450.45461158239</v>
      </c>
      <c r="BH16" s="73">
        <f>($E$16-$H$16)*(VLOOKUP('Cost Allocation - Tier 1'!BH2,'Allocation CU RU'!$B$11:$I$82,8,))</f>
        <v>19153.338141366097</v>
      </c>
      <c r="BI16" s="73">
        <f>($E$16-$H$16)*(VLOOKUP('Cost Allocation - Tier 1'!BI2,'Allocation CU RU'!$B$11:$I$82,8,))</f>
        <v>13946.455384646861</v>
      </c>
      <c r="BJ16" s="73">
        <f>($E$16-$H$16)*(VLOOKUP('Cost Allocation - Tier 1'!BJ2,'Allocation CU RU'!$B$11:$I$82,8,))</f>
        <v>7866.1303866998869</v>
      </c>
      <c r="BK16" s="73">
        <f>($E$16-$H$16)*(VLOOKUP('Cost Allocation - Tier 1'!BK2,'Allocation CU RU'!$B$11:$I$82,8,))</f>
        <v>23570.296588172434</v>
      </c>
      <c r="BL16" s="76">
        <f t="shared" si="9"/>
        <v>243119.31445626044</v>
      </c>
      <c r="BM16" s="667">
        <f t="shared" si="3"/>
        <v>0</v>
      </c>
      <c r="BO16" s="668" t="s">
        <v>857</v>
      </c>
      <c r="BP16" s="204">
        <f t="shared" si="4"/>
        <v>243119.31445626041</v>
      </c>
      <c r="BQ16" s="204">
        <f t="shared" ref="BQ16:BQ58" si="10">G80</f>
        <v>257704.70972166746</v>
      </c>
      <c r="BR16" s="204">
        <f t="shared" si="5"/>
        <v>14585.395265407045</v>
      </c>
      <c r="BU16" s="1251" t="s">
        <v>477</v>
      </c>
      <c r="BV16" s="1254">
        <f t="shared" si="6"/>
        <v>123946.83911563409</v>
      </c>
    </row>
    <row r="17" spans="1:74" outlineLevel="1" x14ac:dyDescent="0.25">
      <c r="A17" s="69" t="s">
        <v>479</v>
      </c>
      <c r="B17" s="3" t="s">
        <v>132</v>
      </c>
      <c r="C17" s="662"/>
      <c r="D17" s="663">
        <v>127101</v>
      </c>
      <c r="E17" s="664">
        <f>D17/Assumptions!$B$4</f>
        <v>95792.980261224118</v>
      </c>
      <c r="F17" s="663">
        <f>38018/Assumptions!$B$4</f>
        <v>28653.256257395446</v>
      </c>
      <c r="G17" s="665"/>
      <c r="H17" s="242"/>
      <c r="I17" s="666">
        <f t="shared" si="7"/>
        <v>36482.612342964851</v>
      </c>
      <c r="J17" s="73">
        <f>($E$17-$H$17)*(VLOOKUP('Cost Allocation - Tier 1'!J2,'Allocation CU RU'!$B$11:$I$82,8,))</f>
        <v>229.37887355679732</v>
      </c>
      <c r="K17" s="73">
        <f>($E$17-$H$17)*(VLOOKUP('Cost Allocation - Tier 1'!K2,'Allocation CU RU'!$B$11:$I$82,8,))</f>
        <v>68.056321363487186</v>
      </c>
      <c r="L17" s="73">
        <f>($E$17-$H$17)*(VLOOKUP('Cost Allocation - Tier 1'!L2,'Allocation CU RU'!$B$11:$I$82,8,))</f>
        <v>71.469458157179957</v>
      </c>
      <c r="M17" s="73">
        <f>($E$17-$H$17)*(VLOOKUP('Cost Allocation - Tier 1'!M2,'Allocation CU RU'!$B$11:$I$82,8,))</f>
        <v>68.29009268631539</v>
      </c>
      <c r="N17" s="73">
        <f>($E$17-$H$17)*(VLOOKUP('Cost Allocation - Tier 1'!N2,'Allocation CU RU'!$B$11:$I$82,8,))</f>
        <v>119.57001639041499</v>
      </c>
      <c r="O17" s="73">
        <f>($E$17-$H$17)*(VLOOKUP('Cost Allocation - Tier 1'!O2,'Allocation CU RU'!$B$11:$I$82,8,))</f>
        <v>273.73798299465176</v>
      </c>
      <c r="P17" s="73">
        <f>($E$17-$H$17)*(VLOOKUP('Cost Allocation - Tier 1'!P2,'Allocation CU RU'!$B$11:$I$82,8,))</f>
        <v>33.112314324965887</v>
      </c>
      <c r="Q17" s="73">
        <f>($E$17-$H$17)*(VLOOKUP('Cost Allocation - Tier 1'!Q2,'Allocation CU RU'!$B$11:$I$82,8,))</f>
        <v>87.668830681672233</v>
      </c>
      <c r="R17" s="73">
        <f>($E$17-$H$17)*(VLOOKUP('Cost Allocation - Tier 1'!R2,'Allocation CU RU'!$B$11:$I$82,8,))</f>
        <v>74.982268833103262</v>
      </c>
      <c r="S17" s="73">
        <f>($E$17-$H$17)*(VLOOKUP('Cost Allocation - Tier 1'!S2,'Allocation CU RU'!$B$11:$I$82,8,))</f>
        <v>77.140842517576857</v>
      </c>
      <c r="T17" s="73">
        <f>($E$17-$H$17)*(VLOOKUP('Cost Allocation - Tier 1'!T2,'Allocation CU RU'!$B$11:$I$82,8,))</f>
        <v>279.40420562405268</v>
      </c>
      <c r="U17" s="73">
        <f>($E$17-$H$17)*(VLOOKUP('Cost Allocation - Tier 1'!U2,'Allocation CU RU'!$B$11:$I$82,8,))</f>
        <v>223.07605855386569</v>
      </c>
      <c r="V17" s="73">
        <f>($E$17-$H$17)*(VLOOKUP('Cost Allocation - Tier 1'!V2,'Allocation CU RU'!$B$11:$I$82,8,))</f>
        <v>177.03911342757135</v>
      </c>
      <c r="W17" s="73">
        <f>($E$17-$H$17)*(VLOOKUP('Cost Allocation - Tier 1'!W2,'Allocation CU RU'!$B$11:$I$82,8,))</f>
        <v>283.89373431087716</v>
      </c>
      <c r="X17" s="73">
        <f>($E$17-$H$17)*(VLOOKUP('Cost Allocation - Tier 1'!X2,'Allocation CU RU'!$B$11:$I$82,8,))</f>
        <v>7.0209762544347312</v>
      </c>
      <c r="Y17" s="73">
        <f>($E$17-$H$17)*(VLOOKUP('Cost Allocation - Tier 1'!Y2,'Allocation CU RU'!$B$11:$I$82,8,))</f>
        <v>5.5393740386214363</v>
      </c>
      <c r="Z17" s="73">
        <f>($E$17-$H$17)*(VLOOKUP('Cost Allocation - Tier 1'!Z2,'Allocation CU RU'!$B$11:$I$82,8,))</f>
        <v>26.79043710526496</v>
      </c>
      <c r="AA17" s="73">
        <f>($E$17-$H$17)*(VLOOKUP('Cost Allocation - Tier 1'!AA2,'Allocation CU RU'!$B$11:$I$82,8,))</f>
        <v>24.489331436036213</v>
      </c>
      <c r="AB17" s="73">
        <f>($E$17-$H$17)*(VLOOKUP('Cost Allocation - Tier 1'!AB2,'Allocation CU RU'!$B$11:$I$82,8,))</f>
        <v>14.734164579588416</v>
      </c>
      <c r="AC17" s="73">
        <f>($E$17-$H$17)*(VLOOKUP('Cost Allocation - Tier 1'!AC2,'Allocation CU RU'!$B$11:$I$82,8,))</f>
        <v>15.065045084183945</v>
      </c>
      <c r="AD17" s="73">
        <f>($E$17-$H$17)*(VLOOKUP('Cost Allocation - Tier 1'!AD2,'Allocation CU RU'!$B$11:$I$82,8,))</f>
        <v>85.441384452275926</v>
      </c>
      <c r="AE17" s="73">
        <f>($E$17-$H$17)*(VLOOKUP('Cost Allocation - Tier 1'!AE2,'Allocation CU RU'!$B$11:$I$82,8,))</f>
        <v>34.276330223418775</v>
      </c>
      <c r="AF17" s="73">
        <f>($E$17-$H$17)*(VLOOKUP('Cost Allocation - Tier 1'!AF2,'Allocation CU RU'!$B$11:$I$82,8,))</f>
        <v>89.174125735786049</v>
      </c>
      <c r="AG17" s="73">
        <f>($E$17-$H$17)*(VLOOKUP('Cost Allocation - Tier 1'!AG2,'Allocation CU RU'!$B$11:$I$82,8,))</f>
        <v>276.88322089620999</v>
      </c>
      <c r="AH17" s="73">
        <f>($E$17-$H$17)*(VLOOKUP('Cost Allocation - Tier 1'!AH2,'Allocation CU RU'!$B$11:$I$82,8,))</f>
        <v>2269.2229131518666</v>
      </c>
      <c r="AI17" s="73">
        <f>($E$17-$H$17)*(VLOOKUP('Cost Allocation - Tier 1'!AI2,'Allocation CU RU'!$B$11:$I$82,8,))</f>
        <v>15.752517773719354</v>
      </c>
      <c r="AJ17" s="73">
        <f>($E$17-$H$17)*(VLOOKUP('Cost Allocation - Tier 1'!AJ2,'Allocation CU RU'!$B$11:$I$82,8,))</f>
        <v>334.1986135661341</v>
      </c>
      <c r="AK17" s="73">
        <f>($E$17-$H$17)*(VLOOKUP('Cost Allocation - Tier 1'!AK2,'Allocation CU RU'!$B$11:$I$82,8,))</f>
        <v>287.39252479455905</v>
      </c>
      <c r="AL17" s="73">
        <f>($E$17-$H$17)*(VLOOKUP('Cost Allocation - Tier 1'!AL2,'Allocation CU RU'!$B$11:$I$82,8,))</f>
        <v>0</v>
      </c>
      <c r="AM17" s="73">
        <f>($E$17-$H$17)*(VLOOKUP('Cost Allocation - Tier 1'!AM2,'Allocation CU RU'!$B$11:$I$82,8,))</f>
        <v>35.07602835408774</v>
      </c>
      <c r="AN17" s="73">
        <f>($E$17-$H$17)*(VLOOKUP('Cost Allocation - Tier 1'!AN2,'Allocation CU RU'!$B$11:$I$82,8,))</f>
        <v>59.304218191526708</v>
      </c>
      <c r="AO17" s="73">
        <f>($E$17-$H$17)*(VLOOKUP('Cost Allocation - Tier 1'!AO2,'Allocation CU RU'!$B$11:$I$82,8,))</f>
        <v>349.42611147194293</v>
      </c>
      <c r="AP17" s="73">
        <f>($E$17-$H$17)*(VLOOKUP('Cost Allocation - Tier 1'!AP2,'Allocation CU RU'!$B$11:$I$82,8,))</f>
        <v>52.928629727343711</v>
      </c>
      <c r="AQ17" s="73">
        <f>($E$17-$H$17)*(VLOOKUP('Cost Allocation - Tier 1'!AQ2,'Allocation CU RU'!$B$11:$I$82,8,))</f>
        <v>332.03706587502791</v>
      </c>
      <c r="AR17" s="73">
        <f>($E$17-$H$17)*(VLOOKUP('Cost Allocation - Tier 1'!AR2,'Allocation CU RU'!$B$11:$I$82,8,))</f>
        <v>1.0043247918408906</v>
      </c>
      <c r="AS17" s="73">
        <f>($E$17-$H$17)*(VLOOKUP('Cost Allocation - Tier 1'!AS2,'Allocation CU RU'!$B$11:$I$82,8,))</f>
        <v>489.36868583479838</v>
      </c>
      <c r="AT17" s="73">
        <f>($E$17-$H$17)*(VLOOKUP('Cost Allocation - Tier 1'!AT2,'Allocation CU RU'!$B$11:$I$82,8,))</f>
        <v>405.94115741398394</v>
      </c>
      <c r="AU17" s="73">
        <f>($E$17-$H$17)*(VLOOKUP('Cost Allocation - Tier 1'!AU2,'Allocation CU RU'!$B$11:$I$82,8,))</f>
        <v>567.64111666871918</v>
      </c>
      <c r="AV17" s="73">
        <f>($E$17-$H$17)*(VLOOKUP('Cost Allocation - Tier 1'!AV2,'Allocation CU RU'!$B$11:$I$82,8,))</f>
        <v>797.73902547183832</v>
      </c>
      <c r="AW17" s="73">
        <f>($E$17-$H$17)*(VLOOKUP('Cost Allocation - Tier 1'!AW2,'Allocation CU RU'!$B$11:$I$82,8,))</f>
        <v>2043.1949848865131</v>
      </c>
      <c r="AX17" s="73">
        <f>($E$17-$H$17)*(VLOOKUP('Cost Allocation - Tier 1'!AX2,'Allocation CU RU'!$B$11:$I$82,8,))</f>
        <v>21.305596326152834</v>
      </c>
      <c r="AY17" s="73">
        <f>($E$17-$H$17)*(VLOOKUP('Cost Allocation - Tier 1'!AY2,'Allocation CU RU'!$B$11:$I$82,8,))</f>
        <v>6572.6859150668206</v>
      </c>
      <c r="AZ17" s="73">
        <f>($E$17-$H$17)*(VLOOKUP('Cost Allocation - Tier 1'!AZ2,'Allocation CU RU'!$B$11:$I$82,8,))</f>
        <v>221.04046989935489</v>
      </c>
      <c r="BA17" s="73">
        <f>($E$17-$H$17)*(VLOOKUP('Cost Allocation - Tier 1'!BA2,'Allocation CU RU'!$B$11:$I$82,8,))</f>
        <v>3985.6893580457454</v>
      </c>
      <c r="BB17" s="73">
        <f>($E$17-$H$17)*(VLOOKUP('Cost Allocation - Tier 1'!BB2,'Allocation CU RU'!$B$11:$I$82,8,))</f>
        <v>14995.428582424525</v>
      </c>
      <c r="BC17" s="666">
        <f t="shared" si="8"/>
        <v>59310.367918259275</v>
      </c>
      <c r="BD17" s="73">
        <f>($E$17-$H$17)*(VLOOKUP('Cost Allocation - Tier 1'!BD2,'Allocation CU RU'!$B$11:$I$82,8,))</f>
        <v>9525.8881830037972</v>
      </c>
      <c r="BE17" s="73">
        <f>($E$17-$H$17)*(VLOOKUP('Cost Allocation - Tier 1'!BE2,'Allocation CU RU'!$B$11:$I$82,8,))</f>
        <v>8687.6142989812433</v>
      </c>
      <c r="BF17" s="73">
        <f>($E$17-$H$17)*(VLOOKUP('Cost Allocation - Tier 1'!BF2,'Allocation CU RU'!$B$11:$I$82,8,))</f>
        <v>5319.1070384959503</v>
      </c>
      <c r="BG17" s="73">
        <f>($E$17-$H$17)*(VLOOKUP('Cost Allocation - Tier 1'!BG2,'Allocation CU RU'!$B$11:$I$82,8,))</f>
        <v>9830.488179308044</v>
      </c>
      <c r="BH17" s="73">
        <f>($E$17-$H$17)*(VLOOKUP('Cost Allocation - Tier 1'!BH2,'Allocation CU RU'!$B$11:$I$82,8,))</f>
        <v>7700.7428771404648</v>
      </c>
      <c r="BI17" s="73">
        <f>($E$17-$H$17)*(VLOOKUP('Cost Allocation - Tier 1'!BI2,'Allocation CU RU'!$B$11:$I$82,8,))</f>
        <v>5607.2767144817135</v>
      </c>
      <c r="BJ17" s="73">
        <f>($E$17-$H$17)*(VLOOKUP('Cost Allocation - Tier 1'!BJ2,'Allocation CU RU'!$B$11:$I$82,8,))</f>
        <v>3162.6365649135278</v>
      </c>
      <c r="BK17" s="73">
        <f>($E$17-$H$17)*(VLOOKUP('Cost Allocation - Tier 1'!BK2,'Allocation CU RU'!$B$11:$I$82,8,))</f>
        <v>9476.6140619345369</v>
      </c>
      <c r="BL17" s="76">
        <f t="shared" si="9"/>
        <v>95792.980261224118</v>
      </c>
      <c r="BM17" s="667">
        <f t="shared" si="3"/>
        <v>0</v>
      </c>
      <c r="BO17" s="668" t="s">
        <v>857</v>
      </c>
      <c r="BP17" s="204">
        <f t="shared" si="4"/>
        <v>95792.980261224118</v>
      </c>
      <c r="BQ17" s="204">
        <f t="shared" si="10"/>
        <v>99821.36370145384</v>
      </c>
      <c r="BR17" s="204">
        <f t="shared" si="5"/>
        <v>4028.3834402297216</v>
      </c>
      <c r="BU17" s="1251" t="s">
        <v>1053</v>
      </c>
      <c r="BV17" s="1254">
        <f t="shared" si="6"/>
        <v>49833.753856324736</v>
      </c>
    </row>
    <row r="18" spans="1:74" outlineLevel="1" x14ac:dyDescent="0.25">
      <c r="A18" s="69" t="s">
        <v>864</v>
      </c>
      <c r="B18" s="3" t="s">
        <v>132</v>
      </c>
      <c r="C18" s="662"/>
      <c r="D18" s="664">
        <f>E18*Assumptions!$B$4</f>
        <v>273540.59963000001</v>
      </c>
      <c r="E18" s="663">
        <v>206161</v>
      </c>
      <c r="F18" s="665"/>
      <c r="G18" s="665"/>
      <c r="H18" s="242"/>
      <c r="I18" s="666">
        <f t="shared" si="7"/>
        <v>78516.106532312464</v>
      </c>
      <c r="J18" s="73">
        <f>($E$18-$H$18)*(VLOOKUP('Cost Allocation - Tier 1'!J2,'Allocation CU RU'!$B$11:$I$82,8,))</f>
        <v>493.65807204648502</v>
      </c>
      <c r="K18" s="73">
        <f>($E$18-$H$18)*(VLOOKUP('Cost Allocation - Tier 1'!K2,'Allocation CU RU'!$B$11:$I$82,8,))</f>
        <v>146.46750973147547</v>
      </c>
      <c r="L18" s="73">
        <f>($E$18-$H$18)*(VLOOKUP('Cost Allocation - Tier 1'!L2,'Allocation CU RU'!$B$11:$I$82,8,))</f>
        <v>153.81309698229126</v>
      </c>
      <c r="M18" s="73">
        <f>($E$18-$H$18)*(VLOOKUP('Cost Allocation - Tier 1'!M2,'Allocation CU RU'!$B$11:$I$82,8,))</f>
        <v>146.9706210195277</v>
      </c>
      <c r="N18" s="73">
        <f>($E$18-$H$18)*(VLOOKUP('Cost Allocation - Tier 1'!N2,'Allocation CU RU'!$B$11:$I$82,8,))</f>
        <v>257.33278244233361</v>
      </c>
      <c r="O18" s="73">
        <f>($E$18-$H$18)*(VLOOKUP('Cost Allocation - Tier 1'!O2,'Allocation CU RU'!$B$11:$I$82,8,))</f>
        <v>589.12559310991878</v>
      </c>
      <c r="P18" s="73">
        <f>($E$18-$H$18)*(VLOOKUP('Cost Allocation - Tier 1'!P2,'Allocation CU RU'!$B$11:$I$82,8,))</f>
        <v>71.262714814110097</v>
      </c>
      <c r="Q18" s="73">
        <f>($E$18-$H$18)*(VLOOKUP('Cost Allocation - Tier 1'!Q2,'Allocation CU RU'!$B$11:$I$82,8,))</f>
        <v>188.67659981845591</v>
      </c>
      <c r="R18" s="73">
        <f>($E$18-$H$18)*(VLOOKUP('Cost Allocation - Tier 1'!R2,'Allocation CU RU'!$B$11:$I$82,8,))</f>
        <v>161.37319752185212</v>
      </c>
      <c r="S18" s="73">
        <f>($E$18-$H$18)*(VLOOKUP('Cost Allocation - Tier 1'!S2,'Allocation CU RU'!$B$11:$I$82,8,))</f>
        <v>166.01877497597479</v>
      </c>
      <c r="T18" s="73">
        <f>($E$18-$H$18)*(VLOOKUP('Cost Allocation - Tier 1'!T2,'Allocation CU RU'!$B$11:$I$82,8,))</f>
        <v>601.32016227682868</v>
      </c>
      <c r="U18" s="73">
        <f>($E$18-$H$18)*(VLOOKUP('Cost Allocation - Tier 1'!U2,'Allocation CU RU'!$B$11:$I$82,8,))</f>
        <v>480.09345968891995</v>
      </c>
      <c r="V18" s="73">
        <f>($E$18-$H$18)*(VLOOKUP('Cost Allocation - Tier 1'!V2,'Allocation CU RU'!$B$11:$I$82,8,))</f>
        <v>381.01498213972712</v>
      </c>
      <c r="W18" s="73">
        <f>($E$18-$H$18)*(VLOOKUP('Cost Allocation - Tier 1'!W2,'Allocation CU RU'!$B$11:$I$82,8,))</f>
        <v>610.98230788583282</v>
      </c>
      <c r="X18" s="73">
        <f>($E$18-$H$18)*(VLOOKUP('Cost Allocation - Tier 1'!X2,'Allocation CU RU'!$B$11:$I$82,8,))</f>
        <v>15.110204126057765</v>
      </c>
      <c r="Y18" s="73">
        <f>($E$18-$H$18)*(VLOOKUP('Cost Allocation - Tier 1'!Y2,'Allocation CU RU'!$B$11:$I$82,8,))</f>
        <v>11.921571790146123</v>
      </c>
      <c r="Z18" s="73">
        <f>($E$18-$H$18)*(VLOOKUP('Cost Allocation - Tier 1'!Z2,'Allocation CU RU'!$B$11:$I$82,8,))</f>
        <v>57.657077679357194</v>
      </c>
      <c r="AA18" s="73">
        <f>($E$18-$H$18)*(VLOOKUP('Cost Allocation - Tier 1'!AA2,'Allocation CU RU'!$B$11:$I$82,8,))</f>
        <v>52.704749809609325</v>
      </c>
      <c r="AB18" s="73">
        <f>($E$18-$H$18)*(VLOOKUP('Cost Allocation - Tier 1'!AB2,'Allocation CU RU'!$B$11:$I$82,8,))</f>
        <v>31.710153453928154</v>
      </c>
      <c r="AC18" s="73">
        <f>($E$18-$H$18)*(VLOOKUP('Cost Allocation - Tier 1'!AC2,'Allocation CU RU'!$B$11:$I$82,8,))</f>
        <v>32.42225840694141</v>
      </c>
      <c r="AD18" s="73">
        <f>($E$18-$H$18)*(VLOOKUP('Cost Allocation - Tier 1'!AD2,'Allocation CU RU'!$B$11:$I$82,8,))</f>
        <v>183.88279821789692</v>
      </c>
      <c r="AE18" s="73">
        <f>($E$18-$H$18)*(VLOOKUP('Cost Allocation - Tier 1'!AE2,'Allocation CU RU'!$B$11:$I$82,8,))</f>
        <v>73.767853301153124</v>
      </c>
      <c r="AF18" s="73">
        <f>($E$18-$H$18)*(VLOOKUP('Cost Allocation - Tier 1'!AF2,'Allocation CU RU'!$B$11:$I$82,8,))</f>
        <v>191.91622273033201</v>
      </c>
      <c r="AG18" s="73">
        <f>($E$18-$H$18)*(VLOOKUP('Cost Allocation - Tier 1'!AG2,'Allocation CU RU'!$B$11:$I$82,8,))</f>
        <v>595.89462137540238</v>
      </c>
      <c r="AH18" s="73">
        <f>($E$18-$H$18)*(VLOOKUP('Cost Allocation - Tier 1'!AH2,'Allocation CU RU'!$B$11:$I$82,8,))</f>
        <v>4883.7113504826639</v>
      </c>
      <c r="AI18" s="73">
        <f>($E$18-$H$18)*(VLOOKUP('Cost Allocation - Tier 1'!AI2,'Allocation CU RU'!$B$11:$I$82,8,))</f>
        <v>33.901803742735503</v>
      </c>
      <c r="AJ18" s="73">
        <f>($E$18-$H$18)*(VLOOKUP('Cost Allocation - Tier 1'!AJ2,'Allocation CU RU'!$B$11:$I$82,8,))</f>
        <v>719.2460259981824</v>
      </c>
      <c r="AK18" s="73">
        <f>($E$18-$H$18)*(VLOOKUP('Cost Allocation - Tier 1'!AK2,'Allocation CU RU'!$B$11:$I$82,8,))</f>
        <v>618.51223484853244</v>
      </c>
      <c r="AL18" s="73">
        <f>($E$18-$H$18)*(VLOOKUP('Cost Allocation - Tier 1'!AL2,'Allocation CU RU'!$B$11:$I$82,8,))</f>
        <v>0</v>
      </c>
      <c r="AM18" s="73">
        <f>($E$18-$H$18)*(VLOOKUP('Cost Allocation - Tier 1'!AM2,'Allocation CU RU'!$B$11:$I$82,8,))</f>
        <v>75.488924781205839</v>
      </c>
      <c r="AN18" s="73">
        <f>($E$18-$H$18)*(VLOOKUP('Cost Allocation - Tier 1'!AN2,'Allocation CU RU'!$B$11:$I$82,8,))</f>
        <v>127.63165832447086</v>
      </c>
      <c r="AO18" s="73">
        <f>($E$18-$H$18)*(VLOOKUP('Cost Allocation - Tier 1'!AO2,'Allocation CU RU'!$B$11:$I$82,8,))</f>
        <v>752.01790747841858</v>
      </c>
      <c r="AP18" s="73">
        <f>($E$18-$H$18)*(VLOOKUP('Cost Allocation - Tier 1'!AP2,'Allocation CU RU'!$B$11:$I$82,8,))</f>
        <v>113.91042645779217</v>
      </c>
      <c r="AQ18" s="73">
        <f>($E$18-$H$18)*(VLOOKUP('Cost Allocation - Tier 1'!AQ2,'Allocation CU RU'!$B$11:$I$82,8,))</f>
        <v>714.59404803141558</v>
      </c>
      <c r="AR18" s="73">
        <f>($E$18-$H$18)*(VLOOKUP('Cost Allocation - Tier 1'!AR2,'Allocation CU RU'!$B$11:$I$82,8,))</f>
        <v>2.1614590426781235</v>
      </c>
      <c r="AS18" s="73">
        <f>($E$18-$H$18)*(VLOOKUP('Cost Allocation - Tier 1'!AS2,'Allocation CU RU'!$B$11:$I$82,8,))</f>
        <v>1053.1955198101969</v>
      </c>
      <c r="AT18" s="73">
        <f>($E$18-$H$18)*(VLOOKUP('Cost Allocation - Tier 1'!AT2,'Allocation CU RU'!$B$11:$I$82,8,))</f>
        <v>873.64684474172032</v>
      </c>
      <c r="AU18" s="73">
        <f>($E$18-$H$18)*(VLOOKUP('Cost Allocation - Tier 1'!AU2,'Allocation CU RU'!$B$11:$I$82,8,))</f>
        <v>1221.6496442058224</v>
      </c>
      <c r="AV18" s="73">
        <f>($E$18-$H$18)*(VLOOKUP('Cost Allocation - Tier 1'!AV2,'Allocation CU RU'!$B$11:$I$82,8,))</f>
        <v>1716.8551889900039</v>
      </c>
      <c r="AW18" s="73">
        <f>($E$18-$H$18)*(VLOOKUP('Cost Allocation - Tier 1'!AW2,'Allocation CU RU'!$B$11:$I$82,8,))</f>
        <v>4397.2650201561401</v>
      </c>
      <c r="AX18" s="73">
        <f>($E$18-$H$18)*(VLOOKUP('Cost Allocation - Tier 1'!AX2,'Allocation CU RU'!$B$11:$I$82,8,))</f>
        <v>45.852869721957902</v>
      </c>
      <c r="AY18" s="73">
        <f>($E$18-$H$18)*(VLOOKUP('Cost Allocation - Tier 1'!AY2,'Allocation CU RU'!$B$11:$I$82,8,))</f>
        <v>14145.415428572816</v>
      </c>
      <c r="AZ18" s="73">
        <f>($E$18-$H$18)*(VLOOKUP('Cost Allocation - Tier 1'!AZ2,'Allocation CU RU'!$B$11:$I$82,8,))</f>
        <v>475.71256464360238</v>
      </c>
      <c r="BA18" s="73">
        <f>($E$18-$H$18)*(VLOOKUP('Cost Allocation - Tier 1'!BA2,'Allocation CU RU'!$B$11:$I$82,8,))</f>
        <v>8577.8070742066793</v>
      </c>
      <c r="BB18" s="73">
        <f>($E$18-$H$18)*(VLOOKUP('Cost Allocation - Tier 1'!BB2,'Allocation CU RU'!$B$11:$I$82,8,))</f>
        <v>32272.433152730864</v>
      </c>
      <c r="BC18" s="666">
        <f t="shared" si="8"/>
        <v>127644.89346768757</v>
      </c>
      <c r="BD18" s="73">
        <f>($E$18-$H$18)*(VLOOKUP('Cost Allocation - Tier 1'!BD2,'Allocation CU RU'!$B$11:$I$82,8,))</f>
        <v>20501.153929451299</v>
      </c>
      <c r="BE18" s="73">
        <f>($E$18-$H$18)*(VLOOKUP('Cost Allocation - Tier 1'!BE2,'Allocation CU RU'!$B$11:$I$82,8,))</f>
        <v>18697.061586435128</v>
      </c>
      <c r="BF18" s="73">
        <f>($E$18-$H$18)*(VLOOKUP('Cost Allocation - Tier 1'!BF2,'Allocation CU RU'!$B$11:$I$82,8,))</f>
        <v>11447.523849586831</v>
      </c>
      <c r="BG18" s="73">
        <f>($E$18-$H$18)*(VLOOKUP('Cost Allocation - Tier 1'!BG2,'Allocation CU RU'!$B$11:$I$82,8,))</f>
        <v>21156.699248814322</v>
      </c>
      <c r="BH18" s="73">
        <f>($E$18-$H$18)*(VLOOKUP('Cost Allocation - Tier 1'!BH2,'Allocation CU RU'!$B$11:$I$82,8,))</f>
        <v>16573.164839060701</v>
      </c>
      <c r="BI18" s="73">
        <f>($E$18-$H$18)*(VLOOKUP('Cost Allocation - Tier 1'!BI2,'Allocation CU RU'!$B$11:$I$82,8,))</f>
        <v>12067.708631487276</v>
      </c>
      <c r="BJ18" s="73">
        <f>($E$18-$H$18)*(VLOOKUP('Cost Allocation - Tier 1'!BJ2,'Allocation CU RU'!$B$11:$I$82,8,))</f>
        <v>6806.4728238031939</v>
      </c>
      <c r="BK18" s="73">
        <f>($E$18-$H$18)*(VLOOKUP('Cost Allocation - Tier 1'!BK2,'Allocation CU RU'!$B$11:$I$82,8,))</f>
        <v>20395.108559048811</v>
      </c>
      <c r="BL18" s="76">
        <f t="shared" si="9"/>
        <v>206161.00000000003</v>
      </c>
      <c r="BM18" s="667">
        <f t="shared" si="3"/>
        <v>0</v>
      </c>
      <c r="BO18" s="668" t="s">
        <v>857</v>
      </c>
      <c r="BP18" s="204">
        <f t="shared" si="4"/>
        <v>206161</v>
      </c>
      <c r="BQ18" s="204">
        <f t="shared" si="10"/>
        <v>218530.66</v>
      </c>
      <c r="BR18" s="204">
        <f t="shared" si="5"/>
        <v>12369.660000000003</v>
      </c>
      <c r="BU18" s="1251" t="s">
        <v>1054</v>
      </c>
      <c r="BV18" s="1254">
        <f t="shared" si="6"/>
        <v>107249.78490863876</v>
      </c>
    </row>
    <row r="19" spans="1:74" outlineLevel="1" x14ac:dyDescent="0.25">
      <c r="A19" s="177" t="s">
        <v>480</v>
      </c>
      <c r="B19" s="3" t="s">
        <v>132</v>
      </c>
      <c r="C19" s="662"/>
      <c r="D19" s="663">
        <v>735849</v>
      </c>
      <c r="E19" s="664">
        <f>D19/Assumptions!$B$4</f>
        <v>554591.77136483195</v>
      </c>
      <c r="F19" s="664"/>
      <c r="G19" s="664"/>
      <c r="H19" s="242"/>
      <c r="I19" s="666">
        <f t="shared" si="7"/>
        <v>211215.44134159718</v>
      </c>
      <c r="J19" s="73">
        <f>($E$19-$H$19)*(VLOOKUP('Cost Allocation - Tier 1'!J2,'Allocation CU RU'!$B$11:$I$82,8,))</f>
        <v>1327.9849468367343</v>
      </c>
      <c r="K19" s="73">
        <f>($E$19-$H$19)*(VLOOKUP('Cost Allocation - Tier 1'!K2,'Allocation CU RU'!$B$11:$I$82,8,))</f>
        <v>394.01087339203218</v>
      </c>
      <c r="L19" s="73">
        <f>($E$19-$H$19)*(VLOOKUP('Cost Allocation - Tier 1'!L2,'Allocation CU RU'!$B$11:$I$82,8,))</f>
        <v>413.77116872017302</v>
      </c>
      <c r="M19" s="73">
        <f>($E$19-$H$19)*(VLOOKUP('Cost Allocation - Tier 1'!M2,'Allocation CU RU'!$B$11:$I$82,8,))</f>
        <v>395.3642883465314</v>
      </c>
      <c r="N19" s="73">
        <f>($E$19-$H$19)*(VLOOKUP('Cost Allocation - Tier 1'!N2,'Allocation CU RU'!$B$11:$I$82,8,))</f>
        <v>692.24850308707619</v>
      </c>
      <c r="O19" s="73">
        <f>($E$19-$H$19)*(VLOOKUP('Cost Allocation - Tier 1'!O2,'Allocation CU RU'!$B$11:$I$82,8,))</f>
        <v>1584.8012293265317</v>
      </c>
      <c r="P19" s="73">
        <f>($E$19-$H$19)*(VLOOKUP('Cost Allocation - Tier 1'!P2,'Allocation CU RU'!$B$11:$I$82,8,))</f>
        <v>191.70316035052301</v>
      </c>
      <c r="Q19" s="73">
        <f>($E$19-$H$19)*(VLOOKUP('Cost Allocation - Tier 1'!Q2,'Allocation CU RU'!$B$11:$I$82,8,))</f>
        <v>507.55715052027779</v>
      </c>
      <c r="R19" s="73">
        <f>($E$19-$H$19)*(VLOOKUP('Cost Allocation - Tier 1'!R2,'Allocation CU RU'!$B$11:$I$82,8,))</f>
        <v>434.10852423324917</v>
      </c>
      <c r="S19" s="73">
        <f>($E$19-$H$19)*(VLOOKUP('Cost Allocation - Tier 1'!S2,'Allocation CU RU'!$B$11:$I$82,8,))</f>
        <v>446.6055485457739</v>
      </c>
      <c r="T19" s="73">
        <f>($E$19-$H$19)*(VLOOKUP('Cost Allocation - Tier 1'!T2,'Allocation CU RU'!$B$11:$I$82,8,))</f>
        <v>1617.6057254014804</v>
      </c>
      <c r="U19" s="73">
        <f>($E$19-$H$19)*(VLOOKUP('Cost Allocation - Tier 1'!U2,'Allocation CU RU'!$B$11:$I$82,8,))</f>
        <v>1291.4949104318889</v>
      </c>
      <c r="V19" s="73">
        <f>($E$19-$H$19)*(VLOOKUP('Cost Allocation - Tier 1'!V2,'Allocation CU RU'!$B$11:$I$82,8,))</f>
        <v>1024.9648277870745</v>
      </c>
      <c r="W19" s="73">
        <f>($E$19-$H$19)*(VLOOKUP('Cost Allocation - Tier 1'!W2,'Allocation CU RU'!$B$11:$I$82,8,))</f>
        <v>1643.5977726290482</v>
      </c>
      <c r="X19" s="73">
        <f>($E$19-$H$19)*(VLOOKUP('Cost Allocation - Tier 1'!X2,'Allocation CU RU'!$B$11:$I$82,8,))</f>
        <v>40.647818316532067</v>
      </c>
      <c r="Y19" s="73">
        <f>($E$19-$H$19)*(VLOOKUP('Cost Allocation - Tier 1'!Y2,'Allocation CU RU'!$B$11:$I$82,8,))</f>
        <v>32.070108393683327</v>
      </c>
      <c r="Z19" s="73">
        <f>($E$19-$H$19)*(VLOOKUP('Cost Allocation - Tier 1'!Z2,'Allocation CU RU'!$B$11:$I$82,8,))</f>
        <v>155.10276357756521</v>
      </c>
      <c r="AA19" s="73">
        <f>($E$19-$H$19)*(VLOOKUP('Cost Allocation - Tier 1'!AA2,'Allocation CU RU'!$B$11:$I$82,8,))</f>
        <v>141.78055285069206</v>
      </c>
      <c r="AB19" s="73">
        <f>($E$19-$H$19)*(VLOOKUP('Cost Allocation - Tier 1'!AB2,'Allocation CU RU'!$B$11:$I$82,8,))</f>
        <v>85.303186219821683</v>
      </c>
      <c r="AC19" s="73">
        <f>($E$19-$H$19)*(VLOOKUP('Cost Allocation - Tier 1'!AC2,'Allocation CU RU'!$B$11:$I$82,8,))</f>
        <v>87.218813071114084</v>
      </c>
      <c r="AD19" s="73">
        <f>($E$19-$H$19)*(VLOOKUP('Cost Allocation - Tier 1'!AD2,'Allocation CU RU'!$B$11:$I$82,8,))</f>
        <v>494.66138982244655</v>
      </c>
      <c r="AE19" s="73">
        <f>($E$19-$H$19)*(VLOOKUP('Cost Allocation - Tier 1'!AE2,'Allocation CU RU'!$B$11:$I$82,8,))</f>
        <v>198.44220988483551</v>
      </c>
      <c r="AF19" s="73">
        <f>($E$19-$H$19)*(VLOOKUP('Cost Allocation - Tier 1'!AF2,'Allocation CU RU'!$B$11:$I$82,8,))</f>
        <v>516.27202971300323</v>
      </c>
      <c r="AG19" s="73">
        <f>($E$19-$H$19)*(VLOOKUP('Cost Allocation - Tier 1'!AG2,'Allocation CU RU'!$B$11:$I$82,8,))</f>
        <v>1603.0105287389965</v>
      </c>
      <c r="AH19" s="73">
        <f>($E$19-$H$19)*(VLOOKUP('Cost Allocation - Tier 1'!AH2,'Allocation CU RU'!$B$11:$I$82,8,))</f>
        <v>13137.626072335292</v>
      </c>
      <c r="AI19" s="73">
        <f>($E$19-$H$19)*(VLOOKUP('Cost Allocation - Tier 1'!AI2,'Allocation CU RU'!$B$11:$I$82,8,))</f>
        <v>91.198924094016675</v>
      </c>
      <c r="AJ19" s="73">
        <f>($E$19-$H$19)*(VLOOKUP('Cost Allocation - Tier 1'!AJ2,'Allocation CU RU'!$B$11:$I$82,8,))</f>
        <v>1934.836984713151</v>
      </c>
      <c r="AK19" s="73">
        <f>($E$19-$H$19)*(VLOOKUP('Cost Allocation - Tier 1'!AK2,'Allocation CU RU'!$B$11:$I$82,8,))</f>
        <v>1663.853958486176</v>
      </c>
      <c r="AL19" s="73">
        <f>($E$19-$H$19)*(VLOOKUP('Cost Allocation - Tier 1'!AL2,'Allocation CU RU'!$B$11:$I$82,8,))</f>
        <v>0</v>
      </c>
      <c r="AM19" s="73">
        <f>($E$19-$H$19)*(VLOOKUP('Cost Allocation - Tier 1'!AM2,'Allocation CU RU'!$B$11:$I$82,8,))</f>
        <v>203.07204812178591</v>
      </c>
      <c r="AN19" s="73">
        <f>($E$19-$H$19)*(VLOOKUP('Cost Allocation - Tier 1'!AN2,'Allocation CU RU'!$B$11:$I$82,8,))</f>
        <v>343.34072628867386</v>
      </c>
      <c r="AO19" s="73">
        <f>($E$19-$H$19)*(VLOOKUP('Cost Allocation - Tier 1'!AO2,'Allocation CU RU'!$B$11:$I$82,8,))</f>
        <v>2022.9963155326686</v>
      </c>
      <c r="AP19" s="73">
        <f>($E$19-$H$19)*(VLOOKUP('Cost Allocation - Tier 1'!AP2,'Allocation CU RU'!$B$11:$I$82,8,))</f>
        <v>306.42936921217097</v>
      </c>
      <c r="AQ19" s="73">
        <f>($E$19-$H$19)*(VLOOKUP('Cost Allocation - Tier 1'!AQ2,'Allocation CU RU'!$B$11:$I$82,8,))</f>
        <v>1922.3227424416284</v>
      </c>
      <c r="AR19" s="73">
        <f>($E$19-$H$19)*(VLOOKUP('Cost Allocation - Tier 1'!AR2,'Allocation CU RU'!$B$11:$I$82,8,))</f>
        <v>5.8145206863150376</v>
      </c>
      <c r="AS19" s="73">
        <f>($E$19-$H$19)*(VLOOKUP('Cost Allocation - Tier 1'!AS2,'Allocation CU RU'!$B$11:$I$82,8,))</f>
        <v>2833.1913840398624</v>
      </c>
      <c r="AT19" s="73">
        <f>($E$19-$H$19)*(VLOOKUP('Cost Allocation - Tier 1'!AT2,'Allocation CU RU'!$B$11:$I$82,8,))</f>
        <v>2350.1891782277298</v>
      </c>
      <c r="AU19" s="73">
        <f>($E$19-$H$19)*(VLOOKUP('Cost Allocation - Tier 1'!AU2,'Allocation CU RU'!$B$11:$I$82,8,))</f>
        <v>3286.3482432046981</v>
      </c>
      <c r="AV19" s="73">
        <f>($E$19-$H$19)*(VLOOKUP('Cost Allocation - Tier 1'!AV2,'Allocation CU RU'!$B$11:$I$82,8,))</f>
        <v>4618.496031930722</v>
      </c>
      <c r="AW19" s="73">
        <f>($E$19-$H$19)*(VLOOKUP('Cost Allocation - Tier 1'!AW2,'Allocation CU RU'!$B$11:$I$82,8,))</f>
        <v>11829.041364220233</v>
      </c>
      <c r="AX19" s="73">
        <f>($E$19-$H$19)*(VLOOKUP('Cost Allocation - Tier 1'!AX2,'Allocation CU RU'!$B$11:$I$82,8,))</f>
        <v>123.34837452894341</v>
      </c>
      <c r="AY19" s="73">
        <f>($E$19-$H$19)*(VLOOKUP('Cost Allocation - Tier 1'!AY2,'Allocation CU RU'!$B$11:$I$82,8,))</f>
        <v>38052.449295568127</v>
      </c>
      <c r="AZ19" s="73">
        <f>($E$19-$H$19)*(VLOOKUP('Cost Allocation - Tier 1'!AZ2,'Allocation CU RU'!$B$11:$I$82,8,))</f>
        <v>1279.7099057833566</v>
      </c>
      <c r="BA19" s="73">
        <f>($E$19-$H$19)*(VLOOKUP('Cost Allocation - Tier 1'!BA2,'Allocation CU RU'!$B$11:$I$82,8,))</f>
        <v>23075.07831117461</v>
      </c>
      <c r="BB19" s="73">
        <f>($E$19-$H$19)*(VLOOKUP('Cost Allocation - Tier 1'!BB2,'Allocation CU RU'!$B$11:$I$82,8,))</f>
        <v>86815.769560809946</v>
      </c>
      <c r="BC19" s="666">
        <f t="shared" si="8"/>
        <v>343376.33002323483</v>
      </c>
      <c r="BD19" s="73">
        <f>($E$19-$H$19)*(VLOOKUP('Cost Allocation - Tier 1'!BD2,'Allocation CU RU'!$B$11:$I$82,8,))</f>
        <v>55149.961790821166</v>
      </c>
      <c r="BE19" s="73">
        <f>($E$19-$H$19)*(VLOOKUP('Cost Allocation - Tier 1'!BE2,'Allocation CU RU'!$B$11:$I$82,8,))</f>
        <v>50296.789909529019</v>
      </c>
      <c r="BF19" s="73">
        <f>($E$19-$H$19)*(VLOOKUP('Cost Allocation - Tier 1'!BF2,'Allocation CU RU'!$B$11:$I$82,8,))</f>
        <v>30794.876477527374</v>
      </c>
      <c r="BG19" s="73">
        <f>($E$19-$H$19)*(VLOOKUP('Cost Allocation - Tier 1'!BG2,'Allocation CU RU'!$B$11:$I$82,8,))</f>
        <v>56913.438102419685</v>
      </c>
      <c r="BH19" s="73">
        <f>($E$19-$H$19)*(VLOOKUP('Cost Allocation - Tier 1'!BH2,'Allocation CU RU'!$B$11:$I$82,8,))</f>
        <v>44583.315201303951</v>
      </c>
      <c r="BI19" s="73">
        <f>($E$19-$H$19)*(VLOOKUP('Cost Allocation - Tier 1'!BI2,'Allocation CU RU'!$B$11:$I$82,8,))</f>
        <v>32463.229739141741</v>
      </c>
      <c r="BJ19" s="73">
        <f>($E$19-$H$19)*(VLOOKUP('Cost Allocation - Tier 1'!BJ2,'Allocation CU RU'!$B$11:$I$82,8,))</f>
        <v>18310.028667398798</v>
      </c>
      <c r="BK19" s="73">
        <f>($E$19-$H$19)*(VLOOKUP('Cost Allocation - Tier 1'!BK2,'Allocation CU RU'!$B$11:$I$82,8,))</f>
        <v>54864.690135093086</v>
      </c>
      <c r="BL19" s="76">
        <f>BC19+I19+H19</f>
        <v>554591.77136483206</v>
      </c>
      <c r="BM19" s="667">
        <f t="shared" si="3"/>
        <v>0</v>
      </c>
      <c r="BO19" s="668" t="s">
        <v>857</v>
      </c>
      <c r="BP19" s="204">
        <f t="shared" si="4"/>
        <v>554591.77136483195</v>
      </c>
      <c r="BQ19" s="204">
        <f t="shared" si="10"/>
        <v>587867.27764672192</v>
      </c>
      <c r="BR19" s="204">
        <f t="shared" si="5"/>
        <v>33275.506281889975</v>
      </c>
      <c r="BU19" s="1251" t="s">
        <v>480</v>
      </c>
      <c r="BV19" s="1254">
        <f t="shared" si="6"/>
        <v>288511.63988814177</v>
      </c>
    </row>
    <row r="20" spans="1:74" outlineLevel="1" x14ac:dyDescent="0.25">
      <c r="A20" s="177" t="s">
        <v>481</v>
      </c>
      <c r="B20" s="3" t="s">
        <v>132</v>
      </c>
      <c r="C20" s="662"/>
      <c r="D20" s="680">
        <v>1105656</v>
      </c>
      <c r="E20" s="681">
        <f>D20/Assumptions!$B$4</f>
        <v>833306.4522207065</v>
      </c>
      <c r="F20" s="680">
        <f>364247/Assumptions!$B$4</f>
        <v>274524.24199030775</v>
      </c>
      <c r="G20" s="682"/>
      <c r="H20" s="683"/>
      <c r="I20" s="684">
        <f t="shared" si="7"/>
        <v>317363.50801860844</v>
      </c>
      <c r="J20" s="78">
        <f>($E$20-$H$20)*(VLOOKUP('Cost Allocation - Tier 1'!J2,'Allocation CU RU'!$B$11:$I$82,8,))</f>
        <v>1995.3747635448526</v>
      </c>
      <c r="K20" s="78">
        <f>($E$20-$H$20)*(VLOOKUP('Cost Allocation - Tier 1'!K2,'Allocation CU RU'!$B$11:$I$82,8,))</f>
        <v>592.02429605957298</v>
      </c>
      <c r="L20" s="78">
        <f>($E$20-$H$20)*(VLOOKUP('Cost Allocation - Tier 1'!L2,'Allocation CU RU'!$B$11:$I$82,8,))</f>
        <v>621.71529121120182</v>
      </c>
      <c r="M20" s="78">
        <f>($E$20-$H$20)*(VLOOKUP('Cost Allocation - Tier 1'!M2,'Allocation CU RU'!$B$11:$I$82,8,))</f>
        <v>594.05788089142277</v>
      </c>
      <c r="N20" s="78">
        <f>($E$20-$H$20)*(VLOOKUP('Cost Allocation - Tier 1'!N2,'Allocation CU RU'!$B$11:$I$82,8,))</f>
        <v>1040.1437128123357</v>
      </c>
      <c r="O20" s="78">
        <f>($E$20-$H$20)*(VLOOKUP('Cost Allocation - Tier 1'!O2,'Allocation CU RU'!$B$11:$I$82,8,))</f>
        <v>2381.2561925235418</v>
      </c>
      <c r="P20" s="78">
        <f>($E$20-$H$20)*(VLOOKUP('Cost Allocation - Tier 1'!P2,'Allocation CU RU'!$B$11:$I$82,8,))</f>
        <v>288.04516886007576</v>
      </c>
      <c r="Q20" s="78">
        <f>($E$20-$H$20)*(VLOOKUP('Cost Allocation - Tier 1'!Q2,'Allocation CU RU'!$B$11:$I$82,8,))</f>
        <v>762.63419372133183</v>
      </c>
      <c r="R20" s="78">
        <f>($E$20-$H$20)*(VLOOKUP('Cost Allocation - Tier 1'!R2,'Allocation CU RU'!$B$11:$I$82,8,))</f>
        <v>652.27335291566249</v>
      </c>
      <c r="S20" s="78">
        <f>($E$20-$H$20)*(VLOOKUP('Cost Allocation - Tier 1'!S2,'Allocation CU RU'!$B$11:$I$82,8,))</f>
        <v>671.05086013968389</v>
      </c>
      <c r="T20" s="78">
        <f>($E$20-$H$20)*(VLOOKUP('Cost Allocation - Tier 1'!T2,'Allocation CU RU'!$B$11:$I$82,8,))</f>
        <v>2430.5468593753599</v>
      </c>
      <c r="U20" s="78">
        <f>($E$20-$H$20)*(VLOOKUP('Cost Allocation - Tier 1'!U2,'Allocation CU RU'!$B$11:$I$82,8,))</f>
        <v>1940.5463575930396</v>
      </c>
      <c r="V20" s="78">
        <f>($E$20-$H$20)*(VLOOKUP('Cost Allocation - Tier 1'!V2,'Allocation CU RU'!$B$11:$I$82,8,))</f>
        <v>1540.0693778638629</v>
      </c>
      <c r="W20" s="78">
        <f>($E$20-$H$20)*(VLOOKUP('Cost Allocation - Tier 1'!W2,'Allocation CU RU'!$B$11:$I$82,8,))</f>
        <v>2469.6014248764936</v>
      </c>
      <c r="X20" s="78">
        <f>($E$20-$H$20)*(VLOOKUP('Cost Allocation - Tier 1'!X2,'Allocation CU RU'!$B$11:$I$82,8,))</f>
        <v>61.075715545694273</v>
      </c>
      <c r="Y20" s="78">
        <f>($E$20-$H$20)*(VLOOKUP('Cost Allocation - Tier 1'!Y2,'Allocation CU RU'!$B$11:$I$82,8,))</f>
        <v>48.187206568367067</v>
      </c>
      <c r="Z20" s="78">
        <f>($E$20-$H$20)*(VLOOKUP('Cost Allocation - Tier 1'!Z2,'Allocation CU RU'!$B$11:$I$82,8,))</f>
        <v>233.05094002453825</v>
      </c>
      <c r="AA20" s="78">
        <f>($E$20-$H$20)*(VLOOKUP('Cost Allocation - Tier 1'!AA2,'Allocation CU RU'!$B$11:$I$82,8,))</f>
        <v>213.03354212981847</v>
      </c>
      <c r="AB20" s="78">
        <f>($E$20-$H$20)*(VLOOKUP('Cost Allocation - Tier 1'!AB2,'Allocation CU RU'!$B$11:$I$82,8,))</f>
        <v>128.1730078631121</v>
      </c>
      <c r="AC20" s="78">
        <f>($E$20-$H$20)*(VLOOKUP('Cost Allocation - Tier 1'!AC2,'Allocation CU RU'!$B$11:$I$82,8,))</f>
        <v>131.05134882965896</v>
      </c>
      <c r="AD20" s="78">
        <f>($E$20-$H$20)*(VLOOKUP('Cost Allocation - Tier 1'!AD2,'Allocation CU RU'!$B$11:$I$82,8,))</f>
        <v>743.25756184424665</v>
      </c>
      <c r="AE20" s="78">
        <f>($E$20-$H$20)*(VLOOKUP('Cost Allocation - Tier 1'!AE2,'Allocation CU RU'!$B$11:$I$82,8,))</f>
        <v>298.17098346593895</v>
      </c>
      <c r="AF20" s="78">
        <f>($E$20-$H$20)*(VLOOKUP('Cost Allocation - Tier 1'!AF2,'Allocation CU RU'!$B$11:$I$82,8,))</f>
        <v>775.72880751942364</v>
      </c>
      <c r="AG20" s="78">
        <f>($E$20-$H$20)*(VLOOKUP('Cost Allocation - Tier 1'!AG2,'Allocation CU RU'!$B$11:$I$82,8,))</f>
        <v>2408.6167259362237</v>
      </c>
      <c r="AH20" s="78">
        <f>($E$20-$H$20)*(VLOOKUP('Cost Allocation - Tier 1'!AH2,'Allocation CU RU'!$B$11:$I$82,8,))</f>
        <v>19740.048695634498</v>
      </c>
      <c r="AI20" s="78">
        <f>($E$20-$H$20)*(VLOOKUP('Cost Allocation - Tier 1'!AI2,'Allocation CU RU'!$B$11:$I$82,8,))</f>
        <v>137.03169756036104</v>
      </c>
      <c r="AJ20" s="78">
        <f>($E$20-$H$20)*(VLOOKUP('Cost Allocation - Tier 1'!AJ2,'Allocation CU RU'!$B$11:$I$82,8,))</f>
        <v>2907.2053113750289</v>
      </c>
      <c r="AK20" s="78">
        <f>($E$20-$H$20)*(VLOOKUP('Cost Allocation - Tier 1'!AK2,'Allocation CU RU'!$B$11:$I$82,8,))</f>
        <v>2500.0375244431825</v>
      </c>
      <c r="AL20" s="78">
        <f>($E$20-$H$20)*(VLOOKUP('Cost Allocation - Tier 1'!AL2,'Allocation CU RU'!$B$11:$I$82,8,))</f>
        <v>0</v>
      </c>
      <c r="AM20" s="78">
        <f>($E$20-$H$20)*(VLOOKUP('Cost Allocation - Tier 1'!AM2,'Allocation CU RU'!$B$11:$I$82,8,))</f>
        <v>305.12758519498067</v>
      </c>
      <c r="AN20" s="78">
        <f>($E$20-$H$20)*(VLOOKUP('Cost Allocation - Tier 1'!AN2,'Allocation CU RU'!$B$11:$I$82,8,))</f>
        <v>515.88944751631107</v>
      </c>
      <c r="AO20" s="78">
        <f>($E$20-$H$20)*(VLOOKUP('Cost Allocation - Tier 1'!AO2,'Allocation CU RU'!$B$11:$I$82,8,))</f>
        <v>3039.6698429250951</v>
      </c>
      <c r="AP20" s="78">
        <f>($E$20-$H$20)*(VLOOKUP('Cost Allocation - Tier 1'!AP2,'Allocation CU RU'!$B$11:$I$82,8,))</f>
        <v>460.4279827052182</v>
      </c>
      <c r="AQ20" s="78">
        <f>($E$20-$H$20)*(VLOOKUP('Cost Allocation - Tier 1'!AQ2,'Allocation CU RU'!$B$11:$I$82,8,))</f>
        <v>2888.4019331643331</v>
      </c>
      <c r="AR20" s="78">
        <f>($E$20-$H$20)*(VLOOKUP('Cost Allocation - Tier 1'!AR2,'Allocation CU RU'!$B$11:$I$82,8,))</f>
        <v>8.7366561399802674</v>
      </c>
      <c r="AS20" s="78">
        <f>($E$20-$H$20)*(VLOOKUP('Cost Allocation - Tier 1'!AS2,'Allocation CU RU'!$B$11:$I$82,8,))</f>
        <v>4257.0351429600069</v>
      </c>
      <c r="AT20" s="78">
        <f>($E$20-$H$20)*(VLOOKUP('Cost Allocation - Tier 1'!AT2,'Allocation CU RU'!$B$11:$I$82,8,))</f>
        <v>3531.296184465235</v>
      </c>
      <c r="AU20" s="78">
        <f>($E$20-$H$20)*(VLOOKUP('Cost Allocation - Tier 1'!AU2,'Allocation CU RU'!$B$11:$I$82,8,))</f>
        <v>4937.9297290459508</v>
      </c>
      <c r="AV20" s="78">
        <f>($E$20-$H$20)*(VLOOKUP('Cost Allocation - Tier 1'!AV2,'Allocation CU RU'!$B$11:$I$82,8,))</f>
        <v>6939.5594050958753</v>
      </c>
      <c r="AW20" s="78">
        <f>($E$20-$H$20)*(VLOOKUP('Cost Allocation - Tier 1'!AW2,'Allocation CU RU'!$B$11:$I$82,8,))</f>
        <v>17773.823921209765</v>
      </c>
      <c r="AX20" s="78">
        <f>($E$20-$H$20)*(VLOOKUP('Cost Allocation - Tier 1'!AX2,'Allocation CU RU'!$B$11:$I$82,8,))</f>
        <v>185.33812016891164</v>
      </c>
      <c r="AY20" s="78">
        <f>($E$20-$H$20)*(VLOOKUP('Cost Allocation - Tier 1'!AY2,'Allocation CU RU'!$B$11:$I$82,8,))</f>
        <v>57176.022361028794</v>
      </c>
      <c r="AZ20" s="78">
        <f>($E$20-$H$20)*(VLOOKUP('Cost Allocation - Tier 1'!AZ2,'Allocation CU RU'!$B$11:$I$82,8,))</f>
        <v>1922.838701403145</v>
      </c>
      <c r="BA20" s="78">
        <f>($E$20-$H$20)*(VLOOKUP('Cost Allocation - Tier 1'!BA2,'Allocation CU RU'!$B$11:$I$82,8,))</f>
        <v>34671.649734143924</v>
      </c>
      <c r="BB20" s="78">
        <f>($E$20-$H$20)*(VLOOKUP('Cost Allocation - Tier 1'!BB2,'Allocation CU RU'!$B$11:$I$82,8,))</f>
        <v>130445.75247031236</v>
      </c>
      <c r="BC20" s="684">
        <f t="shared" si="8"/>
        <v>515942.94420209818</v>
      </c>
      <c r="BD20" s="78">
        <f>($E$20-$H$20)*(VLOOKUP('Cost Allocation - Tier 1'!BD2,'Allocation CU RU'!$B$11:$I$82,8,))</f>
        <v>82866.031147412257</v>
      </c>
      <c r="BE20" s="78">
        <f>($E$20-$H$20)*(VLOOKUP('Cost Allocation - Tier 1'!BE2,'Allocation CU RU'!$B$11:$I$82,8,))</f>
        <v>75573.857604223449</v>
      </c>
      <c r="BF20" s="78">
        <f>($E$20-$H$20)*(VLOOKUP('Cost Allocation - Tier 1'!BF2,'Allocation CU RU'!$B$11:$I$82,8,))</f>
        <v>46271.096307308981</v>
      </c>
      <c r="BG20" s="78">
        <f>($E$20-$H$20)*(VLOOKUP('Cost Allocation - Tier 1'!BG2,'Allocation CU RU'!$B$11:$I$82,8,))</f>
        <v>85515.75706234423</v>
      </c>
      <c r="BH20" s="78">
        <f>($E$20-$H$20)*(VLOOKUP('Cost Allocation - Tier 1'!BH2,'Allocation CU RU'!$B$11:$I$82,8,))</f>
        <v>66989.028934214657</v>
      </c>
      <c r="BI20" s="78">
        <f>($E$20-$H$20)*(VLOOKUP('Cost Allocation - Tier 1'!BI2,'Allocation CU RU'!$B$11:$I$82,8,))</f>
        <v>48777.894296874088</v>
      </c>
      <c r="BJ20" s="78">
        <f>($E$20-$H$20)*(VLOOKUP('Cost Allocation - Tier 1'!BJ2,'Allocation CU RU'!$B$11:$I$82,8,))</f>
        <v>27511.884987655732</v>
      </c>
      <c r="BK20" s="78">
        <f>($E$20-$H$20)*(VLOOKUP('Cost Allocation - Tier 1'!BK2,'Allocation CU RU'!$B$11:$I$82,8,))</f>
        <v>82437.393862064753</v>
      </c>
      <c r="BL20" s="685">
        <f>BC20+I20+H20</f>
        <v>833306.45222070662</v>
      </c>
      <c r="BM20" s="667">
        <f t="shared" si="3"/>
        <v>0</v>
      </c>
      <c r="BO20" s="668" t="s">
        <v>857</v>
      </c>
      <c r="BP20" s="204">
        <f t="shared" si="4"/>
        <v>833306.4522207065</v>
      </c>
      <c r="BQ20" s="204">
        <f t="shared" si="10"/>
        <v>866833.3848345303</v>
      </c>
      <c r="BR20" s="204">
        <f t="shared" si="5"/>
        <v>33526.932613823796</v>
      </c>
      <c r="BU20" s="1251" t="s">
        <v>481</v>
      </c>
      <c r="BV20" s="1254">
        <f t="shared" si="6"/>
        <v>433505.55034003343</v>
      </c>
    </row>
    <row r="21" spans="1:74" s="1" customFormat="1" outlineLevel="1" x14ac:dyDescent="0.25">
      <c r="A21" s="1" t="s">
        <v>865</v>
      </c>
      <c r="B21" s="35"/>
      <c r="C21" s="686"/>
      <c r="D21" s="687">
        <f>SUM(D5:D20)</f>
        <v>17328186.377785556</v>
      </c>
      <c r="E21" s="687">
        <f>SUM(E5:E20)</f>
        <v>13059839.148787376</v>
      </c>
      <c r="F21" s="687">
        <f>SUM(F5:F20)</f>
        <v>3101443.2896452448</v>
      </c>
      <c r="G21" s="687"/>
      <c r="H21" s="688">
        <f t="shared" ref="H21:BK21" si="11">SUM(H5:H20)</f>
        <v>126859.85619860872</v>
      </c>
      <c r="I21" s="666">
        <f t="shared" si="11"/>
        <v>5041489.4906200124</v>
      </c>
      <c r="J21" s="687">
        <f t="shared" si="11"/>
        <v>30940.682474066045</v>
      </c>
      <c r="K21" s="687">
        <f t="shared" si="11"/>
        <v>9176.586917780025</v>
      </c>
      <c r="L21" s="687">
        <f t="shared" si="11"/>
        <v>9634.7628759415456</v>
      </c>
      <c r="M21" s="687">
        <f t="shared" si="11"/>
        <v>9215.1129017999028</v>
      </c>
      <c r="N21" s="687">
        <f t="shared" si="11"/>
        <v>16123.732424263992</v>
      </c>
      <c r="O21" s="687">
        <f t="shared" si="11"/>
        <v>36925.986835917822</v>
      </c>
      <c r="P21" s="687">
        <f t="shared" si="11"/>
        <v>4467.1901142520665</v>
      </c>
      <c r="Q21" s="687">
        <f t="shared" si="11"/>
        <v>11829.275353553874</v>
      </c>
      <c r="R21" s="687">
        <f t="shared" si="11"/>
        <v>10117.963135477432</v>
      </c>
      <c r="S21" s="687">
        <f t="shared" si="11"/>
        <v>10408.811985582788</v>
      </c>
      <c r="T21" s="687">
        <f t="shared" si="11"/>
        <v>37703.442426523899</v>
      </c>
      <c r="U21" s="687">
        <f t="shared" si="11"/>
        <v>30101.528657016537</v>
      </c>
      <c r="V21" s="687">
        <f t="shared" si="11"/>
        <v>23884.058567263706</v>
      </c>
      <c r="W21" s="687">
        <f t="shared" si="11"/>
        <v>38302.659343159168</v>
      </c>
      <c r="X21" s="687">
        <f t="shared" si="11"/>
        <v>947.00056205622172</v>
      </c>
      <c r="Y21" s="687">
        <f t="shared" si="11"/>
        <v>746.95161041274002</v>
      </c>
      <c r="Z21" s="687">
        <f t="shared" si="11"/>
        <v>3611.3703073074416</v>
      </c>
      <c r="AA21" s="687">
        <f t="shared" si="11"/>
        <v>3300.9120470506186</v>
      </c>
      <c r="AB21" s="687">
        <f t="shared" si="11"/>
        <v>1985.8780043508793</v>
      </c>
      <c r="AC21" s="687">
        <f t="shared" si="11"/>
        <v>2031.3659327813918</v>
      </c>
      <c r="AD21" s="687">
        <f t="shared" si="11"/>
        <v>11527.069912804167</v>
      </c>
      <c r="AE21" s="687">
        <f t="shared" si="11"/>
        <v>4623.0295433495094</v>
      </c>
      <c r="AF21" s="687">
        <f t="shared" si="11"/>
        <v>12029.009574520516</v>
      </c>
      <c r="AG21" s="687">
        <f t="shared" si="11"/>
        <v>37371.667751300323</v>
      </c>
      <c r="AH21" s="687">
        <f t="shared" si="11"/>
        <v>305974.51667308481</v>
      </c>
      <c r="AI21" s="687">
        <f t="shared" si="11"/>
        <v>2125.5256446495687</v>
      </c>
      <c r="AJ21" s="687">
        <f t="shared" si="11"/>
        <v>45100.809333515666</v>
      </c>
      <c r="AK21" s="687">
        <f t="shared" si="11"/>
        <v>38778.186846882454</v>
      </c>
      <c r="AL21" s="687">
        <f t="shared" si="11"/>
        <v>0</v>
      </c>
      <c r="AM21" s="687">
        <f t="shared" si="11"/>
        <v>4728.4136226310748</v>
      </c>
      <c r="AN21" s="687">
        <f t="shared" si="11"/>
        <v>7996.4516822680016</v>
      </c>
      <c r="AO21" s="687">
        <f t="shared" si="11"/>
        <v>47150.926982410863</v>
      </c>
      <c r="AP21" s="687">
        <f t="shared" si="11"/>
        <v>7140.9924968641453</v>
      </c>
      <c r="AQ21" s="687">
        <f t="shared" si="11"/>
        <v>44810.953064132045</v>
      </c>
      <c r="AR21" s="687">
        <f t="shared" si="11"/>
        <v>135.34196920050132</v>
      </c>
      <c r="AS21" s="687">
        <f t="shared" si="11"/>
        <v>66041.140058999066</v>
      </c>
      <c r="AT21" s="687">
        <f t="shared" si="11"/>
        <v>54788.957310726626</v>
      </c>
      <c r="AU21" s="687">
        <f t="shared" si="11"/>
        <v>76591.143289778527</v>
      </c>
      <c r="AV21" s="687">
        <f t="shared" si="11"/>
        <v>107651.7433035805</v>
      </c>
      <c r="AW21" s="687">
        <f t="shared" si="11"/>
        <v>275707.30895589478</v>
      </c>
      <c r="AX21" s="687">
        <f t="shared" si="11"/>
        <v>2871.1243466240294</v>
      </c>
      <c r="AY21" s="687">
        <f t="shared" si="11"/>
        <v>919399.77059710061</v>
      </c>
      <c r="AZ21" s="687">
        <f t="shared" si="11"/>
        <v>32598.034310891002</v>
      </c>
      <c r="BA21" s="687">
        <f t="shared" si="11"/>
        <v>560989.1560299471</v>
      </c>
      <c r="BB21" s="687">
        <f t="shared" si="11"/>
        <v>2083902.9448422976</v>
      </c>
      <c r="BC21" s="666">
        <f t="shared" si="11"/>
        <v>7891489.8019687589</v>
      </c>
      <c r="BD21" s="687">
        <f t="shared" si="11"/>
        <v>1267458.8286903251</v>
      </c>
      <c r="BE21" s="687">
        <f t="shared" si="11"/>
        <v>1155923.020715947</v>
      </c>
      <c r="BF21" s="687">
        <f t="shared" si="11"/>
        <v>707729.19513366243</v>
      </c>
      <c r="BG21" s="687">
        <f t="shared" si="11"/>
        <v>1307987.1182438065</v>
      </c>
      <c r="BH21" s="687">
        <f t="shared" si="11"/>
        <v>1024615.6956282982</v>
      </c>
      <c r="BI21" s="687">
        <f t="shared" si="11"/>
        <v>746071.36260111793</v>
      </c>
      <c r="BJ21" s="687">
        <f t="shared" si="11"/>
        <v>420801.87790683174</v>
      </c>
      <c r="BK21" s="687">
        <f t="shared" si="11"/>
        <v>1260902.7030487694</v>
      </c>
      <c r="BL21" s="687">
        <f>BC21+I21+H21</f>
        <v>13059839.148787379</v>
      </c>
      <c r="BM21" s="689">
        <f>BL21-E21</f>
        <v>0</v>
      </c>
      <c r="BO21" s="690"/>
      <c r="BP21" s="691">
        <f t="shared" si="4"/>
        <v>13059839.148787376</v>
      </c>
      <c r="BQ21" s="691">
        <f t="shared" si="10"/>
        <v>13650162.700335907</v>
      </c>
      <c r="BR21" s="691">
        <f t="shared" si="5"/>
        <v>590323.55154853128</v>
      </c>
      <c r="BU21" s="930"/>
    </row>
    <row r="22" spans="1:74" outlineLevel="1" x14ac:dyDescent="0.25">
      <c r="C22" s="639"/>
      <c r="D22" s="351"/>
      <c r="E22" s="351"/>
      <c r="F22" s="351"/>
      <c r="G22" s="76"/>
      <c r="H22" s="692">
        <f>H21/$E$21</f>
        <v>9.7137380294908017E-3</v>
      </c>
      <c r="I22" s="692">
        <f>I21/$E$21</f>
        <v>0.38602998346178879</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80"/>
      <c r="BC22" s="692">
        <f>BC21/$E$21</f>
        <v>0.60425627850872077</v>
      </c>
      <c r="BD22" s="77">
        <f>BD21/$BC$21</f>
        <v>0.16061084288217936</v>
      </c>
      <c r="BE22" s="77">
        <f t="shared" ref="BE22:BK22" si="12">BE21/$BC$21</f>
        <v>0.14647716080524731</v>
      </c>
      <c r="BF22" s="77">
        <f t="shared" si="12"/>
        <v>8.9682583757137849E-2</v>
      </c>
      <c r="BG22" s="77">
        <f t="shared" si="12"/>
        <v>0.16574653849485957</v>
      </c>
      <c r="BH22" s="77">
        <f t="shared" si="12"/>
        <v>0.12983805610097582</v>
      </c>
      <c r="BI22" s="77">
        <f t="shared" si="12"/>
        <v>9.4541256635089235E-2</v>
      </c>
      <c r="BJ22" s="77">
        <f t="shared" si="12"/>
        <v>5.3323502718314431E-2</v>
      </c>
      <c r="BK22" s="77">
        <f t="shared" si="12"/>
        <v>0.15978005860619637</v>
      </c>
      <c r="BL22" s="80">
        <f>BC22+I22+H22</f>
        <v>1.0000000000000002</v>
      </c>
      <c r="BM22" s="667">
        <f>BL22-1</f>
        <v>0</v>
      </c>
      <c r="BO22" s="668"/>
      <c r="BP22" s="204">
        <f t="shared" si="4"/>
        <v>0</v>
      </c>
      <c r="BQ22" s="204">
        <f t="shared" si="10"/>
        <v>0</v>
      </c>
      <c r="BR22" s="204">
        <f t="shared" si="5"/>
        <v>0</v>
      </c>
    </row>
    <row r="23" spans="1:74" outlineLevel="1" x14ac:dyDescent="0.25">
      <c r="C23" s="639"/>
      <c r="D23" s="351"/>
      <c r="E23" s="351"/>
      <c r="F23" s="351"/>
      <c r="G23" s="76"/>
      <c r="H23" s="242" t="s">
        <v>866</v>
      </c>
      <c r="I23" s="692">
        <f>I22/(I22+BC22)</f>
        <v>0.38981655939935139</v>
      </c>
      <c r="BB23" s="177" t="s">
        <v>866</v>
      </c>
      <c r="BC23" s="692">
        <f>BC22/(BC22+I22)</f>
        <v>0.61018344060064866</v>
      </c>
      <c r="BD23" s="77"/>
      <c r="BL23" s="80">
        <f>BC23+I23</f>
        <v>1</v>
      </c>
      <c r="BM23" s="667">
        <f>BL23-1</f>
        <v>0</v>
      </c>
      <c r="BO23" s="668"/>
      <c r="BP23" s="204">
        <f t="shared" si="4"/>
        <v>0</v>
      </c>
      <c r="BQ23" s="204">
        <f t="shared" si="10"/>
        <v>0</v>
      </c>
      <c r="BR23" s="204">
        <f t="shared" si="5"/>
        <v>0</v>
      </c>
    </row>
    <row r="24" spans="1:74" outlineLevel="1" x14ac:dyDescent="0.25">
      <c r="A24" s="199" t="s">
        <v>867</v>
      </c>
      <c r="C24" s="639"/>
      <c r="D24" s="351"/>
      <c r="E24" s="351"/>
      <c r="F24" s="351"/>
      <c r="G24" s="76"/>
      <c r="H24" s="692"/>
      <c r="I24" s="692"/>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7">
        <f>AY14/SUM($AY$14:$BB$14)</f>
        <v>0.27142857142857146</v>
      </c>
      <c r="AZ24" s="77">
        <f>AZ14/SUM($AY$14:$BB$14)</f>
        <v>2.3214285714285715E-2</v>
      </c>
      <c r="BA24" s="77">
        <f>BA14/SUM($AY$14:$BB$14)</f>
        <v>0.19642857142857142</v>
      </c>
      <c r="BB24" s="77">
        <f>BB14/SUM($AY$14:$BB$14)</f>
        <v>0.5089285714285714</v>
      </c>
      <c r="BC24" s="692"/>
      <c r="BD24" s="76"/>
      <c r="BE24" s="76"/>
      <c r="BF24" s="76"/>
      <c r="BG24" s="76"/>
      <c r="BH24" s="76"/>
      <c r="BI24" s="76"/>
      <c r="BJ24" s="76"/>
      <c r="BK24" s="76"/>
      <c r="BL24" s="80"/>
      <c r="BM24" s="667"/>
      <c r="BO24" s="668"/>
      <c r="BP24" s="204">
        <f t="shared" si="4"/>
        <v>0</v>
      </c>
      <c r="BQ24" s="204">
        <f t="shared" si="10"/>
        <v>0</v>
      </c>
      <c r="BR24" s="204">
        <f t="shared" si="5"/>
        <v>0</v>
      </c>
    </row>
    <row r="25" spans="1:74" outlineLevel="1" x14ac:dyDescent="0.25">
      <c r="A25" s="199"/>
      <c r="D25" s="76"/>
      <c r="E25" s="76"/>
      <c r="F25" s="76"/>
      <c r="G25" s="76"/>
      <c r="H25" s="692"/>
      <c r="I25" s="692"/>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80"/>
      <c r="BC25" s="692"/>
      <c r="BD25" s="77"/>
      <c r="BE25" s="77"/>
      <c r="BF25" s="77"/>
      <c r="BG25" s="77"/>
      <c r="BH25" s="77"/>
      <c r="BI25" s="77"/>
      <c r="BJ25" s="77"/>
      <c r="BK25" s="77"/>
      <c r="BL25" s="80"/>
      <c r="BM25" s="667"/>
      <c r="BO25" s="668"/>
      <c r="BP25" s="204">
        <f t="shared" si="4"/>
        <v>0</v>
      </c>
      <c r="BQ25" s="204">
        <f t="shared" si="10"/>
        <v>0</v>
      </c>
      <c r="BR25" s="204">
        <f t="shared" si="5"/>
        <v>0</v>
      </c>
    </row>
    <row r="26" spans="1:74" outlineLevel="1" x14ac:dyDescent="0.25">
      <c r="A26" s="693" t="s">
        <v>421</v>
      </c>
      <c r="B26" s="3" t="s">
        <v>868</v>
      </c>
      <c r="D26" s="663">
        <v>-169110</v>
      </c>
      <c r="E26" s="663">
        <v>-127500</v>
      </c>
      <c r="F26" s="665"/>
      <c r="G26" s="665"/>
      <c r="H26" s="692"/>
      <c r="I26" s="666">
        <f t="shared" ref="I26:I29" si="13">SUM(J26:BB26)</f>
        <v>-127500</v>
      </c>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f>E26</f>
        <v>-127500</v>
      </c>
      <c r="BC26" s="694">
        <f>SUM(BD26:BK26)</f>
        <v>0</v>
      </c>
      <c r="BD26" s="73"/>
      <c r="BE26" s="73"/>
      <c r="BF26" s="73"/>
      <c r="BG26" s="73"/>
      <c r="BH26" s="73"/>
      <c r="BI26" s="73"/>
      <c r="BJ26" s="73"/>
      <c r="BK26" s="73"/>
      <c r="BL26" s="695">
        <f t="shared" ref="BL26:BL29" si="14">BC26+I26+H26</f>
        <v>-127500</v>
      </c>
      <c r="BM26" s="667">
        <f>BL26-E26</f>
        <v>0</v>
      </c>
      <c r="BO26" s="679" t="s">
        <v>863</v>
      </c>
      <c r="BP26" s="204">
        <f t="shared" si="4"/>
        <v>-127500</v>
      </c>
      <c r="BQ26" s="204">
        <f t="shared" si="10"/>
        <v>-127500</v>
      </c>
      <c r="BR26" s="204">
        <f t="shared" si="5"/>
        <v>0</v>
      </c>
      <c r="BU26" s="1251" t="s">
        <v>421</v>
      </c>
    </row>
    <row r="27" spans="1:74" outlineLevel="1" x14ac:dyDescent="0.25">
      <c r="A27" s="693" t="s">
        <v>315</v>
      </c>
      <c r="B27" s="3" t="s">
        <v>334</v>
      </c>
      <c r="C27" s="662"/>
      <c r="D27" s="663">
        <v>-148330</v>
      </c>
      <c r="E27" s="663">
        <v>-111875</v>
      </c>
      <c r="F27" s="665"/>
      <c r="G27" s="665"/>
      <c r="H27" s="692"/>
      <c r="I27" s="6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694">
        <f>SUM(BD27:BK27)</f>
        <v>-111875</v>
      </c>
      <c r="BD27" s="73"/>
      <c r="BE27" s="73"/>
      <c r="BF27" s="73"/>
      <c r="BG27" s="73"/>
      <c r="BH27" s="73"/>
      <c r="BI27" s="73"/>
      <c r="BJ27" s="73"/>
      <c r="BK27" s="73">
        <f>E27</f>
        <v>-111875</v>
      </c>
      <c r="BL27" s="695">
        <f t="shared" si="14"/>
        <v>-111875</v>
      </c>
      <c r="BM27" s="667"/>
      <c r="BO27" s="679" t="s">
        <v>863</v>
      </c>
      <c r="BP27" s="204">
        <f t="shared" si="4"/>
        <v>-111875</v>
      </c>
      <c r="BQ27" s="204">
        <f t="shared" si="10"/>
        <v>-111875</v>
      </c>
      <c r="BR27" s="204">
        <f t="shared" si="5"/>
        <v>0</v>
      </c>
      <c r="BU27" s="1251" t="s">
        <v>315</v>
      </c>
    </row>
    <row r="28" spans="1:74" outlineLevel="1" x14ac:dyDescent="0.25">
      <c r="A28" s="177" t="s">
        <v>482</v>
      </c>
      <c r="B28" s="3" t="s">
        <v>132</v>
      </c>
      <c r="D28" s="696">
        <v>0</v>
      </c>
      <c r="E28" s="664">
        <f>D28/Assumptions!$B$4</f>
        <v>0</v>
      </c>
      <c r="F28" s="664"/>
      <c r="G28" s="664"/>
      <c r="H28" s="692"/>
      <c r="I28" s="666">
        <f t="shared" si="13"/>
        <v>0</v>
      </c>
      <c r="J28" s="73">
        <f>($E$28-$H$28)*(VLOOKUP('Cost Allocation - Tier 1'!J2,'Allocation CU RU'!$B$11:$I$82,8,))</f>
        <v>0</v>
      </c>
      <c r="K28" s="73">
        <f>($E$28-$H$28)*(VLOOKUP('Cost Allocation - Tier 1'!K2,'Allocation CU RU'!$B$11:$I$82,8,))</f>
        <v>0</v>
      </c>
      <c r="L28" s="73">
        <f>($E$28-$H$28)*(VLOOKUP('Cost Allocation - Tier 1'!L2,'Allocation CU RU'!$B$11:$I$82,8,))</f>
        <v>0</v>
      </c>
      <c r="M28" s="73">
        <f>($E$28-$H$28)*(VLOOKUP('Cost Allocation - Tier 1'!M2,'Allocation CU RU'!$B$11:$I$82,8,))</f>
        <v>0</v>
      </c>
      <c r="N28" s="73">
        <f>($E$28-$H$28)*(VLOOKUP('Cost Allocation - Tier 1'!N2,'Allocation CU RU'!$B$11:$I$82,8,))</f>
        <v>0</v>
      </c>
      <c r="O28" s="73">
        <f>($E$28-$H$28)*(VLOOKUP('Cost Allocation - Tier 1'!O2,'Allocation CU RU'!$B$11:$I$82,8,))</f>
        <v>0</v>
      </c>
      <c r="P28" s="73">
        <f>($E$28-$H$28)*(VLOOKUP('Cost Allocation - Tier 1'!P2,'Allocation CU RU'!$B$11:$I$82,8,))</f>
        <v>0</v>
      </c>
      <c r="Q28" s="73">
        <f>($E$28-$H$28)*(VLOOKUP('Cost Allocation - Tier 1'!Q2,'Allocation CU RU'!$B$11:$I$82,8,))</f>
        <v>0</v>
      </c>
      <c r="R28" s="73">
        <f>($E$28-$H$28)*(VLOOKUP('Cost Allocation - Tier 1'!R2,'Allocation CU RU'!$B$11:$I$82,8,))</f>
        <v>0</v>
      </c>
      <c r="S28" s="73">
        <f>($E$28-$H$28)*(VLOOKUP('Cost Allocation - Tier 1'!S2,'Allocation CU RU'!$B$11:$I$82,8,))</f>
        <v>0</v>
      </c>
      <c r="T28" s="73">
        <f>($E$28-$H$28)*(VLOOKUP('Cost Allocation - Tier 1'!T2,'Allocation CU RU'!$B$11:$I$82,8,))</f>
        <v>0</v>
      </c>
      <c r="U28" s="73">
        <f>($E$28-$H$28)*(VLOOKUP('Cost Allocation - Tier 1'!U2,'Allocation CU RU'!$B$11:$I$82,8,))</f>
        <v>0</v>
      </c>
      <c r="V28" s="73">
        <f>($E$28-$H$28)*(VLOOKUP('Cost Allocation - Tier 1'!V2,'Allocation CU RU'!$B$11:$I$82,8,))</f>
        <v>0</v>
      </c>
      <c r="W28" s="73">
        <f>($E$28-$H$28)*(VLOOKUP('Cost Allocation - Tier 1'!W2,'Allocation CU RU'!$B$11:$I$82,8,))</f>
        <v>0</v>
      </c>
      <c r="X28" s="73">
        <f>($E$28-$H$28)*(VLOOKUP('Cost Allocation - Tier 1'!X2,'Allocation CU RU'!$B$11:$I$82,8,))</f>
        <v>0</v>
      </c>
      <c r="Y28" s="73">
        <f>($E$28-$H$28)*(VLOOKUP('Cost Allocation - Tier 1'!Y2,'Allocation CU RU'!$B$11:$I$82,8,))</f>
        <v>0</v>
      </c>
      <c r="Z28" s="73">
        <f>($E$28-$H$28)*(VLOOKUP('Cost Allocation - Tier 1'!Z2,'Allocation CU RU'!$B$11:$I$82,8,))</f>
        <v>0</v>
      </c>
      <c r="AA28" s="73">
        <f>($E$28-$H$28)*(VLOOKUP('Cost Allocation - Tier 1'!AA2,'Allocation CU RU'!$B$11:$I$82,8,))</f>
        <v>0</v>
      </c>
      <c r="AB28" s="73">
        <f>($E$28-$H$28)*(VLOOKUP('Cost Allocation - Tier 1'!AB2,'Allocation CU RU'!$B$11:$I$82,8,))</f>
        <v>0</v>
      </c>
      <c r="AC28" s="73">
        <f>($E$28-$H$28)*(VLOOKUP('Cost Allocation - Tier 1'!AC2,'Allocation CU RU'!$B$11:$I$82,8,))</f>
        <v>0</v>
      </c>
      <c r="AD28" s="73">
        <f>($E$28-$H$28)*(VLOOKUP('Cost Allocation - Tier 1'!AD2,'Allocation CU RU'!$B$11:$I$82,8,))</f>
        <v>0</v>
      </c>
      <c r="AE28" s="73">
        <f>($E$28-$H$28)*(VLOOKUP('Cost Allocation - Tier 1'!AE2,'Allocation CU RU'!$B$11:$I$82,8,))</f>
        <v>0</v>
      </c>
      <c r="AF28" s="73">
        <f>($E$28-$H$28)*(VLOOKUP('Cost Allocation - Tier 1'!AF2,'Allocation CU RU'!$B$11:$I$82,8,))</f>
        <v>0</v>
      </c>
      <c r="AG28" s="73">
        <f>($E$28-$H$28)*(VLOOKUP('Cost Allocation - Tier 1'!AG2,'Allocation CU RU'!$B$11:$I$82,8,))</f>
        <v>0</v>
      </c>
      <c r="AH28" s="73">
        <f>($E$28-$H$28)*(VLOOKUP('Cost Allocation - Tier 1'!AH2,'Allocation CU RU'!$B$11:$I$82,8,))</f>
        <v>0</v>
      </c>
      <c r="AI28" s="73">
        <f>($E$28-$H$28)*(VLOOKUP('Cost Allocation - Tier 1'!AI2,'Allocation CU RU'!$B$11:$I$82,8,))</f>
        <v>0</v>
      </c>
      <c r="AJ28" s="73">
        <f>($E$28-$H$28)*(VLOOKUP('Cost Allocation - Tier 1'!AJ2,'Allocation CU RU'!$B$11:$I$82,8,))</f>
        <v>0</v>
      </c>
      <c r="AK28" s="73">
        <f>($E$28-$H$28)*(VLOOKUP('Cost Allocation - Tier 1'!AK2,'Allocation CU RU'!$B$11:$I$82,8,))</f>
        <v>0</v>
      </c>
      <c r="AL28" s="73">
        <f>($E$28-$H$28)*(VLOOKUP('Cost Allocation - Tier 1'!AL2,'Allocation CU RU'!$B$11:$I$82,8,))</f>
        <v>0</v>
      </c>
      <c r="AM28" s="73">
        <f>($E$28-$H$28)*(VLOOKUP('Cost Allocation - Tier 1'!AM2,'Allocation CU RU'!$B$11:$I$82,8,))</f>
        <v>0</v>
      </c>
      <c r="AN28" s="73">
        <f>($E$28-$H$28)*(VLOOKUP('Cost Allocation - Tier 1'!AN2,'Allocation CU RU'!$B$11:$I$82,8,))</f>
        <v>0</v>
      </c>
      <c r="AO28" s="73">
        <f>($E$28-$H$28)*(VLOOKUP('Cost Allocation - Tier 1'!AO2,'Allocation CU RU'!$B$11:$I$82,8,))</f>
        <v>0</v>
      </c>
      <c r="AP28" s="73">
        <f>($E$28-$H$28)*(VLOOKUP('Cost Allocation - Tier 1'!AP2,'Allocation CU RU'!$B$11:$I$82,8,))</f>
        <v>0</v>
      </c>
      <c r="AQ28" s="73">
        <f>($E$28-$H$28)*(VLOOKUP('Cost Allocation - Tier 1'!AQ2,'Allocation CU RU'!$B$11:$I$82,8,))</f>
        <v>0</v>
      </c>
      <c r="AR28" s="73">
        <f>($E$28-$H$28)*(VLOOKUP('Cost Allocation - Tier 1'!AR2,'Allocation CU RU'!$B$11:$I$82,8,))</f>
        <v>0</v>
      </c>
      <c r="AS28" s="73">
        <f>($E$28-$H$28)*(VLOOKUP('Cost Allocation - Tier 1'!AS2,'Allocation CU RU'!$B$11:$I$82,8,))</f>
        <v>0</v>
      </c>
      <c r="AT28" s="73">
        <f>($E$28-$H$28)*(VLOOKUP('Cost Allocation - Tier 1'!AT2,'Allocation CU RU'!$B$11:$I$82,8,))</f>
        <v>0</v>
      </c>
      <c r="AU28" s="73">
        <f>($E$28-$H$28)*(VLOOKUP('Cost Allocation - Tier 1'!AU2,'Allocation CU RU'!$B$11:$I$82,8,))</f>
        <v>0</v>
      </c>
      <c r="AV28" s="73">
        <f>($E$28-$H$28)*(VLOOKUP('Cost Allocation - Tier 1'!AV2,'Allocation CU RU'!$B$11:$I$82,8,))</f>
        <v>0</v>
      </c>
      <c r="AW28" s="73">
        <f>($E$28-$H$28)*(VLOOKUP('Cost Allocation - Tier 1'!AW2,'Allocation CU RU'!$B$11:$I$82,8,))</f>
        <v>0</v>
      </c>
      <c r="AX28" s="73">
        <f>($E$28-$H$28)*(VLOOKUP('Cost Allocation - Tier 1'!AX2,'Allocation CU RU'!$B$11:$I$82,8,))</f>
        <v>0</v>
      </c>
      <c r="AY28" s="73">
        <f>($E$28-$H$28)*(VLOOKUP('Cost Allocation - Tier 1'!AY2,'Allocation CU RU'!$B$11:$I$82,8,))</f>
        <v>0</v>
      </c>
      <c r="AZ28" s="73">
        <f>($E$28-$H$28)*(VLOOKUP('Cost Allocation - Tier 1'!AZ2,'Allocation CU RU'!$B$11:$I$82,8,))</f>
        <v>0</v>
      </c>
      <c r="BA28" s="73">
        <f>($E$28-$H$28)*(VLOOKUP('Cost Allocation - Tier 1'!BA2,'Allocation CU RU'!$B$11:$I$82,8,))</f>
        <v>0</v>
      </c>
      <c r="BB28" s="73">
        <f>($E$28-$H$28)*(VLOOKUP('Cost Allocation - Tier 1'!BB2,'Allocation CU RU'!$B$11:$I$82,8,))</f>
        <v>0</v>
      </c>
      <c r="BC28" s="694">
        <f t="shared" ref="BC28:BC29" si="15">SUM(BD28:BK28)</f>
        <v>0</v>
      </c>
      <c r="BD28" s="73">
        <f>($E$28-$H$28)*(VLOOKUP('Cost Allocation - Tier 1'!BD2,'Allocation CU RU'!$B$11:$I$82,8,))</f>
        <v>0</v>
      </c>
      <c r="BE28" s="73">
        <f>($E$28-$H$28)*(VLOOKUP('Cost Allocation - Tier 1'!BE2,'Allocation CU RU'!$B$11:$I$82,8,))</f>
        <v>0</v>
      </c>
      <c r="BF28" s="73">
        <f>($E$28-$H$28)*(VLOOKUP('Cost Allocation - Tier 1'!BF2,'Allocation CU RU'!$B$11:$I$82,8,))</f>
        <v>0</v>
      </c>
      <c r="BG28" s="73">
        <f>($E$28-$H$28)*(VLOOKUP('Cost Allocation - Tier 1'!BG2,'Allocation CU RU'!$B$11:$I$82,8,))</f>
        <v>0</v>
      </c>
      <c r="BH28" s="73">
        <f>($E$28-$H$28)*(VLOOKUP('Cost Allocation - Tier 1'!BH2,'Allocation CU RU'!$B$11:$I$82,8,))</f>
        <v>0</v>
      </c>
      <c r="BI28" s="73">
        <f>($E$28-$H$28)*(VLOOKUP('Cost Allocation - Tier 1'!BI2,'Allocation CU RU'!$B$11:$I$82,8,))</f>
        <v>0</v>
      </c>
      <c r="BJ28" s="73">
        <f>($E$28-$H$28)*(VLOOKUP('Cost Allocation - Tier 1'!BJ2,'Allocation CU RU'!$B$11:$I$82,8,))</f>
        <v>0</v>
      </c>
      <c r="BK28" s="73">
        <f>($E$28-$H$28)*(VLOOKUP('Cost Allocation - Tier 1'!BK2,'Allocation CU RU'!$B$11:$I$82,8,))</f>
        <v>0</v>
      </c>
      <c r="BL28" s="695">
        <f t="shared" si="14"/>
        <v>0</v>
      </c>
      <c r="BM28" s="667">
        <f>BL28-E28</f>
        <v>0</v>
      </c>
      <c r="BO28" s="679" t="s">
        <v>863</v>
      </c>
      <c r="BP28" s="204">
        <f t="shared" si="4"/>
        <v>0</v>
      </c>
      <c r="BQ28" s="204">
        <f t="shared" si="10"/>
        <v>0</v>
      </c>
      <c r="BR28" s="204">
        <f t="shared" si="5"/>
        <v>0</v>
      </c>
    </row>
    <row r="29" spans="1:74" outlineLevel="1" x14ac:dyDescent="0.25">
      <c r="D29" s="685"/>
      <c r="E29" s="685"/>
      <c r="F29" s="685"/>
      <c r="G29" s="685"/>
      <c r="H29" s="697"/>
      <c r="I29" s="684">
        <f t="shared" si="13"/>
        <v>0</v>
      </c>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5"/>
      <c r="AQ29" s="685"/>
      <c r="AR29" s="685"/>
      <c r="AS29" s="685"/>
      <c r="AT29" s="685"/>
      <c r="AU29" s="685"/>
      <c r="AV29" s="685"/>
      <c r="AW29" s="685"/>
      <c r="AX29" s="685"/>
      <c r="AY29" s="685"/>
      <c r="AZ29" s="685"/>
      <c r="BA29" s="685"/>
      <c r="BB29" s="91"/>
      <c r="BC29" s="684">
        <f t="shared" si="15"/>
        <v>0</v>
      </c>
      <c r="BD29" s="685"/>
      <c r="BE29" s="685"/>
      <c r="BF29" s="685"/>
      <c r="BG29" s="685"/>
      <c r="BH29" s="685"/>
      <c r="BI29" s="685"/>
      <c r="BJ29" s="685"/>
      <c r="BK29" s="685"/>
      <c r="BL29" s="685">
        <f t="shared" si="14"/>
        <v>0</v>
      </c>
      <c r="BM29" s="667">
        <f>BL29-E29</f>
        <v>0</v>
      </c>
      <c r="BO29" s="643"/>
      <c r="BP29" s="204">
        <f t="shared" si="4"/>
        <v>0</v>
      </c>
      <c r="BQ29" s="204">
        <f t="shared" si="10"/>
        <v>0</v>
      </c>
      <c r="BR29" s="204">
        <f t="shared" si="5"/>
        <v>0</v>
      </c>
    </row>
    <row r="30" spans="1:74" s="1" customFormat="1" outlineLevel="1" x14ac:dyDescent="0.25">
      <c r="A30" s="1" t="s">
        <v>869</v>
      </c>
      <c r="B30" s="35"/>
      <c r="C30" s="686"/>
      <c r="D30" s="687">
        <f t="shared" ref="D30:AK30" si="16">SUM(D26:D29)</f>
        <v>-317440</v>
      </c>
      <c r="E30" s="687">
        <f t="shared" si="16"/>
        <v>-239375</v>
      </c>
      <c r="F30" s="687"/>
      <c r="G30" s="687"/>
      <c r="H30" s="688">
        <f t="shared" si="16"/>
        <v>0</v>
      </c>
      <c r="I30" s="688">
        <f t="shared" si="16"/>
        <v>-127500</v>
      </c>
      <c r="J30" s="698">
        <f t="shared" si="16"/>
        <v>0</v>
      </c>
      <c r="K30" s="698">
        <f t="shared" si="16"/>
        <v>0</v>
      </c>
      <c r="L30" s="698">
        <f t="shared" si="16"/>
        <v>0</v>
      </c>
      <c r="M30" s="698">
        <f t="shared" si="16"/>
        <v>0</v>
      </c>
      <c r="N30" s="698">
        <f t="shared" si="16"/>
        <v>0</v>
      </c>
      <c r="O30" s="698">
        <f t="shared" si="16"/>
        <v>0</v>
      </c>
      <c r="P30" s="698">
        <f t="shared" si="16"/>
        <v>0</v>
      </c>
      <c r="Q30" s="698">
        <f t="shared" si="16"/>
        <v>0</v>
      </c>
      <c r="R30" s="698">
        <f t="shared" si="16"/>
        <v>0</v>
      </c>
      <c r="S30" s="698">
        <f t="shared" si="16"/>
        <v>0</v>
      </c>
      <c r="T30" s="698">
        <f t="shared" si="16"/>
        <v>0</v>
      </c>
      <c r="U30" s="698">
        <f t="shared" si="16"/>
        <v>0</v>
      </c>
      <c r="V30" s="698">
        <f t="shared" si="16"/>
        <v>0</v>
      </c>
      <c r="W30" s="698">
        <f t="shared" si="16"/>
        <v>0</v>
      </c>
      <c r="X30" s="698">
        <f t="shared" si="16"/>
        <v>0</v>
      </c>
      <c r="Y30" s="698">
        <f t="shared" si="16"/>
        <v>0</v>
      </c>
      <c r="Z30" s="698">
        <f t="shared" si="16"/>
        <v>0</v>
      </c>
      <c r="AA30" s="698">
        <f t="shared" si="16"/>
        <v>0</v>
      </c>
      <c r="AB30" s="698">
        <f t="shared" si="16"/>
        <v>0</v>
      </c>
      <c r="AC30" s="698">
        <f t="shared" si="16"/>
        <v>0</v>
      </c>
      <c r="AD30" s="698">
        <f t="shared" si="16"/>
        <v>0</v>
      </c>
      <c r="AE30" s="698">
        <f t="shared" si="16"/>
        <v>0</v>
      </c>
      <c r="AF30" s="698">
        <f t="shared" si="16"/>
        <v>0</v>
      </c>
      <c r="AG30" s="698">
        <f t="shared" si="16"/>
        <v>0</v>
      </c>
      <c r="AH30" s="698">
        <f t="shared" si="16"/>
        <v>0</v>
      </c>
      <c r="AI30" s="698">
        <f t="shared" si="16"/>
        <v>0</v>
      </c>
      <c r="AJ30" s="698">
        <f t="shared" si="16"/>
        <v>0</v>
      </c>
      <c r="AK30" s="698">
        <f t="shared" si="16"/>
        <v>0</v>
      </c>
      <c r="AL30" s="698">
        <f t="shared" ref="AL30:BL30" si="17">SUM(AL26:AL29)</f>
        <v>0</v>
      </c>
      <c r="AM30" s="698">
        <f t="shared" si="17"/>
        <v>0</v>
      </c>
      <c r="AN30" s="698">
        <f t="shared" si="17"/>
        <v>0</v>
      </c>
      <c r="AO30" s="698">
        <f t="shared" si="17"/>
        <v>0</v>
      </c>
      <c r="AP30" s="698">
        <f t="shared" si="17"/>
        <v>0</v>
      </c>
      <c r="AQ30" s="698">
        <f t="shared" si="17"/>
        <v>0</v>
      </c>
      <c r="AR30" s="698">
        <f t="shared" si="17"/>
        <v>0</v>
      </c>
      <c r="AS30" s="698">
        <f t="shared" si="17"/>
        <v>0</v>
      </c>
      <c r="AT30" s="698">
        <f t="shared" si="17"/>
        <v>0</v>
      </c>
      <c r="AU30" s="698">
        <f t="shared" si="17"/>
        <v>0</v>
      </c>
      <c r="AV30" s="698">
        <f t="shared" si="17"/>
        <v>0</v>
      </c>
      <c r="AW30" s="698">
        <f t="shared" si="17"/>
        <v>0</v>
      </c>
      <c r="AX30" s="698">
        <f t="shared" si="17"/>
        <v>0</v>
      </c>
      <c r="AY30" s="698">
        <f t="shared" si="17"/>
        <v>0</v>
      </c>
      <c r="AZ30" s="698">
        <f t="shared" si="17"/>
        <v>0</v>
      </c>
      <c r="BA30" s="698">
        <f t="shared" si="17"/>
        <v>0</v>
      </c>
      <c r="BB30" s="698">
        <f t="shared" si="17"/>
        <v>-127500</v>
      </c>
      <c r="BC30" s="688">
        <f t="shared" si="17"/>
        <v>-111875</v>
      </c>
      <c r="BD30" s="698">
        <f t="shared" si="17"/>
        <v>0</v>
      </c>
      <c r="BE30" s="698">
        <f t="shared" si="17"/>
        <v>0</v>
      </c>
      <c r="BF30" s="698">
        <f t="shared" si="17"/>
        <v>0</v>
      </c>
      <c r="BG30" s="698">
        <f t="shared" si="17"/>
        <v>0</v>
      </c>
      <c r="BH30" s="698">
        <f t="shared" si="17"/>
        <v>0</v>
      </c>
      <c r="BI30" s="698">
        <f t="shared" si="17"/>
        <v>0</v>
      </c>
      <c r="BJ30" s="698">
        <f t="shared" si="17"/>
        <v>0</v>
      </c>
      <c r="BK30" s="698">
        <f t="shared" si="17"/>
        <v>-111875</v>
      </c>
      <c r="BL30" s="698">
        <f t="shared" si="17"/>
        <v>-239375</v>
      </c>
      <c r="BM30" s="689">
        <f>BL30-E30</f>
        <v>0</v>
      </c>
      <c r="BO30" s="686"/>
      <c r="BP30" s="691">
        <f t="shared" si="4"/>
        <v>-239375</v>
      </c>
      <c r="BQ30" s="691">
        <f t="shared" si="10"/>
        <v>-239375</v>
      </c>
      <c r="BR30" s="691">
        <f t="shared" si="5"/>
        <v>0</v>
      </c>
      <c r="BU30" s="930"/>
    </row>
    <row r="31" spans="1:74" outlineLevel="1" x14ac:dyDescent="0.25">
      <c r="D31" s="76"/>
      <c r="E31" s="76"/>
      <c r="F31" s="76"/>
      <c r="G31" s="76"/>
      <c r="H31" s="692"/>
      <c r="I31" s="692"/>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80"/>
      <c r="BC31" s="692"/>
      <c r="BE31" s="76"/>
      <c r="BF31" s="76"/>
      <c r="BG31" s="76"/>
      <c r="BH31" s="76"/>
      <c r="BI31" s="76"/>
      <c r="BJ31" s="76"/>
      <c r="BK31" s="76"/>
      <c r="BL31" s="80"/>
      <c r="BM31" s="667"/>
      <c r="BO31" s="643"/>
      <c r="BP31" s="204">
        <f t="shared" si="4"/>
        <v>0</v>
      </c>
      <c r="BQ31" s="204">
        <f t="shared" si="10"/>
        <v>0</v>
      </c>
      <c r="BR31" s="204">
        <f t="shared" si="5"/>
        <v>0</v>
      </c>
    </row>
    <row r="32" spans="1:74" outlineLevel="1" x14ac:dyDescent="0.25">
      <c r="D32" s="76"/>
      <c r="E32" s="76"/>
      <c r="F32" s="76"/>
      <c r="G32" s="76"/>
      <c r="H32" s="692"/>
      <c r="I32" s="692"/>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80"/>
      <c r="BC32" s="692"/>
      <c r="BD32" s="76"/>
      <c r="BE32" s="76"/>
      <c r="BF32" s="76"/>
      <c r="BG32" s="76"/>
      <c r="BH32" s="76"/>
      <c r="BI32" s="76"/>
      <c r="BJ32" s="76"/>
      <c r="BK32" s="76"/>
      <c r="BL32" s="80"/>
      <c r="BM32" s="667"/>
      <c r="BO32" s="643"/>
      <c r="BP32" s="204">
        <f t="shared" si="4"/>
        <v>0</v>
      </c>
      <c r="BQ32" s="204">
        <f t="shared" si="10"/>
        <v>0</v>
      </c>
      <c r="BR32" s="204">
        <f t="shared" si="5"/>
        <v>0</v>
      </c>
    </row>
    <row r="33" spans="1:73" s="699" customFormat="1" outlineLevel="1" x14ac:dyDescent="0.25">
      <c r="A33" s="699" t="s">
        <v>870</v>
      </c>
      <c r="B33" s="700"/>
      <c r="C33" s="701"/>
      <c r="D33" s="702">
        <f>D21+D30</f>
        <v>17010746.377785556</v>
      </c>
      <c r="E33" s="702">
        <f>E21+E30</f>
        <v>12820464.148787376</v>
      </c>
      <c r="F33" s="702"/>
      <c r="G33" s="702"/>
      <c r="H33" s="702">
        <f t="shared" ref="H33:BL33" si="18">H21+H30</f>
        <v>126859.85619860872</v>
      </c>
      <c r="I33" s="702">
        <f t="shared" si="18"/>
        <v>4913989.4906200124</v>
      </c>
      <c r="J33" s="702">
        <f t="shared" si="18"/>
        <v>30940.682474066045</v>
      </c>
      <c r="K33" s="702">
        <f t="shared" si="18"/>
        <v>9176.586917780025</v>
      </c>
      <c r="L33" s="702">
        <f t="shared" si="18"/>
        <v>9634.7628759415456</v>
      </c>
      <c r="M33" s="702">
        <f t="shared" si="18"/>
        <v>9215.1129017999028</v>
      </c>
      <c r="N33" s="702">
        <f t="shared" si="18"/>
        <v>16123.732424263992</v>
      </c>
      <c r="O33" s="702">
        <f t="shared" si="18"/>
        <v>36925.986835917822</v>
      </c>
      <c r="P33" s="702">
        <f t="shared" si="18"/>
        <v>4467.1901142520665</v>
      </c>
      <c r="Q33" s="702">
        <f t="shared" si="18"/>
        <v>11829.275353553874</v>
      </c>
      <c r="R33" s="702">
        <f t="shared" si="18"/>
        <v>10117.963135477432</v>
      </c>
      <c r="S33" s="702">
        <f t="shared" si="18"/>
        <v>10408.811985582788</v>
      </c>
      <c r="T33" s="702">
        <f t="shared" si="18"/>
        <v>37703.442426523899</v>
      </c>
      <c r="U33" s="702">
        <f t="shared" si="18"/>
        <v>30101.528657016537</v>
      </c>
      <c r="V33" s="702">
        <f t="shared" si="18"/>
        <v>23884.058567263706</v>
      </c>
      <c r="W33" s="702">
        <f t="shared" si="18"/>
        <v>38302.659343159168</v>
      </c>
      <c r="X33" s="702">
        <f t="shared" si="18"/>
        <v>947.00056205622172</v>
      </c>
      <c r="Y33" s="702">
        <f t="shared" si="18"/>
        <v>746.95161041274002</v>
      </c>
      <c r="Z33" s="702">
        <f t="shared" si="18"/>
        <v>3611.3703073074416</v>
      </c>
      <c r="AA33" s="702">
        <f t="shared" si="18"/>
        <v>3300.9120470506186</v>
      </c>
      <c r="AB33" s="702">
        <f t="shared" si="18"/>
        <v>1985.8780043508793</v>
      </c>
      <c r="AC33" s="702">
        <f t="shared" si="18"/>
        <v>2031.3659327813918</v>
      </c>
      <c r="AD33" s="702">
        <f t="shared" si="18"/>
        <v>11527.069912804167</v>
      </c>
      <c r="AE33" s="702">
        <f t="shared" si="18"/>
        <v>4623.0295433495094</v>
      </c>
      <c r="AF33" s="702">
        <f t="shared" si="18"/>
        <v>12029.009574520516</v>
      </c>
      <c r="AG33" s="702">
        <f t="shared" si="18"/>
        <v>37371.667751300323</v>
      </c>
      <c r="AH33" s="702">
        <f t="shared" si="18"/>
        <v>305974.51667308481</v>
      </c>
      <c r="AI33" s="702">
        <f t="shared" si="18"/>
        <v>2125.5256446495687</v>
      </c>
      <c r="AJ33" s="702">
        <f t="shared" si="18"/>
        <v>45100.809333515666</v>
      </c>
      <c r="AK33" s="702">
        <f t="shared" si="18"/>
        <v>38778.186846882454</v>
      </c>
      <c r="AL33" s="702">
        <f t="shared" si="18"/>
        <v>0</v>
      </c>
      <c r="AM33" s="702">
        <f t="shared" si="18"/>
        <v>4728.4136226310748</v>
      </c>
      <c r="AN33" s="702">
        <f t="shared" si="18"/>
        <v>7996.4516822680016</v>
      </c>
      <c r="AO33" s="702">
        <f t="shared" si="18"/>
        <v>47150.926982410863</v>
      </c>
      <c r="AP33" s="702">
        <f t="shared" si="18"/>
        <v>7140.9924968641453</v>
      </c>
      <c r="AQ33" s="702">
        <f t="shared" si="18"/>
        <v>44810.953064132045</v>
      </c>
      <c r="AR33" s="702">
        <f t="shared" si="18"/>
        <v>135.34196920050132</v>
      </c>
      <c r="AS33" s="702">
        <f t="shared" si="18"/>
        <v>66041.140058999066</v>
      </c>
      <c r="AT33" s="702">
        <f t="shared" si="18"/>
        <v>54788.957310726626</v>
      </c>
      <c r="AU33" s="702">
        <f t="shared" si="18"/>
        <v>76591.143289778527</v>
      </c>
      <c r="AV33" s="702">
        <f t="shared" si="18"/>
        <v>107651.7433035805</v>
      </c>
      <c r="AW33" s="702">
        <f t="shared" si="18"/>
        <v>275707.30895589478</v>
      </c>
      <c r="AX33" s="702">
        <f t="shared" si="18"/>
        <v>2871.1243466240294</v>
      </c>
      <c r="AY33" s="702">
        <f t="shared" si="18"/>
        <v>919399.77059710061</v>
      </c>
      <c r="AZ33" s="702">
        <f t="shared" si="18"/>
        <v>32598.034310891002</v>
      </c>
      <c r="BA33" s="702">
        <f t="shared" si="18"/>
        <v>560989.1560299471</v>
      </c>
      <c r="BB33" s="702">
        <f t="shared" si="18"/>
        <v>1956402.9448422976</v>
      </c>
      <c r="BC33" s="702">
        <f t="shared" si="18"/>
        <v>7779614.8019687589</v>
      </c>
      <c r="BD33" s="702">
        <f t="shared" si="18"/>
        <v>1267458.8286903251</v>
      </c>
      <c r="BE33" s="702">
        <f t="shared" si="18"/>
        <v>1155923.020715947</v>
      </c>
      <c r="BF33" s="702">
        <f t="shared" si="18"/>
        <v>707729.19513366243</v>
      </c>
      <c r="BG33" s="702">
        <f t="shared" si="18"/>
        <v>1307987.1182438065</v>
      </c>
      <c r="BH33" s="702">
        <f t="shared" si="18"/>
        <v>1024615.6956282982</v>
      </c>
      <c r="BI33" s="702">
        <f t="shared" si="18"/>
        <v>746071.36260111793</v>
      </c>
      <c r="BJ33" s="702">
        <f t="shared" si="18"/>
        <v>420801.87790683174</v>
      </c>
      <c r="BK33" s="702">
        <f t="shared" si="18"/>
        <v>1149027.7030487694</v>
      </c>
      <c r="BL33" s="702">
        <f t="shared" si="18"/>
        <v>12820464.148787379</v>
      </c>
      <c r="BM33" s="703">
        <f>BL33-E33</f>
        <v>0</v>
      </c>
      <c r="BO33" s="701"/>
      <c r="BP33" s="704">
        <f t="shared" si="4"/>
        <v>12820464.148787376</v>
      </c>
      <c r="BQ33" s="704">
        <f t="shared" si="10"/>
        <v>13410787.700335907</v>
      </c>
      <c r="BR33" s="704">
        <f t="shared" si="5"/>
        <v>590323.55154853128</v>
      </c>
      <c r="BU33" s="1246"/>
    </row>
    <row r="34" spans="1:73" outlineLevel="1" x14ac:dyDescent="0.25">
      <c r="D34" s="76"/>
      <c r="E34" s="76"/>
      <c r="F34" s="76"/>
      <c r="G34" s="76"/>
      <c r="H34" s="692"/>
      <c r="I34" s="692"/>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80"/>
      <c r="BC34" s="692"/>
      <c r="BD34" s="77">
        <f>BD33/$BC$33</f>
        <v>0.1629205122558991</v>
      </c>
      <c r="BE34" s="77">
        <f t="shared" ref="BE34:BK34" si="19">BE33/$BC$33</f>
        <v>0.14858358031086857</v>
      </c>
      <c r="BF34" s="77">
        <f t="shared" si="19"/>
        <v>9.0972267027226078E-2</v>
      </c>
      <c r="BG34" s="77">
        <f t="shared" si="19"/>
        <v>0.16813006190393887</v>
      </c>
      <c r="BH34" s="77">
        <f t="shared" si="19"/>
        <v>0.13170519642810624</v>
      </c>
      <c r="BI34" s="77">
        <f t="shared" si="19"/>
        <v>9.5900810206221571E-2</v>
      </c>
      <c r="BJ34" s="77">
        <f t="shared" si="19"/>
        <v>5.4090323058198324E-2</v>
      </c>
      <c r="BK34" s="77">
        <f t="shared" si="19"/>
        <v>0.14769724880954119</v>
      </c>
      <c r="BL34" s="77"/>
      <c r="BM34" s="667"/>
      <c r="BO34" s="643"/>
      <c r="BP34" s="204">
        <f t="shared" si="4"/>
        <v>0</v>
      </c>
      <c r="BQ34" s="204">
        <f t="shared" si="10"/>
        <v>0</v>
      </c>
      <c r="BR34" s="204">
        <f t="shared" si="5"/>
        <v>0</v>
      </c>
    </row>
    <row r="35" spans="1:73" outlineLevel="1" x14ac:dyDescent="0.25">
      <c r="A35" s="199" t="s">
        <v>871</v>
      </c>
      <c r="H35" s="242"/>
      <c r="I35" s="241"/>
      <c r="BO35" s="643"/>
      <c r="BP35" s="204">
        <f t="shared" si="4"/>
        <v>0</v>
      </c>
      <c r="BQ35" s="204">
        <f t="shared" si="10"/>
        <v>0</v>
      </c>
      <c r="BR35" s="204">
        <f t="shared" si="5"/>
        <v>0</v>
      </c>
    </row>
    <row r="36" spans="1:73" outlineLevel="1" x14ac:dyDescent="0.25">
      <c r="A36" s="1"/>
      <c r="H36" s="242"/>
      <c r="I36" s="241"/>
      <c r="BO36" s="643"/>
      <c r="BP36" s="204">
        <f t="shared" si="4"/>
        <v>0</v>
      </c>
      <c r="BQ36" s="204">
        <f t="shared" si="10"/>
        <v>0</v>
      </c>
      <c r="BR36" s="204">
        <f t="shared" si="5"/>
        <v>0</v>
      </c>
    </row>
    <row r="37" spans="1:73" outlineLevel="1" x14ac:dyDescent="0.25">
      <c r="A37" s="343" t="s">
        <v>872</v>
      </c>
      <c r="H37" s="242"/>
      <c r="I37" s="705"/>
      <c r="AY37" s="706"/>
      <c r="AZ37" s="706"/>
      <c r="BA37" s="706"/>
      <c r="BC37" s="694"/>
      <c r="BO37" s="643"/>
      <c r="BP37" s="204">
        <f t="shared" si="4"/>
        <v>0</v>
      </c>
      <c r="BQ37" s="204">
        <f t="shared" si="10"/>
        <v>0</v>
      </c>
      <c r="BR37" s="204">
        <f t="shared" si="5"/>
        <v>0</v>
      </c>
    </row>
    <row r="38" spans="1:73" outlineLevel="1" x14ac:dyDescent="0.25">
      <c r="A38" s="707" t="s">
        <v>873</v>
      </c>
      <c r="B38" s="19" t="s">
        <v>861</v>
      </c>
      <c r="C38" s="708"/>
      <c r="D38" s="696"/>
      <c r="E38" s="664">
        <f>D38/Assumptions!$B$4</f>
        <v>0</v>
      </c>
      <c r="F38" s="664"/>
      <c r="G38" s="664"/>
      <c r="H38" s="242"/>
      <c r="I38" s="694">
        <f t="shared" ref="I38:I40" si="20">SUM(J38:BB38)</f>
        <v>0</v>
      </c>
      <c r="J38" s="73">
        <f>VLOOKUP(J2,'CU Composites'!$B$5:$N$55,12,)*'Cost Allocation - Tier 1'!$E$38</f>
        <v>0</v>
      </c>
      <c r="K38" s="73">
        <f>VLOOKUP(K2,'CU Composites'!$B$5:$N$55,12,)*'Cost Allocation - Tier 1'!$E$38</f>
        <v>0</v>
      </c>
      <c r="L38" s="73">
        <f>VLOOKUP(L2,'CU Composites'!$B$5:$N$55,12,)*'Cost Allocation - Tier 1'!$E$38</f>
        <v>0</v>
      </c>
      <c r="M38" s="73">
        <f>VLOOKUP(M2,'CU Composites'!$B$5:$N$55,12,)*'Cost Allocation - Tier 1'!$E$38</f>
        <v>0</v>
      </c>
      <c r="N38" s="73">
        <f>VLOOKUP(N2,'CU Composites'!$B$5:$N$55,12,)*'Cost Allocation - Tier 1'!$E$38</f>
        <v>0</v>
      </c>
      <c r="O38" s="73">
        <f>VLOOKUP(O2,'CU Composites'!$B$5:$N$55,12,)*'Cost Allocation - Tier 1'!$E$38</f>
        <v>0</v>
      </c>
      <c r="P38" s="73">
        <f>VLOOKUP(P2,'CU Composites'!$B$5:$N$55,12,)*'Cost Allocation - Tier 1'!$E$38</f>
        <v>0</v>
      </c>
      <c r="Q38" s="73">
        <f>VLOOKUP(Q2,'CU Composites'!$B$5:$N$55,12,)*'Cost Allocation - Tier 1'!$E$38</f>
        <v>0</v>
      </c>
      <c r="R38" s="73">
        <f>VLOOKUP(R2,'CU Composites'!$B$5:$N$55,12,)*'Cost Allocation - Tier 1'!$E$38</f>
        <v>0</v>
      </c>
      <c r="S38" s="73">
        <f>VLOOKUP(S2,'CU Composites'!$B$5:$N$55,12,)*'Cost Allocation - Tier 1'!$E$38</f>
        <v>0</v>
      </c>
      <c r="T38" s="73">
        <f>VLOOKUP(T2,'CU Composites'!$B$5:$N$55,12,)*'Cost Allocation - Tier 1'!$E$38</f>
        <v>0</v>
      </c>
      <c r="U38" s="73">
        <f>VLOOKUP(U2,'CU Composites'!$B$5:$N$55,12,)*'Cost Allocation - Tier 1'!$E$38</f>
        <v>0</v>
      </c>
      <c r="V38" s="73">
        <f>VLOOKUP(V2,'CU Composites'!$B$5:$N$55,12,)*'Cost Allocation - Tier 1'!$E$38</f>
        <v>0</v>
      </c>
      <c r="W38" s="73">
        <f>VLOOKUP(W2,'CU Composites'!$B$5:$N$55,12,)*'Cost Allocation - Tier 1'!$E$38</f>
        <v>0</v>
      </c>
      <c r="X38" s="73">
        <f>VLOOKUP(X2,'CU Composites'!$B$5:$N$55,12,)*'Cost Allocation - Tier 1'!$E$38</f>
        <v>0</v>
      </c>
      <c r="Y38" s="73">
        <f>VLOOKUP(Y2,'CU Composites'!$B$5:$N$55,12,)*'Cost Allocation - Tier 1'!$E$38</f>
        <v>0</v>
      </c>
      <c r="Z38" s="73">
        <f>VLOOKUP(Z2,'CU Composites'!$B$5:$N$55,12,)*'Cost Allocation - Tier 1'!$E$38</f>
        <v>0</v>
      </c>
      <c r="AA38" s="73">
        <f>VLOOKUP(AA2,'CU Composites'!$B$5:$N$55,12,)*'Cost Allocation - Tier 1'!$E$38</f>
        <v>0</v>
      </c>
      <c r="AB38" s="73">
        <f>VLOOKUP(AB2,'CU Composites'!$B$5:$N$55,12,)*'Cost Allocation - Tier 1'!$E$38</f>
        <v>0</v>
      </c>
      <c r="AC38" s="73">
        <f>VLOOKUP(AC2,'CU Composites'!$B$5:$N$55,12,)*'Cost Allocation - Tier 1'!$E$38</f>
        <v>0</v>
      </c>
      <c r="AD38" s="73">
        <f>VLOOKUP(AD2,'CU Composites'!$B$5:$N$55,12,)*'Cost Allocation - Tier 1'!$E$38</f>
        <v>0</v>
      </c>
      <c r="AE38" s="73">
        <f>VLOOKUP(AE2,'CU Composites'!$B$5:$N$55,12,)*'Cost Allocation - Tier 1'!$E$38</f>
        <v>0</v>
      </c>
      <c r="AF38" s="73">
        <f>VLOOKUP(AF2,'CU Composites'!$B$5:$N$55,12,)*'Cost Allocation - Tier 1'!$E$38</f>
        <v>0</v>
      </c>
      <c r="AG38" s="73">
        <f>VLOOKUP(AG2,'CU Composites'!$B$5:$N$55,12,)*'Cost Allocation - Tier 1'!$E$38</f>
        <v>0</v>
      </c>
      <c r="AH38" s="73">
        <f>VLOOKUP(AH2,'CU Composites'!$B$5:$N$55,12,)*'Cost Allocation - Tier 1'!$E$38</f>
        <v>0</v>
      </c>
      <c r="AI38" s="73">
        <f>VLOOKUP(AI2,'CU Composites'!$B$5:$N$55,12,)*'Cost Allocation - Tier 1'!$E$38</f>
        <v>0</v>
      </c>
      <c r="AJ38" s="73">
        <f>VLOOKUP(AJ2,'CU Composites'!$B$5:$N$55,12,)*'Cost Allocation - Tier 1'!$E$38</f>
        <v>0</v>
      </c>
      <c r="AK38" s="73">
        <f>VLOOKUP(AK2,'CU Composites'!$B$5:$N$55,12,)*'Cost Allocation - Tier 1'!$E$38</f>
        <v>0</v>
      </c>
      <c r="AL38" s="73">
        <f>VLOOKUP(AL2,'CU Composites'!$B$5:$N$55,12,)*'Cost Allocation - Tier 1'!$E$38</f>
        <v>0</v>
      </c>
      <c r="AM38" s="73">
        <f>VLOOKUP(AM2,'CU Composites'!$B$5:$N$55,12,)*'Cost Allocation - Tier 1'!$E$38</f>
        <v>0</v>
      </c>
      <c r="AN38" s="73">
        <f>VLOOKUP(AN2,'CU Composites'!$B$5:$N$55,12,)*'Cost Allocation - Tier 1'!$E$38</f>
        <v>0</v>
      </c>
      <c r="AO38" s="73">
        <f>VLOOKUP(AO2,'CU Composites'!$B$5:$N$55,12,)*'Cost Allocation - Tier 1'!$E$38</f>
        <v>0</v>
      </c>
      <c r="AP38" s="73">
        <f>VLOOKUP(AP2,'CU Composites'!$B$5:$N$55,12,)*'Cost Allocation - Tier 1'!$E$38</f>
        <v>0</v>
      </c>
      <c r="AQ38" s="73">
        <f>VLOOKUP(AQ2,'CU Composites'!$B$5:$N$55,12,)*'Cost Allocation - Tier 1'!$E$38</f>
        <v>0</v>
      </c>
      <c r="AR38" s="73">
        <f>VLOOKUP(AR2,'CU Composites'!$B$5:$N$55,12,)*'Cost Allocation - Tier 1'!$E$38</f>
        <v>0</v>
      </c>
      <c r="AS38" s="73">
        <f>VLOOKUP(AS2,'CU Composites'!$B$5:$N$55,12,)*'Cost Allocation - Tier 1'!$E$38</f>
        <v>0</v>
      </c>
      <c r="AT38" s="73">
        <f>VLOOKUP(AT2,'CU Composites'!$B$5:$N$55,12,)*'Cost Allocation - Tier 1'!$E$38</f>
        <v>0</v>
      </c>
      <c r="AU38" s="73">
        <f>VLOOKUP(AU2,'CU Composites'!$B$5:$N$55,12,)*'Cost Allocation - Tier 1'!$E$38</f>
        <v>0</v>
      </c>
      <c r="AV38" s="73">
        <f>VLOOKUP(AV2,'CU Composites'!$B$5:$N$55,12,)*'Cost Allocation - Tier 1'!$E$38</f>
        <v>0</v>
      </c>
      <c r="AW38" s="73">
        <f>VLOOKUP(AW2,'CU Composites'!$B$5:$N$55,12,)*'Cost Allocation - Tier 1'!$E$38</f>
        <v>0</v>
      </c>
      <c r="AX38" s="73">
        <f>VLOOKUP(AX2,'CU Composites'!$B$5:$N$55,12,)*'Cost Allocation - Tier 1'!$E$38</f>
        <v>0</v>
      </c>
      <c r="AY38" s="73">
        <f>VLOOKUP(AY2,'CU Composites'!$B$5:$N$55,12,)*'Cost Allocation - Tier 1'!$E$38</f>
        <v>0</v>
      </c>
      <c r="AZ38" s="73">
        <f>VLOOKUP(AZ2,'CU Composites'!$B$5:$N$55,12,)*'Cost Allocation - Tier 1'!$E$38</f>
        <v>0</v>
      </c>
      <c r="BA38" s="73">
        <f>VLOOKUP(BA2,'CU Composites'!$B$5:$N$55,12,)*'Cost Allocation - Tier 1'!$E$38</f>
        <v>0</v>
      </c>
      <c r="BB38" s="73">
        <f>VLOOKUP(BB2,'CU Composites'!$B$5:$N$55,12,)*'Cost Allocation - Tier 1'!$E$38</f>
        <v>0</v>
      </c>
      <c r="BC38" s="666">
        <f t="shared" ref="BC38:BC48" si="21">SUM(BD38:BK38)</f>
        <v>0</v>
      </c>
      <c r="BL38" s="76">
        <f t="shared" ref="BL38:BL41" si="22">BC38+I38+H38</f>
        <v>0</v>
      </c>
      <c r="BM38" s="667">
        <f t="shared" ref="BM38:BM43" si="23">BL38-E38</f>
        <v>0</v>
      </c>
      <c r="BO38" s="709" t="s">
        <v>857</v>
      </c>
      <c r="BP38" s="204">
        <f t="shared" si="4"/>
        <v>0</v>
      </c>
      <c r="BQ38" s="204">
        <f t="shared" si="10"/>
        <v>0</v>
      </c>
      <c r="BR38" s="204">
        <f t="shared" si="5"/>
        <v>0</v>
      </c>
    </row>
    <row r="39" spans="1:73" outlineLevel="1" x14ac:dyDescent="0.25">
      <c r="A39" s="71" t="s">
        <v>874</v>
      </c>
      <c r="B39" s="19" t="s">
        <v>875</v>
      </c>
      <c r="C39" s="710"/>
      <c r="D39" s="663">
        <v>753533</v>
      </c>
      <c r="E39" s="664">
        <f>D39/Assumptions!$B$4</f>
        <v>567919.77872071031</v>
      </c>
      <c r="F39" s="664"/>
      <c r="G39" s="664"/>
      <c r="H39" s="242"/>
      <c r="I39" s="694">
        <f t="shared" si="20"/>
        <v>567919.77872071054</v>
      </c>
      <c r="J39" s="73">
        <f>VLOOKUP(J2,'CU Composites'!$B$5:$J$45,9,)*'Cost Allocation - Tier 1'!$E$39</f>
        <v>14599.913922650792</v>
      </c>
      <c r="K39" s="73">
        <f>VLOOKUP(K2,'CU Composites'!$B$5:$J$45,9,)*'Cost Allocation - Tier 1'!$E$39</f>
        <v>3719.7579516262308</v>
      </c>
      <c r="L39" s="73">
        <f>VLOOKUP(L2,'CU Composites'!$B$5:$J$45,9,)*'Cost Allocation - Tier 1'!$E$39</f>
        <v>3544.6786242343082</v>
      </c>
      <c r="M39" s="73">
        <f>VLOOKUP(M2,'CU Composites'!$B$5:$J$45,9,)*'Cost Allocation - Tier 1'!$E$39</f>
        <v>4971.214479491292</v>
      </c>
      <c r="N39" s="73">
        <f>VLOOKUP(N2,'CU Composites'!$B$5:$J$45,9,)*'Cost Allocation - Tier 1'!$E$39</f>
        <v>6736.1137126283829</v>
      </c>
      <c r="O39" s="73">
        <f>VLOOKUP(O2,'CU Composites'!$B$5:$J$45,9,)*'Cost Allocation - Tier 1'!$E$39</f>
        <v>19598.923773719362</v>
      </c>
      <c r="P39" s="73">
        <f>VLOOKUP(P2,'CU Composites'!$B$5:$J$45,9,)*'Cost Allocation - Tier 1'!$E$39</f>
        <v>2490.4120327431369</v>
      </c>
      <c r="Q39" s="73">
        <f>VLOOKUP(Q2,'CU Composites'!$B$5:$J$45,9,)*'Cost Allocation - Tier 1'!$E$39</f>
        <v>7044.1060334562499</v>
      </c>
      <c r="R39" s="73">
        <f>VLOOKUP(R2,'CU Composites'!$B$5:$J$45,9,)*'Cost Allocation - Tier 1'!$E$39</f>
        <v>6147.0259936691391</v>
      </c>
      <c r="S39" s="73">
        <f>VLOOKUP(S2,'CU Composites'!$B$5:$J$45,9,)*'Cost Allocation - Tier 1'!$E$39</f>
        <v>6220.6778916426656</v>
      </c>
      <c r="T39" s="73">
        <f>VLOOKUP(T2,'CU Composites'!$B$5:$J$45,9,)*'Cost Allocation - Tier 1'!$E$39</f>
        <v>23191.463861110202</v>
      </c>
      <c r="U39" s="73">
        <f>VLOOKUP(U2,'CU Composites'!$B$5:$J$45,9,)*'Cost Allocation - Tier 1'!$E$39</f>
        <v>18305.797549512376</v>
      </c>
      <c r="V39" s="73">
        <f>VLOOKUP(V2,'CU Composites'!$B$5:$J$45,9,)*'Cost Allocation - Tier 1'!$E$39</f>
        <v>9356.5437254249191</v>
      </c>
      <c r="W39" s="73">
        <f>VLOOKUP(W2,'CU Composites'!$B$5:$J$45,9,)*'Cost Allocation - Tier 1'!$E$39</f>
        <v>15352.719162477264</v>
      </c>
      <c r="X39" s="73">
        <f>VLOOKUP(X2,'CU Composites'!$B$5:$J$45,9,)*'Cost Allocation - Tier 1'!$E$39</f>
        <v>545.18529982856944</v>
      </c>
      <c r="Y39" s="73">
        <f>VLOOKUP(Y2,'CU Composites'!$B$5:$J$45,9,)*'Cost Allocation - Tier 1'!$E$39</f>
        <v>382.9325131068415</v>
      </c>
      <c r="Z39" s="73">
        <f>VLOOKUP(Z2,'CU Composites'!$B$5:$J$45,9,)*'Cost Allocation - Tier 1'!$E$39</f>
        <v>1588.6780453355432</v>
      </c>
      <c r="AA39" s="73">
        <f>VLOOKUP(AA2,'CU Composites'!$B$5:$J$45,9,)*'Cost Allocation - Tier 1'!$E$39</f>
        <v>1391.5206111393359</v>
      </c>
      <c r="AB39" s="73">
        <f>VLOOKUP(AB2,'CU Composites'!$B$5:$J$45,9,)*'Cost Allocation - Tier 1'!$E$39</f>
        <v>806.11947105810339</v>
      </c>
      <c r="AC39" s="73">
        <f>VLOOKUP(AC2,'CU Composites'!$B$5:$J$45,9,)*'Cost Allocation - Tier 1'!$E$39</f>
        <v>1026.5270919398949</v>
      </c>
      <c r="AD39" s="73">
        <f>VLOOKUP(AD2,'CU Composites'!$B$5:$J$45,9,)*'Cost Allocation - Tier 1'!$E$39</f>
        <v>7224.1784490901337</v>
      </c>
      <c r="AE39" s="73">
        <f>VLOOKUP(AE2,'CU Composites'!$B$5:$J$45,9,)*'Cost Allocation - Tier 1'!$E$39</f>
        <v>2612.3630837705809</v>
      </c>
      <c r="AF39" s="73">
        <f>VLOOKUP(AF2,'CU Composites'!$B$5:$J$45,9,)*'Cost Allocation - Tier 1'!$E$39</f>
        <v>5231.9606085170162</v>
      </c>
      <c r="AG39" s="73">
        <f>VLOOKUP(AG2,'CU Composites'!$B$5:$J$45,9,)*'Cost Allocation - Tier 1'!$E$39</f>
        <v>10109.980923680778</v>
      </c>
      <c r="AH39" s="73">
        <f>VLOOKUP(AH2,'CU Composites'!$B$5:$J$45,9,)*'Cost Allocation - Tier 1'!$E$39</f>
        <v>139420.13015345743</v>
      </c>
      <c r="AI39" s="73">
        <f>VLOOKUP(AI2,'CU Composites'!$B$5:$J$45,9,)*'Cost Allocation - Tier 1'!$E$39</f>
        <v>1404.865187511424</v>
      </c>
      <c r="AJ39" s="73">
        <f>VLOOKUP(AJ2,'CU Composites'!$B$5:$J$45,9,)*'Cost Allocation - Tier 1'!$E$39</f>
        <v>24457.437008287383</v>
      </c>
      <c r="AK39" s="73">
        <f>VLOOKUP(AK2,'CU Composites'!$B$5:$J$45,9,)*'Cost Allocation - Tier 1'!$E$39</f>
        <v>19536.370824101454</v>
      </c>
      <c r="AL39" s="73">
        <f>VLOOKUP(AL2,'CU Composites'!$B$5:$J$45,9,)*'Cost Allocation - Tier 1'!$E$39</f>
        <v>0</v>
      </c>
      <c r="AM39" s="73">
        <f>VLOOKUP(AM2,'CU Composites'!$B$5:$J$45,9,)*'Cost Allocation - Tier 1'!$E$39</f>
        <v>2111.6917933774757</v>
      </c>
      <c r="AN39" s="73">
        <f>VLOOKUP(AN2,'CU Composites'!$B$5:$J$45,9,)*'Cost Allocation - Tier 1'!$E$39</f>
        <v>2662.1218544969088</v>
      </c>
      <c r="AO39" s="73">
        <f>VLOOKUP(AO2,'CU Composites'!$B$5:$J$45,9,)*'Cost Allocation - Tier 1'!$E$39</f>
        <v>24367.377494150038</v>
      </c>
      <c r="AP39" s="73">
        <f>VLOOKUP(AP2,'CU Composites'!$B$5:$J$45,9,)*'Cost Allocation - Tier 1'!$E$39</f>
        <v>3418.4456723181829</v>
      </c>
      <c r="AQ39" s="73">
        <f>VLOOKUP(AQ2,'CU Composites'!$B$5:$J$45,9,)*'Cost Allocation - Tier 1'!$E$39</f>
        <v>12383.804132564923</v>
      </c>
      <c r="AR39" s="73">
        <f>VLOOKUP(AR2,'CU Composites'!$B$5:$J$45,9,)*'Cost Allocation - Tier 1'!$E$39</f>
        <v>50.086885504980565</v>
      </c>
      <c r="AS39" s="73">
        <f>VLOOKUP(AS2,'CU Composites'!$B$5:$J$45,9,)*'Cost Allocation - Tier 1'!$E$39</f>
        <v>18454.293986368946</v>
      </c>
      <c r="AT39" s="73">
        <f>VLOOKUP(AT2,'CU Composites'!$B$5:$J$45,9,)*'Cost Allocation - Tier 1'!$E$39</f>
        <v>14857.85917054842</v>
      </c>
      <c r="AU39" s="73">
        <f>VLOOKUP(AU2,'CU Composites'!$B$5:$J$45,9,)*'Cost Allocation - Tier 1'!$E$39</f>
        <v>22403.475393911685</v>
      </c>
      <c r="AV39" s="73">
        <f>VLOOKUP(AV2,'CU Composites'!$B$5:$J$45,9,)*'Cost Allocation - Tier 1'!$E$39</f>
        <v>30310.924830223474</v>
      </c>
      <c r="AW39" s="73">
        <f>VLOOKUP(AW2,'CU Composites'!$B$5:$J$45,9,)*'Cost Allocation - Tier 1'!$E$39</f>
        <v>78819.563804035148</v>
      </c>
      <c r="AX39" s="73">
        <f>VLOOKUP(AX2,'CU Composites'!$B$5:$J$45,9,)*'Cost Allocation - Tier 1'!$E$39</f>
        <v>1062.5357179994924</v>
      </c>
      <c r="BC39" s="666">
        <f t="shared" si="21"/>
        <v>0</v>
      </c>
      <c r="BD39" s="71"/>
      <c r="BE39" s="71"/>
      <c r="BF39" s="71"/>
      <c r="BG39" s="71"/>
      <c r="BH39" s="71"/>
      <c r="BI39" s="71"/>
      <c r="BJ39" s="71"/>
      <c r="BK39" s="71"/>
      <c r="BL39" s="76">
        <f t="shared" si="22"/>
        <v>567919.77872071054</v>
      </c>
      <c r="BM39" s="667">
        <f t="shared" si="23"/>
        <v>0</v>
      </c>
      <c r="BO39" s="711" t="s">
        <v>863</v>
      </c>
      <c r="BP39" s="204">
        <f t="shared" si="4"/>
        <v>567919.77872071031</v>
      </c>
      <c r="BQ39" s="204">
        <f t="shared" si="10"/>
        <v>567919.77872071031</v>
      </c>
      <c r="BR39" s="204">
        <f t="shared" si="5"/>
        <v>0</v>
      </c>
    </row>
    <row r="40" spans="1:73" outlineLevel="1" x14ac:dyDescent="0.25">
      <c r="A40" s="71" t="s">
        <v>876</v>
      </c>
      <c r="B40" s="19" t="s">
        <v>875</v>
      </c>
      <c r="C40" s="710"/>
      <c r="D40" s="680">
        <v>1968597.65</v>
      </c>
      <c r="E40" s="681">
        <f>D40/Assumptions!$B$4</f>
        <v>1483684.9106517036</v>
      </c>
      <c r="F40" s="681"/>
      <c r="G40" s="681"/>
      <c r="H40" s="683"/>
      <c r="I40" s="684">
        <f t="shared" si="20"/>
        <v>1483684.9106517041</v>
      </c>
      <c r="J40" s="78">
        <f>VLOOKUP(J2,'CU Composites'!$B$5:$J$45,9,)*'Cost Allocation - Tier 1'!$E$40</f>
        <v>38142.133441179918</v>
      </c>
      <c r="K40" s="78">
        <f>VLOOKUP(K2,'CU Composites'!$B$5:$J$45,9,)*'Cost Allocation - Tier 1'!$E$40</f>
        <v>9717.8315510272423</v>
      </c>
      <c r="L40" s="78">
        <f>VLOOKUP(L2,'CU Composites'!$B$5:$J$45,9,)*'Cost Allocation - Tier 1'!$E$40</f>
        <v>9260.4385072357691</v>
      </c>
      <c r="M40" s="78">
        <f>VLOOKUP(M2,'CU Composites'!$B$5:$J$45,9,)*'Cost Allocation - Tier 1'!$E$40</f>
        <v>12987.249585582224</v>
      </c>
      <c r="N40" s="78">
        <f>VLOOKUP(N2,'CU Composites'!$B$5:$J$45,9,)*'Cost Allocation - Tier 1'!$E$40</f>
        <v>17598.03170506535</v>
      </c>
      <c r="O40" s="78">
        <f>VLOOKUP(O2,'CU Composites'!$B$5:$J$45,9,)*'Cost Allocation - Tier 1'!$E$40</f>
        <v>51201.998165273537</v>
      </c>
      <c r="P40" s="78">
        <f>VLOOKUP(P2,'CU Composites'!$B$5:$J$45,9,)*'Cost Allocation - Tier 1'!$E$40</f>
        <v>6506.1772678699699</v>
      </c>
      <c r="Q40" s="78">
        <f>VLOOKUP(Q2,'CU Composites'!$B$5:$J$45,9,)*'Cost Allocation - Tier 1'!$E$40</f>
        <v>18402.658654382478</v>
      </c>
      <c r="R40" s="78">
        <f>VLOOKUP(R2,'CU Composites'!$B$5:$J$45,9,)*'Cost Allocation - Tier 1'!$E$40</f>
        <v>16059.045755960231</v>
      </c>
      <c r="S40" s="78">
        <f>VLOOKUP(S2,'CU Composites'!$B$5:$J$45,9,)*'Cost Allocation - Tier 1'!$E$40</f>
        <v>16251.46062467696</v>
      </c>
      <c r="T40" s="78">
        <f>VLOOKUP(T2,'CU Composites'!$B$5:$J$45,9,)*'Cost Allocation - Tier 1'!$E$40</f>
        <v>60587.474280544404</v>
      </c>
      <c r="U40" s="78">
        <f>VLOOKUP(U2,'CU Composites'!$B$5:$J$45,9,)*'Cost Allocation - Tier 1'!$E$40</f>
        <v>47823.718453399939</v>
      </c>
      <c r="V40" s="78">
        <f>VLOOKUP(V2,'CU Composites'!$B$5:$J$45,9,)*'Cost Allocation - Tier 1'!$E$40</f>
        <v>24443.879684093114</v>
      </c>
      <c r="W40" s="78">
        <f>VLOOKUP(W2,'CU Composites'!$B$5:$J$45,9,)*'Cost Allocation - Tier 1'!$E$40</f>
        <v>40108.829824788969</v>
      </c>
      <c r="X40" s="78">
        <f>VLOOKUP(X2,'CU Composites'!$B$5:$J$45,9,)*'Cost Allocation - Tier 1'!$E$40</f>
        <v>1424.2913051678786</v>
      </c>
      <c r="Y40" s="78">
        <f>VLOOKUP(Y2,'CU Composites'!$B$5:$J$45,9,)*'Cost Allocation - Tier 1'!$E$40</f>
        <v>1000.4074744048664</v>
      </c>
      <c r="Z40" s="78">
        <f>VLOOKUP(Z2,'CU Composites'!$B$5:$J$45,9,)*'Cost Allocation - Tier 1'!$E$40</f>
        <v>4150.4059764524491</v>
      </c>
      <c r="AA40" s="78">
        <f>VLOOKUP(AA2,'CU Composites'!$B$5:$J$45,9,)*'Cost Allocation - Tier 1'!$E$40</f>
        <v>3635.3340928870534</v>
      </c>
      <c r="AB40" s="78">
        <f>VLOOKUP(AB2,'CU Composites'!$B$5:$J$45,9,)*'Cost Allocation - Tier 1'!$E$40</f>
        <v>2105.9792953251217</v>
      </c>
      <c r="AC40" s="78">
        <f>VLOOKUP(AC2,'CU Composites'!$B$5:$J$45,9,)*'Cost Allocation - Tier 1'!$E$40</f>
        <v>2681.7920659801375</v>
      </c>
      <c r="AD40" s="78">
        <f>VLOOKUP(AD2,'CU Composites'!$B$5:$J$45,9,)*'Cost Allocation - Tier 1'!$E$40</f>
        <v>18873.096092751719</v>
      </c>
      <c r="AE40" s="78">
        <f>VLOOKUP(AE2,'CU Composites'!$B$5:$J$45,9,)*'Cost Allocation - Tier 1'!$E$40</f>
        <v>6824.7732052312476</v>
      </c>
      <c r="AF40" s="78">
        <f>VLOOKUP(AF2,'CU Composites'!$B$5:$J$45,9,)*'Cost Allocation - Tier 1'!$E$40</f>
        <v>13668.446317306829</v>
      </c>
      <c r="AG40" s="78">
        <f>VLOOKUP(AG2,'CU Composites'!$B$5:$J$45,9,)*'Cost Allocation - Tier 1'!$E$40</f>
        <v>26412.227052966235</v>
      </c>
      <c r="AH40" s="78">
        <f>VLOOKUP(AH2,'CU Composites'!$B$5:$J$45,9,)*'Cost Allocation - Tier 1'!$E$40</f>
        <v>364233.73705304269</v>
      </c>
      <c r="AI40" s="78">
        <f>VLOOKUP(AI2,'CU Composites'!$B$5:$J$45,9,)*'Cost Allocation - Tier 1'!$E$40</f>
        <v>3670.196669159543</v>
      </c>
      <c r="AJ40" s="78">
        <f>VLOOKUP(AJ2,'CU Composites'!$B$5:$J$45,9,)*'Cost Allocation - Tier 1'!$E$40</f>
        <v>63894.816842178865</v>
      </c>
      <c r="AK40" s="78">
        <f>VLOOKUP(AK2,'CU Composites'!$B$5:$J$45,9,)*'Cost Allocation - Tier 1'!$E$40</f>
        <v>51038.579191428478</v>
      </c>
      <c r="AL40" s="78">
        <f>VLOOKUP(AL2,'CU Composites'!$B$5:$J$45,9,)*'Cost Allocation - Tier 1'!$E$40</f>
        <v>0</v>
      </c>
      <c r="AM40" s="78">
        <f>VLOOKUP(AM2,'CU Composites'!$B$5:$J$45,9,)*'Cost Allocation - Tier 1'!$E$40</f>
        <v>5516.7743177368266</v>
      </c>
      <c r="AN40" s="78">
        <f>VLOOKUP(AN2,'CU Composites'!$B$5:$J$45,9,)*'Cost Allocation - Tier 1'!$E$40</f>
        <v>6954.7675108804206</v>
      </c>
      <c r="AO40" s="78">
        <f>VLOOKUP(AO2,'CU Composites'!$B$5:$J$45,9,)*'Cost Allocation - Tier 1'!$E$40</f>
        <v>63659.53723545836</v>
      </c>
      <c r="AP40" s="78">
        <f>VLOOKUP(AP2,'CU Composites'!$B$5:$J$45,9,)*'Cost Allocation - Tier 1'!$E$40</f>
        <v>8930.6561453556042</v>
      </c>
      <c r="AQ40" s="78">
        <f>VLOOKUP(AQ2,'CU Composites'!$B$5:$J$45,9,)*'Cost Allocation - Tier 1'!$E$40</f>
        <v>32352.568120344553</v>
      </c>
      <c r="AR40" s="78">
        <f>VLOOKUP(AR2,'CU Composites'!$B$5:$J$45,9,)*'Cost Allocation - Tier 1'!$E$40</f>
        <v>130.85150232428279</v>
      </c>
      <c r="AS40" s="78">
        <f>VLOOKUP(AS2,'CU Composites'!$B$5:$J$45,9,)*'Cost Allocation - Tier 1'!$E$40</f>
        <v>48211.663953635783</v>
      </c>
      <c r="AT40" s="78">
        <f>VLOOKUP(AT2,'CU Composites'!$B$5:$J$45,9,)*'Cost Allocation - Tier 1'!$E$40</f>
        <v>38816.012898137924</v>
      </c>
      <c r="AU40" s="78">
        <f>VLOOKUP(AU2,'CU Composites'!$B$5:$J$45,9,)*'Cost Allocation - Tier 1'!$E$40</f>
        <v>58528.862056853999</v>
      </c>
      <c r="AV40" s="78">
        <f>VLOOKUP(AV2,'CU Composites'!$B$5:$J$45,9,)*'Cost Allocation - Tier 1'!$E$40</f>
        <v>79186.996973064975</v>
      </c>
      <c r="AW40" s="78">
        <f>VLOOKUP(AW2,'CU Composites'!$B$5:$J$45,9,)*'Cost Allocation - Tier 1'!$E$40</f>
        <v>205915.34555042529</v>
      </c>
      <c r="AX40" s="78">
        <f>VLOOKUP(AX2,'CU Composites'!$B$5:$J$45,9,)*'Cost Allocation - Tier 1'!$E$40</f>
        <v>2775.8642521228176</v>
      </c>
      <c r="AY40" s="79"/>
      <c r="AZ40" s="79"/>
      <c r="BA40" s="79"/>
      <c r="BB40" s="79"/>
      <c r="BC40" s="684">
        <f t="shared" si="21"/>
        <v>0</v>
      </c>
      <c r="BD40" s="79"/>
      <c r="BE40" s="79"/>
      <c r="BF40" s="79"/>
      <c r="BG40" s="79"/>
      <c r="BH40" s="79"/>
      <c r="BI40" s="79"/>
      <c r="BJ40" s="79"/>
      <c r="BK40" s="79"/>
      <c r="BL40" s="685">
        <f t="shared" si="22"/>
        <v>1483684.9106517041</v>
      </c>
      <c r="BM40" s="667">
        <f t="shared" si="23"/>
        <v>0</v>
      </c>
      <c r="BO40" s="711" t="s">
        <v>863</v>
      </c>
      <c r="BP40" s="204">
        <f t="shared" si="4"/>
        <v>1483684.9106517036</v>
      </c>
      <c r="BQ40" s="204">
        <f t="shared" si="10"/>
        <v>1483684.9106517036</v>
      </c>
      <c r="BR40" s="204">
        <f t="shared" si="5"/>
        <v>0</v>
      </c>
    </row>
    <row r="41" spans="1:73" outlineLevel="1" x14ac:dyDescent="0.25">
      <c r="A41" s="177" t="s">
        <v>877</v>
      </c>
      <c r="D41" s="76">
        <f>SUM(D38:D40)</f>
        <v>2722130.65</v>
      </c>
      <c r="E41" s="76">
        <f>SUM(E38:E40)</f>
        <v>2051604.6893724138</v>
      </c>
      <c r="F41" s="76"/>
      <c r="G41" s="76"/>
      <c r="H41" s="637">
        <f>SUM(H38:H40)</f>
        <v>0</v>
      </c>
      <c r="I41" s="666">
        <f>SUM(I38:I40)</f>
        <v>2051604.6893724147</v>
      </c>
      <c r="J41" s="73">
        <f>SUM(J38:J40)</f>
        <v>52742.047363830708</v>
      </c>
      <c r="K41" s="73">
        <f t="shared" ref="K41:BB41" si="24">SUM(K38:K40)</f>
        <v>13437.589502653473</v>
      </c>
      <c r="L41" s="73">
        <f t="shared" si="24"/>
        <v>12805.117131470077</v>
      </c>
      <c r="M41" s="73">
        <f t="shared" si="24"/>
        <v>17958.464065073516</v>
      </c>
      <c r="N41" s="73">
        <f t="shared" si="24"/>
        <v>24334.145417693733</v>
      </c>
      <c r="O41" s="73">
        <f t="shared" si="24"/>
        <v>70800.921938992891</v>
      </c>
      <c r="P41" s="73">
        <f t="shared" si="24"/>
        <v>8996.5893006131064</v>
      </c>
      <c r="Q41" s="73">
        <f t="shared" si="24"/>
        <v>25446.764687838728</v>
      </c>
      <c r="R41" s="73">
        <f t="shared" si="24"/>
        <v>22206.071749629369</v>
      </c>
      <c r="S41" s="73">
        <f t="shared" si="24"/>
        <v>22472.138516319625</v>
      </c>
      <c r="T41" s="73">
        <f t="shared" si="24"/>
        <v>83778.938141654609</v>
      </c>
      <c r="U41" s="73">
        <f t="shared" si="24"/>
        <v>66129.516002912307</v>
      </c>
      <c r="V41" s="73">
        <f t="shared" si="24"/>
        <v>33800.423409518029</v>
      </c>
      <c r="W41" s="73">
        <f t="shared" si="24"/>
        <v>55461.548987266229</v>
      </c>
      <c r="X41" s="73">
        <f t="shared" si="24"/>
        <v>1969.476604996448</v>
      </c>
      <c r="Y41" s="73">
        <f t="shared" si="24"/>
        <v>1383.3399875117079</v>
      </c>
      <c r="Z41" s="73">
        <f t="shared" si="24"/>
        <v>5739.0840217879922</v>
      </c>
      <c r="AA41" s="73">
        <f t="shared" si="24"/>
        <v>5026.8547040263893</v>
      </c>
      <c r="AB41" s="73">
        <f t="shared" si="24"/>
        <v>2912.0987663832252</v>
      </c>
      <c r="AC41" s="73">
        <f t="shared" si="24"/>
        <v>3708.3191579200325</v>
      </c>
      <c r="AD41" s="73">
        <f t="shared" si="24"/>
        <v>26097.274541841853</v>
      </c>
      <c r="AE41" s="73">
        <f t="shared" si="24"/>
        <v>9437.1362890018281</v>
      </c>
      <c r="AF41" s="73">
        <f t="shared" si="24"/>
        <v>18900.406925823845</v>
      </c>
      <c r="AG41" s="73">
        <f t="shared" si="24"/>
        <v>36522.207976647012</v>
      </c>
      <c r="AH41" s="73">
        <f t="shared" si="24"/>
        <v>503653.86720650014</v>
      </c>
      <c r="AI41" s="73">
        <f t="shared" si="24"/>
        <v>5075.0618566709672</v>
      </c>
      <c r="AJ41" s="73">
        <f t="shared" si="24"/>
        <v>88352.253850466252</v>
      </c>
      <c r="AK41" s="73">
        <f t="shared" si="24"/>
        <v>70574.950015529932</v>
      </c>
      <c r="AL41" s="73">
        <f t="shared" si="24"/>
        <v>0</v>
      </c>
      <c r="AM41" s="73">
        <f t="shared" si="24"/>
        <v>7628.4661111143023</v>
      </c>
      <c r="AN41" s="73">
        <f t="shared" si="24"/>
        <v>9616.8893653773303</v>
      </c>
      <c r="AO41" s="73">
        <f t="shared" si="24"/>
        <v>88026.914729608397</v>
      </c>
      <c r="AP41" s="73">
        <f t="shared" si="24"/>
        <v>12349.101817673787</v>
      </c>
      <c r="AQ41" s="73">
        <f t="shared" si="24"/>
        <v>44736.372252909474</v>
      </c>
      <c r="AR41" s="73">
        <f t="shared" si="24"/>
        <v>180.93838782926335</v>
      </c>
      <c r="AS41" s="73">
        <f t="shared" si="24"/>
        <v>66665.957940004737</v>
      </c>
      <c r="AT41" s="73">
        <f t="shared" si="24"/>
        <v>53673.872068686345</v>
      </c>
      <c r="AU41" s="73">
        <f t="shared" si="24"/>
        <v>80932.337450765684</v>
      </c>
      <c r="AV41" s="73">
        <f t="shared" si="24"/>
        <v>109497.92180328845</v>
      </c>
      <c r="AW41" s="73">
        <f t="shared" si="24"/>
        <v>284734.90935446043</v>
      </c>
      <c r="AX41" s="73">
        <f t="shared" si="24"/>
        <v>3838.3999701223102</v>
      </c>
      <c r="AY41" s="73">
        <f t="shared" si="24"/>
        <v>0</v>
      </c>
      <c r="AZ41" s="73">
        <f t="shared" si="24"/>
        <v>0</v>
      </c>
      <c r="BA41" s="73">
        <f t="shared" si="24"/>
        <v>0</v>
      </c>
      <c r="BB41" s="73">
        <f t="shared" si="24"/>
        <v>0</v>
      </c>
      <c r="BC41" s="666">
        <f t="shared" si="21"/>
        <v>0</v>
      </c>
      <c r="BL41" s="76">
        <f t="shared" si="22"/>
        <v>2051604.6893724147</v>
      </c>
      <c r="BM41" s="667">
        <f t="shared" si="23"/>
        <v>0</v>
      </c>
      <c r="BO41" s="712"/>
      <c r="BP41" s="204">
        <f t="shared" si="4"/>
        <v>2051604.6893724138</v>
      </c>
      <c r="BQ41" s="204">
        <f t="shared" si="10"/>
        <v>2051604.6893724138</v>
      </c>
      <c r="BR41" s="204">
        <f t="shared" si="5"/>
        <v>0</v>
      </c>
    </row>
    <row r="42" spans="1:73" outlineLevel="1" x14ac:dyDescent="0.25">
      <c r="D42" s="76"/>
      <c r="E42" s="76"/>
      <c r="F42" s="76"/>
      <c r="G42" s="76"/>
      <c r="H42" s="242"/>
      <c r="I42" s="666"/>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BC42" s="666"/>
      <c r="BL42" s="76"/>
      <c r="BM42" s="667"/>
      <c r="BO42" s="712"/>
      <c r="BP42" s="204">
        <f t="shared" si="4"/>
        <v>0</v>
      </c>
      <c r="BQ42" s="204">
        <f t="shared" si="10"/>
        <v>0</v>
      </c>
      <c r="BR42" s="204">
        <f t="shared" si="5"/>
        <v>0</v>
      </c>
    </row>
    <row r="43" spans="1:73" outlineLevel="1" x14ac:dyDescent="0.25">
      <c r="A43" s="343" t="s">
        <v>878</v>
      </c>
      <c r="B43" s="3" t="s">
        <v>875</v>
      </c>
      <c r="C43" s="662"/>
      <c r="D43" s="663">
        <f>'Vancouver Rent'!H8</f>
        <v>178543.24444444446</v>
      </c>
      <c r="E43" s="664">
        <f>D43/Assumptions!$B$4</f>
        <v>134563.7681123011</v>
      </c>
      <c r="F43" s="664"/>
      <c r="G43" s="664"/>
      <c r="H43" s="242"/>
      <c r="I43" s="694">
        <f t="shared" ref="I43" si="25">SUM(J43:BB43)</f>
        <v>134563.7681123011</v>
      </c>
      <c r="J43" s="73">
        <f>VLOOKUP(J2,'CU Composites'!$B$5:$J$45,9,)*'Cost Allocation - Tier 1'!$E$43</f>
        <v>3459.3256040010037</v>
      </c>
      <c r="K43" s="73">
        <f>VLOOKUP(K2,'CU Composites'!$B$5:$J$45,9,)*'Cost Allocation - Tier 1'!$E$43</f>
        <v>881.36505399414239</v>
      </c>
      <c r="L43" s="73">
        <f>VLOOKUP(L2,'CU Composites'!$B$5:$J$45,9,)*'Cost Allocation - Tier 1'!$E$43</f>
        <v>839.88149435215598</v>
      </c>
      <c r="M43" s="73">
        <f>VLOOKUP(M2,'CU Composites'!$B$5:$J$45,9,)*'Cost Allocation - Tier 1'!$E$43</f>
        <v>1177.8870494027142</v>
      </c>
      <c r="N43" s="73">
        <f>VLOOKUP(N2,'CU Composites'!$B$5:$J$45,9,)*'Cost Allocation - Tier 1'!$E$43</f>
        <v>1596.0649330545359</v>
      </c>
      <c r="O43" s="73">
        <f>VLOOKUP(O2,'CU Composites'!$B$5:$J$45,9,)*'Cost Allocation - Tier 1'!$E$43</f>
        <v>4643.7985306273376</v>
      </c>
      <c r="P43" s="73">
        <f>VLOOKUP(P2,'CU Composites'!$B$5:$J$45,9,)*'Cost Allocation - Tier 1'!$E$43</f>
        <v>590.08197959405061</v>
      </c>
      <c r="Q43" s="73">
        <f>VLOOKUP(Q2,'CU Composites'!$B$5:$J$45,9,)*'Cost Allocation - Tier 1'!$E$43</f>
        <v>1669.0410976346957</v>
      </c>
      <c r="R43" s="73">
        <f>VLOOKUP(R2,'CU Composites'!$B$5:$J$45,9,)*'Cost Allocation - Tier 1'!$E$43</f>
        <v>1456.4856012862385</v>
      </c>
      <c r="S43" s="73">
        <f>VLOOKUP(S2,'CU Composites'!$B$5:$J$45,9,)*'Cost Allocation - Tier 1'!$E$43</f>
        <v>1473.9367929708555</v>
      </c>
      <c r="T43" s="73">
        <f>VLOOKUP(T2,'CU Composites'!$B$5:$J$45,9,)*'Cost Allocation - Tier 1'!$E$43</f>
        <v>5495.0203921775137</v>
      </c>
      <c r="U43" s="73">
        <f>VLOOKUP(U2,'CU Composites'!$B$5:$J$45,9,)*'Cost Allocation - Tier 1'!$E$43</f>
        <v>4337.4032545795608</v>
      </c>
      <c r="V43" s="73">
        <f>VLOOKUP(V2,'CU Composites'!$B$5:$J$45,9,)*'Cost Allocation - Tier 1'!$E$43</f>
        <v>2216.95356875369</v>
      </c>
      <c r="W43" s="73">
        <f>VLOOKUP(W2,'CU Composites'!$B$5:$J$45,9,)*'Cost Allocation - Tier 1'!$E$43</f>
        <v>3637.6964118533424</v>
      </c>
      <c r="X43" s="73">
        <f>VLOOKUP(X2,'CU Composites'!$B$5:$J$45,9,)*'Cost Allocation - Tier 1'!$E$43</f>
        <v>129.17702642725669</v>
      </c>
      <c r="Y43" s="73">
        <f>VLOOKUP(Y2,'CU Composites'!$B$5:$J$45,9,)*'Cost Allocation - Tier 1'!$E$43</f>
        <v>90.732606658713323</v>
      </c>
      <c r="Z43" s="73">
        <f>VLOOKUP(Z2,'CU Composites'!$B$5:$J$45,9,)*'Cost Allocation - Tier 1'!$E$43</f>
        <v>376.42376988382205</v>
      </c>
      <c r="AA43" s="73">
        <f>VLOOKUP(AA2,'CU Composites'!$B$5:$J$45,9,)*'Cost Allocation - Tier 1'!$E$43</f>
        <v>329.70899034831012</v>
      </c>
      <c r="AB43" s="73">
        <f>VLOOKUP(AB2,'CU Composites'!$B$5:$J$45,9,)*'Cost Allocation - Tier 1'!$E$43</f>
        <v>191.00316213431026</v>
      </c>
      <c r="AC43" s="73">
        <f>VLOOKUP(AC2,'CU Composites'!$B$5:$J$45,9,)*'Cost Allocation - Tier 1'!$E$43</f>
        <v>243.22687593651423</v>
      </c>
      <c r="AD43" s="73">
        <f>VLOOKUP(AD2,'CU Composites'!$B$5:$J$45,9,)*'Cost Allocation - Tier 1'!$E$43</f>
        <v>1711.707727128324</v>
      </c>
      <c r="AE43" s="73">
        <f>VLOOKUP(AE2,'CU Composites'!$B$5:$J$45,9,)*'Cost Allocation - Tier 1'!$E$43</f>
        <v>618.97724538048567</v>
      </c>
      <c r="AF43" s="73">
        <f>VLOOKUP(AF2,'CU Composites'!$B$5:$J$45,9,)*'Cost Allocation - Tier 1'!$E$43</f>
        <v>1239.668630106655</v>
      </c>
      <c r="AG43" s="73">
        <f>VLOOKUP(AG2,'CU Composites'!$B$5:$J$45,9,)*'Cost Allocation - Tier 1'!$E$43</f>
        <v>2395.4741137885235</v>
      </c>
      <c r="AH43" s="73">
        <f>VLOOKUP(AH2,'CU Composites'!$B$5:$J$45,9,)*'Cost Allocation - Tier 1'!$E$43</f>
        <v>33034.415716982548</v>
      </c>
      <c r="AI43" s="73">
        <f>VLOOKUP(AI2,'CU Composites'!$B$5:$J$45,9,)*'Cost Allocation - Tier 1'!$E$43</f>
        <v>332.87087438153662</v>
      </c>
      <c r="AJ43" s="73">
        <f>VLOOKUP(AJ2,'CU Composites'!$B$5:$J$45,9,)*'Cost Allocation - Tier 1'!$E$43</f>
        <v>5794.9819772395585</v>
      </c>
      <c r="AK43" s="73">
        <f>VLOOKUP(AK2,'CU Composites'!$B$5:$J$45,9,)*'Cost Allocation - Tier 1'!$E$43</f>
        <v>4628.9771404900093</v>
      </c>
      <c r="AL43" s="73">
        <f>VLOOKUP(AL2,'CU Composites'!$B$5:$J$45,9,)*'Cost Allocation - Tier 1'!$E$43</f>
        <v>0</v>
      </c>
      <c r="AM43" s="73">
        <f>VLOOKUP(AM2,'CU Composites'!$B$5:$J$45,9,)*'Cost Allocation - Tier 1'!$E$43</f>
        <v>500.34743542263175</v>
      </c>
      <c r="AN43" s="73">
        <f>VLOOKUP(AN2,'CU Composites'!$B$5:$J$45,9,)*'Cost Allocation - Tier 1'!$E$43</f>
        <v>630.76716349295839</v>
      </c>
      <c r="AO43" s="73">
        <f>VLOOKUP(AO2,'CU Composites'!$B$5:$J$45,9,)*'Cost Allocation - Tier 1'!$E$43</f>
        <v>5773.6431402580702</v>
      </c>
      <c r="AP43" s="73">
        <f>VLOOKUP(AP2,'CU Composites'!$B$5:$J$45,9,)*'Cost Allocation - Tier 1'!$E$43</f>
        <v>809.97166851718316</v>
      </c>
      <c r="AQ43" s="73">
        <f>VLOOKUP(AQ2,'CU Composites'!$B$5:$J$45,9,)*'Cost Allocation - Tier 1'!$E$43</f>
        <v>2934.23721110112</v>
      </c>
      <c r="AR43" s="73">
        <f>VLOOKUP(AR2,'CU Composites'!$B$5:$J$45,9,)*'Cost Allocation - Tier 1'!$E$43</f>
        <v>11.86766212253033</v>
      </c>
      <c r="AS43" s="73">
        <f>VLOOKUP(AS2,'CU Composites'!$B$5:$J$45,9,)*'Cost Allocation - Tier 1'!$E$43</f>
        <v>4372.5882240829687</v>
      </c>
      <c r="AT43" s="73">
        <f>VLOOKUP(AT2,'CU Composites'!$B$5:$J$45,9,)*'Cost Allocation - Tier 1'!$E$43</f>
        <v>3520.443539710082</v>
      </c>
      <c r="AU43" s="73">
        <f>VLOOKUP(AU2,'CU Composites'!$B$5:$J$45,9,)*'Cost Allocation - Tier 1'!$E$43</f>
        <v>5308.3132174175125</v>
      </c>
      <c r="AV43" s="73">
        <f>VLOOKUP(AV2,'CU Composites'!$B$5:$J$45,9,)*'Cost Allocation - Tier 1'!$E$43</f>
        <v>7181.916201811694</v>
      </c>
      <c r="AW43" s="73">
        <f>VLOOKUP(AW2,'CU Composites'!$B$5:$J$45,9,)*'Cost Allocation - Tier 1'!$E$43</f>
        <v>18675.626213143063</v>
      </c>
      <c r="AX43" s="73">
        <f>VLOOKUP(AX2,'CU Composites'!$B$5:$J$45,9,)*'Cost Allocation - Tier 1'!$E$43</f>
        <v>251.75881405291693</v>
      </c>
      <c r="AY43" s="73"/>
      <c r="AZ43" s="73"/>
      <c r="BA43" s="73"/>
      <c r="BB43" s="73"/>
      <c r="BC43" s="666">
        <f t="shared" si="21"/>
        <v>0</v>
      </c>
      <c r="BL43" s="76">
        <f>BC43+I43+H43</f>
        <v>134563.7681123011</v>
      </c>
      <c r="BM43" s="667">
        <f t="shared" si="23"/>
        <v>0</v>
      </c>
      <c r="BO43" s="679" t="s">
        <v>863</v>
      </c>
      <c r="BP43" s="204">
        <f t="shared" si="4"/>
        <v>134563.7681123011</v>
      </c>
      <c r="BQ43" s="204">
        <f t="shared" si="10"/>
        <v>134563.7681123011</v>
      </c>
      <c r="BR43" s="204">
        <f t="shared" si="5"/>
        <v>0</v>
      </c>
    </row>
    <row r="44" spans="1:73" outlineLevel="1" x14ac:dyDescent="0.25">
      <c r="D44" s="76"/>
      <c r="E44" s="76"/>
      <c r="F44" s="76"/>
      <c r="G44" s="76"/>
      <c r="H44" s="242"/>
      <c r="I44" s="241"/>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BL44" s="73"/>
      <c r="BM44" s="667"/>
      <c r="BO44" s="712"/>
      <c r="BP44" s="204">
        <f t="shared" si="4"/>
        <v>0</v>
      </c>
      <c r="BQ44" s="204">
        <f t="shared" si="10"/>
        <v>0</v>
      </c>
      <c r="BR44" s="204">
        <f t="shared" si="5"/>
        <v>0</v>
      </c>
    </row>
    <row r="45" spans="1:73" outlineLevel="1" x14ac:dyDescent="0.25">
      <c r="A45" s="343" t="s">
        <v>879</v>
      </c>
      <c r="B45" s="3" t="s">
        <v>116</v>
      </c>
      <c r="C45" s="662"/>
      <c r="D45" s="663">
        <v>1135998</v>
      </c>
      <c r="E45" s="713">
        <f>D45/Assumptions!$B$4</f>
        <v>856174.49108024396</v>
      </c>
      <c r="F45" s="713"/>
      <c r="G45" s="713"/>
      <c r="H45" s="242"/>
      <c r="I45" s="694">
        <f t="shared" ref="I45:I57" si="26">SUM(J45:BB45)</f>
        <v>856174.49108024407</v>
      </c>
      <c r="J45" s="73">
        <f>VLOOKUP(J2,'CU Composites'!$B$5:$K$45,10,)*'Cost Allocation - Tier 1'!$E$45</f>
        <v>0</v>
      </c>
      <c r="K45" s="73">
        <f>VLOOKUP(K2,'CU Composites'!$B$5:$K$45,10,)*'Cost Allocation - Tier 1'!$E$45</f>
        <v>0</v>
      </c>
      <c r="L45" s="73">
        <f>VLOOKUP(L2,'CU Composites'!$B$5:$K$45,10,)*'Cost Allocation - Tier 1'!$E$45</f>
        <v>0</v>
      </c>
      <c r="M45" s="73">
        <f>VLOOKUP(M2,'CU Composites'!$B$5:$K$45,10,)*'Cost Allocation - Tier 1'!$E$45</f>
        <v>0</v>
      </c>
      <c r="N45" s="73">
        <f>VLOOKUP(N2,'CU Composites'!$B$5:$K$45,10,)*'Cost Allocation - Tier 1'!$E$45</f>
        <v>0</v>
      </c>
      <c r="O45" s="73">
        <f>VLOOKUP(O2,'CU Composites'!$B$5:$K$45,10,)*'Cost Allocation - Tier 1'!$E$45</f>
        <v>0</v>
      </c>
      <c r="P45" s="73">
        <f>VLOOKUP(P2,'CU Composites'!$B$5:$K$45,10,)*'Cost Allocation - Tier 1'!$E$45</f>
        <v>0</v>
      </c>
      <c r="Q45" s="73">
        <f>VLOOKUP(Q2,'CU Composites'!$B$5:$K$45,10,)*'Cost Allocation - Tier 1'!$E$45</f>
        <v>0</v>
      </c>
      <c r="R45" s="73">
        <f>VLOOKUP(R2,'CU Composites'!$B$5:$K$45,10,)*'Cost Allocation - Tier 1'!$E$45</f>
        <v>0</v>
      </c>
      <c r="S45" s="73">
        <f>VLOOKUP(S2,'CU Composites'!$B$5:$K$45,10,)*'Cost Allocation - Tier 1'!$E$45</f>
        <v>0</v>
      </c>
      <c r="T45" s="73">
        <f>VLOOKUP(T2,'CU Composites'!$B$5:$K$45,10,)*'Cost Allocation - Tier 1'!$E$45</f>
        <v>0</v>
      </c>
      <c r="U45" s="73">
        <f>VLOOKUP(U2,'CU Composites'!$B$5:$K$45,10,)*'Cost Allocation - Tier 1'!$E$45</f>
        <v>0</v>
      </c>
      <c r="V45" s="73">
        <f>VLOOKUP(V2,'CU Composites'!$B$5:$K$45,10,)*'Cost Allocation - Tier 1'!$E$45</f>
        <v>0</v>
      </c>
      <c r="W45" s="73">
        <f>VLOOKUP(W2,'CU Composites'!$B$5:$K$45,10,)*'Cost Allocation - Tier 1'!$E$45</f>
        <v>0</v>
      </c>
      <c r="X45" s="73">
        <f>VLOOKUP(X2,'CU Composites'!$B$5:$K$45,10,)*'Cost Allocation - Tier 1'!$E$45</f>
        <v>0</v>
      </c>
      <c r="Y45" s="73">
        <f>VLOOKUP(Y2,'CU Composites'!$B$5:$K$45,10,)*'Cost Allocation - Tier 1'!$E$45</f>
        <v>0</v>
      </c>
      <c r="Z45" s="73">
        <f>VLOOKUP(Z2,'CU Composites'!$B$5:$K$45,10,)*'Cost Allocation - Tier 1'!$E$45</f>
        <v>0</v>
      </c>
      <c r="AA45" s="73">
        <f>VLOOKUP(AA2,'CU Composites'!$B$5:$K$45,10,)*'Cost Allocation - Tier 1'!$E$45</f>
        <v>0</v>
      </c>
      <c r="AB45" s="73">
        <f>VLOOKUP(AB2,'CU Composites'!$B$5:$K$45,10,)*'Cost Allocation - Tier 1'!$E$45</f>
        <v>0</v>
      </c>
      <c r="AC45" s="73">
        <f>VLOOKUP(AC2,'CU Composites'!$B$5:$K$45,10,)*'Cost Allocation - Tier 1'!$E$45</f>
        <v>0</v>
      </c>
      <c r="AD45" s="73">
        <f>VLOOKUP(AD2,'CU Composites'!$B$5:$K$45,10,)*'Cost Allocation - Tier 1'!$E$45</f>
        <v>0</v>
      </c>
      <c r="AE45" s="73">
        <f>VLOOKUP(AE2,'CU Composites'!$B$5:$K$45,10,)*'Cost Allocation - Tier 1'!$E$45</f>
        <v>0</v>
      </c>
      <c r="AF45" s="73">
        <f>VLOOKUP(AF2,'CU Composites'!$B$5:$K$45,10,)*'Cost Allocation - Tier 1'!$E$45</f>
        <v>66315.798642938636</v>
      </c>
      <c r="AG45" s="73">
        <f>VLOOKUP(AG2,'CU Composites'!$B$5:$K$45,10,)*'Cost Allocation - Tier 1'!$E$45</f>
        <v>0</v>
      </c>
      <c r="AH45" s="73">
        <f>VLOOKUP(AH2,'CU Composites'!$B$5:$K$45,10,)*'Cost Allocation - Tier 1'!$E$45</f>
        <v>0</v>
      </c>
      <c r="AI45" s="73">
        <f>VLOOKUP(AI2,'CU Composites'!$B$5:$K$45,10,)*'Cost Allocation - Tier 1'!$E$45</f>
        <v>0</v>
      </c>
      <c r="AJ45" s="73">
        <f>VLOOKUP(AJ2,'CU Composites'!$B$5:$K$45,10,)*'Cost Allocation - Tier 1'!$E$45</f>
        <v>241530.1604478964</v>
      </c>
      <c r="AK45" s="73">
        <f>VLOOKUP(AK2,'CU Composites'!$B$5:$K$45,10,)*'Cost Allocation - Tier 1'!$E$45</f>
        <v>209862.28841385114</v>
      </c>
      <c r="AL45" s="73">
        <f>VLOOKUP(AL2,'CU Composites'!$B$5:$K$45,10,)*'Cost Allocation - Tier 1'!$E$45</f>
        <v>0</v>
      </c>
      <c r="AM45" s="73">
        <f>VLOOKUP(AM2,'CU Composites'!$B$5:$K$45,10,)*'Cost Allocation - Tier 1'!$E$45</f>
        <v>0</v>
      </c>
      <c r="AN45" s="73">
        <f>VLOOKUP(AN2,'CU Composites'!$B$5:$K$45,10,)*'Cost Allocation - Tier 1'!$E$45</f>
        <v>45282.667666193593</v>
      </c>
      <c r="AO45" s="73">
        <f>VLOOKUP(AO2,'CU Composites'!$B$5:$K$45,10,)*'Cost Allocation - Tier 1'!$E$45</f>
        <v>254274.34151038347</v>
      </c>
      <c r="AP45" s="73">
        <f>VLOOKUP(AP2,'CU Composites'!$B$5:$K$45,10,)*'Cost Allocation - Tier 1'!$E$45</f>
        <v>38909.234398980887</v>
      </c>
      <c r="AQ45" s="73">
        <f>VLOOKUP(AQ2,'CU Composites'!$B$5:$K$45,10,)*'Cost Allocation - Tier 1'!$E$45</f>
        <v>0</v>
      </c>
      <c r="AR45" s="73">
        <f>VLOOKUP(AR2,'CU Composites'!$B$5:$K$45,10,)*'Cost Allocation - Tier 1'!$E$45</f>
        <v>0</v>
      </c>
      <c r="AS45" s="73">
        <f>VLOOKUP(AS2,'CU Composites'!$B$5:$K$45,10,)*'Cost Allocation - Tier 1'!$E$45</f>
        <v>0</v>
      </c>
      <c r="AT45" s="73">
        <f>VLOOKUP(AT2,'CU Composites'!$B$5:$K$45,10,)*'Cost Allocation - Tier 1'!$E$45</f>
        <v>0</v>
      </c>
      <c r="AU45" s="73">
        <f>VLOOKUP(AU2,'CU Composites'!$B$5:$K$45,10,)*'Cost Allocation - Tier 1'!$E$45</f>
        <v>0</v>
      </c>
      <c r="AV45" s="73">
        <f>VLOOKUP(AV2,'CU Composites'!$B$5:$K$45,10,)*'Cost Allocation - Tier 1'!$E$45</f>
        <v>0</v>
      </c>
      <c r="AW45" s="73">
        <f>VLOOKUP(AW2,'CU Composites'!$B$5:$K$45,10,)*'Cost Allocation - Tier 1'!$E$45</f>
        <v>0</v>
      </c>
      <c r="AX45" s="73">
        <f>VLOOKUP(AX2,'CU Composites'!$B$5:$K$45,10,)*'Cost Allocation - Tier 1'!$E$45</f>
        <v>0</v>
      </c>
      <c r="BC45" s="666">
        <f t="shared" si="21"/>
        <v>0</v>
      </c>
      <c r="BL45" s="76">
        <f>BC45+I45+H45</f>
        <v>856174.49108024407</v>
      </c>
      <c r="BM45" s="667">
        <f>BL45-E45</f>
        <v>0</v>
      </c>
      <c r="BO45" s="679" t="s">
        <v>863</v>
      </c>
      <c r="BP45" s="204">
        <f t="shared" si="4"/>
        <v>856174.49108024396</v>
      </c>
      <c r="BQ45" s="204">
        <f t="shared" si="10"/>
        <v>856174.49108024396</v>
      </c>
      <c r="BR45" s="204">
        <f t="shared" si="5"/>
        <v>0</v>
      </c>
    </row>
    <row r="46" spans="1:73" outlineLevel="1" x14ac:dyDescent="0.25">
      <c r="A46" s="343" t="s">
        <v>25</v>
      </c>
      <c r="B46" s="3" t="s">
        <v>117</v>
      </c>
      <c r="C46" s="662"/>
      <c r="D46" s="663">
        <v>704894</v>
      </c>
      <c r="E46" s="713">
        <f>D46/Assumptions!$B$4</f>
        <v>531261.72908360534</v>
      </c>
      <c r="F46" s="713"/>
      <c r="G46" s="713"/>
      <c r="H46" s="242"/>
      <c r="I46" s="694">
        <f t="shared" si="26"/>
        <v>531261.72908360558</v>
      </c>
      <c r="J46" s="73">
        <f>VLOOKUP(J2,'CU Composites'!$B$5:$L$45,11,)*'Cost Allocation - Tier 1'!$E$46</f>
        <v>16464.047006191959</v>
      </c>
      <c r="K46" s="73">
        <f>VLOOKUP(K2,'CU Composites'!$B$5:$L$45,11,)*'Cost Allocation - Tier 1'!$E$46</f>
        <v>4015.4830353516045</v>
      </c>
      <c r="L46" s="73">
        <f>VLOOKUP(L2,'CU Composites'!$B$5:$L$45,11,)*'Cost Allocation - Tier 1'!$E$46</f>
        <v>3703.1634436142167</v>
      </c>
      <c r="M46" s="73">
        <f>VLOOKUP(M2,'CU Composites'!$B$5:$L$45,11,)*'Cost Allocation - Tier 1'!$E$46</f>
        <v>5788.8384771076271</v>
      </c>
      <c r="N46" s="73">
        <f>VLOOKUP(N2,'CU Composites'!$B$5:$L$45,11,)*'Cost Allocation - Tier 1'!$E$46</f>
        <v>7340.1075809320209</v>
      </c>
      <c r="O46" s="73">
        <f>VLOOKUP(O2,'CU Composites'!$B$5:$L$45,11,)*'Cost Allocation - Tier 1'!$E$46</f>
        <v>22549.418783010155</v>
      </c>
      <c r="P46" s="73">
        <f>VLOOKUP(P2,'CU Composites'!$B$5:$L$45,11,)*'Cost Allocation - Tier 1'!$E$46</f>
        <v>2894.3281971884589</v>
      </c>
      <c r="Q46" s="73">
        <f>VLOOKUP(Q2,'CU Composites'!$B$5:$L$45,11,)*'Cost Allocation - Tier 1'!$E$46</f>
        <v>8290.5033213782699</v>
      </c>
      <c r="R46" s="73">
        <f>VLOOKUP(R2,'CU Composites'!$B$5:$L$45,11,)*'Cost Allocation - Tier 1'!$E$46</f>
        <v>7261.0987741477384</v>
      </c>
      <c r="S46" s="73">
        <f>VLOOKUP(S2,'CU Composites'!$B$5:$L$45,11,)*'Cost Allocation - Tier 1'!$E$46</f>
        <v>7326.2323271179575</v>
      </c>
      <c r="T46" s="73">
        <f>VLOOKUP(T2,'CU Composites'!$B$5:$L$45,11,)*'Cost Allocation - Tier 1'!$E$46</f>
        <v>27455.164569147135</v>
      </c>
      <c r="U46" s="73">
        <f>VLOOKUP(U2,'CU Composites'!$B$5:$L$45,11,)*'Cost Allocation - Tier 1'!$E$46</f>
        <v>21627.325561634607</v>
      </c>
      <c r="V46" s="73">
        <f>VLOOKUP(V2,'CU Composites'!$B$5:$L$45,11,)*'Cost Allocation - Tier 1'!$E$46</f>
        <v>10246.418323206721</v>
      </c>
      <c r="W46" s="73">
        <f>VLOOKUP(W2,'CU Composites'!$B$5:$L$45,11,)*'Cost Allocation - Tier 1'!$E$46</f>
        <v>16945.117262977557</v>
      </c>
      <c r="X46" s="73">
        <f>VLOOKUP(X2,'CU Composites'!$B$5:$L$45,11,)*'Cost Allocation - Tier 1'!$E$46</f>
        <v>632.69895718458247</v>
      </c>
      <c r="Y46" s="73">
        <f>VLOOKUP(Y2,'CU Composites'!$B$5:$L$45,11,)*'Cost Allocation - Tier 1'!$E$46</f>
        <v>433.18262372380622</v>
      </c>
      <c r="Z46" s="73">
        <f>VLOOKUP(Z2,'CU Composites'!$B$5:$L$45,11,)*'Cost Allocation - Tier 1'!$E$46</f>
        <v>1726.8564531260431</v>
      </c>
      <c r="AA46" s="73">
        <f>VLOOKUP(AA2,'CU Composites'!$B$5:$L$45,11,)*'Cost Allocation - Tier 1'!$E$46</f>
        <v>1493.6605485300399</v>
      </c>
      <c r="AB46" s="73">
        <f>VLOOKUP(AB2,'CU Composites'!$B$5:$L$45,11,)*'Cost Allocation - Tier 1'!$E$46</f>
        <v>855.19014179356191</v>
      </c>
      <c r="AC46" s="73">
        <f>VLOOKUP(AC2,'CU Composites'!$B$5:$L$45,11,)*'Cost Allocation - Tier 1'!$E$46</f>
        <v>1157.2529571222185</v>
      </c>
      <c r="AD46" s="73">
        <f>VLOOKUP(AD2,'CU Composites'!$B$5:$L$45,11,)*'Cost Allocation - Tier 1'!$E$46</f>
        <v>8523.9269296358816</v>
      </c>
      <c r="AE46" s="73">
        <f>VLOOKUP(AE2,'CU Composites'!$B$5:$L$45,11,)*'Cost Allocation - Tier 1'!$E$46</f>
        <v>3020.003265511888</v>
      </c>
      <c r="AF46" s="73">
        <f>VLOOKUP(AF2,'CU Composites'!$B$5:$L$45,11,)*'Cost Allocation - Tier 1'!$E$46</f>
        <v>0</v>
      </c>
      <c r="AG46" s="73">
        <f>VLOOKUP(AG2,'CU Composites'!$B$5:$L$45,11,)*'Cost Allocation - Tier 1'!$E$46</f>
        <v>10376.495861710981</v>
      </c>
      <c r="AH46" s="73">
        <f>VLOOKUP(AH2,'CU Composites'!$B$5:$L$45,11,)*'Cost Allocation - Tier 1'!$E$46</f>
        <v>154135.86398939916</v>
      </c>
      <c r="AI46" s="73">
        <f>VLOOKUP(AI2,'CU Composites'!$B$5:$L$45,11,)*'Cost Allocation - Tier 1'!$E$46</f>
        <v>1673.5499608484329</v>
      </c>
      <c r="AJ46" s="73">
        <f>VLOOKUP(AJ2,'CU Composites'!$B$5:$L$45,11,)*'Cost Allocation - Tier 1'!$E$46</f>
        <v>0</v>
      </c>
      <c r="AK46" s="73">
        <f>VLOOKUP(AK2,'CU Composites'!$B$5:$L$45,11,)*'Cost Allocation - Tier 1'!$E$46</f>
        <v>0</v>
      </c>
      <c r="AL46" s="73">
        <f>VLOOKUP(AL2,'CU Composites'!$B$5:$L$45,11,)*'Cost Allocation - Tier 1'!$E$46</f>
        <v>0</v>
      </c>
      <c r="AM46" s="73">
        <f>VLOOKUP(AM2,'CU Composites'!$B$5:$L$45,11,)*'Cost Allocation - Tier 1'!$E$46</f>
        <v>2305.2181276839524</v>
      </c>
      <c r="AN46" s="73">
        <f>VLOOKUP(AN2,'CU Composites'!$B$5:$L$45,11,)*'Cost Allocation - Tier 1'!$E$46</f>
        <v>0</v>
      </c>
      <c r="AO46" s="73">
        <f>VLOOKUP(AO2,'CU Composites'!$B$5:$L$45,11,)*'Cost Allocation - Tier 1'!$E$46</f>
        <v>0</v>
      </c>
      <c r="AP46" s="73">
        <f>VLOOKUP(AP2,'CU Composites'!$B$5:$L$45,11,)*'Cost Allocation - Tier 1'!$E$46</f>
        <v>0</v>
      </c>
      <c r="AQ46" s="73">
        <f>VLOOKUP(AQ2,'CU Composites'!$B$5:$L$45,11,)*'Cost Allocation - Tier 1'!$E$46</f>
        <v>12697.278789506669</v>
      </c>
      <c r="AR46" s="73">
        <f>VLOOKUP(AR2,'CU Composites'!$B$5:$L$45,11,)*'Cost Allocation - Tier 1'!$E$46</f>
        <v>51.496295228307488</v>
      </c>
      <c r="AS46" s="73">
        <f>VLOOKUP(AS2,'CU Composites'!$B$5:$L$45,11,)*'Cost Allocation - Tier 1'!$E$46</f>
        <v>18928.614425093561</v>
      </c>
      <c r="AT46" s="73">
        <f>VLOOKUP(AT2,'CU Composites'!$B$5:$L$45,11,)*'Cost Allocation - Tier 1'!$E$46</f>
        <v>15224.0358782975</v>
      </c>
      <c r="AU46" s="73">
        <f>VLOOKUP(AU2,'CU Composites'!$B$5:$L$45,11,)*'Cost Allocation - Tier 1'!$E$46</f>
        <v>23039.385360816421</v>
      </c>
      <c r="AV46" s="73">
        <f>VLOOKUP(AV2,'CU Composites'!$B$5:$L$45,11,)*'Cost Allocation - Tier 1'!$E$46</f>
        <v>31076.272885046012</v>
      </c>
      <c r="AW46" s="73">
        <f>VLOOKUP(AW2,'CU Composites'!$B$5:$L$45,11,)*'Cost Allocation - Tier 1'!$E$46</f>
        <v>80911.064244701847</v>
      </c>
      <c r="AX46" s="73">
        <f>VLOOKUP(AX2,'CU Composites'!$B$5:$L$45,11,)*'Cost Allocation - Tier 1'!$E$46</f>
        <v>1092.4347256385622</v>
      </c>
      <c r="BC46" s="666">
        <f t="shared" si="21"/>
        <v>0</v>
      </c>
      <c r="BL46" s="76">
        <f>BC46+I46+H46</f>
        <v>531261.72908360558</v>
      </c>
      <c r="BM46" s="667">
        <f>BL46-E46</f>
        <v>0</v>
      </c>
      <c r="BO46" s="679" t="s">
        <v>863</v>
      </c>
      <c r="BP46" s="204">
        <f t="shared" si="4"/>
        <v>531261.72908360534</v>
      </c>
      <c r="BQ46" s="204">
        <f t="shared" si="10"/>
        <v>531261.72908360534</v>
      </c>
      <c r="BR46" s="204">
        <f t="shared" si="5"/>
        <v>0</v>
      </c>
    </row>
    <row r="47" spans="1:73" outlineLevel="1" x14ac:dyDescent="0.25">
      <c r="A47" s="343" t="s">
        <v>9</v>
      </c>
      <c r="B47" s="3" t="s">
        <v>875</v>
      </c>
      <c r="C47" s="662"/>
      <c r="D47" s="663">
        <v>40160.489999999991</v>
      </c>
      <c r="E47" s="713">
        <f>D47/Assumptions!$B$4</f>
        <v>30267.99966838253</v>
      </c>
      <c r="F47" s="713"/>
      <c r="G47" s="713"/>
      <c r="H47" s="242"/>
      <c r="I47" s="694">
        <f t="shared" si="26"/>
        <v>30267.999668382545</v>
      </c>
      <c r="J47" s="73">
        <f>VLOOKUP(J2,'CU Composites'!$B$5:$J$45,9,)*'Cost Allocation - Tier 1'!$E$47</f>
        <v>778.12079509653563</v>
      </c>
      <c r="K47" s="73">
        <f>VLOOKUP(K2,'CU Composites'!$B$5:$J$45,9,)*'Cost Allocation - Tier 1'!$E$47</f>
        <v>198.24918353768936</v>
      </c>
      <c r="L47" s="73">
        <f>VLOOKUP(L2,'CU Composites'!$B$5:$J$45,9,)*'Cost Allocation - Tier 1'!$E$47</f>
        <v>188.9181103439075</v>
      </c>
      <c r="M47" s="73">
        <f>VLOOKUP(M2,'CU Composites'!$B$5:$J$45,9,)*'Cost Allocation - Tier 1'!$E$47</f>
        <v>264.94713488522092</v>
      </c>
      <c r="N47" s="73">
        <f>VLOOKUP(N2,'CU Composites'!$B$5:$J$45,9,)*'Cost Allocation - Tier 1'!$E$47</f>
        <v>359.00966168021171</v>
      </c>
      <c r="O47" s="73">
        <f>VLOOKUP(O2,'CU Composites'!$B$5:$J$45,9,)*'Cost Allocation - Tier 1'!$E$47</f>
        <v>1044.54931930681</v>
      </c>
      <c r="P47" s="73">
        <f>VLOOKUP(P2,'CU Composites'!$B$5:$J$45,9,)*'Cost Allocation - Tier 1'!$E$47</f>
        <v>132.72964493507305</v>
      </c>
      <c r="Q47" s="73">
        <f>VLOOKUP(Q2,'CU Composites'!$B$5:$J$45,9,)*'Cost Allocation - Tier 1'!$E$47</f>
        <v>375.42450020843057</v>
      </c>
      <c r="R47" s="73">
        <f>VLOOKUP(R2,'CU Composites'!$B$5:$J$45,9,)*'Cost Allocation - Tier 1'!$E$47</f>
        <v>327.61348998449898</v>
      </c>
      <c r="S47" s="73">
        <f>VLOOKUP(S2,'CU Composites'!$B$5:$J$45,9,)*'Cost Allocation - Tier 1'!$E$47</f>
        <v>331.53886062128169</v>
      </c>
      <c r="T47" s="73">
        <f>VLOOKUP(T2,'CU Composites'!$B$5:$J$45,9,)*'Cost Allocation - Tier 1'!$E$47</f>
        <v>1236.0182665914797</v>
      </c>
      <c r="U47" s="73">
        <f>VLOOKUP(U2,'CU Composites'!$B$5:$J$45,9,)*'Cost Allocation - Tier 1'!$E$47</f>
        <v>975.63052902688537</v>
      </c>
      <c r="V47" s="73">
        <f>VLOOKUP(V2,'CU Composites'!$B$5:$J$45,9,)*'Cost Allocation - Tier 1'!$E$47</f>
        <v>498.66877856641992</v>
      </c>
      <c r="W47" s="73">
        <f>VLOOKUP(W2,'CU Composites'!$B$5:$J$45,9,)*'Cost Allocation - Tier 1'!$E$47</f>
        <v>818.24249820177272</v>
      </c>
      <c r="X47" s="73">
        <f>VLOOKUP(X2,'CU Composites'!$B$5:$J$45,9,)*'Cost Allocation - Tier 1'!$E$47</f>
        <v>29.056336991096948</v>
      </c>
      <c r="Y47" s="73">
        <f>VLOOKUP(Y2,'CU Composites'!$B$5:$J$45,9,)*'Cost Allocation - Tier 1'!$E$47</f>
        <v>20.408870432087475</v>
      </c>
      <c r="Z47" s="73">
        <f>VLOOKUP(Z2,'CU Composites'!$B$5:$J$45,9,)*'Cost Allocation - Tier 1'!$E$47</f>
        <v>84.670596712974231</v>
      </c>
      <c r="AA47" s="73">
        <f>VLOOKUP(AA2,'CU Composites'!$B$5:$J$45,9,)*'Cost Allocation - Tier 1'!$E$47</f>
        <v>74.162843018759858</v>
      </c>
      <c r="AB47" s="73">
        <f>VLOOKUP(AB2,'CU Composites'!$B$5:$J$45,9,)*'Cost Allocation - Tier 1'!$E$47</f>
        <v>42.963152186081089</v>
      </c>
      <c r="AC47" s="73">
        <f>VLOOKUP(AC2,'CU Composites'!$B$5:$J$45,9,)*'Cost Allocation - Tier 1'!$E$47</f>
        <v>54.710053853754545</v>
      </c>
      <c r="AD47" s="73">
        <f>VLOOKUP(AD2,'CU Composites'!$B$5:$J$45,9,)*'Cost Allocation - Tier 1'!$E$47</f>
        <v>385.02168632680952</v>
      </c>
      <c r="AE47" s="73">
        <f>VLOOKUP(AE2,'CU Composites'!$B$5:$J$45,9,)*'Cost Allocation - Tier 1'!$E$47</f>
        <v>139.22917974678953</v>
      </c>
      <c r="AF47" s="73">
        <f>VLOOKUP(AF2,'CU Composites'!$B$5:$J$45,9,)*'Cost Allocation - Tier 1'!$E$47</f>
        <v>278.84392813419117</v>
      </c>
      <c r="AG47" s="73">
        <f>VLOOKUP(AG2,'CU Composites'!$B$5:$J$45,9,)*'Cost Allocation - Tier 1'!$E$47</f>
        <v>538.82416269184296</v>
      </c>
      <c r="AH47" s="73">
        <f>VLOOKUP(AH2,'CU Composites'!$B$5:$J$45,9,)*'Cost Allocation - Tier 1'!$E$47</f>
        <v>7430.5713788601479</v>
      </c>
      <c r="AI47" s="73">
        <f>VLOOKUP(AI2,'CU Composites'!$B$5:$J$45,9,)*'Cost Allocation - Tier 1'!$E$47</f>
        <v>74.874059018517642</v>
      </c>
      <c r="AJ47" s="73">
        <f>VLOOKUP(AJ2,'CU Composites'!$B$5:$J$45,9,)*'Cost Allocation - Tier 1'!$E$47</f>
        <v>1303.4898994429641</v>
      </c>
      <c r="AK47" s="73">
        <f>VLOOKUP(AK2,'CU Composites'!$B$5:$J$45,9,)*'Cost Allocation - Tier 1'!$E$47</f>
        <v>1041.215481097202</v>
      </c>
      <c r="AL47" s="73">
        <f>VLOOKUP(AL2,'CU Composites'!$B$5:$J$45,9,)*'Cost Allocation - Tier 1'!$E$47</f>
        <v>0</v>
      </c>
      <c r="AM47" s="73">
        <f>VLOOKUP(AM2,'CU Composites'!$B$5:$J$45,9,)*'Cost Allocation - Tier 1'!$E$47</f>
        <v>112.5452729356487</v>
      </c>
      <c r="AN47" s="73">
        <f>VLOOKUP(AN2,'CU Composites'!$B$5:$J$45,9,)*'Cost Allocation - Tier 1'!$E$47</f>
        <v>141.88113608336269</v>
      </c>
      <c r="AO47" s="73">
        <f>VLOOKUP(AO2,'CU Composites'!$B$5:$J$45,9,)*'Cost Allocation - Tier 1'!$E$47</f>
        <v>1298.6900642440839</v>
      </c>
      <c r="AP47" s="73">
        <f>VLOOKUP(AP2,'CU Composites'!$B$5:$J$45,9,)*'Cost Allocation - Tier 1'!$E$47</f>
        <v>182.19036623303509</v>
      </c>
      <c r="AQ47" s="73">
        <f>VLOOKUP(AQ2,'CU Composites'!$B$5:$J$45,9,)*'Cost Allocation - Tier 1'!$E$47</f>
        <v>660.01043355477748</v>
      </c>
      <c r="AR47" s="73">
        <f>VLOOKUP(AR2,'CU Composites'!$B$5:$J$45,9,)*'Cost Allocation - Tier 1'!$E$47</f>
        <v>2.6694436268271149</v>
      </c>
      <c r="AS47" s="73">
        <f>VLOOKUP(AS2,'CU Composites'!$B$5:$J$45,9,)*'Cost Allocation - Tier 1'!$E$47</f>
        <v>983.54483359936455</v>
      </c>
      <c r="AT47" s="73">
        <f>VLOOKUP(AT2,'CU Composites'!$B$5:$J$45,9,)*'Cost Allocation - Tier 1'!$E$47</f>
        <v>791.86831185922574</v>
      </c>
      <c r="AU47" s="73">
        <f>VLOOKUP(AU2,'CU Composites'!$B$5:$J$45,9,)*'Cost Allocation - Tier 1'!$E$47</f>
        <v>1194.0214290846402</v>
      </c>
      <c r="AV47" s="73">
        <f>VLOOKUP(AV2,'CU Composites'!$B$5:$J$45,9,)*'Cost Allocation - Tier 1'!$E$47</f>
        <v>1615.4589029743106</v>
      </c>
      <c r="AW47" s="73">
        <f>VLOOKUP(AW2,'CU Composites'!$B$5:$J$45,9,)*'Cost Allocation - Tier 1'!$E$47</f>
        <v>4200.7878937701662</v>
      </c>
      <c r="AX47" s="73">
        <f>VLOOKUP(AX2,'CU Composites'!$B$5:$J$45,9,)*'Cost Allocation - Tier 1'!$E$47</f>
        <v>56.62917891766044</v>
      </c>
      <c r="BC47" s="666">
        <f t="shared" si="21"/>
        <v>0</v>
      </c>
      <c r="BL47" s="76">
        <f>BC47+I47+H47</f>
        <v>30267.999668382545</v>
      </c>
      <c r="BM47" s="667">
        <f>BL47-E47</f>
        <v>0</v>
      </c>
      <c r="BO47" s="679" t="s">
        <v>863</v>
      </c>
      <c r="BP47" s="204">
        <f t="shared" si="4"/>
        <v>30267.99966838253</v>
      </c>
      <c r="BQ47" s="204">
        <f t="shared" si="10"/>
        <v>30267.99966838253</v>
      </c>
      <c r="BR47" s="204">
        <f t="shared" si="5"/>
        <v>0</v>
      </c>
    </row>
    <row r="48" spans="1:73" outlineLevel="1" x14ac:dyDescent="0.25">
      <c r="A48" s="343" t="s">
        <v>880</v>
      </c>
      <c r="B48" s="3" t="s">
        <v>861</v>
      </c>
      <c r="C48" s="662"/>
      <c r="D48" s="663">
        <v>1675906</v>
      </c>
      <c r="E48" s="713">
        <f>D48/Assumptions!$B$4</f>
        <v>1263090.2225605391</v>
      </c>
      <c r="F48" s="713"/>
      <c r="G48" s="713"/>
      <c r="H48" s="242"/>
      <c r="I48" s="694">
        <f t="shared" si="26"/>
        <v>1263090.2225605394</v>
      </c>
      <c r="J48" s="73">
        <f>VLOOKUP(J2,'CU Composites'!$B$5:$N$55,12,)*'Cost Allocation - Tier 1'!$E$48</f>
        <v>7857.316008082491</v>
      </c>
      <c r="K48" s="73">
        <f>VLOOKUP(K2,'CU Composites'!$B$5:$N$55,12,)*'Cost Allocation - Tier 1'!$E$48</f>
        <v>2266.6404928368129</v>
      </c>
      <c r="L48" s="73">
        <f>VLOOKUP(L2,'CU Composites'!$B$5:$N$55,12,)*'Cost Allocation - Tier 1'!$E$48</f>
        <v>2342.1378163647046</v>
      </c>
      <c r="M48" s="73">
        <f>VLOOKUP(M2,'CU Composites'!$B$5:$N$55,12,)*'Cost Allocation - Tier 1'!$E$48</f>
        <v>2405.1971883640308</v>
      </c>
      <c r="N48" s="73">
        <f>VLOOKUP(N2,'CU Composites'!$B$5:$N$55,12,)*'Cost Allocation - Tier 1'!$E$48</f>
        <v>4003.5185586776583</v>
      </c>
      <c r="O48" s="73">
        <f>VLOOKUP(O2,'CU Composites'!$B$5:$N$55,12,)*'Cost Allocation - Tier 1'!$E$48</f>
        <v>9409.4839453428285</v>
      </c>
      <c r="P48" s="73">
        <f>VLOOKUP(P2,'CU Composites'!$B$5:$N$55,12,)*'Cost Allocation - Tier 1'!$E$48</f>
        <v>1147.3929897807725</v>
      </c>
      <c r="Q48" s="73">
        <f>VLOOKUP(Q2,'CU Composites'!$B$5:$N$55,12,)*'Cost Allocation - Tier 1'!$E$48</f>
        <v>3072.4504884369835</v>
      </c>
      <c r="R48" s="73">
        <f>VLOOKUP(R2,'CU Composites'!$B$5:$N$55,12,)*'Cost Allocation - Tier 1'!$E$48</f>
        <v>2637.2254206601765</v>
      </c>
      <c r="S48" s="73">
        <f>VLOOKUP(S2,'CU Composites'!$B$5:$N$55,12,)*'Cost Allocation - Tier 1'!$E$48</f>
        <v>2705.2122589724363</v>
      </c>
      <c r="T48" s="73">
        <f>VLOOKUP(T2,'CU Composites'!$B$5:$N$55,12,)*'Cost Allocation - Tier 1'!$E$48</f>
        <v>9848.9757594954408</v>
      </c>
      <c r="U48" s="73">
        <f>VLOOKUP(U2,'CU Composites'!$B$5:$N$55,12,)*'Cost Allocation - Tier 1'!$E$48</f>
        <v>7847.2681909410139</v>
      </c>
      <c r="V48" s="73">
        <f>VLOOKUP(V2,'CU Composites'!$B$5:$N$55,12,)*'Cost Allocation - Tier 1'!$E$48</f>
        <v>6128.5212332120209</v>
      </c>
      <c r="W48" s="73">
        <f>VLOOKUP(W2,'CU Composites'!$B$5:$N$55,12,)*'Cost Allocation - Tier 1'!$E$48</f>
        <v>9883.8224826774622</v>
      </c>
      <c r="X48" s="73">
        <f>VLOOKUP(X2,'CU Composites'!$B$5:$N$55,12,)*'Cost Allocation - Tier 1'!$E$48</f>
        <v>239.53530677375812</v>
      </c>
      <c r="Y48" s="73">
        <f>VLOOKUP(Y2,'CU Composites'!$B$5:$N$55,12,)*'Cost Allocation - Tier 1'!$E$48</f>
        <v>185.10300416676415</v>
      </c>
      <c r="Z48" s="73">
        <f>VLOOKUP(Z2,'CU Composites'!$B$5:$N$55,12,)*'Cost Allocation - Tier 1'!$E$48</f>
        <v>873.55776601338812</v>
      </c>
      <c r="AA48" s="73">
        <f>VLOOKUP(AA2,'CU Composites'!$B$5:$N$55,12,)*'Cost Allocation - Tier 1'!$E$48</f>
        <v>793.53052739365251</v>
      </c>
      <c r="AB48" s="73">
        <f>VLOOKUP(AB2,'CU Composites'!$B$5:$N$55,12,)*'Cost Allocation - Tier 1'!$E$48</f>
        <v>474.87383056878298</v>
      </c>
      <c r="AC48" s="73">
        <f>VLOOKUP(AC2,'CU Composites'!$B$5:$N$55,12,)*'Cost Allocation - Tier 1'!$E$48</f>
        <v>502.18490651769065</v>
      </c>
      <c r="AD48" s="73">
        <f>VLOOKUP(AD2,'CU Composites'!$B$5:$N$55,12,)*'Cost Allocation - Tier 1'!$E$48</f>
        <v>2963.5259575964915</v>
      </c>
      <c r="AE48" s="73">
        <f>VLOOKUP(AE2,'CU Composites'!$B$5:$N$55,12,)*'Cost Allocation - Tier 1'!$E$48</f>
        <v>1165.358166361646</v>
      </c>
      <c r="AF48" s="73">
        <f>VLOOKUP(AF2,'CU Composites'!$B$5:$N$55,12,)*'Cost Allocation - Tier 1'!$E$48</f>
        <v>3062.1542790486997</v>
      </c>
      <c r="AG48" s="73">
        <f>VLOOKUP(AG2,'CU Composites'!$B$5:$N$55,12,)*'Cost Allocation - Tier 1'!$E$48</f>
        <v>9917.1694404728605</v>
      </c>
      <c r="AH48" s="73">
        <f>VLOOKUP(AH2,'CU Composites'!$B$5:$N$55,12,)*'Cost Allocation - Tier 1'!$E$48</f>
        <v>75516.596871133792</v>
      </c>
      <c r="AI48" s="73">
        <f>VLOOKUP(AI2,'CU Composites'!$B$5:$N$55,12,)*'Cost Allocation - Tier 1'!$E$48</f>
        <v>552.37894445332734</v>
      </c>
      <c r="AJ48" s="73">
        <f>VLOOKUP(AJ2,'CU Composites'!$B$5:$N$55,12,)*'Cost Allocation - Tier 1'!$E$48</f>
        <v>11841.78703600822</v>
      </c>
      <c r="AK48" s="73">
        <f>VLOOKUP(AK2,'CU Composites'!$B$5:$N$55,12,)*'Cost Allocation - Tier 1'!$E$48</f>
        <v>10070.493248461928</v>
      </c>
      <c r="AL48" s="73">
        <f>VLOOKUP(AL2,'CU Composites'!$B$5:$N$55,12,)*'Cost Allocation - Tier 1'!$E$48</f>
        <v>0</v>
      </c>
      <c r="AM48" s="73">
        <f>VLOOKUP(AM2,'CU Composites'!$B$5:$N$55,12,)*'Cost Allocation - Tier 1'!$E$48</f>
        <v>1146.333213963977</v>
      </c>
      <c r="AN48" s="73">
        <f>VLOOKUP(AN2,'CU Composites'!$B$5:$N$55,12,)*'Cost Allocation - Tier 1'!$E$48</f>
        <v>1974.811830324225</v>
      </c>
      <c r="AO48" s="73">
        <f>VLOOKUP(AO2,'CU Composites'!$B$5:$N$55,12,)*'Cost Allocation - Tier 1'!$E$48</f>
        <v>12290.516851906546</v>
      </c>
      <c r="AP48" s="73">
        <f>VLOOKUP(AP2,'CU Composites'!$B$5:$N$55,12,)*'Cost Allocation - Tier 1'!$E$48</f>
        <v>1841.1273070600494</v>
      </c>
      <c r="AQ48" s="73">
        <f>VLOOKUP(AQ2,'CU Composites'!$B$5:$N$55,12,)*'Cost Allocation - Tier 1'!$E$48</f>
        <v>11799.718117690021</v>
      </c>
      <c r="AR48" s="73">
        <f>VLOOKUP(AR2,'CU Composites'!$B$5:$N$55,12,)*'Cost Allocation - Tier 1'!$E$48</f>
        <v>31.968857678077022</v>
      </c>
      <c r="AS48" s="73">
        <f>VLOOKUP(AS2,'CU Composites'!$B$5:$N$55,12,)*'Cost Allocation - Tier 1'!$E$48</f>
        <v>17336.281121040152</v>
      </c>
      <c r="AT48" s="73">
        <f>VLOOKUP(AT2,'CU Composites'!$B$5:$N$55,12,)*'Cost Allocation - Tier 1'!$E$48</f>
        <v>14502.230242966563</v>
      </c>
      <c r="AU48" s="73">
        <f>VLOOKUP(AU2,'CU Composites'!$B$5:$N$55,12,)*'Cost Allocation - Tier 1'!$E$48</f>
        <v>19866.541067696155</v>
      </c>
      <c r="AV48" s="73">
        <f>VLOOKUP(AV2,'CU Composites'!$B$5:$N$55,12,)*'Cost Allocation - Tier 1'!$E$48</f>
        <v>28176.523538383586</v>
      </c>
      <c r="AW48" s="73">
        <f>VLOOKUP(AW2,'CU Composites'!$B$5:$N$55,12,)*'Cost Allocation - Tier 1'!$E$48</f>
        <v>71908.679968250493</v>
      </c>
      <c r="AX48" s="73">
        <f>VLOOKUP(AX2,'CU Composites'!$B$5:$N$55,12,)*'Cost Allocation - Tier 1'!$E$48</f>
        <v>678.18257821643601</v>
      </c>
      <c r="AY48" s="73">
        <f>VLOOKUP(AY2,'CU Composites'!$B$5:$N$55,12,)*'Cost Allocation - Tier 1'!$E$48</f>
        <v>231400.00849682896</v>
      </c>
      <c r="AZ48" s="73">
        <f>VLOOKUP(AZ2,'CU Composites'!$B$5:$N$55,12,)*'Cost Allocation - Tier 1'!$E$48</f>
        <v>7647.4269869934806</v>
      </c>
      <c r="BA48" s="73">
        <f>VLOOKUP(BA2,'CU Composites'!$B$5:$N$55,12,)*'Cost Allocation - Tier 1'!$E$48</f>
        <v>133858.62873554917</v>
      </c>
      <c r="BB48" s="73">
        <f>VLOOKUP(BB2,'CU Composites'!$B$5:$N$55,12,)*'Cost Allocation - Tier 1'!$E$48</f>
        <v>518917.83152717561</v>
      </c>
      <c r="BC48" s="666">
        <f t="shared" si="21"/>
        <v>0</v>
      </c>
      <c r="BL48" s="76">
        <f>BC48+I48+H48</f>
        <v>1263090.2225605394</v>
      </c>
      <c r="BM48" s="667">
        <f>BL48-E48</f>
        <v>0</v>
      </c>
      <c r="BO48" s="712" t="s">
        <v>857</v>
      </c>
      <c r="BP48" s="204">
        <f t="shared" si="4"/>
        <v>1263090.2225605391</v>
      </c>
      <c r="BQ48" s="204">
        <f t="shared" si="10"/>
        <v>1338875.6359141716</v>
      </c>
      <c r="BR48" s="204">
        <f t="shared" si="5"/>
        <v>75785.413353632437</v>
      </c>
    </row>
    <row r="49" spans="1:74" outlineLevel="1" x14ac:dyDescent="0.25">
      <c r="H49" s="242"/>
      <c r="I49" s="241"/>
      <c r="BL49" s="76"/>
      <c r="BM49" s="667"/>
      <c r="BO49" s="668"/>
      <c r="BP49" s="204">
        <f t="shared" si="4"/>
        <v>0</v>
      </c>
      <c r="BQ49" s="204">
        <f t="shared" si="10"/>
        <v>0</v>
      </c>
      <c r="BR49" s="204">
        <f t="shared" si="5"/>
        <v>0</v>
      </c>
    </row>
    <row r="50" spans="1:74" s="721" customFormat="1" ht="30" outlineLevel="1" x14ac:dyDescent="0.25">
      <c r="A50" s="714" t="s">
        <v>881</v>
      </c>
      <c r="B50" s="670" t="s">
        <v>882</v>
      </c>
      <c r="C50" s="662"/>
      <c r="D50" s="715">
        <f>E50*Assumptions!B4</f>
        <v>146957.03714</v>
      </c>
      <c r="E50" s="672">
        <v>110758</v>
      </c>
      <c r="F50" s="716"/>
      <c r="G50" s="716"/>
      <c r="H50" s="717"/>
      <c r="I50" s="718">
        <f>SUM(J50:BB50)</f>
        <v>110758</v>
      </c>
      <c r="J50" s="715"/>
      <c r="K50" s="715"/>
      <c r="L50" s="715"/>
      <c r="M50" s="715"/>
      <c r="N50" s="715"/>
      <c r="O50" s="715"/>
      <c r="P50" s="715"/>
      <c r="Q50" s="715"/>
      <c r="R50" s="715"/>
      <c r="S50" s="715"/>
      <c r="T50" s="715"/>
      <c r="U50" s="715"/>
      <c r="V50" s="715"/>
      <c r="W50" s="715"/>
      <c r="X50" s="715"/>
      <c r="Y50" s="715"/>
      <c r="Z50" s="715"/>
      <c r="AA50" s="715"/>
      <c r="AB50" s="715"/>
      <c r="AC50" s="715"/>
      <c r="AD50" s="715"/>
      <c r="AE50" s="715"/>
      <c r="AF50" s="715"/>
      <c r="AG50" s="715"/>
      <c r="AH50" s="715"/>
      <c r="AI50" s="715"/>
      <c r="AJ50" s="715"/>
      <c r="AK50" s="715"/>
      <c r="AL50" s="715"/>
      <c r="AM50" s="715"/>
      <c r="AN50" s="715"/>
      <c r="AO50" s="715"/>
      <c r="AP50" s="715"/>
      <c r="AQ50" s="715"/>
      <c r="AR50" s="715"/>
      <c r="AS50" s="715"/>
      <c r="AT50" s="715"/>
      <c r="AU50" s="715"/>
      <c r="AV50" s="715"/>
      <c r="AW50" s="715"/>
      <c r="AX50" s="715"/>
      <c r="AY50" s="715">
        <f>$E$50*VLOOKUP(AY2,'CU Composites'!$B$52:$J$55,9,)</f>
        <v>28402.423647378499</v>
      </c>
      <c r="AZ50" s="715">
        <f>$E$50*VLOOKUP(AZ2,'CU Composites'!$B$52:$J$55,9,)</f>
        <v>1159.6842519688196</v>
      </c>
      <c r="BA50" s="715">
        <f>$E$50*VLOOKUP(BA2,'CU Composites'!$B$52:$J$55,9,)</f>
        <v>17804.148565767387</v>
      </c>
      <c r="BB50" s="715">
        <f>$E$50*VLOOKUP(BB2,'CU Composites'!$B$52:$J$55,9,)</f>
        <v>63391.743534885296</v>
      </c>
      <c r="BC50" s="719">
        <f t="shared" ref="BC50" si="27">SUM(BD50:BK50)</f>
        <v>0</v>
      </c>
      <c r="BD50" s="715"/>
      <c r="BE50" s="715"/>
      <c r="BF50" s="715"/>
      <c r="BG50" s="715"/>
      <c r="BH50" s="715"/>
      <c r="BI50" s="715"/>
      <c r="BJ50" s="715"/>
      <c r="BK50" s="715"/>
      <c r="BL50" s="720">
        <f>BC50+I50+H50</f>
        <v>110758</v>
      </c>
      <c r="BM50" s="678">
        <f>BL50-E50</f>
        <v>0</v>
      </c>
      <c r="BO50" s="722" t="s">
        <v>863</v>
      </c>
      <c r="BP50" s="723">
        <f t="shared" si="4"/>
        <v>110758</v>
      </c>
      <c r="BQ50" s="723">
        <f t="shared" si="10"/>
        <v>110758</v>
      </c>
      <c r="BR50" s="723">
        <f t="shared" si="5"/>
        <v>0</v>
      </c>
      <c r="BU50" s="1247"/>
      <c r="BV50" s="177"/>
    </row>
    <row r="51" spans="1:74" s="721" customFormat="1" outlineLevel="1" x14ac:dyDescent="0.25">
      <c r="A51" s="714"/>
      <c r="B51" s="670"/>
      <c r="C51" s="670"/>
      <c r="D51" s="715"/>
      <c r="E51" s="716"/>
      <c r="F51" s="716"/>
      <c r="G51" s="716"/>
      <c r="H51" s="717"/>
      <c r="I51" s="718"/>
      <c r="J51" s="715"/>
      <c r="K51" s="715"/>
      <c r="L51" s="715"/>
      <c r="M51" s="715"/>
      <c r="N51" s="715"/>
      <c r="O51" s="715"/>
      <c r="P51" s="715"/>
      <c r="Q51" s="715"/>
      <c r="R51" s="715"/>
      <c r="S51" s="715"/>
      <c r="T51" s="715"/>
      <c r="U51" s="715"/>
      <c r="V51" s="715"/>
      <c r="W51" s="715"/>
      <c r="X51" s="715"/>
      <c r="Y51" s="715"/>
      <c r="Z51" s="715"/>
      <c r="AA51" s="715"/>
      <c r="AB51" s="715"/>
      <c r="AC51" s="715"/>
      <c r="AD51" s="715"/>
      <c r="AE51" s="715"/>
      <c r="AF51" s="715"/>
      <c r="AG51" s="715"/>
      <c r="AH51" s="715"/>
      <c r="AI51" s="715"/>
      <c r="AJ51" s="715"/>
      <c r="AK51" s="715"/>
      <c r="AL51" s="715"/>
      <c r="AM51" s="715"/>
      <c r="AN51" s="715"/>
      <c r="AO51" s="715"/>
      <c r="AP51" s="715"/>
      <c r="AQ51" s="715"/>
      <c r="AR51" s="715"/>
      <c r="AS51" s="715"/>
      <c r="AT51" s="715"/>
      <c r="AU51" s="715"/>
      <c r="AV51" s="715"/>
      <c r="AW51" s="715"/>
      <c r="AX51" s="715"/>
      <c r="AY51" s="715"/>
      <c r="AZ51" s="715"/>
      <c r="BA51" s="715"/>
      <c r="BB51" s="715"/>
      <c r="BC51" s="719"/>
      <c r="BD51" s="715"/>
      <c r="BE51" s="715"/>
      <c r="BF51" s="715"/>
      <c r="BG51" s="715"/>
      <c r="BH51" s="715"/>
      <c r="BI51" s="715"/>
      <c r="BJ51" s="715"/>
      <c r="BK51" s="715"/>
      <c r="BL51" s="720"/>
      <c r="BM51" s="678"/>
      <c r="BO51" s="724"/>
      <c r="BP51" s="723">
        <f t="shared" si="4"/>
        <v>0</v>
      </c>
      <c r="BQ51" s="723">
        <f t="shared" si="10"/>
        <v>0</v>
      </c>
      <c r="BR51" s="723">
        <f t="shared" si="5"/>
        <v>0</v>
      </c>
      <c r="BU51" s="1247"/>
    </row>
    <row r="52" spans="1:74" s="730" customFormat="1" outlineLevel="1" x14ac:dyDescent="0.25">
      <c r="A52" s="725" t="s">
        <v>883</v>
      </c>
      <c r="B52" s="726"/>
      <c r="C52" s="727"/>
      <c r="D52" s="728">
        <f t="shared" ref="D52:AK52" si="28">D50+SUM(D45:D48)+D41+D43</f>
        <v>6604589.4215844451</v>
      </c>
      <c r="E52" s="728">
        <f t="shared" si="28"/>
        <v>4977720.8998774858</v>
      </c>
      <c r="F52" s="728"/>
      <c r="G52" s="728"/>
      <c r="H52" s="728">
        <f t="shared" si="28"/>
        <v>0</v>
      </c>
      <c r="I52" s="728">
        <f t="shared" si="28"/>
        <v>4977720.8998774877</v>
      </c>
      <c r="J52" s="728">
        <f t="shared" si="28"/>
        <v>81300.856777202687</v>
      </c>
      <c r="K52" s="728">
        <f t="shared" si="28"/>
        <v>20799.32726837372</v>
      </c>
      <c r="L52" s="728">
        <f t="shared" si="28"/>
        <v>19879.217996145064</v>
      </c>
      <c r="M52" s="728">
        <f t="shared" si="28"/>
        <v>27595.333914833111</v>
      </c>
      <c r="N52" s="728">
        <f t="shared" si="28"/>
        <v>37632.846152038161</v>
      </c>
      <c r="O52" s="728">
        <f t="shared" si="28"/>
        <v>108448.17251728002</v>
      </c>
      <c r="P52" s="728">
        <f t="shared" si="28"/>
        <v>13761.122112111461</v>
      </c>
      <c r="Q52" s="728">
        <f t="shared" si="28"/>
        <v>38854.184095497105</v>
      </c>
      <c r="R52" s="728">
        <f t="shared" si="28"/>
        <v>33888.495035708023</v>
      </c>
      <c r="S52" s="728">
        <f t="shared" si="28"/>
        <v>34309.058756002152</v>
      </c>
      <c r="T52" s="728">
        <f t="shared" si="28"/>
        <v>127814.11712906617</v>
      </c>
      <c r="U52" s="728">
        <f t="shared" si="28"/>
        <v>100917.14353909438</v>
      </c>
      <c r="V52" s="728">
        <f t="shared" si="28"/>
        <v>52890.985313256882</v>
      </c>
      <c r="W52" s="728">
        <f t="shared" si="28"/>
        <v>86746.427642976356</v>
      </c>
      <c r="X52" s="728">
        <f t="shared" si="28"/>
        <v>2999.9442323731423</v>
      </c>
      <c r="Y52" s="728">
        <f t="shared" si="28"/>
        <v>2112.767092493079</v>
      </c>
      <c r="Z52" s="728">
        <f t="shared" si="28"/>
        <v>8800.5926075242205</v>
      </c>
      <c r="AA52" s="728">
        <f t="shared" si="28"/>
        <v>7717.9176133171513</v>
      </c>
      <c r="AB52" s="728">
        <f t="shared" si="28"/>
        <v>4476.1290530659617</v>
      </c>
      <c r="AC52" s="728">
        <f t="shared" si="28"/>
        <v>5665.6939513502102</v>
      </c>
      <c r="AD52" s="728">
        <f t="shared" si="28"/>
        <v>39681.456842529362</v>
      </c>
      <c r="AE52" s="728">
        <f t="shared" si="28"/>
        <v>14380.704146002638</v>
      </c>
      <c r="AF52" s="728">
        <f t="shared" si="28"/>
        <v>89796.872406052018</v>
      </c>
      <c r="AG52" s="728">
        <f t="shared" si="28"/>
        <v>59750.171555311215</v>
      </c>
      <c r="AH52" s="728">
        <f t="shared" si="28"/>
        <v>773771.31516287581</v>
      </c>
      <c r="AI52" s="728">
        <f t="shared" si="28"/>
        <v>7708.7356953727813</v>
      </c>
      <c r="AJ52" s="728">
        <f t="shared" si="28"/>
        <v>348822.67321105342</v>
      </c>
      <c r="AK52" s="728">
        <f t="shared" si="28"/>
        <v>296177.92429943022</v>
      </c>
      <c r="AL52" s="728">
        <f t="shared" ref="AL52:BC52" si="29">AL50+SUM(AL45:AL48)+AL41+AL43</f>
        <v>0</v>
      </c>
      <c r="AM52" s="728">
        <f t="shared" si="29"/>
        <v>11692.910161120511</v>
      </c>
      <c r="AN52" s="728">
        <f t="shared" si="29"/>
        <v>57647.017161471464</v>
      </c>
      <c r="AO52" s="728">
        <f t="shared" si="29"/>
        <v>361664.1062964006</v>
      </c>
      <c r="AP52" s="728">
        <f t="shared" si="29"/>
        <v>54091.625558464941</v>
      </c>
      <c r="AQ52" s="728">
        <f t="shared" si="29"/>
        <v>72827.616804762059</v>
      </c>
      <c r="AR52" s="728">
        <f t="shared" si="29"/>
        <v>278.94064648500529</v>
      </c>
      <c r="AS52" s="728">
        <f t="shared" si="29"/>
        <v>108286.98654382078</v>
      </c>
      <c r="AT52" s="728">
        <f t="shared" si="29"/>
        <v>87712.450041519711</v>
      </c>
      <c r="AU52" s="728">
        <f t="shared" si="29"/>
        <v>130340.59852578041</v>
      </c>
      <c r="AV52" s="728">
        <f t="shared" si="29"/>
        <v>177548.09333150406</v>
      </c>
      <c r="AW52" s="728">
        <f t="shared" si="29"/>
        <v>460431.06767432595</v>
      </c>
      <c r="AX52" s="728">
        <f t="shared" si="29"/>
        <v>5917.405266947886</v>
      </c>
      <c r="AY52" s="728">
        <f t="shared" si="29"/>
        <v>259802.43214420747</v>
      </c>
      <c r="AZ52" s="728">
        <f t="shared" si="29"/>
        <v>8807.1112389622995</v>
      </c>
      <c r="BA52" s="728">
        <f t="shared" si="29"/>
        <v>151662.77730131656</v>
      </c>
      <c r="BB52" s="728">
        <f t="shared" si="29"/>
        <v>582309.57506206096</v>
      </c>
      <c r="BC52" s="728">
        <f t="shared" si="29"/>
        <v>0</v>
      </c>
      <c r="BD52" s="728">
        <f>BD50+BD48+BD47+BD46+BD45+BD43+BD41</f>
        <v>0</v>
      </c>
      <c r="BE52" s="728">
        <f t="shared" ref="BE52:BK52" si="30">BE50+BE48+BE47+BE46+BE45+BE43+BE41</f>
        <v>0</v>
      </c>
      <c r="BF52" s="728">
        <f t="shared" si="30"/>
        <v>0</v>
      </c>
      <c r="BG52" s="728">
        <f t="shared" si="30"/>
        <v>0</v>
      </c>
      <c r="BH52" s="728">
        <f t="shared" si="30"/>
        <v>0</v>
      </c>
      <c r="BI52" s="728">
        <f t="shared" si="30"/>
        <v>0</v>
      </c>
      <c r="BJ52" s="728">
        <f t="shared" si="30"/>
        <v>0</v>
      </c>
      <c r="BK52" s="728">
        <f t="shared" si="30"/>
        <v>0</v>
      </c>
      <c r="BL52" s="728">
        <f>BL50+SUM(BL45:BL48)+BL41+BL43</f>
        <v>4977720.8998774877</v>
      </c>
      <c r="BM52" s="729">
        <f>BL52-E52</f>
        <v>0</v>
      </c>
      <c r="BO52" s="731"/>
      <c r="BP52" s="732">
        <f t="shared" si="4"/>
        <v>4977720.8998774858</v>
      </c>
      <c r="BQ52" s="732">
        <f t="shared" si="10"/>
        <v>5053506.313231118</v>
      </c>
      <c r="BR52" s="732">
        <f t="shared" si="5"/>
        <v>75785.413353632204</v>
      </c>
      <c r="BU52" s="31"/>
    </row>
    <row r="53" spans="1:74" outlineLevel="1" x14ac:dyDescent="0.25">
      <c r="H53" s="242"/>
      <c r="I53" s="241"/>
      <c r="BL53" s="80"/>
      <c r="BM53" s="667"/>
      <c r="BO53" s="668"/>
      <c r="BP53" s="204">
        <f t="shared" si="4"/>
        <v>0</v>
      </c>
      <c r="BQ53" s="204">
        <f t="shared" si="10"/>
        <v>0</v>
      </c>
      <c r="BR53" s="204">
        <f t="shared" si="5"/>
        <v>0</v>
      </c>
    </row>
    <row r="54" spans="1:74" outlineLevel="1" x14ac:dyDescent="0.25">
      <c r="A54" s="1" t="s">
        <v>884</v>
      </c>
      <c r="H54" s="242"/>
      <c r="I54" s="241"/>
      <c r="BL54" s="80"/>
      <c r="BM54" s="667"/>
      <c r="BO54" s="668"/>
      <c r="BP54" s="204">
        <f t="shared" si="4"/>
        <v>0</v>
      </c>
      <c r="BQ54" s="204">
        <f t="shared" si="10"/>
        <v>0</v>
      </c>
      <c r="BR54" s="204">
        <f t="shared" si="5"/>
        <v>0</v>
      </c>
    </row>
    <row r="55" spans="1:74" outlineLevel="1" x14ac:dyDescent="0.25">
      <c r="A55" s="177" t="s">
        <v>885</v>
      </c>
      <c r="B55" s="3" t="s">
        <v>875</v>
      </c>
      <c r="C55" s="662"/>
      <c r="D55" s="663">
        <v>364587</v>
      </c>
      <c r="E55" s="664">
        <f>D55/Assumptions!$B$4</f>
        <v>274780.49184899346</v>
      </c>
      <c r="F55" s="664"/>
      <c r="G55" s="664"/>
      <c r="H55" s="242"/>
      <c r="I55" s="694">
        <f t="shared" si="26"/>
        <v>274780.49184899352</v>
      </c>
      <c r="J55" s="81">
        <f>('Cost Allocation - Tier 1'!$E$55)*VLOOKUP(J2,'CU Composites'!$B$5:$J$45,9,)</f>
        <v>7063.9757214580968</v>
      </c>
      <c r="K55" s="81">
        <f>('Cost Allocation - Tier 1'!$E$55)*VLOOKUP(K2,'CU Composites'!$B$5:$J$45,9,)</f>
        <v>1799.7558067258533</v>
      </c>
      <c r="L55" s="81">
        <f>('Cost Allocation - Tier 1'!$E$55)*VLOOKUP(L2,'CU Composites'!$B$5:$J$45,9,)</f>
        <v>1715.0459841489537</v>
      </c>
      <c r="M55" s="81">
        <f>('Cost Allocation - Tier 1'!$E$55)*VLOOKUP(M2,'CU Composites'!$B$5:$J$45,9,)</f>
        <v>2405.2565361228926</v>
      </c>
      <c r="N55" s="81">
        <f>('Cost Allocation - Tier 1'!$E$55)*VLOOKUP(N2,'CU Composites'!$B$5:$J$45,9,)</f>
        <v>3259.1797441466319</v>
      </c>
      <c r="O55" s="81">
        <f>('Cost Allocation - Tier 1'!$E$55)*VLOOKUP(O2,'CU Composites'!$B$5:$J$45,9,)</f>
        <v>9482.6806813888979</v>
      </c>
      <c r="P55" s="81">
        <f>('Cost Allocation - Tier 1'!$E$55)*VLOOKUP(P2,'CU Composites'!$B$5:$J$45,9,)</f>
        <v>1204.9530037592542</v>
      </c>
      <c r="Q55" s="81">
        <f>('Cost Allocation - Tier 1'!$E$55)*VLOOKUP(Q2,'CU Composites'!$B$5:$J$45,9,)</f>
        <v>3408.1977649548376</v>
      </c>
      <c r="R55" s="81">
        <f>('Cost Allocation - Tier 1'!$E$55)*VLOOKUP(R2,'CU Composites'!$B$5:$J$45,9,)</f>
        <v>2974.1574237012182</v>
      </c>
      <c r="S55" s="81">
        <f>('Cost Allocation - Tier 1'!$E$55)*VLOOKUP(S2,'CU Composites'!$B$5:$J$45,9,)</f>
        <v>3009.7929227788618</v>
      </c>
      <c r="T55" s="81">
        <f>('Cost Allocation - Tier 1'!$E$55)*VLOOKUP(T2,'CU Composites'!$B$5:$J$45,9,)</f>
        <v>11220.883803006085</v>
      </c>
      <c r="U55" s="81">
        <f>('Cost Allocation - Tier 1'!$E$55)*VLOOKUP(U2,'CU Composites'!$B$5:$J$45,9,)</f>
        <v>8857.0186192032306</v>
      </c>
      <c r="V55" s="81">
        <f>('Cost Allocation - Tier 1'!$E$55)*VLOOKUP(V2,'CU Composites'!$B$5:$J$45,9,)</f>
        <v>4527.0402321086067</v>
      </c>
      <c r="W55" s="81">
        <f>('Cost Allocation - Tier 1'!$E$55)*VLOOKUP(W2,'CU Composites'!$B$5:$J$45,9,)</f>
        <v>7428.2106043001413</v>
      </c>
      <c r="X55" s="81">
        <f>('Cost Allocation - Tier 1'!$E$55)*VLOOKUP(X2,'CU Composites'!$B$5:$J$45,9,)</f>
        <v>263.78071419380257</v>
      </c>
      <c r="Y55" s="81">
        <f>('Cost Allocation - Tier 1'!$E$55)*VLOOKUP(Y2,'CU Composites'!$B$5:$J$45,9,)</f>
        <v>185.27684408789528</v>
      </c>
      <c r="Z55" s="81">
        <f>('Cost Allocation - Tier 1'!$E$55)*VLOOKUP(Z2,'CU Composites'!$B$5:$J$45,9,)</f>
        <v>768.66091135325144</v>
      </c>
      <c r="AA55" s="81">
        <f>('Cost Allocation - Tier 1'!$E$55)*VLOOKUP(AA2,'CU Composites'!$B$5:$J$45,9,)</f>
        <v>673.26888809575291</v>
      </c>
      <c r="AB55" s="81">
        <f>('Cost Allocation - Tier 1'!$E$55)*VLOOKUP(AB2,'CU Composites'!$B$5:$J$45,9,)</f>
        <v>390.03027020005851</v>
      </c>
      <c r="AC55" s="81">
        <f>('Cost Allocation - Tier 1'!$E$55)*VLOOKUP(AC2,'CU Composites'!$B$5:$J$45,9,)</f>
        <v>496.67158952440104</v>
      </c>
      <c r="AD55" s="81">
        <f>('Cost Allocation - Tier 1'!$E$55)*VLOOKUP(AD2,'CU Composites'!$B$5:$J$45,9,)</f>
        <v>3495.3234273992307</v>
      </c>
      <c r="AE55" s="81">
        <f>('Cost Allocation - Tier 1'!$E$55)*VLOOKUP(AE2,'CU Composites'!$B$5:$J$45,9,)</f>
        <v>1263.9574107871383</v>
      </c>
      <c r="AF55" s="81">
        <f>('Cost Allocation - Tier 1'!$E$55)*VLOOKUP(AF2,'CU Composites'!$B$5:$J$45,9,)</f>
        <v>2531.415110389848</v>
      </c>
      <c r="AG55" s="81">
        <f>('Cost Allocation - Tier 1'!$E$55)*VLOOKUP(AG2,'CU Composites'!$B$5:$J$45,9,)</f>
        <v>4891.5808796987039</v>
      </c>
      <c r="AH55" s="81">
        <f>('Cost Allocation - Tier 1'!$E$55)*VLOOKUP(AH2,'CU Composites'!$B$5:$J$45,9,)</f>
        <v>67456.590477468912</v>
      </c>
      <c r="AI55" s="81">
        <f>('Cost Allocation - Tier 1'!$E$55)*VLOOKUP(AI2,'CU Composites'!$B$5:$J$45,9,)</f>
        <v>679.72548530618758</v>
      </c>
      <c r="AJ55" s="81">
        <f>('Cost Allocation - Tier 1'!$E$55)*VLOOKUP(AJ2,'CU Composites'!$B$5:$J$45,9,)</f>
        <v>11833.408207126258</v>
      </c>
      <c r="AK55" s="81">
        <f>('Cost Allocation - Tier 1'!$E$55)*VLOOKUP(AK2,'CU Composites'!$B$5:$J$45,9,)</f>
        <v>9452.415262034543</v>
      </c>
      <c r="AL55" s="81">
        <f>('Cost Allocation - Tier 1'!$E$55)*VLOOKUP(AL2,'CU Composites'!$B$5:$J$45,9,)</f>
        <v>0</v>
      </c>
      <c r="AM55" s="81">
        <f>('Cost Allocation - Tier 1'!$E$55)*VLOOKUP(AM2,'CU Composites'!$B$5:$J$45,9,)</f>
        <v>1021.7142127446492</v>
      </c>
      <c r="AN55" s="81">
        <f>('Cost Allocation - Tier 1'!$E$55)*VLOOKUP(AN2,'CU Composites'!$B$5:$J$45,9,)</f>
        <v>1288.0325354901038</v>
      </c>
      <c r="AO55" s="81">
        <f>('Cost Allocation - Tier 1'!$E$55)*VLOOKUP(AO2,'CU Composites'!$B$5:$J$45,9,)</f>
        <v>11789.834099448437</v>
      </c>
      <c r="AP55" s="81">
        <f>('Cost Allocation - Tier 1'!$E$55)*VLOOKUP(AP2,'CU Composites'!$B$5:$J$45,9,)</f>
        <v>1653.9698358711155</v>
      </c>
      <c r="AQ55" s="81">
        <f>('Cost Allocation - Tier 1'!$E$55)*VLOOKUP(AQ2,'CU Composites'!$B$5:$J$45,9,)</f>
        <v>5991.7402386882159</v>
      </c>
      <c r="AR55" s="81">
        <f>('Cost Allocation - Tier 1'!$E$55)*VLOOKUP(AR2,'CU Composites'!$B$5:$J$45,9,)</f>
        <v>24.233878709498253</v>
      </c>
      <c r="AS55" s="81">
        <f>('Cost Allocation - Tier 1'!$E$55)*VLOOKUP(AS2,'CU Composites'!$B$5:$J$45,9,)</f>
        <v>8928.8666609269858</v>
      </c>
      <c r="AT55" s="81">
        <f>('Cost Allocation - Tier 1'!$E$55)*VLOOKUP(AT2,'CU Composites'!$B$5:$J$45,9,)</f>
        <v>7188.7791263458084</v>
      </c>
      <c r="AU55" s="81">
        <f>('Cost Allocation - Tier 1'!$E$55)*VLOOKUP(AU2,'CU Composites'!$B$5:$J$45,9,)</f>
        <v>10839.625979804574</v>
      </c>
      <c r="AV55" s="81">
        <f>('Cost Allocation - Tier 1'!$E$55)*VLOOKUP(AV2,'CU Composites'!$B$5:$J$45,9,)</f>
        <v>14665.541059351994</v>
      </c>
      <c r="AW55" s="81">
        <f>('Cost Allocation - Tier 1'!$E$55)*VLOOKUP(AW2,'CU Composites'!$B$5:$J$45,9,)</f>
        <v>38135.806007994019</v>
      </c>
      <c r="AX55" s="81">
        <f>('Cost Allocation - Tier 1'!$E$55)*VLOOKUP(AX2,'CU Composites'!$B$5:$J$45,9,)</f>
        <v>514.09388814860245</v>
      </c>
      <c r="BC55" s="666">
        <f t="shared" ref="BC55:BC58" si="31">SUM(BD55:BK55)</f>
        <v>0</v>
      </c>
      <c r="BL55" s="76">
        <f>BC55+I55+H55</f>
        <v>274780.49184899352</v>
      </c>
      <c r="BM55" s="667">
        <f>BL55-E55</f>
        <v>0</v>
      </c>
      <c r="BO55" s="651" t="s">
        <v>863</v>
      </c>
      <c r="BP55" s="204">
        <f t="shared" si="4"/>
        <v>274780.49184899346</v>
      </c>
      <c r="BQ55" s="204">
        <f t="shared" si="10"/>
        <v>274780.49184899346</v>
      </c>
      <c r="BR55" s="204">
        <f t="shared" si="5"/>
        <v>0</v>
      </c>
    </row>
    <row r="56" spans="1:74" outlineLevel="1" x14ac:dyDescent="0.25">
      <c r="A56" s="69" t="s">
        <v>886</v>
      </c>
      <c r="B56" s="27" t="s">
        <v>861</v>
      </c>
      <c r="C56" s="733"/>
      <c r="D56" s="663">
        <v>4460140</v>
      </c>
      <c r="E56" s="664">
        <f>D56/Assumptions!$B$4</f>
        <v>3361500.7197606326</v>
      </c>
      <c r="F56" s="663">
        <f>829479/Assumptions!$B$4</f>
        <v>625158.46039055497</v>
      </c>
      <c r="G56" s="664"/>
      <c r="H56" s="242"/>
      <c r="I56" s="694">
        <f t="shared" si="26"/>
        <v>3361500.7197606331</v>
      </c>
      <c r="J56" s="73">
        <f>VLOOKUP(J2,'CU Composites'!$B$5:$N$55,12,)*'Cost Allocation - Tier 1'!$E$56</f>
        <v>20910.915898796851</v>
      </c>
      <c r="K56" s="73">
        <f>VLOOKUP(K2,'CU Composites'!$B$5:$N$55,12,)*'Cost Allocation - Tier 1'!$E$56</f>
        <v>6032.2798102764609</v>
      </c>
      <c r="L56" s="73">
        <f>VLOOKUP(L2,'CU Composites'!$B$5:$N$55,12,)*'Cost Allocation - Tier 1'!$E$56</f>
        <v>6233.2031511796449</v>
      </c>
      <c r="M56" s="73">
        <f>VLOOKUP(M2,'CU Composites'!$B$5:$N$55,12,)*'Cost Allocation - Tier 1'!$E$56</f>
        <v>6401.024990488695</v>
      </c>
      <c r="N56" s="73">
        <f>VLOOKUP(N2,'CU Composites'!$B$5:$N$55,12,)*'Cost Allocation - Tier 1'!$E$56</f>
        <v>10654.686637735393</v>
      </c>
      <c r="O56" s="73">
        <f>VLOOKUP(O2,'CU Composites'!$B$5:$N$55,12,)*'Cost Allocation - Tier 1'!$E$56</f>
        <v>25041.748000175045</v>
      </c>
      <c r="P56" s="73">
        <f>VLOOKUP(P2,'CU Composites'!$B$5:$N$55,12,)*'Cost Allocation - Tier 1'!$E$56</f>
        <v>3053.5921283418133</v>
      </c>
      <c r="Q56" s="73">
        <f>VLOOKUP(Q2,'CU Composites'!$B$5:$N$55,12,)*'Cost Allocation - Tier 1'!$E$56</f>
        <v>8176.8066475669439</v>
      </c>
      <c r="R56" s="73">
        <f>VLOOKUP(R2,'CU Composites'!$B$5:$N$55,12,)*'Cost Allocation - Tier 1'!$E$56</f>
        <v>7018.5288361657995</v>
      </c>
      <c r="S56" s="73">
        <f>VLOOKUP(S2,'CU Composites'!$B$5:$N$55,12,)*'Cost Allocation - Tier 1'!$E$56</f>
        <v>7199.4642925876042</v>
      </c>
      <c r="T56" s="73">
        <f>VLOOKUP(T2,'CU Composites'!$B$5:$N$55,12,)*'Cost Allocation - Tier 1'!$E$56</f>
        <v>26211.381034470902</v>
      </c>
      <c r="U56" s="73">
        <f>VLOOKUP(U2,'CU Composites'!$B$5:$N$55,12,)*'Cost Allocation - Tier 1'!$E$56</f>
        <v>20884.175335098538</v>
      </c>
      <c r="V56" s="73">
        <f>VLOOKUP(V2,'CU Composites'!$B$5:$N$55,12,)*'Cost Allocation - Tier 1'!$E$56</f>
        <v>16310.021381329418</v>
      </c>
      <c r="W56" s="73">
        <f>VLOOKUP(W2,'CU Composites'!$B$5:$N$55,12,)*'Cost Allocation - Tier 1'!$E$56</f>
        <v>26304.119686837483</v>
      </c>
      <c r="X56" s="73">
        <f>VLOOKUP(X2,'CU Composites'!$B$5:$N$55,12,)*'Cost Allocation - Tier 1'!$E$56</f>
        <v>637.4826530568597</v>
      </c>
      <c r="Y56" s="73">
        <f>VLOOKUP(Y2,'CU Composites'!$B$5:$N$55,12,)*'Cost Allocation - Tier 1'!$E$56</f>
        <v>492.62029791906673</v>
      </c>
      <c r="Z56" s="73">
        <f>VLOOKUP(Z2,'CU Composites'!$B$5:$N$55,12,)*'Cost Allocation - Tier 1'!$E$56</f>
        <v>2324.8260549857523</v>
      </c>
      <c r="AA56" s="73">
        <f>VLOOKUP(AA2,'CU Composites'!$B$5:$N$55,12,)*'Cost Allocation - Tier 1'!$E$56</f>
        <v>2111.847112218421</v>
      </c>
      <c r="AB56" s="73">
        <f>VLOOKUP(AB2,'CU Composites'!$B$5:$N$55,12,)*'Cost Allocation - Tier 1'!$E$56</f>
        <v>1263.7962789518335</v>
      </c>
      <c r="AC56" s="73">
        <f>VLOOKUP(AC2,'CU Composites'!$B$5:$N$55,12,)*'Cost Allocation - Tier 1'!$E$56</f>
        <v>1336.4800823887574</v>
      </c>
      <c r="AD56" s="73">
        <f>VLOOKUP(AD2,'CU Composites'!$B$5:$N$55,12,)*'Cost Allocation - Tier 1'!$E$56</f>
        <v>7886.9224553849772</v>
      </c>
      <c r="AE56" s="73">
        <f>VLOOKUP(AE2,'CU Composites'!$B$5:$N$55,12,)*'Cost Allocation - Tier 1'!$E$56</f>
        <v>3101.4034033628568</v>
      </c>
      <c r="AF56" s="73">
        <f>VLOOKUP(AF2,'CU Composites'!$B$5:$N$55,12,)*'Cost Allocation - Tier 1'!$E$56</f>
        <v>8149.40502996962</v>
      </c>
      <c r="AG56" s="73">
        <f>VLOOKUP(AG2,'CU Composites'!$B$5:$N$55,12,)*'Cost Allocation - Tier 1'!$E$56</f>
        <v>26392.86696761669</v>
      </c>
      <c r="AH56" s="73">
        <f>VLOOKUP(AH2,'CU Composites'!$B$5:$N$55,12,)*'Cost Allocation - Tier 1'!$E$56</f>
        <v>200974.63364223213</v>
      </c>
      <c r="AI56" s="73">
        <f>VLOOKUP(AI2,'CU Composites'!$B$5:$N$55,12,)*'Cost Allocation - Tier 1'!$E$56</f>
        <v>1470.0630138647773</v>
      </c>
      <c r="AJ56" s="73">
        <f>VLOOKUP(AJ2,'CU Composites'!$B$5:$N$55,12,)*'Cost Allocation - Tier 1'!$E$56</f>
        <v>31514.910759184404</v>
      </c>
      <c r="AK56" s="73">
        <f>VLOOKUP(AK2,'CU Composites'!$B$5:$N$55,12,)*'Cost Allocation - Tier 1'!$E$56</f>
        <v>26800.912316797589</v>
      </c>
      <c r="AL56" s="73">
        <f>VLOOKUP(AL2,'CU Composites'!$B$5:$N$55,12,)*'Cost Allocation - Tier 1'!$E$56</f>
        <v>0</v>
      </c>
      <c r="AM56" s="73">
        <f>VLOOKUP(AM2,'CU Composites'!$B$5:$N$55,12,)*'Cost Allocation - Tier 1'!$E$56</f>
        <v>3050.7717144811772</v>
      </c>
      <c r="AN56" s="73">
        <f>VLOOKUP(AN2,'CU Composites'!$B$5:$N$55,12,)*'Cost Allocation - Tier 1'!$E$56</f>
        <v>5255.6272469352625</v>
      </c>
      <c r="AO56" s="73">
        <f>VLOOKUP(AO2,'CU Composites'!$B$5:$N$55,12,)*'Cost Allocation - Tier 1'!$E$56</f>
        <v>32709.12917064708</v>
      </c>
      <c r="AP56" s="73">
        <f>VLOOKUP(AP2,'CU Composites'!$B$5:$N$55,12,)*'Cost Allocation - Tier 1'!$E$56</f>
        <v>4899.848528086186</v>
      </c>
      <c r="AQ56" s="73">
        <f>VLOOKUP(AQ2,'CU Composites'!$B$5:$N$55,12,)*'Cost Allocation - Tier 1'!$E$56</f>
        <v>31402.951457560252</v>
      </c>
      <c r="AR56" s="73">
        <f>VLOOKUP(AR2,'CU Composites'!$B$5:$N$55,12,)*'Cost Allocation - Tier 1'!$E$56</f>
        <v>85.079700701768743</v>
      </c>
      <c r="AS56" s="73">
        <f>VLOOKUP(AS2,'CU Composites'!$B$5:$N$55,12,)*'Cost Allocation - Tier 1'!$E$56</f>
        <v>46137.576259763984</v>
      </c>
      <c r="AT56" s="73">
        <f>VLOOKUP(AT2,'CU Composites'!$B$5:$N$55,12,)*'Cost Allocation - Tier 1'!$E$56</f>
        <v>38595.229801590831</v>
      </c>
      <c r="AU56" s="73">
        <f>VLOOKUP(AU2,'CU Composites'!$B$5:$N$55,12,)*'Cost Allocation - Tier 1'!$E$56</f>
        <v>52871.434601746354</v>
      </c>
      <c r="AV56" s="73">
        <f>VLOOKUP(AV2,'CU Composites'!$B$5:$N$55,12,)*'Cost Allocation - Tier 1'!$E$56</f>
        <v>74987.045630534267</v>
      </c>
      <c r="AW56" s="73">
        <f>VLOOKUP(AW2,'CU Composites'!$B$5:$N$55,12,)*'Cost Allocation - Tier 1'!$E$56</f>
        <v>191372.77381523352</v>
      </c>
      <c r="AX56" s="73">
        <f>VLOOKUP(AX2,'CU Composites'!$B$5:$N$55,12,)*'Cost Allocation - Tier 1'!$E$56</f>
        <v>1804.8680799557103</v>
      </c>
      <c r="AY56" s="73">
        <f>VLOOKUP(AY2,'CU Composites'!$B$5:$N$55,12,)*'Cost Allocation - Tier 1'!$E$56</f>
        <v>615831.93442654109</v>
      </c>
      <c r="AZ56" s="73">
        <f>VLOOKUP(AZ2,'CU Composites'!$B$5:$N$55,12,)*'Cost Allocation - Tier 1'!$E$56</f>
        <v>20352.331814415069</v>
      </c>
      <c r="BA56" s="73">
        <f>VLOOKUP(BA2,'CU Composites'!$B$5:$N$55,12,)*'Cost Allocation - Tier 1'!$E$56</f>
        <v>356242.07107592683</v>
      </c>
      <c r="BB56" s="73">
        <f>VLOOKUP(BB2,'CU Composites'!$B$5:$N$55,12,)*'Cost Allocation - Tier 1'!$E$56</f>
        <v>1381011.9285375294</v>
      </c>
      <c r="BC56" s="666">
        <f t="shared" si="31"/>
        <v>0</v>
      </c>
      <c r="BL56" s="76">
        <f>BC56+I56+H56</f>
        <v>3361500.7197606331</v>
      </c>
      <c r="BM56" s="667">
        <f>BL56-E56</f>
        <v>0</v>
      </c>
      <c r="BO56" s="712" t="s">
        <v>857</v>
      </c>
      <c r="BP56" s="204">
        <f t="shared" si="4"/>
        <v>3361500.7197606326</v>
      </c>
      <c r="BQ56" s="204">
        <f t="shared" si="10"/>
        <v>3525681.2553228373</v>
      </c>
      <c r="BR56" s="204">
        <f t="shared" si="5"/>
        <v>164180.53556220466</v>
      </c>
    </row>
    <row r="57" spans="1:74" s="721" customFormat="1" ht="30" outlineLevel="1" x14ac:dyDescent="0.25">
      <c r="A57" s="721" t="s">
        <v>887</v>
      </c>
      <c r="B57" s="734" t="s">
        <v>888</v>
      </c>
      <c r="C57" s="735"/>
      <c r="D57" s="736">
        <v>293576</v>
      </c>
      <c r="E57" s="737">
        <f>D57/Assumptions!$B$4</f>
        <v>221261.20151036681</v>
      </c>
      <c r="F57" s="680">
        <f>39/Assumptions!$B$4</f>
        <v>29.393366143364261</v>
      </c>
      <c r="G57" s="737"/>
      <c r="H57" s="738"/>
      <c r="I57" s="739">
        <f t="shared" si="26"/>
        <v>221261.20151036687</v>
      </c>
      <c r="J57" s="740">
        <f>('Cost Allocation - Tier 1'!$E$57)*VLOOKUP(J2,'CU Composites'!$B$5:$J$45,8,)</f>
        <v>2972.7249997507301</v>
      </c>
      <c r="K57" s="740">
        <f>('Cost Allocation - Tier 1'!$E$57)*VLOOKUP(K2,'CU Composites'!$B$5:$J$45,8,)</f>
        <v>742.22294577106948</v>
      </c>
      <c r="L57" s="740">
        <f>('Cost Allocation - Tier 1'!$E$57)*VLOOKUP(L2,'CU Composites'!$B$5:$J$45,8,)</f>
        <v>696.85239683427585</v>
      </c>
      <c r="M57" s="740">
        <f>('Cost Allocation - Tier 1'!$E$57)*VLOOKUP(M2,'CU Composites'!$B$5:$J$45,8,)</f>
        <v>1027.6787879401302</v>
      </c>
      <c r="N57" s="740">
        <f>('Cost Allocation - Tier 1'!$E$57)*VLOOKUP(N2,'CU Composites'!$B$5:$J$45,8,)</f>
        <v>1349.8861800134548</v>
      </c>
      <c r="O57" s="740">
        <f>('Cost Allocation - Tier 1'!$E$57)*VLOOKUP(O2,'CU Composites'!$B$5:$J$45,8,)</f>
        <v>2747.2950931021956</v>
      </c>
      <c r="P57" s="740">
        <f>('Cost Allocation - Tier 1'!$E$57)*VLOOKUP(P2,'CU Composites'!$B$5:$J$45,8,)</f>
        <v>336.97612958609375</v>
      </c>
      <c r="Q57" s="740">
        <f>('Cost Allocation - Tier 1'!$E$57)*VLOOKUP(Q2,'CU Composites'!$B$5:$J$45,8,)</f>
        <v>909.70298072749199</v>
      </c>
      <c r="R57" s="740">
        <f>('Cost Allocation - Tier 1'!$E$57)*VLOOKUP(R2,'CU Composites'!$B$5:$J$45,8,)</f>
        <v>782.81514956889839</v>
      </c>
      <c r="S57" s="740">
        <f>('Cost Allocation - Tier 1'!$E$57)*VLOOKUP(S2,'CU Composites'!$B$5:$J$45,8,)</f>
        <v>801.33291815485086</v>
      </c>
      <c r="T57" s="740">
        <f>('Cost Allocation - Tier 1'!$E$57)*VLOOKUP(T2,'CU Composites'!$B$5:$J$45,8,)</f>
        <v>2928.1031134325362</v>
      </c>
      <c r="U57" s="740">
        <f>('Cost Allocation - Tier 1'!$E$57)*VLOOKUP(U2,'CU Composites'!$B$5:$J$45,8,)</f>
        <v>2329.6181022431024</v>
      </c>
      <c r="V57" s="740">
        <f>('Cost Allocation - Tier 1'!$E$57)*VLOOKUP(V2,'CU Composites'!$B$5:$J$45,8,)</f>
        <v>3608.6957530751106</v>
      </c>
      <c r="W57" s="740">
        <f>('Cost Allocation - Tier 1'!$E$57)*VLOOKUP(W2,'CU Composites'!$B$5:$J$45,8,)</f>
        <v>5994.8944418066349</v>
      </c>
      <c r="X57" s="740">
        <f>('Cost Allocation - Tier 1'!$E$57)*VLOOKUP(X2,'CU Composites'!$B$5:$J$45,8,)</f>
        <v>38.750148125381692</v>
      </c>
      <c r="Y57" s="740">
        <f>('Cost Allocation - Tier 1'!$E$57)*VLOOKUP(Y2,'CU Composites'!$B$5:$J$45,8,)</f>
        <v>27.028911419153193</v>
      </c>
      <c r="Z57" s="740">
        <f>('Cost Allocation - Tier 1'!$E$57)*VLOOKUP(Z2,'CU Composites'!$B$5:$J$45,8,)</f>
        <v>110.95230486182959</v>
      </c>
      <c r="AA57" s="740">
        <f>('Cost Allocation - Tier 1'!$E$57)*VLOOKUP(AA2,'CU Composites'!$B$5:$J$45,8,)</f>
        <v>96.865054667658725</v>
      </c>
      <c r="AB57" s="740">
        <f>('Cost Allocation - Tier 1'!$E$57)*VLOOKUP(AB2,'CU Composites'!$B$5:$J$45,8,)</f>
        <v>55.944767249860703</v>
      </c>
      <c r="AC57" s="740">
        <f>('Cost Allocation - Tier 1'!$E$57)*VLOOKUP(AC2,'CU Composites'!$B$5:$J$45,8,)</f>
        <v>72.389425537592928</v>
      </c>
      <c r="AD57" s="740">
        <f>('Cost Allocation - Tier 1'!$E$57)*VLOOKUP(AD2,'CU Composites'!$B$5:$J$45,8,)</f>
        <v>515.83104749104007</v>
      </c>
      <c r="AE57" s="740">
        <f>('Cost Allocation - Tier 1'!$E$57)*VLOOKUP(AE2,'CU Composites'!$B$5:$J$45,8,)</f>
        <v>185.48211808209629</v>
      </c>
      <c r="AF57" s="740">
        <f>('Cost Allocation - Tier 1'!$E$57)*VLOOKUP(AF2,'CU Composites'!$B$5:$J$45,8,)</f>
        <v>1412.3716896341523</v>
      </c>
      <c r="AG57" s="740">
        <f>('Cost Allocation - Tier 1'!$E$57)*VLOOKUP(AG2,'CU Composites'!$B$5:$J$45,8,)</f>
        <v>9943.2537490068589</v>
      </c>
      <c r="AH57" s="740">
        <f>('Cost Allocation - Tier 1'!$E$57)*VLOOKUP(AH2,'CU Composites'!$B$5:$J$45,8,)</f>
        <v>17165.493077081628</v>
      </c>
      <c r="AI57" s="740">
        <f>('Cost Allocation - Tier 1'!$E$57)*VLOOKUP(AI2,'CU Composites'!$B$5:$J$45,8,)</f>
        <v>100.58019657843003</v>
      </c>
      <c r="AJ57" s="740">
        <f>('Cost Allocation - Tier 1'!$E$57)*VLOOKUP(AJ2,'CU Composites'!$B$5:$J$45,8,)</f>
        <v>5437.8052388127653</v>
      </c>
      <c r="AK57" s="740">
        <f>('Cost Allocation - Tier 1'!$E$57)*VLOOKUP(AK2,'CU Composites'!$B$5:$J$45,8,)</f>
        <v>4631.6032162159654</v>
      </c>
      <c r="AL57" s="740">
        <f>('Cost Allocation - Tier 1'!$E$57)*VLOOKUP(AL2,'CU Composites'!$B$5:$J$45,8,)</f>
        <v>0</v>
      </c>
      <c r="AM57" s="740">
        <f>('Cost Allocation - Tier 1'!$E$57)*VLOOKUP(AM2,'CU Composites'!$B$5:$J$45,8,)</f>
        <v>147.64515713816795</v>
      </c>
      <c r="AN57" s="740">
        <f>('Cost Allocation - Tier 1'!$E$57)*VLOOKUP(AN2,'CU Composites'!$B$5:$J$45,8,)</f>
        <v>914.90285375100257</v>
      </c>
      <c r="AO57" s="740">
        <f>('Cost Allocation - Tier 1'!$E$57)*VLOOKUP(AO2,'CU Composites'!$B$5:$J$45,8,)</f>
        <v>5649.6496789968542</v>
      </c>
      <c r="AP57" s="740">
        <f>('Cost Allocation - Tier 1'!$E$57)*VLOOKUP(AP2,'CU Composites'!$B$5:$J$45,8,)</f>
        <v>847.64004165359404</v>
      </c>
      <c r="AQ57" s="740">
        <f>('Cost Allocation - Tier 1'!$E$57)*VLOOKUP(AQ2,'CU Composites'!$B$5:$J$45,8,)</f>
        <v>11190.88760111685</v>
      </c>
      <c r="AR57" s="740">
        <f>('Cost Allocation - Tier 1'!$E$57)*VLOOKUP(AR2,'CU Composites'!$B$5:$J$45,8,)</f>
        <v>3.4484440318070679</v>
      </c>
      <c r="AS57" s="740">
        <f>('Cost Allocation - Tier 1'!$E$57)*VLOOKUP(AS2,'CU Composites'!$B$5:$J$45,8,)</f>
        <v>16039.608821898248</v>
      </c>
      <c r="AT57" s="740">
        <f>('Cost Allocation - Tier 1'!$E$57)*VLOOKUP(AT2,'CU Composites'!$B$5:$J$45,8,)</f>
        <v>14314.900034846605</v>
      </c>
      <c r="AU57" s="740">
        <f>('Cost Allocation - Tier 1'!$E$57)*VLOOKUP(AU2,'CU Composites'!$B$5:$J$45,8,)</f>
        <v>16542.228048739624</v>
      </c>
      <c r="AV57" s="740">
        <f>('Cost Allocation - Tier 1'!$E$57)*VLOOKUP(AV2,'CU Composites'!$B$5:$J$45,8,)</f>
        <v>25487.220802255557</v>
      </c>
      <c r="AW57" s="740">
        <f>('Cost Allocation - Tier 1'!$E$57)*VLOOKUP(AW2,'CU Composites'!$B$5:$J$45,8,)</f>
        <v>63026.765311856594</v>
      </c>
      <c r="AX57" s="740">
        <f>('Cost Allocation - Tier 1'!$E$57)*VLOOKUP(AX2,'CU Composites'!$B$5:$J$45,8,)</f>
        <v>73.154777310975646</v>
      </c>
      <c r="AY57" s="741"/>
      <c r="AZ57" s="741"/>
      <c r="BA57" s="741"/>
      <c r="BB57" s="741"/>
      <c r="BC57" s="739">
        <f t="shared" si="31"/>
        <v>0</v>
      </c>
      <c r="BD57" s="741"/>
      <c r="BE57" s="741"/>
      <c r="BF57" s="741"/>
      <c r="BG57" s="741"/>
      <c r="BH57" s="741"/>
      <c r="BI57" s="741"/>
      <c r="BJ57" s="741"/>
      <c r="BK57" s="741"/>
      <c r="BL57" s="742">
        <f>BC57+I57+H57</f>
        <v>221261.20151036687</v>
      </c>
      <c r="BM57" s="743">
        <f>BL57-E57</f>
        <v>0</v>
      </c>
      <c r="BO57" s="744" t="s">
        <v>863</v>
      </c>
      <c r="BP57" s="723">
        <f t="shared" si="4"/>
        <v>221261.20151036681</v>
      </c>
      <c r="BQ57" s="723">
        <f t="shared" si="10"/>
        <v>221261.20151036681</v>
      </c>
      <c r="BR57" s="723">
        <f t="shared" si="5"/>
        <v>0</v>
      </c>
      <c r="BU57" s="1247"/>
    </row>
    <row r="58" spans="1:74" s="294" customFormat="1" outlineLevel="1" x14ac:dyDescent="0.25">
      <c r="A58" s="745" t="s">
        <v>889</v>
      </c>
      <c r="B58" s="746"/>
      <c r="C58" s="747"/>
      <c r="D58" s="748">
        <f>SUM(D55:D57)</f>
        <v>5118303</v>
      </c>
      <c r="E58" s="748">
        <f>SUM(E55:E57)</f>
        <v>3857542.4131199932</v>
      </c>
      <c r="F58" s="748">
        <f>SUM(F55:F57)</f>
        <v>625187.85375669831</v>
      </c>
      <c r="G58" s="748"/>
      <c r="H58" s="748">
        <f>SUM(H55:H57)</f>
        <v>0</v>
      </c>
      <c r="I58" s="749">
        <f>SUM(I55:I57)</f>
        <v>3857542.4131199936</v>
      </c>
      <c r="J58" s="748">
        <f>SUM(J55:J57)</f>
        <v>30947.61662000568</v>
      </c>
      <c r="K58" s="748">
        <f t="shared" ref="K58:BB58" si="32">SUM(K55:K57)</f>
        <v>8574.2585627733843</v>
      </c>
      <c r="L58" s="748">
        <f t="shared" si="32"/>
        <v>8645.1015321628747</v>
      </c>
      <c r="M58" s="748">
        <f t="shared" si="32"/>
        <v>9833.9603145517176</v>
      </c>
      <c r="N58" s="748">
        <f t="shared" si="32"/>
        <v>15263.752561895479</v>
      </c>
      <c r="O58" s="748">
        <f t="shared" si="32"/>
        <v>37271.723774666141</v>
      </c>
      <c r="P58" s="748">
        <f t="shared" si="32"/>
        <v>4595.5212616871613</v>
      </c>
      <c r="Q58" s="748">
        <f t="shared" si="32"/>
        <v>12494.707393249273</v>
      </c>
      <c r="R58" s="748">
        <f t="shared" si="32"/>
        <v>10775.501409435916</v>
      </c>
      <c r="S58" s="748">
        <f t="shared" si="32"/>
        <v>11010.590133521317</v>
      </c>
      <c r="T58" s="748">
        <f t="shared" si="32"/>
        <v>40360.367950909524</v>
      </c>
      <c r="U58" s="748">
        <f t="shared" si="32"/>
        <v>32070.81205654487</v>
      </c>
      <c r="V58" s="748">
        <f t="shared" si="32"/>
        <v>24445.757366513135</v>
      </c>
      <c r="W58" s="748">
        <f t="shared" si="32"/>
        <v>39727.224732944262</v>
      </c>
      <c r="X58" s="748">
        <f t="shared" si="32"/>
        <v>940.01351537604387</v>
      </c>
      <c r="Y58" s="748">
        <f t="shared" si="32"/>
        <v>704.92605342611523</v>
      </c>
      <c r="Z58" s="748">
        <f t="shared" si="32"/>
        <v>3204.439271200833</v>
      </c>
      <c r="AA58" s="748">
        <f t="shared" si="32"/>
        <v>2881.9810549818326</v>
      </c>
      <c r="AB58" s="748">
        <f t="shared" si="32"/>
        <v>1709.7713164017528</v>
      </c>
      <c r="AC58" s="748">
        <f t="shared" si="32"/>
        <v>1905.5410974507513</v>
      </c>
      <c r="AD58" s="748">
        <f t="shared" si="32"/>
        <v>11898.076930275247</v>
      </c>
      <c r="AE58" s="748">
        <f t="shared" si="32"/>
        <v>4550.8429322320917</v>
      </c>
      <c r="AF58" s="748">
        <f t="shared" si="32"/>
        <v>12093.191829993621</v>
      </c>
      <c r="AG58" s="748">
        <f t="shared" si="32"/>
        <v>41227.701596322251</v>
      </c>
      <c r="AH58" s="748">
        <f t="shared" si="32"/>
        <v>285596.7171967827</v>
      </c>
      <c r="AI58" s="748">
        <f t="shared" si="32"/>
        <v>2250.3686957493946</v>
      </c>
      <c r="AJ58" s="748">
        <f t="shared" si="32"/>
        <v>48786.124205123429</v>
      </c>
      <c r="AK58" s="748">
        <f t="shared" si="32"/>
        <v>40884.930795048102</v>
      </c>
      <c r="AL58" s="748">
        <f t="shared" si="32"/>
        <v>0</v>
      </c>
      <c r="AM58" s="748">
        <f t="shared" si="32"/>
        <v>4220.131084363994</v>
      </c>
      <c r="AN58" s="748">
        <f t="shared" si="32"/>
        <v>7458.562636176368</v>
      </c>
      <c r="AO58" s="748">
        <f t="shared" si="32"/>
        <v>50148.61294909237</v>
      </c>
      <c r="AP58" s="748">
        <f t="shared" si="32"/>
        <v>7401.4584056108961</v>
      </c>
      <c r="AQ58" s="748">
        <f t="shared" si="32"/>
        <v>48585.579297365315</v>
      </c>
      <c r="AR58" s="748">
        <f t="shared" si="32"/>
        <v>112.76202344307407</v>
      </c>
      <c r="AS58" s="748">
        <f t="shared" si="32"/>
        <v>71106.051742589218</v>
      </c>
      <c r="AT58" s="748">
        <f t="shared" si="32"/>
        <v>60098.908962783244</v>
      </c>
      <c r="AU58" s="748">
        <f t="shared" si="32"/>
        <v>80253.288630290554</v>
      </c>
      <c r="AV58" s="748">
        <f t="shared" si="32"/>
        <v>115139.80749214182</v>
      </c>
      <c r="AW58" s="748">
        <f t="shared" si="32"/>
        <v>292535.34513508412</v>
      </c>
      <c r="AX58" s="748">
        <f t="shared" si="32"/>
        <v>2392.1167454152883</v>
      </c>
      <c r="AY58" s="748">
        <f t="shared" si="32"/>
        <v>615831.93442654109</v>
      </c>
      <c r="AZ58" s="748">
        <f t="shared" si="32"/>
        <v>20352.331814415069</v>
      </c>
      <c r="BA58" s="748">
        <f t="shared" si="32"/>
        <v>356242.07107592683</v>
      </c>
      <c r="BB58" s="748">
        <f t="shared" si="32"/>
        <v>1381011.9285375294</v>
      </c>
      <c r="BC58" s="749">
        <f t="shared" si="31"/>
        <v>0</v>
      </c>
      <c r="BL58" s="750">
        <f>SUM(BL55:BL57)</f>
        <v>3857542.4131199936</v>
      </c>
      <c r="BM58" s="751">
        <f>BL58-E58</f>
        <v>0</v>
      </c>
      <c r="BP58" s="295">
        <f t="shared" si="4"/>
        <v>3857542.4131199932</v>
      </c>
      <c r="BQ58" s="295">
        <f t="shared" si="10"/>
        <v>4021722.9486821978</v>
      </c>
      <c r="BR58" s="295">
        <f t="shared" si="5"/>
        <v>164180.53556220466</v>
      </c>
      <c r="BU58" s="31"/>
    </row>
    <row r="59" spans="1:74" outlineLevel="1" x14ac:dyDescent="0.25">
      <c r="H59" s="242"/>
      <c r="I59" s="241"/>
    </row>
    <row r="60" spans="1:74" outlineLevel="1" x14ac:dyDescent="0.25">
      <c r="A60" s="1"/>
      <c r="D60" s="76"/>
      <c r="E60" s="76"/>
      <c r="F60" s="76"/>
      <c r="G60" s="76"/>
      <c r="H60" s="242"/>
      <c r="I60" s="692">
        <f>I52/$BL$52</f>
        <v>1</v>
      </c>
      <c r="J60" s="692"/>
      <c r="K60" s="692"/>
      <c r="L60" s="692"/>
      <c r="M60" s="692"/>
      <c r="N60" s="692"/>
      <c r="O60" s="692"/>
      <c r="P60" s="692"/>
      <c r="Q60" s="692"/>
      <c r="R60" s="692"/>
      <c r="S60" s="692"/>
      <c r="T60" s="692"/>
      <c r="U60" s="692"/>
      <c r="V60" s="692"/>
      <c r="W60" s="692"/>
      <c r="X60" s="692"/>
      <c r="Y60" s="692"/>
      <c r="Z60" s="692"/>
      <c r="AA60" s="692"/>
      <c r="AB60" s="692"/>
      <c r="AC60" s="692"/>
      <c r="AD60" s="692"/>
      <c r="AE60" s="692"/>
      <c r="AF60" s="692"/>
      <c r="AG60" s="692"/>
      <c r="AH60" s="692"/>
      <c r="AI60" s="692"/>
      <c r="AJ60" s="692"/>
      <c r="AK60" s="692"/>
      <c r="AL60" s="692"/>
      <c r="AM60" s="692"/>
      <c r="AN60" s="692"/>
      <c r="AO60" s="692"/>
      <c r="AP60" s="692"/>
      <c r="AQ60" s="692"/>
      <c r="AR60" s="692"/>
      <c r="AS60" s="692"/>
      <c r="AT60" s="692"/>
      <c r="AU60" s="692"/>
      <c r="AV60" s="692"/>
      <c r="AW60" s="692"/>
      <c r="AX60" s="692"/>
      <c r="AY60" s="692"/>
      <c r="AZ60" s="692"/>
      <c r="BA60" s="692"/>
      <c r="BB60" s="692"/>
      <c r="BC60" s="692">
        <f>BC52/$BL$52</f>
        <v>0</v>
      </c>
      <c r="BD60" s="692"/>
      <c r="BE60" s="692"/>
      <c r="BF60" s="692"/>
      <c r="BG60" s="692"/>
      <c r="BH60" s="692"/>
      <c r="BI60" s="692"/>
      <c r="BJ60" s="692"/>
      <c r="BK60" s="692"/>
      <c r="BL60" s="752">
        <f>BL52/$BL$52</f>
        <v>1</v>
      </c>
      <c r="BM60" s="667"/>
    </row>
    <row r="61" spans="1:74" ht="15.75" outlineLevel="1" thickBot="1" x14ac:dyDescent="0.3">
      <c r="H61" s="242"/>
      <c r="I61" s="241"/>
      <c r="BD61" s="77"/>
      <c r="BL61" s="73"/>
      <c r="BM61" s="667"/>
    </row>
    <row r="62" spans="1:74" s="753" customFormat="1" ht="19.5" customHeight="1" thickBot="1" x14ac:dyDescent="0.3">
      <c r="A62" s="753" t="s">
        <v>162</v>
      </c>
      <c r="B62" s="754"/>
      <c r="C62" s="755"/>
      <c r="D62" s="756">
        <f>D58+D50+SUM(D45:D48)+D41+D33+D43</f>
        <v>28733638.799369998</v>
      </c>
      <c r="E62" s="757">
        <f>E58+E50+SUM(E45:E48)+E41+E33+E43</f>
        <v>21655727.461784855</v>
      </c>
      <c r="F62" s="758"/>
      <c r="G62" s="756"/>
      <c r="H62" s="756">
        <f>H58+H50+SUM(H45:H48)+H41+H33+H43</f>
        <v>126859.85619860872</v>
      </c>
      <c r="I62" s="759">
        <f>SUM(J62:BB62)</f>
        <v>13749252.803617489</v>
      </c>
      <c r="J62" s="756">
        <f t="shared" ref="J62:BB62" si="33">J58+J50+SUM(J45:J48)+J41+J33+J43</f>
        <v>143189.15587127442</v>
      </c>
      <c r="K62" s="756">
        <f t="shared" si="33"/>
        <v>38550.172748927136</v>
      </c>
      <c r="L62" s="756">
        <f t="shared" si="33"/>
        <v>38159.082404249479</v>
      </c>
      <c r="M62" s="756">
        <f t="shared" si="33"/>
        <v>46644.407131184729</v>
      </c>
      <c r="N62" s="756">
        <f t="shared" si="33"/>
        <v>69020.331138197638</v>
      </c>
      <c r="O62" s="756">
        <f t="shared" si="33"/>
        <v>182645.88312786398</v>
      </c>
      <c r="P62" s="756">
        <f t="shared" si="33"/>
        <v>22823.833488050692</v>
      </c>
      <c r="Q62" s="756">
        <f t="shared" si="33"/>
        <v>63178.166842300256</v>
      </c>
      <c r="R62" s="756">
        <f t="shared" si="33"/>
        <v>54781.959580621369</v>
      </c>
      <c r="S62" s="756">
        <f t="shared" si="33"/>
        <v>55728.460875106262</v>
      </c>
      <c r="T62" s="756">
        <f t="shared" si="33"/>
        <v>205877.92750649957</v>
      </c>
      <c r="U62" s="756">
        <f t="shared" si="33"/>
        <v>163089.48425265576</v>
      </c>
      <c r="V62" s="756">
        <f t="shared" si="33"/>
        <v>101220.80124703371</v>
      </c>
      <c r="W62" s="756">
        <f t="shared" si="33"/>
        <v>164776.31171907979</v>
      </c>
      <c r="X62" s="756">
        <f t="shared" si="33"/>
        <v>4886.9583098054072</v>
      </c>
      <c r="Y62" s="756">
        <f t="shared" si="33"/>
        <v>3564.6447563319343</v>
      </c>
      <c r="Z62" s="756">
        <f t="shared" si="33"/>
        <v>15616.402186032494</v>
      </c>
      <c r="AA62" s="756">
        <f t="shared" si="33"/>
        <v>13900.810715349604</v>
      </c>
      <c r="AB62" s="756">
        <f t="shared" si="33"/>
        <v>8171.7783738185944</v>
      </c>
      <c r="AC62" s="756">
        <f t="shared" si="33"/>
        <v>9602.6009815823527</v>
      </c>
      <c r="AD62" s="756">
        <f t="shared" si="33"/>
        <v>63106.603685608774</v>
      </c>
      <c r="AE62" s="756">
        <f t="shared" si="33"/>
        <v>23554.576621584238</v>
      </c>
      <c r="AF62" s="756">
        <f t="shared" si="33"/>
        <v>113919.07381056616</v>
      </c>
      <c r="AG62" s="756">
        <f t="shared" si="33"/>
        <v>138349.54090293378</v>
      </c>
      <c r="AH62" s="756">
        <f t="shared" si="33"/>
        <v>1365342.5490327431</v>
      </c>
      <c r="AI62" s="756">
        <f t="shared" si="33"/>
        <v>12084.630035771745</v>
      </c>
      <c r="AJ62" s="756">
        <f t="shared" si="33"/>
        <v>442709.60674969247</v>
      </c>
      <c r="AK62" s="756">
        <f t="shared" si="33"/>
        <v>375841.04194136075</v>
      </c>
      <c r="AL62" s="756">
        <f t="shared" si="33"/>
        <v>0</v>
      </c>
      <c r="AM62" s="756">
        <f t="shared" si="33"/>
        <v>20641.454868115583</v>
      </c>
      <c r="AN62" s="756">
        <f t="shared" si="33"/>
        <v>73102.031479915837</v>
      </c>
      <c r="AO62" s="756">
        <f t="shared" si="33"/>
        <v>458963.64622790384</v>
      </c>
      <c r="AP62" s="756">
        <f t="shared" si="33"/>
        <v>68634.076460939992</v>
      </c>
      <c r="AQ62" s="756">
        <f t="shared" si="33"/>
        <v>166224.14916625939</v>
      </c>
      <c r="AR62" s="756">
        <f t="shared" si="33"/>
        <v>527.04463912858068</v>
      </c>
      <c r="AS62" s="756">
        <f t="shared" si="33"/>
        <v>245434.17834540908</v>
      </c>
      <c r="AT62" s="756">
        <f t="shared" si="33"/>
        <v>202600.3163150296</v>
      </c>
      <c r="AU62" s="756">
        <f t="shared" si="33"/>
        <v>287185.03044584946</v>
      </c>
      <c r="AV62" s="756">
        <f t="shared" si="33"/>
        <v>400339.64412722638</v>
      </c>
      <c r="AW62" s="756">
        <f t="shared" si="33"/>
        <v>1028673.7217653049</v>
      </c>
      <c r="AX62" s="756">
        <f t="shared" si="33"/>
        <v>11180.646358987204</v>
      </c>
      <c r="AY62" s="756">
        <f t="shared" si="33"/>
        <v>1795034.1371678491</v>
      </c>
      <c r="AZ62" s="756">
        <f t="shared" si="33"/>
        <v>61757.477364268372</v>
      </c>
      <c r="BA62" s="756">
        <f t="shared" si="33"/>
        <v>1068894.0044071905</v>
      </c>
      <c r="BB62" s="756">
        <f t="shared" si="33"/>
        <v>3919724.4484418882</v>
      </c>
      <c r="BC62" s="756">
        <f>SUM(BD62:BK62)</f>
        <v>7779614.8019687589</v>
      </c>
      <c r="BD62" s="756">
        <f t="shared" ref="BD62:BK62" si="34">BD58+BD50+SUM(BD45:BD48)+BD41+BD33+BD43</f>
        <v>1267458.8286903251</v>
      </c>
      <c r="BE62" s="756">
        <f t="shared" si="34"/>
        <v>1155923.020715947</v>
      </c>
      <c r="BF62" s="756">
        <f t="shared" si="34"/>
        <v>707729.19513366243</v>
      </c>
      <c r="BG62" s="756">
        <f t="shared" si="34"/>
        <v>1307987.1182438065</v>
      </c>
      <c r="BH62" s="756">
        <f t="shared" si="34"/>
        <v>1024615.6956282982</v>
      </c>
      <c r="BI62" s="756">
        <f t="shared" si="34"/>
        <v>746071.36260111793</v>
      </c>
      <c r="BJ62" s="756">
        <f t="shared" si="34"/>
        <v>420801.87790683174</v>
      </c>
      <c r="BK62" s="756">
        <f t="shared" si="34"/>
        <v>1149027.7030487694</v>
      </c>
      <c r="BL62" s="757">
        <f>I62+BC62+H62</f>
        <v>21655727.461784855</v>
      </c>
      <c r="BM62" s="760">
        <f>BL62-E62</f>
        <v>0</v>
      </c>
      <c r="BN62" s="756"/>
      <c r="BP62" s="756">
        <f t="shared" ref="BP62:BR62" si="35">BP58+BP50+SUM(BP45:BP48)+BP41+BP33+BP43</f>
        <v>21655727.461784855</v>
      </c>
      <c r="BQ62" s="756">
        <f t="shared" si="35"/>
        <v>22486016.962249227</v>
      </c>
      <c r="BR62" s="756">
        <f t="shared" si="35"/>
        <v>830289.50046436838</v>
      </c>
      <c r="BU62" s="930"/>
    </row>
    <row r="63" spans="1:74" x14ac:dyDescent="0.25">
      <c r="A63" s="1"/>
      <c r="E63" s="221"/>
      <c r="H63" s="692">
        <f>H62/$BL$62</f>
        <v>5.8580279245975045E-3</v>
      </c>
      <c r="I63" s="692">
        <f>I62/$BL$62</f>
        <v>0.63490145172358403</v>
      </c>
      <c r="BC63" s="692">
        <f>BC62/$BL$62</f>
        <v>0.35924052035181858</v>
      </c>
      <c r="BL63" s="761">
        <f>SUM(H63:BC63)</f>
        <v>1.0000000000000002</v>
      </c>
    </row>
    <row r="64" spans="1:74" x14ac:dyDescent="0.25">
      <c r="D64" s="76">
        <f>D62-D52-D33-D58</f>
        <v>0</v>
      </c>
      <c r="H64" s="242"/>
      <c r="I64" s="241"/>
      <c r="J64" s="76"/>
      <c r="K64" s="221"/>
      <c r="L64" s="76"/>
      <c r="BD64" s="45">
        <f t="shared" ref="BD64:BK64" si="36">BD33/$BC$33</f>
        <v>0.1629205122558991</v>
      </c>
      <c r="BE64" s="45">
        <f t="shared" si="36"/>
        <v>0.14858358031086857</v>
      </c>
      <c r="BF64" s="45">
        <f t="shared" si="36"/>
        <v>9.0972267027226078E-2</v>
      </c>
      <c r="BG64" s="45">
        <f t="shared" si="36"/>
        <v>0.16813006190393887</v>
      </c>
      <c r="BH64" s="45">
        <f t="shared" si="36"/>
        <v>0.13170519642810624</v>
      </c>
      <c r="BI64" s="45">
        <f t="shared" si="36"/>
        <v>9.5900810206221571E-2</v>
      </c>
      <c r="BJ64" s="45">
        <f t="shared" si="36"/>
        <v>5.4090323058198324E-2</v>
      </c>
      <c r="BK64" s="45">
        <f t="shared" si="36"/>
        <v>0.14769724880954119</v>
      </c>
      <c r="BM64" s="667"/>
    </row>
    <row r="65" spans="1:73" s="765" customFormat="1" outlineLevel="1" x14ac:dyDescent="0.25">
      <c r="A65" s="762" t="s">
        <v>890</v>
      </c>
      <c r="B65" s="763"/>
      <c r="C65" s="764"/>
      <c r="I65" s="762"/>
      <c r="J65" s="766"/>
      <c r="K65" s="766"/>
      <c r="L65" s="767"/>
      <c r="BC65" s="762"/>
      <c r="BD65" s="768">
        <f>VLOOKUP(BD2,'RU Composites'!$B$5:$L$12,9,FALSE)</f>
        <v>0.16075318254783952</v>
      </c>
      <c r="BE65" s="768">
        <f>VLOOKUP(BE2,'RU Composites'!$B$5:$L$12,9,FALSE)</f>
        <v>0.1463539710042811</v>
      </c>
      <c r="BF65" s="768">
        <f>VLOOKUP(BF2,'RU Composites'!$B$5:$L$12,9,FALSE)</f>
        <v>9.0279558618900593E-2</v>
      </c>
      <c r="BG65" s="768">
        <f>VLOOKUP(BG2,'RU Composites'!$B$5:$L$12,9,FALSE)</f>
        <v>0.16612611851626496</v>
      </c>
      <c r="BH65" s="768">
        <f>VLOOKUP(BH2,'RU Composites'!$B$5:$L$12,9,FALSE)</f>
        <v>0.12985211991094198</v>
      </c>
      <c r="BI65" s="768">
        <f>VLOOKUP(BI2,'RU Composites'!$B$5:$L$12,9,FALSE)</f>
        <v>9.4320891490149592E-2</v>
      </c>
      <c r="BJ65" s="768">
        <f>VLOOKUP(BJ2,'RU Composites'!$B$5:$L$12,9,FALSE)</f>
        <v>5.3163011039768157E-2</v>
      </c>
      <c r="BK65" s="768">
        <f>VLOOKUP(BK2,'RU Composites'!$B$5:$L$12,9,FALSE)</f>
        <v>0.15915114687185422</v>
      </c>
      <c r="BM65" s="769"/>
      <c r="BP65" s="770"/>
      <c r="BQ65" s="770"/>
      <c r="BR65" s="770"/>
      <c r="BU65" s="31"/>
    </row>
    <row r="66" spans="1:73" outlineLevel="1" x14ac:dyDescent="0.25">
      <c r="H66" s="242"/>
      <c r="I66" s="241"/>
      <c r="K66" s="76"/>
      <c r="L66" s="76"/>
      <c r="BD66" s="771">
        <f>BD64-BD65</f>
        <v>2.1673297080595788E-3</v>
      </c>
      <c r="BE66" s="771">
        <f t="shared" ref="BE66:BK66" si="37">BE64-BE65</f>
        <v>2.2296093065874711E-3</v>
      </c>
      <c r="BF66" s="771">
        <f t="shared" si="37"/>
        <v>6.9270840832548475E-4</v>
      </c>
      <c r="BG66" s="771">
        <f t="shared" si="37"/>
        <v>2.003943387673901E-3</v>
      </c>
      <c r="BH66" s="771">
        <f t="shared" si="37"/>
        <v>1.8530765171642649E-3</v>
      </c>
      <c r="BI66" s="771">
        <f t="shared" si="37"/>
        <v>1.5799187160719791E-3</v>
      </c>
      <c r="BJ66" s="771">
        <f t="shared" si="37"/>
        <v>9.273120184301667E-4</v>
      </c>
      <c r="BK66" s="771">
        <f t="shared" si="37"/>
        <v>-1.1453898062313034E-2</v>
      </c>
    </row>
    <row r="67" spans="1:73" outlineLevel="1" x14ac:dyDescent="0.25">
      <c r="A67" s="199" t="s">
        <v>891</v>
      </c>
      <c r="B67" s="653"/>
      <c r="C67" s="653"/>
      <c r="D67" s="656"/>
      <c r="E67" s="656"/>
      <c r="F67" s="659"/>
      <c r="G67" s="659"/>
      <c r="H67" s="772"/>
      <c r="I67" s="773"/>
      <c r="J67" s="774"/>
      <c r="K67" s="656"/>
      <c r="L67" s="659"/>
      <c r="M67" s="656"/>
      <c r="N67" s="656"/>
      <c r="O67" s="656"/>
      <c r="P67" s="656"/>
      <c r="Q67" s="656"/>
      <c r="R67" s="656"/>
      <c r="S67" s="656"/>
      <c r="T67" s="656"/>
      <c r="U67" s="656"/>
      <c r="V67" s="656"/>
      <c r="W67" s="656"/>
      <c r="X67" s="656"/>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c r="AU67" s="656"/>
      <c r="AV67" s="656"/>
      <c r="AW67" s="661"/>
      <c r="AX67" s="656"/>
      <c r="AY67" s="656"/>
      <c r="AZ67" s="656"/>
      <c r="BA67" s="656"/>
      <c r="BB67" s="656"/>
      <c r="BC67" s="658"/>
      <c r="BD67" s="656"/>
      <c r="BE67" s="656"/>
      <c r="BF67" s="656"/>
      <c r="BG67" s="656"/>
      <c r="BH67" s="656"/>
      <c r="BI67" s="656"/>
      <c r="BJ67" s="656"/>
      <c r="BK67" s="656"/>
    </row>
    <row r="68" spans="1:73" outlineLevel="1" x14ac:dyDescent="0.25">
      <c r="A68" s="1"/>
      <c r="B68" s="653"/>
      <c r="C68" s="653"/>
      <c r="D68" s="656"/>
      <c r="E68" s="656"/>
      <c r="F68" s="656"/>
      <c r="G68" s="656"/>
      <c r="H68" s="657"/>
      <c r="I68" s="658"/>
      <c r="J68" s="656"/>
      <c r="K68" s="656"/>
      <c r="L68" s="656"/>
      <c r="M68" s="656"/>
      <c r="N68" s="656"/>
      <c r="O68" s="656"/>
      <c r="P68" s="656"/>
      <c r="Q68" s="656"/>
      <c r="R68" s="656"/>
      <c r="S68" s="656"/>
      <c r="T68" s="656"/>
      <c r="U68" s="656"/>
      <c r="V68" s="656"/>
      <c r="W68" s="656"/>
      <c r="X68" s="656"/>
      <c r="Y68" s="656"/>
      <c r="Z68" s="656"/>
      <c r="AA68" s="656"/>
      <c r="AB68" s="656"/>
      <c r="AC68" s="656"/>
      <c r="AD68" s="656"/>
      <c r="AE68" s="656"/>
      <c r="AF68" s="656"/>
      <c r="AG68" s="656"/>
      <c r="AH68" s="656"/>
      <c r="AI68" s="656"/>
      <c r="AJ68" s="656"/>
      <c r="AK68" s="656"/>
      <c r="AL68" s="656"/>
      <c r="AM68" s="656"/>
      <c r="AN68" s="656"/>
      <c r="AO68" s="656"/>
      <c r="AP68" s="656"/>
      <c r="AQ68" s="656"/>
      <c r="AR68" s="656"/>
      <c r="AS68" s="656"/>
      <c r="AT68" s="656"/>
      <c r="AU68" s="656"/>
      <c r="AV68" s="656"/>
      <c r="AW68" s="661"/>
      <c r="AX68" s="656"/>
      <c r="AY68" s="656"/>
      <c r="AZ68" s="656"/>
      <c r="BA68" s="656"/>
      <c r="BB68" s="656"/>
      <c r="BC68" s="658"/>
      <c r="BD68" s="656"/>
      <c r="BE68" s="656"/>
      <c r="BF68" s="656"/>
      <c r="BG68" s="656"/>
      <c r="BH68" s="656"/>
      <c r="BI68" s="656"/>
      <c r="BJ68" s="656"/>
      <c r="BK68" s="656"/>
    </row>
    <row r="69" spans="1:73" outlineLevel="1" x14ac:dyDescent="0.25">
      <c r="A69" s="177" t="s">
        <v>822</v>
      </c>
      <c r="B69" s="3" t="s">
        <v>132</v>
      </c>
      <c r="C69" s="668" t="s">
        <v>857</v>
      </c>
      <c r="D69" s="775">
        <f t="shared" ref="D69:F84" si="38">D5</f>
        <v>1385820</v>
      </c>
      <c r="E69" s="775">
        <f t="shared" si="38"/>
        <v>1044459.3504819758</v>
      </c>
      <c r="F69" s="775">
        <f t="shared" si="38"/>
        <v>422923.05721154937</v>
      </c>
      <c r="G69" s="775">
        <f>((E69-F69)*(1+Assumptions!$B$20))+F69</f>
        <v>1081751.5280782015</v>
      </c>
      <c r="H69" s="242"/>
      <c r="I69" s="666">
        <f>SUM(J69:BB69)</f>
        <v>401977.1947055473</v>
      </c>
      <c r="J69" s="73">
        <f>($E$69-$H$5)*(VLOOKUP('Cost Allocation - Tier 1'!J2,'Allocation CU RU'!$B$11:$I$82,8,))</f>
        <v>2500.9860705461078</v>
      </c>
      <c r="K69" s="73">
        <f>($E$69-$H$5)*(VLOOKUP('Cost Allocation - Tier 1'!K2,'Allocation CU RU'!$B$11:$I$82,8,))</f>
        <v>742.03831025678642</v>
      </c>
      <c r="L69" s="73">
        <f>($E$69-$H$5)*(VLOOKUP('Cost Allocation - Tier 1'!L2,'Allocation CU RU'!$B$11:$I$82,8,))</f>
        <v>779.2527557091064</v>
      </c>
      <c r="M69" s="73">
        <f>($E$69-$H$5)*(VLOOKUP('Cost Allocation - Tier 1'!M2,'Allocation CU RU'!$B$11:$I$82,8,))</f>
        <v>744.58718850795503</v>
      </c>
      <c r="N69" s="73">
        <f>($E$69-$H$5)*(VLOOKUP('Cost Allocation - Tier 1'!N2,'Allocation CU RU'!$B$11:$I$82,8,))</f>
        <v>1303.7074461582906</v>
      </c>
      <c r="O69" s="73">
        <f>($E$69-$H$5)*(VLOOKUP('Cost Allocation - Tier 1'!O2,'Allocation CU RU'!$B$11:$I$82,8,))</f>
        <v>2984.6466321559101</v>
      </c>
      <c r="P69" s="73">
        <f>($E$69-$H$5)*(VLOOKUP('Cost Allocation - Tier 1'!P2,'Allocation CU RU'!$B$11:$I$82,8,))</f>
        <v>361.03340994818473</v>
      </c>
      <c r="Q69" s="73">
        <f>($E$69-$H$5)*(VLOOKUP('Cost Allocation - Tier 1'!Q2,'Allocation CU RU'!$B$11:$I$82,8,))</f>
        <v>955.87933167539995</v>
      </c>
      <c r="R69" s="73">
        <f>($E$69-$H$5)*(VLOOKUP('Cost Allocation - Tier 1'!R2,'Allocation CU RU'!$B$11:$I$82,8,))</f>
        <v>817.55397514017329</v>
      </c>
      <c r="S69" s="73">
        <f>($E$69-$H$5)*(VLOOKUP('Cost Allocation - Tier 1'!S2,'Allocation CU RU'!$B$11:$I$82,8,))</f>
        <v>841.08954593361466</v>
      </c>
      <c r="T69" s="73">
        <f>($E$69-$H$5)*(VLOOKUP('Cost Allocation - Tier 1'!T2,'Allocation CU RU'!$B$11:$I$82,8,))</f>
        <v>3046.4271424923859</v>
      </c>
      <c r="U69" s="73">
        <f>($E$69-$H$5)*(VLOOKUP('Cost Allocation - Tier 1'!U2,'Allocation CU RU'!$B$11:$I$82,8,))</f>
        <v>2432.2646042526662</v>
      </c>
      <c r="V69" s="73">
        <f>($E$69-$H$5)*(VLOOKUP('Cost Allocation - Tier 1'!V2,'Allocation CU RU'!$B$11:$I$82,8,))</f>
        <v>1930.3101011809265</v>
      </c>
      <c r="W69" s="73">
        <f>($E$69-$H$5)*(VLOOKUP('Cost Allocation - Tier 1'!W2,'Allocation CU RU'!$B$11:$I$82,8,))</f>
        <v>3095.37780885044</v>
      </c>
      <c r="X69" s="73">
        <f>($E$69-$H$5)*(VLOOKUP('Cost Allocation - Tier 1'!X2,'Allocation CU RU'!$B$11:$I$82,8,))</f>
        <v>76.551791983703822</v>
      </c>
      <c r="Y69" s="73">
        <f>($E$69-$H$5)*(VLOOKUP('Cost Allocation - Tier 1'!Y2,'Allocation CU RU'!$B$11:$I$82,8,))</f>
        <v>60.397442429267734</v>
      </c>
      <c r="Z69" s="73">
        <f>($E$69-$H$5)*(VLOOKUP('Cost Allocation - Tier 1'!Z2,'Allocation CU RU'!$B$11:$I$82,8,))</f>
        <v>292.10410263662982</v>
      </c>
      <c r="AA69" s="73">
        <f>($E$69-$H$5)*(VLOOKUP('Cost Allocation - Tier 1'!AA2,'Allocation CU RU'!$B$11:$I$82,8,))</f>
        <v>267.01446322757261</v>
      </c>
      <c r="AB69" s="73">
        <f>($E$69-$H$5)*(VLOOKUP('Cost Allocation - Tier 1'!AB2,'Allocation CU RU'!$B$11:$I$82,8,))</f>
        <v>160.65097802287329</v>
      </c>
      <c r="AC69" s="73">
        <f>($E$69-$H$5)*(VLOOKUP('Cost Allocation - Tier 1'!AC2,'Allocation CU RU'!$B$11:$I$82,8,))</f>
        <v>164.25866656095386</v>
      </c>
      <c r="AD69" s="73">
        <f>($E$69-$H$5)*(VLOOKUP('Cost Allocation - Tier 1'!AD2,'Allocation CU RU'!$B$11:$I$82,8,))</f>
        <v>931.59282304350882</v>
      </c>
      <c r="AE69" s="73">
        <f>($E$69-$H$5)*(VLOOKUP('Cost Allocation - Tier 1'!AE2,'Allocation CU RU'!$B$11:$I$82,8,))</f>
        <v>373.72502144135927</v>
      </c>
      <c r="AF69" s="73">
        <f>($E$69-$H$5)*(VLOOKUP('Cost Allocation - Tier 1'!AF2,'Allocation CU RU'!$B$11:$I$82,8,))</f>
        <v>972.29201129154785</v>
      </c>
      <c r="AG69" s="73">
        <f>($E$69-$H$5)*(VLOOKUP('Cost Allocation - Tier 1'!AG2,'Allocation CU RU'!$B$11:$I$82,8,))</f>
        <v>3018.9400963201369</v>
      </c>
      <c r="AH69" s="73">
        <f>($E$69-$H$5)*(VLOOKUP('Cost Allocation - Tier 1'!AH2,'Allocation CU RU'!$B$11:$I$82,8,))</f>
        <v>24742.012238331092</v>
      </c>
      <c r="AI69" s="73">
        <f>($E$69-$H$5)*(VLOOKUP('Cost Allocation - Tier 1'!AI2,'Allocation CU RU'!$B$11:$I$82,8,))</f>
        <v>171.75438573398915</v>
      </c>
      <c r="AJ69" s="73">
        <f>($E$69-$H$5)*(VLOOKUP('Cost Allocation - Tier 1'!AJ2,'Allocation CU RU'!$B$11:$I$82,8,))</f>
        <v>3643.8668669185922</v>
      </c>
      <c r="AK69" s="73">
        <f>($E$69-$H$5)*(VLOOKUP('Cost Allocation - Tier 1'!AK2,'Allocation CU RU'!$B$11:$I$82,8,))</f>
        <v>3133.5261619562066</v>
      </c>
      <c r="AL69" s="73">
        <f>($E$69-$H$5)*(VLOOKUP('Cost Allocation - Tier 1'!AL2,'Allocation CU RU'!$B$11:$I$82,8,))</f>
        <v>0</v>
      </c>
      <c r="AM69" s="73">
        <f>($E$69-$H$5)*(VLOOKUP('Cost Allocation - Tier 1'!AM2,'Allocation CU RU'!$B$11:$I$82,8,))</f>
        <v>382.44436797241468</v>
      </c>
      <c r="AN69" s="73">
        <f>($E$69-$H$5)*(VLOOKUP('Cost Allocation - Tier 1'!AN2,'Allocation CU RU'!$B$11:$I$82,8,))</f>
        <v>646.61152669279977</v>
      </c>
      <c r="AO69" s="73">
        <f>($E$69-$H$5)*(VLOOKUP('Cost Allocation - Tier 1'!AO2,'Allocation CU RU'!$B$11:$I$82,8,))</f>
        <v>3809.8968049035643</v>
      </c>
      <c r="AP69" s="73">
        <f>($E$69-$H$5)*(VLOOKUP('Cost Allocation - Tier 1'!AP2,'Allocation CU RU'!$B$11:$I$82,8,))</f>
        <v>577.09658971013187</v>
      </c>
      <c r="AQ69" s="73">
        <f>($E$69-$H$5)*(VLOOKUP('Cost Allocation - Tier 1'!AQ2,'Allocation CU RU'!$B$11:$I$82,8,))</f>
        <v>3620.2988696464322</v>
      </c>
      <c r="AR69" s="73">
        <f>($E$69-$H$5)*(VLOOKUP('Cost Allocation - Tier 1'!AR2,'Allocation CU RU'!$B$11:$I$82,8,))</f>
        <v>10.950451869213799</v>
      </c>
      <c r="AS69" s="73">
        <f>($E$69-$H$5)*(VLOOKUP('Cost Allocation - Tier 1'!AS2,'Allocation CU RU'!$B$11:$I$82,8,))</f>
        <v>5335.7323089793181</v>
      </c>
      <c r="AT69" s="73">
        <f>($E$69-$H$5)*(VLOOKUP('Cost Allocation - Tier 1'!AT2,'Allocation CU RU'!$B$11:$I$82,8,))</f>
        <v>4426.0971571226601</v>
      </c>
      <c r="AU69" s="73">
        <f>($E$69-$H$5)*(VLOOKUP('Cost Allocation - Tier 1'!AU2,'Allocation CU RU'!$B$11:$I$82,8,))</f>
        <v>6189.1598988351343</v>
      </c>
      <c r="AV69" s="73">
        <f>($E$69-$H$5)*(VLOOKUP('Cost Allocation - Tier 1'!AV2,'Allocation CU RU'!$B$11:$I$82,8,))</f>
        <v>8697.98582449692</v>
      </c>
      <c r="AW69" s="73">
        <f>($E$69-$H$5)*(VLOOKUP('Cost Allocation - Tier 1'!AW2,'Allocation CU RU'!$B$11:$I$82,8,))</f>
        <v>22277.562520793916</v>
      </c>
      <c r="AX69" s="73">
        <f>($E$69-$H$5)*(VLOOKUP('Cost Allocation - Tier 1'!AX2,'Allocation CU RU'!$B$11:$I$82,8,))</f>
        <v>232.30125255276607</v>
      </c>
      <c r="AY69" s="73">
        <f>($G$69-$H$69)*(VLOOKUP('Cost Allocation - Tier 1'!AY2,'Allocation CU RU'!$B$11:$I$82,8,))</f>
        <v>74222.693696478047</v>
      </c>
      <c r="AZ69" s="73">
        <f>($G$69-$H$69)*(VLOOKUP('Cost Allocation - Tier 1'!AZ2,'Allocation CU RU'!$B$11:$I$82,8,))</f>
        <v>2496.1209623993727</v>
      </c>
      <c r="BA69" s="73">
        <f>($G$69-$H$69)*(VLOOKUP('Cost Allocation - Tier 1'!BA2,'Allocation CU RU'!$B$11:$I$82,8,))</f>
        <v>45008.783960511835</v>
      </c>
      <c r="BB69" s="73">
        <f>($E$69-$H$5)*(VLOOKUP('Cost Allocation - Tier 1'!BB2,'Allocation CU RU'!$B$11:$I$82,8,))</f>
        <v>163499.6171398774</v>
      </c>
      <c r="BC69" s="666">
        <f>SUM(BD69:BK69)</f>
        <v>669768.08688379603</v>
      </c>
      <c r="BD69" s="73">
        <f>($G$69-$H$69)*(VLOOKUP('Cost Allocation - Tier 1'!BD2,'Allocation CU RU'!$B$11:$I$82,8,))</f>
        <v>107572.01696999127</v>
      </c>
      <c r="BE69" s="73">
        <f>($G$69-$H$69)*(VLOOKUP('Cost Allocation - Tier 1'!BE2,'Allocation CU RU'!$B$11:$I$82,8,))</f>
        <v>98105.727764700612</v>
      </c>
      <c r="BF69" s="73">
        <f>($G$69-$H$69)*(VLOOKUP('Cost Allocation - Tier 1'!BF2,'Allocation CU RU'!$B$11:$I$82,8,))</f>
        <v>60066.53254981403</v>
      </c>
      <c r="BG69" s="73">
        <f>($G$69-$H$69)*(VLOOKUP('Cost Allocation - Tier 1'!BG2,'Allocation CU RU'!$B$11:$I$82,8,))</f>
        <v>111011.74199531352</v>
      </c>
      <c r="BH69" s="73">
        <f>($G$69-$H$69)*(VLOOKUP('Cost Allocation - Tier 1'!BH2,'Allocation CU RU'!$B$11:$I$82,8,))</f>
        <v>86961.386439461552</v>
      </c>
      <c r="BI69" s="73">
        <f>($G$69-$H$69)*(VLOOKUP('Cost Allocation - Tier 1'!BI2,'Allocation CU RU'!$B$11:$I$82,8,))</f>
        <v>63320.716588073701</v>
      </c>
      <c r="BJ69" s="73">
        <f>($G$69-$H$69)*(VLOOKUP('Cost Allocation - Tier 1'!BJ2,'Allocation CU RU'!$B$11:$I$82,8,))</f>
        <v>35714.380401588351</v>
      </c>
      <c r="BK69" s="73">
        <f>($G$69-$H$69)*(VLOOKUP('Cost Allocation - Tier 1'!BK2,'Allocation CU RU'!$B$11:$I$82,8,))</f>
        <v>107015.58417485295</v>
      </c>
      <c r="BL69" s="76">
        <f t="shared" ref="BL69:BL82" si="39">BC69+I69+H69</f>
        <v>1071745.2815893432</v>
      </c>
    </row>
    <row r="70" spans="1:73" outlineLevel="1" x14ac:dyDescent="0.25">
      <c r="A70" s="177" t="s">
        <v>823</v>
      </c>
      <c r="B70" s="3" t="s">
        <v>132</v>
      </c>
      <c r="C70" s="668" t="s">
        <v>857</v>
      </c>
      <c r="D70" s="775">
        <f t="shared" si="38"/>
        <v>626121.78918999992</v>
      </c>
      <c r="E70" s="775">
        <f t="shared" si="38"/>
        <v>471893</v>
      </c>
      <c r="F70" s="775">
        <f t="shared" si="38"/>
        <v>0</v>
      </c>
      <c r="G70" s="775">
        <f>((E70-F70)*(1+Assumptions!$B$20))+F70</f>
        <v>500206.58</v>
      </c>
      <c r="H70" s="242"/>
      <c r="I70" s="666">
        <f t="shared" ref="I70:I84" si="40">SUM(J70:BB70)</f>
        <v>182884.63919767991</v>
      </c>
      <c r="J70" s="73">
        <f>($G$70-$H$70)*(VLOOKUP('Cost Allocation - Tier 1'!J2,'Allocation CU RU'!$B$11:$I$82,8,))</f>
        <v>1197.7581400350498</v>
      </c>
      <c r="K70" s="73">
        <f>($G$70-$H$70)*(VLOOKUP('Cost Allocation - Tier 1'!K2,'Allocation CU RU'!$B$11:$I$82,8,))</f>
        <v>355.37280147020078</v>
      </c>
      <c r="L70" s="73">
        <f>($G$70-$H$70)*(VLOOKUP('Cost Allocation - Tier 1'!L2,'Allocation CU RU'!$B$11:$I$82,8,))</f>
        <v>373.19533374750915</v>
      </c>
      <c r="M70" s="73">
        <f>($G$70-$H$70)*(VLOOKUP('Cost Allocation - Tier 1'!M2,'Allocation CU RU'!$B$11:$I$82,8,))</f>
        <v>356.59349586320428</v>
      </c>
      <c r="N70" s="73">
        <f>($G$70-$H$70)*(VLOOKUP('Cost Allocation - Tier 1'!N2,'Allocation CU RU'!$B$11:$I$82,8,))</f>
        <v>624.36421547898851</v>
      </c>
      <c r="O70" s="73">
        <f>($G$70-$H$70)*(VLOOKUP('Cost Allocation - Tier 1'!O2,'Allocation CU RU'!$B$11:$I$82,8,))</f>
        <v>1429.3901277156401</v>
      </c>
      <c r="P70" s="73">
        <f>($G$70-$H$70)*(VLOOKUP('Cost Allocation - Tier 1'!P2,'Allocation CU RU'!$B$11:$I$82,8,))</f>
        <v>172.9040839862115</v>
      </c>
      <c r="Q70" s="73">
        <f>($G$70-$H$70)*(VLOOKUP('Cost Allocation - Tier 1'!Q2,'Allocation CU RU'!$B$11:$I$82,8,))</f>
        <v>457.78433710167513</v>
      </c>
      <c r="R70" s="73">
        <f>($G$70-$H$70)*(VLOOKUP('Cost Allocation - Tier 1'!R2,'Allocation CU RU'!$B$11:$I$82,8,))</f>
        <v>391.53833768787564</v>
      </c>
      <c r="S70" s="73">
        <f>($G$70-$H$70)*(VLOOKUP('Cost Allocation - Tier 1'!S2,'Allocation CU RU'!$B$11:$I$82,8,))</f>
        <v>402.80986048050767</v>
      </c>
      <c r="T70" s="73">
        <f>($G$70-$H$70)*(VLOOKUP('Cost Allocation - Tier 1'!T2,'Allocation CU RU'!$B$11:$I$82,8,))</f>
        <v>1458.977701202155</v>
      </c>
      <c r="U70" s="73">
        <f>($G$70-$H$70)*(VLOOKUP('Cost Allocation - Tier 1'!U2,'Allocation CU RU'!$B$11:$I$82,8,))</f>
        <v>1164.8464430778008</v>
      </c>
      <c r="V70" s="73">
        <f>($G$70-$H$70)*(VLOOKUP('Cost Allocation - Tier 1'!V2,'Allocation CU RU'!$B$11:$I$82,8,))</f>
        <v>924.45322415429678</v>
      </c>
      <c r="W70" s="73">
        <f>($G$70-$H$70)*(VLOOKUP('Cost Allocation - Tier 1'!W2,'Allocation CU RU'!$B$11:$I$82,8,))</f>
        <v>1482.4208781878217</v>
      </c>
      <c r="X70" s="73">
        <f>($G$70-$H$70)*(VLOOKUP('Cost Allocation - Tier 1'!X2,'Allocation CU RU'!$B$11:$I$82,8,))</f>
        <v>36.661752363430736</v>
      </c>
      <c r="Y70" s="73">
        <f>($G$70-$H$70)*(VLOOKUP('Cost Allocation - Tier 1'!Y2,'Allocation CU RU'!$B$11:$I$82,8,))</f>
        <v>28.92520240672809</v>
      </c>
      <c r="Z70" s="73">
        <f>($G$70-$H$70)*(VLOOKUP('Cost Allocation - Tier 1'!Z2,'Allocation CU RU'!$B$11:$I$82,8,))</f>
        <v>139.89284898106627</v>
      </c>
      <c r="AA70" s="73">
        <f>($G$70-$H$70)*(VLOOKUP('Cost Allocation - Tier 1'!AA2,'Allocation CU RU'!$B$11:$I$82,8,))</f>
        <v>127.87706041404695</v>
      </c>
      <c r="AB70" s="73">
        <f>($G$70-$H$70)*(VLOOKUP('Cost Allocation - Tier 1'!AB2,'Allocation CU RU'!$B$11:$I$82,8,))</f>
        <v>76.938060110615439</v>
      </c>
      <c r="AC70" s="73">
        <f>($G$70-$H$70)*(VLOOKUP('Cost Allocation - Tier 1'!AC2,'Allocation CU RU'!$B$11:$I$82,8,))</f>
        <v>78.665833953135717</v>
      </c>
      <c r="AD70" s="73">
        <f>($G$70-$H$70)*(VLOOKUP('Cost Allocation - Tier 1'!AD2,'Allocation CU RU'!$B$11:$I$82,8,))</f>
        <v>446.15317939573589</v>
      </c>
      <c r="AE70" s="73">
        <f>($G$70-$H$70)*(VLOOKUP('Cost Allocation - Tier 1'!AE2,'Allocation CU RU'!$B$11:$I$82,8,))</f>
        <v>178.98227896503954</v>
      </c>
      <c r="AF70" s="73">
        <f>($G$70-$H$70)*(VLOOKUP('Cost Allocation - Tier 1'!AF2,'Allocation CU RU'!$B$11:$I$82,8,))</f>
        <v>465.64460503420941</v>
      </c>
      <c r="AG70" s="73">
        <f>($G$70-$H$70)*(VLOOKUP('Cost Allocation - Tier 1'!AG2,'Allocation CU RU'!$B$11:$I$82,8,))</f>
        <v>1445.8137601126543</v>
      </c>
      <c r="AH70" s="73">
        <f>($G$70-$H$70)*(VLOOKUP('Cost Allocation - Tier 1'!AH2,'Allocation CU RU'!$B$11:$I$82,8,))</f>
        <v>11849.304923492389</v>
      </c>
      <c r="AI70" s="73">
        <f>($G$70-$H$70)*(VLOOKUP('Cost Allocation - Tier 1'!AI2,'Allocation CU RU'!$B$11:$I$82,8,))</f>
        <v>82.255641493710868</v>
      </c>
      <c r="AJ70" s="73">
        <f>($G$70-$H$70)*(VLOOKUP('Cost Allocation - Tier 1'!AJ2,'Allocation CU RU'!$B$11:$I$82,8,))</f>
        <v>1745.1001636737399</v>
      </c>
      <c r="AK70" s="73">
        <f>($G$70-$H$70)*(VLOOKUP('Cost Allocation - Tier 1'!AK2,'Allocation CU RU'!$B$11:$I$82,8,))</f>
        <v>1500.6906722500437</v>
      </c>
      <c r="AL70" s="73">
        <f>($G$70-$H$70)*(VLOOKUP('Cost Allocation - Tier 1'!AL2,'Allocation CU RU'!$B$11:$I$82,8,))</f>
        <v>0</v>
      </c>
      <c r="AM70" s="73">
        <f>($G$70-$H$70)*(VLOOKUP('Cost Allocation - Tier 1'!AM2,'Allocation CU RU'!$B$11:$I$82,8,))</f>
        <v>183.15809921704019</v>
      </c>
      <c r="AN70" s="73">
        <f>($G$70-$H$70)*(VLOOKUP('Cost Allocation - Tier 1'!AN2,'Allocation CU RU'!$B$11:$I$82,8,))</f>
        <v>309.67154461907006</v>
      </c>
      <c r="AO70" s="73">
        <f>($G$70-$H$70)*(VLOOKUP('Cost Allocation - Tier 1'!AO2,'Allocation CU RU'!$B$11:$I$82,8,))</f>
        <v>1824.6142849449518</v>
      </c>
      <c r="AP70" s="73">
        <f>($G$70-$H$70)*(VLOOKUP('Cost Allocation - Tier 1'!AP2,'Allocation CU RU'!$B$11:$I$82,8,))</f>
        <v>276.37984315556162</v>
      </c>
      <c r="AQ70" s="73">
        <f>($G$70-$H$70)*(VLOOKUP('Cost Allocation - Tier 1'!AQ2,'Allocation CU RU'!$B$11:$I$82,8,))</f>
        <v>1733.8131113748484</v>
      </c>
      <c r="AR70" s="73">
        <f>($G$70-$H$70)*(VLOOKUP('Cost Allocation - Tier 1'!AR2,'Allocation CU RU'!$B$11:$I$82,8,))</f>
        <v>5.2443286341650373</v>
      </c>
      <c r="AS70" s="73">
        <f>($G$70-$H$70)*(VLOOKUP('Cost Allocation - Tier 1'!AS2,'Allocation CU RU'!$B$11:$I$82,8,))</f>
        <v>2555.3588168255919</v>
      </c>
      <c r="AT70" s="73">
        <f>($G$70-$H$70)*(VLOOKUP('Cost Allocation - Tier 1'!AT2,'Allocation CU RU'!$B$11:$I$82,8,))</f>
        <v>2119.7214814443414</v>
      </c>
      <c r="AU70" s="73">
        <f>($G$70-$H$70)*(VLOOKUP('Cost Allocation - Tier 1'!AU2,'Allocation CU RU'!$B$11:$I$82,8,))</f>
        <v>2964.0775436984263</v>
      </c>
      <c r="AV70" s="73">
        <f>($G$70-$H$70)*(VLOOKUP('Cost Allocation - Tier 1'!AV2,'Allocation CU RU'!$B$11:$I$82,8,))</f>
        <v>4165.5903029183191</v>
      </c>
      <c r="AW70" s="73">
        <f>($G$70-$H$70)*(VLOOKUP('Cost Allocation - Tier 1'!AW2,'Allocation CU RU'!$B$11:$I$82,8,))</f>
        <v>10669.044567527</v>
      </c>
      <c r="AX70" s="73">
        <f>($G$70-$H$70)*(VLOOKUP('Cost Allocation - Tier 1'!AX2,'Allocation CU RU'!$B$11:$I$82,8,))</f>
        <v>111.25240538611141</v>
      </c>
      <c r="AY70" s="73">
        <f>($E$70-$H$6)*(VLOOKUP('Cost Allocation - Tier 1'!AY2,'Allocation CU RU'!$B$11:$I$82,8,))</f>
        <v>32378.202098532271</v>
      </c>
      <c r="AZ70" s="73">
        <f>($E$70-$H$6)*(VLOOKUP('Cost Allocation - Tier 1'!AZ2,'Allocation CU RU'!$B$11:$I$82,8,))</f>
        <v>1088.8840724839492</v>
      </c>
      <c r="BA70" s="73">
        <f>($E$70-$H$6)*(VLOOKUP('Cost Allocation - Tier 1'!BA2,'Allocation CU RU'!$B$11:$I$82,8,))</f>
        <v>19634.203916689443</v>
      </c>
      <c r="BB70" s="73">
        <f>($E$70-$H$6)*(VLOOKUP('Cost Allocation - Tier 1'!BB2,'Allocation CU RU'!$B$11:$I$82,8,))</f>
        <v>73870.107817393335</v>
      </c>
      <c r="BC70" s="666">
        <f>SUM(BD70:BK70)</f>
        <v>292173.2612528436</v>
      </c>
      <c r="BD70" s="73">
        <f>($E$70-$H$6)*(VLOOKUP('Cost Allocation - Tier 1'!BD2,'Allocation CU RU'!$B$11:$I$82,8,))</f>
        <v>46926.193757454428</v>
      </c>
      <c r="BE70" s="73">
        <f>($E$70-$H$6)*(VLOOKUP('Cost Allocation - Tier 1'!BE2,'Allocation CU RU'!$B$11:$I$82,8,))</f>
        <v>42796.709771526293</v>
      </c>
      <c r="BF70" s="73">
        <f>($E$70-$H$6)*(VLOOKUP('Cost Allocation - Tier 1'!BF2,'Allocation CU RU'!$B$11:$I$82,8,))</f>
        <v>26202.852973904271</v>
      </c>
      <c r="BG70" s="73">
        <f>($E$70-$H$6)*(VLOOKUP('Cost Allocation - Tier 1'!BG2,'Allocation CU RU'!$B$11:$I$82,8,))</f>
        <v>48426.706693413093</v>
      </c>
      <c r="BH70" s="73">
        <f>($E$70-$H$6)*(VLOOKUP('Cost Allocation - Tier 1'!BH2,'Allocation CU RU'!$B$11:$I$82,8,))</f>
        <v>37935.208285751774</v>
      </c>
      <c r="BI70" s="73">
        <f>($E$70-$H$6)*(VLOOKUP('Cost Allocation - Tier 1'!BI2,'Allocation CU RU'!$B$11:$I$82,8,))</f>
        <v>27622.427274016063</v>
      </c>
      <c r="BJ70" s="73">
        <f>($E$70-$H$6)*(VLOOKUP('Cost Allocation - Tier 1'!BJ2,'Allocation CU RU'!$B$11:$I$82,8,))</f>
        <v>15579.701690634798</v>
      </c>
      <c r="BK70" s="73">
        <f>($E$70-$H$6)*(VLOOKUP('Cost Allocation - Tier 1'!BK2,'Allocation CU RU'!$B$11:$I$82,8,))</f>
        <v>46683.460806142873</v>
      </c>
      <c r="BL70" s="76">
        <f t="shared" si="39"/>
        <v>475057.90045052348</v>
      </c>
    </row>
    <row r="71" spans="1:73" outlineLevel="1" x14ac:dyDescent="0.25">
      <c r="A71" s="177" t="s">
        <v>470</v>
      </c>
      <c r="B71" s="3" t="s">
        <v>132</v>
      </c>
      <c r="C71" s="668" t="s">
        <v>857</v>
      </c>
      <c r="D71" s="775">
        <f t="shared" si="38"/>
        <v>375022</v>
      </c>
      <c r="E71" s="775">
        <f t="shared" si="38"/>
        <v>282645.10148248082</v>
      </c>
      <c r="F71" s="775">
        <f t="shared" si="38"/>
        <v>24702.486377305308</v>
      </c>
      <c r="G71" s="775">
        <f>((E71-F71)*(1+Assumptions!$B$20))+F71</f>
        <v>298121.65838879137</v>
      </c>
      <c r="H71" s="242"/>
      <c r="I71" s="666">
        <f t="shared" si="40"/>
        <v>109386.51121003248</v>
      </c>
      <c r="J71" s="73">
        <f>($E$71-$H$7)*(VLOOKUP('Cost Allocation - Tier 1'!J2,'Allocation CU RU'!$B$11:$I$82,8,))</f>
        <v>676.80131485210381</v>
      </c>
      <c r="K71" s="73">
        <f>($E$71-$H$7)*(VLOOKUP('Cost Allocation - Tier 1'!K2,'Allocation CU RU'!$B$11:$I$82,8,))</f>
        <v>200.8057981477541</v>
      </c>
      <c r="L71" s="73">
        <f>($E$71-$H$7)*(VLOOKUP('Cost Allocation - Tier 1'!L2,'Allocation CU RU'!$B$11:$I$82,8,))</f>
        <v>210.87654020835356</v>
      </c>
      <c r="M71" s="73">
        <f>($E$71-$H$7)*(VLOOKUP('Cost Allocation - Tier 1'!M2,'Allocation CU RU'!$B$11:$I$82,8,))</f>
        <v>201.49555974703088</v>
      </c>
      <c r="N71" s="73">
        <f>($E$71-$H$7)*(VLOOKUP('Cost Allocation - Tier 1'!N2,'Allocation CU RU'!$B$11:$I$82,8,))</f>
        <v>352.80121074394549</v>
      </c>
      <c r="O71" s="73">
        <f>($E$71-$H$7)*(VLOOKUP('Cost Allocation - Tier 1'!O2,'Allocation CU RU'!$B$11:$I$82,8,))</f>
        <v>807.68653164507214</v>
      </c>
      <c r="P71" s="73">
        <f>($E$71-$H$7)*(VLOOKUP('Cost Allocation - Tier 1'!P2,'Allocation CU RU'!$B$11:$I$82,8,))</f>
        <v>97.700618742396671</v>
      </c>
      <c r="Q71" s="73">
        <f>($E$71-$H$7)*(VLOOKUP('Cost Allocation - Tier 1'!Q2,'Allocation CU RU'!$B$11:$I$82,8,))</f>
        <v>258.67412703206179</v>
      </c>
      <c r="R71" s="73">
        <f>($E$71-$H$7)*(VLOOKUP('Cost Allocation - Tier 1'!R2,'Allocation CU RU'!$B$11:$I$82,8,))</f>
        <v>221.24137829228766</v>
      </c>
      <c r="S71" s="73">
        <f>($E$71-$H$7)*(VLOOKUP('Cost Allocation - Tier 1'!S2,'Allocation CU RU'!$B$11:$I$82,8,))</f>
        <v>227.61042826277298</v>
      </c>
      <c r="T71" s="73">
        <f>($E$71-$H$7)*(VLOOKUP('Cost Allocation - Tier 1'!T2,'Allocation CU RU'!$B$11:$I$82,8,))</f>
        <v>824.40518958579003</v>
      </c>
      <c r="U71" s="73">
        <f>($E$71-$H$7)*(VLOOKUP('Cost Allocation - Tier 1'!U2,'Allocation CU RU'!$B$11:$I$82,8,))</f>
        <v>658.20433852595829</v>
      </c>
      <c r="V71" s="73">
        <f>($E$71-$H$7)*(VLOOKUP('Cost Allocation - Tier 1'!V2,'Allocation CU RU'!$B$11:$I$82,8,))</f>
        <v>522.36852893238188</v>
      </c>
      <c r="W71" s="73">
        <f>($E$71-$H$7)*(VLOOKUP('Cost Allocation - Tier 1'!W2,'Allocation CU RU'!$B$11:$I$82,8,))</f>
        <v>837.65191484515299</v>
      </c>
      <c r="X71" s="73">
        <f>($E$71-$H$7)*(VLOOKUP('Cost Allocation - Tier 1'!X2,'Allocation CU RU'!$B$11:$I$82,8,))</f>
        <v>20.715970424234445</v>
      </c>
      <c r="Y71" s="73">
        <f>($E$71-$H$7)*(VLOOKUP('Cost Allocation - Tier 1'!Y2,'Allocation CU RU'!$B$11:$I$82,8,))</f>
        <v>16.344380694973985</v>
      </c>
      <c r="Z71" s="73">
        <f>($E$71-$H$7)*(VLOOKUP('Cost Allocation - Tier 1'!Z2,'Allocation CU RU'!$B$11:$I$82,8,))</f>
        <v>79.047397770990599</v>
      </c>
      <c r="AA71" s="73">
        <f>($E$71-$H$7)*(VLOOKUP('Cost Allocation - Tier 1'!AA2,'Allocation CU RU'!$B$11:$I$82,8,))</f>
        <v>72.257795405269619</v>
      </c>
      <c r="AB71" s="73">
        <f>($E$71-$H$7)*(VLOOKUP('Cost Allocation - Tier 1'!AB2,'Allocation CU RU'!$B$11:$I$82,8,))</f>
        <v>43.474369745056357</v>
      </c>
      <c r="AC71" s="73">
        <f>($E$71-$H$7)*(VLOOKUP('Cost Allocation - Tier 1'!AC2,'Allocation CU RU'!$B$11:$I$82,8,))</f>
        <v>44.450660007087528</v>
      </c>
      <c r="AD71" s="73">
        <f>($E$71-$H$7)*(VLOOKUP('Cost Allocation - Tier 1'!AD2,'Allocation CU RU'!$B$11:$I$82,8,))</f>
        <v>252.101862928391</v>
      </c>
      <c r="AE71" s="73">
        <f>($E$71-$H$7)*(VLOOKUP('Cost Allocation - Tier 1'!AE2,'Allocation CU RU'!$B$11:$I$82,8,))</f>
        <v>101.13514380726316</v>
      </c>
      <c r="AF71" s="73">
        <f>($E$71-$H$7)*(VLOOKUP('Cost Allocation - Tier 1'!AF2,'Allocation CU RU'!$B$11:$I$82,8,))</f>
        <v>263.11562443793485</v>
      </c>
      <c r="AG71" s="73">
        <f>($E$71-$H$7)*(VLOOKUP('Cost Allocation - Tier 1'!AG2,'Allocation CU RU'!$B$11:$I$82,8,))</f>
        <v>816.96681589396201</v>
      </c>
      <c r="AH71" s="73">
        <f>($E$71-$H$7)*(VLOOKUP('Cost Allocation - Tier 1'!AH2,'Allocation CU RU'!$B$11:$I$82,8,))</f>
        <v>6695.5296601603404</v>
      </c>
      <c r="AI71" s="73">
        <f>($E$71-$H$7)*(VLOOKUP('Cost Allocation - Tier 1'!AI2,'Allocation CU RU'!$B$11:$I$82,8,))</f>
        <v>46.479104967984362</v>
      </c>
      <c r="AJ71" s="73">
        <f>($E$71-$H$7)*(VLOOKUP('Cost Allocation - Tier 1'!AJ2,'Allocation CU RU'!$B$11:$I$82,8,))</f>
        <v>986.08061664974116</v>
      </c>
      <c r="AK71" s="73">
        <f>($E$71-$H$7)*(VLOOKUP('Cost Allocation - Tier 1'!AK2,'Allocation CU RU'!$B$11:$I$82,8,))</f>
        <v>847.97538519370516</v>
      </c>
      <c r="AL71" s="73">
        <f>($E$71-$H$7)*(VLOOKUP('Cost Allocation - Tier 1'!AL2,'Allocation CU RU'!$B$11:$I$82,8,))</f>
        <v>0</v>
      </c>
      <c r="AM71" s="73">
        <f>($E$71-$H$7)*(VLOOKUP('Cost Allocation - Tier 1'!AM2,'Allocation CU RU'!$B$11:$I$82,8,))</f>
        <v>103.49471920289136</v>
      </c>
      <c r="AN71" s="73">
        <f>($E$71-$H$7)*(VLOOKUP('Cost Allocation - Tier 1'!AN2,'Allocation CU RU'!$B$11:$I$82,8,))</f>
        <v>174.98199474923669</v>
      </c>
      <c r="AO71" s="73">
        <f>($E$71-$H$7)*(VLOOKUP('Cost Allocation - Tier 1'!AO2,'Allocation CU RU'!$B$11:$I$82,8,))</f>
        <v>1031.0106071268597</v>
      </c>
      <c r="AP71" s="73">
        <f>($E$71-$H$7)*(VLOOKUP('Cost Allocation - Tier 1'!AP2,'Allocation CU RU'!$B$11:$I$82,8,))</f>
        <v>156.1702943140329</v>
      </c>
      <c r="AQ71" s="73">
        <f>($E$71-$H$7)*(VLOOKUP('Cost Allocation - Tier 1'!AQ2,'Allocation CU RU'!$B$11:$I$82,8,))</f>
        <v>979.70279162701104</v>
      </c>
      <c r="AR71" s="73">
        <f>($E$71-$H$7)*(VLOOKUP('Cost Allocation - Tier 1'!AR2,'Allocation CU RU'!$B$11:$I$82,8,))</f>
        <v>2.9633432631195236</v>
      </c>
      <c r="AS71" s="73">
        <f>($E$71-$H$7)*(VLOOKUP('Cost Allocation - Tier 1'!AS2,'Allocation CU RU'!$B$11:$I$82,8,))</f>
        <v>1443.9227330952376</v>
      </c>
      <c r="AT71" s="73">
        <f>($E$71-$H$7)*(VLOOKUP('Cost Allocation - Tier 1'!AT2,'Allocation CU RU'!$B$11:$I$82,8,))</f>
        <v>1197.7629187473513</v>
      </c>
      <c r="AU71" s="73">
        <f>($E$71-$H$7)*(VLOOKUP('Cost Allocation - Tier 1'!AU2,'Allocation CU RU'!$B$11:$I$82,8,))</f>
        <v>1674.8720061631018</v>
      </c>
      <c r="AV71" s="73">
        <f>($E$71-$H$7)*(VLOOKUP('Cost Allocation - Tier 1'!AV2,'Allocation CU RU'!$B$11:$I$82,8,))</f>
        <v>2353.7948939072057</v>
      </c>
      <c r="AW71" s="73">
        <f>($E$71-$H$7)*(VLOOKUP('Cost Allocation - Tier 1'!AW2,'Allocation CU RU'!$B$11:$I$82,8,))</f>
        <v>6028.6155862039632</v>
      </c>
      <c r="AX71" s="73">
        <f>($E$71-$H$7)*(VLOOKUP('Cost Allocation - Tier 1'!AX2,'Allocation CU RU'!$B$11:$I$82,8,))</f>
        <v>62.863921963056846</v>
      </c>
      <c r="AY71" s="73">
        <f>($G$71-$H$71)*(VLOOKUP('Cost Allocation - Tier 1'!AY2,'Allocation CU RU'!$B$11:$I$82,8,))</f>
        <v>20455.152556325025</v>
      </c>
      <c r="AZ71" s="73">
        <f>($G$71-$H$71)*(VLOOKUP('Cost Allocation - Tier 1'!AZ2,'Allocation CU RU'!$B$11:$I$82,8,))</f>
        <v>687.91002511598151</v>
      </c>
      <c r="BA71" s="73">
        <f>($G$71-$H$71)*(VLOOKUP('Cost Allocation - Tier 1'!BA2,'Allocation CU RU'!$B$11:$I$82,8,))</f>
        <v>12404.043782779485</v>
      </c>
      <c r="BB71" s="73">
        <f>($E$71-$H$7)*(VLOOKUP('Cost Allocation - Tier 1'!BB2,'Allocation CU RU'!$B$11:$I$82,8,))</f>
        <v>44245.250767798927</v>
      </c>
      <c r="BC71" s="666">
        <f t="shared" ref="BC71:BC84" si="41">SUM(BD71:BK71)</f>
        <v>184582.4735301421</v>
      </c>
      <c r="BD71" s="73">
        <f>($G$71-$H$71)*(VLOOKUP('Cost Allocation - Tier 1'!BD2,'Allocation CU RU'!$B$11:$I$82,8,))</f>
        <v>29645.946654953696</v>
      </c>
      <c r="BE71" s="73">
        <f>($G$71-$H$71)*(VLOOKUP('Cost Allocation - Tier 1'!BE2,'Allocation CU RU'!$B$11:$I$82,8,))</f>
        <v>27037.116657104918</v>
      </c>
      <c r="BF71" s="73">
        <f>($G$71-$H$71)*(VLOOKUP('Cost Allocation - Tier 1'!BF2,'Allocation CU RU'!$B$11:$I$82,8,))</f>
        <v>16553.83314246665</v>
      </c>
      <c r="BG71" s="73">
        <f>($G$71-$H$71)*(VLOOKUP('Cost Allocation - Tier 1'!BG2,'Allocation CU RU'!$B$11:$I$82,8,))</f>
        <v>30593.906054440085</v>
      </c>
      <c r="BH71" s="73">
        <f>($G$71-$H$71)*(VLOOKUP('Cost Allocation - Tier 1'!BH2,'Allocation CU RU'!$B$11:$I$82,8,))</f>
        <v>23965.829553463471</v>
      </c>
      <c r="BI71" s="73">
        <f>($G$71-$H$71)*(VLOOKUP('Cost Allocation - Tier 1'!BI2,'Allocation CU RU'!$B$11:$I$82,8,))</f>
        <v>17450.659000352727</v>
      </c>
      <c r="BJ71" s="73">
        <f>($G$71-$H$71)*(VLOOKUP('Cost Allocation - Tier 1'!BJ2,'Allocation CU RU'!$B$11:$I$82,8,))</f>
        <v>9842.5840290377328</v>
      </c>
      <c r="BK71" s="73">
        <f>($G$71-$H$71)*(VLOOKUP('Cost Allocation - Tier 1'!BK2,'Allocation CU RU'!$B$11:$I$82,8,))</f>
        <v>29492.598438322791</v>
      </c>
      <c r="BL71" s="76">
        <f t="shared" si="39"/>
        <v>293968.98474017461</v>
      </c>
    </row>
    <row r="72" spans="1:73" outlineLevel="1" x14ac:dyDescent="0.25">
      <c r="A72" s="177" t="s">
        <v>471</v>
      </c>
      <c r="B72" s="3" t="s">
        <v>858</v>
      </c>
      <c r="C72" s="668" t="s">
        <v>857</v>
      </c>
      <c r="D72" s="775">
        <f t="shared" si="38"/>
        <v>4493149.1499999994</v>
      </c>
      <c r="E72" s="775">
        <f t="shared" si="38"/>
        <v>3386378.925710151</v>
      </c>
      <c r="F72" s="775">
        <f t="shared" si="38"/>
        <v>670672.9573494721</v>
      </c>
      <c r="G72" s="775">
        <f>((E72-F72)*(1+Assumptions!$B$20))+F72</f>
        <v>3549321.2838117918</v>
      </c>
      <c r="H72" s="637">
        <f>G72*Assumptions!$B$18</f>
        <v>70986.425676235842</v>
      </c>
      <c r="I72" s="666">
        <f>SUM(J72:BB72)</f>
        <v>1281872.2751716641</v>
      </c>
      <c r="J72" s="73">
        <f>($E$72-$H$8)*(VLOOKUP('Cost Allocation - Tier 1'!J2,'Allocation CU RU'!$B$11:$I$82,8,))</f>
        <v>7946.6001127818636</v>
      </c>
      <c r="K72" s="73">
        <f>($E$72-$H$8)*(VLOOKUP('Cost Allocation - Tier 1'!K2,'Allocation CU RU'!$B$11:$I$82,8,))</f>
        <v>2357.7427277263728</v>
      </c>
      <c r="L72" s="73">
        <f>($E$72-$H$8)*(VLOOKUP('Cost Allocation - Tier 1'!L2,'Allocation CU RU'!$B$11:$I$82,8,))</f>
        <v>2475.987415256338</v>
      </c>
      <c r="M72" s="73">
        <f>($E$72-$H$8)*(VLOOKUP('Cost Allocation - Tier 1'!M2,'Allocation CU RU'!$B$11:$I$82,8,))</f>
        <v>2365.8414998214048</v>
      </c>
      <c r="N72" s="73">
        <f>($E$72-$H$8)*(VLOOKUP('Cost Allocation - Tier 1'!N2,'Allocation CU RU'!$B$11:$I$82,8,))</f>
        <v>4142.3828227935073</v>
      </c>
      <c r="O72" s="73">
        <f>($E$72-$H$8)*(VLOOKUP('Cost Allocation - Tier 1'!O2,'Allocation CU RU'!$B$11:$I$82,8,))</f>
        <v>9483.3767940679572</v>
      </c>
      <c r="P72" s="73">
        <f>($E$72-$H$8)*(VLOOKUP('Cost Allocation - Tier 1'!P2,'Allocation CU RU'!$B$11:$I$82,8,))</f>
        <v>1147.1427889983418</v>
      </c>
      <c r="Q72" s="73">
        <f>($E$72-$H$8)*(VLOOKUP('Cost Allocation - Tier 1'!Q2,'Allocation CU RU'!$B$11:$I$82,8,))</f>
        <v>3037.1983652187823</v>
      </c>
      <c r="R72" s="73">
        <f>($E$72-$H$8)*(VLOOKUP('Cost Allocation - Tier 1'!R2,'Allocation CU RU'!$B$11:$I$82,8,))</f>
        <v>2597.6852040745453</v>
      </c>
      <c r="S72" s="73">
        <f>($E$72-$H$8)*(VLOOKUP('Cost Allocation - Tier 1'!S2,'Allocation CU RU'!$B$11:$I$82,8,))</f>
        <v>2672.4668159052376</v>
      </c>
      <c r="T72" s="73">
        <f>($E$72-$H$8)*(VLOOKUP('Cost Allocation - Tier 1'!T2,'Allocation CU RU'!$B$11:$I$82,8,))</f>
        <v>9679.6773717438482</v>
      </c>
      <c r="U72" s="73">
        <f>($E$72-$H$8)*(VLOOKUP('Cost Allocation - Tier 1'!U2,'Allocation CU RU'!$B$11:$I$82,8,))</f>
        <v>7728.2454333098776</v>
      </c>
      <c r="V72" s="73">
        <f>($E$72-$H$8)*(VLOOKUP('Cost Allocation - Tier 1'!V2,'Allocation CU RU'!$B$11:$I$82,8,))</f>
        <v>6133.3418240105811</v>
      </c>
      <c r="W72" s="73">
        <f>($E$72-$H$8)*(VLOOKUP('Cost Allocation - Tier 1'!W2,'Allocation CU RU'!$B$11:$I$82,8,))</f>
        <v>9835.2125725923361</v>
      </c>
      <c r="X72" s="73">
        <f>($E$72-$H$8)*(VLOOKUP('Cost Allocation - Tier 1'!X2,'Allocation CU RU'!$B$11:$I$82,8,))</f>
        <v>243.23465291372943</v>
      </c>
      <c r="Y72" s="73">
        <f>($E$72-$H$8)*(VLOOKUP('Cost Allocation - Tier 1'!Y2,'Allocation CU RU'!$B$11:$I$82,8,))</f>
        <v>191.90603597218504</v>
      </c>
      <c r="Z72" s="73">
        <f>($E$72-$H$8)*(VLOOKUP('Cost Allocation - Tier 1'!Z2,'Allocation CU RU'!$B$11:$I$82,8,))</f>
        <v>928.12771822012974</v>
      </c>
      <c r="AA72" s="73">
        <f>($E$72-$H$8)*(VLOOKUP('Cost Allocation - Tier 1'!AA2,'Allocation CU RU'!$B$11:$I$82,8,))</f>
        <v>848.40822929305432</v>
      </c>
      <c r="AB72" s="73">
        <f>($E$72-$H$8)*(VLOOKUP('Cost Allocation - Tier 1'!AB2,'Allocation CU RU'!$B$11:$I$82,8,))</f>
        <v>510.45029602916611</v>
      </c>
      <c r="AC72" s="73">
        <f>($E$72-$H$8)*(VLOOKUP('Cost Allocation - Tier 1'!AC2,'Allocation CU RU'!$B$11:$I$82,8,))</f>
        <v>521.91331794729001</v>
      </c>
      <c r="AD72" s="73">
        <f>($E$72-$H$8)*(VLOOKUP('Cost Allocation - Tier 1'!AD2,'Allocation CU RU'!$B$11:$I$82,8,))</f>
        <v>2960.0307334170102</v>
      </c>
      <c r="AE72" s="73">
        <f>($E$72-$H$8)*(VLOOKUP('Cost Allocation - Tier 1'!AE2,'Allocation CU RU'!$B$11:$I$82,8,))</f>
        <v>1187.4689477526053</v>
      </c>
      <c r="AF72" s="73">
        <f>($E$72-$H$8)*(VLOOKUP('Cost Allocation - Tier 1'!AF2,'Allocation CU RU'!$B$11:$I$82,8,))</f>
        <v>3089.3477966869291</v>
      </c>
      <c r="AG72" s="73">
        <f>($E$72-$H$8)*(VLOOKUP('Cost Allocation - Tier 1'!AG2,'Allocation CU RU'!$B$11:$I$82,8,))</f>
        <v>9592.3403942273198</v>
      </c>
      <c r="AH72" s="73">
        <f>($E$72-$H$8)*(VLOOKUP('Cost Allocation - Tier 1'!AH2,'Allocation CU RU'!$B$11:$I$82,8,))</f>
        <v>78614.94294553982</v>
      </c>
      <c r="AI72" s="73">
        <f>($E$72-$H$8)*(VLOOKUP('Cost Allocation - Tier 1'!AI2,'Allocation CU RU'!$B$11:$I$82,8,))</f>
        <v>545.73011705997646</v>
      </c>
      <c r="AJ72" s="73">
        <f>($E$72-$H$8)*(VLOOKUP('Cost Allocation - Tier 1'!AJ2,'Allocation CU RU'!$B$11:$I$82,8,))</f>
        <v>11577.974462406564</v>
      </c>
      <c r="AK72" s="73">
        <f>($E$72-$H$8)*(VLOOKUP('Cost Allocation - Tier 1'!AK2,'Allocation CU RU'!$B$11:$I$82,8,))</f>
        <v>9956.4246459672722</v>
      </c>
      <c r="AL72" s="73">
        <f>($E$72-$H$8)*(VLOOKUP('Cost Allocation - Tier 1'!AL2,'Allocation CU RU'!$B$11:$I$82,8,))</f>
        <v>0</v>
      </c>
      <c r="AM72" s="73">
        <f>($E$72-$H$8)*(VLOOKUP('Cost Allocation - Tier 1'!AM2,'Allocation CU RU'!$B$11:$I$82,8,))</f>
        <v>1215.1736842735645</v>
      </c>
      <c r="AN72" s="73">
        <f>($E$72-$H$8)*(VLOOKUP('Cost Allocation - Tier 1'!AN2,'Allocation CU RU'!$B$11:$I$82,8,))</f>
        <v>2054.5349258266992</v>
      </c>
      <c r="AO72" s="73">
        <f>($E$72-$H$8)*(VLOOKUP('Cost Allocation - Tier 1'!AO2,'Allocation CU RU'!$B$11:$I$82,8,))</f>
        <v>12105.515794785299</v>
      </c>
      <c r="AP72" s="73">
        <f>($E$72-$H$8)*(VLOOKUP('Cost Allocation - Tier 1'!AP2,'Allocation CU RU'!$B$11:$I$82,8,))</f>
        <v>1833.6590830652594</v>
      </c>
      <c r="AQ72" s="73">
        <f>($E$72-$H$8)*(VLOOKUP('Cost Allocation - Tier 1'!AQ2,'Allocation CU RU'!$B$11:$I$82,8,))</f>
        <v>11503.089819110613</v>
      </c>
      <c r="AR72" s="73">
        <f>($E$72-$H$8)*(VLOOKUP('Cost Allocation - Tier 1'!AR2,'Allocation CU RU'!$B$11:$I$82,8,))</f>
        <v>34.793821158670255</v>
      </c>
      <c r="AS72" s="73">
        <f>($E$72-$H$8)*(VLOOKUP('Cost Allocation - Tier 1'!AS2,'Allocation CU RU'!$B$11:$I$82,8,))</f>
        <v>16953.685375404886</v>
      </c>
      <c r="AT72" s="73">
        <f>($E$72-$H$8)*(VLOOKUP('Cost Allocation - Tier 1'!AT2,'Allocation CU RU'!$B$11:$I$82,8,))</f>
        <v>14063.422656446171</v>
      </c>
      <c r="AU72" s="73">
        <f>($E$72-$H$8)*(VLOOKUP('Cost Allocation - Tier 1'!AU2,'Allocation CU RU'!$B$11:$I$82,8,))</f>
        <v>19665.354929133555</v>
      </c>
      <c r="AV72" s="73">
        <f>($E$72-$H$8)*(VLOOKUP('Cost Allocation - Tier 1'!AV2,'Allocation CU RU'!$B$11:$I$82,8,))</f>
        <v>27636.865294027633</v>
      </c>
      <c r="AW72" s="73">
        <f>($E$72-$H$8)*(VLOOKUP('Cost Allocation - Tier 1'!AW2,'Allocation CU RU'!$B$11:$I$82,8,))</f>
        <v>70784.432958313118</v>
      </c>
      <c r="AX72" s="73">
        <f>($E$72-$H$8)*(VLOOKUP('Cost Allocation - Tier 1'!AX2,'Allocation CU RU'!$B$11:$I$82,8,))</f>
        <v>738.11093211410446</v>
      </c>
      <c r="AY72" s="73">
        <f>($G$72-$H$72)*(VLOOKUP('Cost Allocation - Tier 1'!AY2,'Allocation CU RU'!$B$11:$I$82,8,))</f>
        <v>238660.52050588292</v>
      </c>
      <c r="AZ72" s="73">
        <f>($G$72-$H$72)*(VLOOKUP('Cost Allocation - Tier 1'!AZ2,'Allocation CU RU'!$B$11:$I$82,8,))</f>
        <v>8026.1911615334911</v>
      </c>
      <c r="BA72" s="73">
        <f>($G$72-$H$72)*(VLOOKUP('Cost Allocation - Tier 1'!BA2,'Allocation CU RU'!$B$11:$I$82,8,))</f>
        <v>144724.19784816165</v>
      </c>
      <c r="BB72" s="73">
        <f>($E$72-$H$8)*(VLOOKUP('Cost Allocation - Tier 1'!BB2,'Allocation CU RU'!$B$11:$I$82,8,))</f>
        <v>519501.52434069227</v>
      </c>
      <c r="BC72" s="666">
        <f t="shared" si="41"/>
        <v>2153616.2630742826</v>
      </c>
      <c r="BD72" s="73">
        <f>($G$72-$H$72)*(VLOOKUP('Cost Allocation - Tier 1'!BD2,'Allocation CU RU'!$B$11:$I$82,8,))</f>
        <v>345894.12325713004</v>
      </c>
      <c r="BE72" s="73">
        <f>($G$72-$H$72)*(VLOOKUP('Cost Allocation - Tier 1'!BE2,'Allocation CU RU'!$B$11:$I$82,8,))</f>
        <v>315455.59567912738</v>
      </c>
      <c r="BF72" s="73">
        <f>($G$72-$H$72)*(VLOOKUP('Cost Allocation - Tier 1'!BF2,'Allocation CU RU'!$B$11:$I$82,8,))</f>
        <v>193141.87089389362</v>
      </c>
      <c r="BG72" s="73">
        <f>($G$72-$H$72)*(VLOOKUP('Cost Allocation - Tier 1'!BG2,'Allocation CU RU'!$B$11:$I$82,8,))</f>
        <v>356954.44085079717</v>
      </c>
      <c r="BH72" s="73">
        <f>($G$72-$H$72)*(VLOOKUP('Cost Allocation - Tier 1'!BH2,'Allocation CU RU'!$B$11:$I$82,8,))</f>
        <v>279621.34918501263</v>
      </c>
      <c r="BI72" s="73">
        <f>($G$72-$H$72)*(VLOOKUP('Cost Allocation - Tier 1'!BI2,'Allocation CU RU'!$B$11:$I$82,8,))</f>
        <v>203605.58782080762</v>
      </c>
      <c r="BJ72" s="73">
        <f>($G$72-$H$72)*(VLOOKUP('Cost Allocation - Tier 1'!BJ2,'Allocation CU RU'!$B$11:$I$82,8,))</f>
        <v>114838.36265824769</v>
      </c>
      <c r="BK72" s="73">
        <f>($G$72-$H$72)*(VLOOKUP('Cost Allocation - Tier 1'!BK2,'Allocation CU RU'!$B$11:$I$82,8,))</f>
        <v>344104.93272926653</v>
      </c>
      <c r="BL72" s="76">
        <f t="shared" si="39"/>
        <v>3506474.9639221826</v>
      </c>
      <c r="BN72" s="76"/>
    </row>
    <row r="73" spans="1:73" outlineLevel="1" x14ac:dyDescent="0.25">
      <c r="A73" s="69" t="s">
        <v>472</v>
      </c>
      <c r="B73" s="3" t="s">
        <v>859</v>
      </c>
      <c r="C73" s="668" t="s">
        <v>857</v>
      </c>
      <c r="D73" s="775">
        <f t="shared" si="38"/>
        <v>395345.75555555557</v>
      </c>
      <c r="E73" s="775">
        <f t="shared" si="38"/>
        <v>297962.62939152383</v>
      </c>
      <c r="F73" s="775">
        <f t="shared" si="38"/>
        <v>0</v>
      </c>
      <c r="G73" s="775">
        <f>((E73-F73)*(1+Assumptions!$B$20))+F73</f>
        <v>315840.38715501525</v>
      </c>
      <c r="H73" s="637"/>
      <c r="I73" s="666">
        <f t="shared" si="40"/>
        <v>115490.37157104971</v>
      </c>
      <c r="J73" s="73">
        <f>($E$73-$H$9)*(VLOOKUP('Cost Allocation - Tier 1'!J2,'Allocation CU RU'!$B$11:$I$82,8,))</f>
        <v>713.47954834969266</v>
      </c>
      <c r="K73" s="73">
        <f>($E$73-$H$9)*(VLOOKUP('Cost Allocation - Tier 1'!K2,'Allocation CU RU'!$B$11:$I$82,8,))</f>
        <v>211.68816759726155</v>
      </c>
      <c r="L73" s="73">
        <f>($E$73-$H$9)*(VLOOKUP('Cost Allocation - Tier 1'!L2,'Allocation CU RU'!$B$11:$I$82,8,))</f>
        <v>222.30467843916631</v>
      </c>
      <c r="M73" s="73">
        <f>($E$73-$H$9)*(VLOOKUP('Cost Allocation - Tier 1'!M2,'Allocation CU RU'!$B$11:$I$82,8,))</f>
        <v>212.41530979323747</v>
      </c>
      <c r="N73" s="73">
        <f>($E$73-$H$9)*(VLOOKUP('Cost Allocation - Tier 1'!N2,'Allocation CU RU'!$B$11:$I$82,8,))</f>
        <v>371.92074390963705</v>
      </c>
      <c r="O73" s="73">
        <f>($E$73-$H$9)*(VLOOKUP('Cost Allocation - Tier 1'!O2,'Allocation CU RU'!$B$11:$I$82,8,))</f>
        <v>851.45789341763191</v>
      </c>
      <c r="P73" s="73">
        <f>($E$73-$H$9)*(VLOOKUP('Cost Allocation - Tier 1'!P2,'Allocation CU RU'!$B$11:$I$82,8,))</f>
        <v>102.99535743225219</v>
      </c>
      <c r="Q73" s="73">
        <f>($E$73-$H$9)*(VLOOKUP('Cost Allocation - Tier 1'!Q2,'Allocation CU RU'!$B$11:$I$82,8,))</f>
        <v>272.69258388618329</v>
      </c>
      <c r="R73" s="73">
        <f>($E$73-$H$9)*(VLOOKUP('Cost Allocation - Tier 1'!R2,'Allocation CU RU'!$B$11:$I$82,8,))</f>
        <v>233.23122339787253</v>
      </c>
      <c r="S73" s="73">
        <f>($E$73-$H$9)*(VLOOKUP('Cost Allocation - Tier 1'!S2,'Allocation CU RU'!$B$11:$I$82,8,))</f>
        <v>239.94543449149532</v>
      </c>
      <c r="T73" s="73">
        <f>($E$73-$H$9)*(VLOOKUP('Cost Allocation - Tier 1'!T2,'Allocation CU RU'!$B$11:$I$82,8,))</f>
        <v>869.08259398306018</v>
      </c>
      <c r="U73" s="73">
        <f>($E$73-$H$9)*(VLOOKUP('Cost Allocation - Tier 1'!U2,'Allocation CU RU'!$B$11:$I$82,8,))</f>
        <v>693.87473674741648</v>
      </c>
      <c r="V73" s="73">
        <f>($E$73-$H$9)*(VLOOKUP('Cost Allocation - Tier 1'!V2,'Allocation CU RU'!$B$11:$I$82,8,))</f>
        <v>550.67750891738774</v>
      </c>
      <c r="W73" s="73">
        <f>($E$73-$H$9)*(VLOOKUP('Cost Allocation - Tier 1'!W2,'Allocation CU RU'!$B$11:$I$82,8,))</f>
        <v>883.04720567597326</v>
      </c>
      <c r="X73" s="73">
        <f>($E$73-$H$9)*(VLOOKUP('Cost Allocation - Tier 1'!X2,'Allocation CU RU'!$B$11:$I$82,8,))</f>
        <v>21.838641411531881</v>
      </c>
      <c r="Y73" s="73">
        <f>($E$73-$H$9)*(VLOOKUP('Cost Allocation - Tier 1'!Y2,'Allocation CU RU'!$B$11:$I$82,8,))</f>
        <v>17.230139924970072</v>
      </c>
      <c r="Z73" s="73">
        <f>($E$73-$H$9)*(VLOOKUP('Cost Allocation - Tier 1'!Z2,'Allocation CU RU'!$B$11:$I$82,8,))</f>
        <v>83.331253090412872</v>
      </c>
      <c r="AA73" s="73">
        <f>($E$73-$H$9)*(VLOOKUP('Cost Allocation - Tier 1'!AA2,'Allocation CU RU'!$B$11:$I$82,8,))</f>
        <v>76.173698394427703</v>
      </c>
      <c r="AB73" s="73">
        <f>($E$73-$H$9)*(VLOOKUP('Cost Allocation - Tier 1'!AB2,'Allocation CU RU'!$B$11:$I$82,8,))</f>
        <v>45.830398094407499</v>
      </c>
      <c r="AC73" s="73">
        <f>($E$73-$H$9)*(VLOOKUP('Cost Allocation - Tier 1'!AC2,'Allocation CU RU'!$B$11:$I$82,8,))</f>
        <v>46.85959694483293</v>
      </c>
      <c r="AD73" s="73">
        <f>($E$73-$H$9)*(VLOOKUP('Cost Allocation - Tier 1'!AD2,'Allocation CU RU'!$B$11:$I$82,8,))</f>
        <v>265.76414577381547</v>
      </c>
      <c r="AE73" s="73">
        <f>($E$73-$H$9)*(VLOOKUP('Cost Allocation - Tier 1'!AE2,'Allocation CU RU'!$B$11:$I$82,8,))</f>
        <v>106.61601143853485</v>
      </c>
      <c r="AF73" s="73">
        <f>($E$73-$H$9)*(VLOOKUP('Cost Allocation - Tier 1'!AF2,'Allocation CU RU'!$B$11:$I$82,8,))</f>
        <v>277.37478159117904</v>
      </c>
      <c r="AG73" s="73">
        <f>($E$73-$H$9)*(VLOOKUP('Cost Allocation - Tier 1'!AG2,'Allocation CU RU'!$B$11:$I$82,8,))</f>
        <v>861.24110877072508</v>
      </c>
      <c r="AH73" s="73">
        <f>($E$73-$H$9)*(VLOOKUP('Cost Allocation - Tier 1'!AH2,'Allocation CU RU'!$B$11:$I$82,8,))</f>
        <v>7058.3838610554094</v>
      </c>
      <c r="AI73" s="73">
        <f>($E$73-$H$9)*(VLOOKUP('Cost Allocation - Tier 1'!AI2,'Allocation CU RU'!$B$11:$I$82,8,))</f>
        <v>48.997970442037406</v>
      </c>
      <c r="AJ73" s="73">
        <f>($E$73-$H$9)*(VLOOKUP('Cost Allocation - Tier 1'!AJ2,'Allocation CU RU'!$B$11:$I$82,8,))</f>
        <v>1039.5197786478661</v>
      </c>
      <c r="AK73" s="73">
        <f>($E$73-$H$9)*(VLOOKUP('Cost Allocation - Tier 1'!AK2,'Allocation CU RU'!$B$11:$I$82,8,))</f>
        <v>893.9301410368422</v>
      </c>
      <c r="AL73" s="73">
        <f>($E$73-$H$9)*(VLOOKUP('Cost Allocation - Tier 1'!AL2,'Allocation CU RU'!$B$11:$I$82,8,))</f>
        <v>0</v>
      </c>
      <c r="AM73" s="73">
        <f>($E$73-$H$9)*(VLOOKUP('Cost Allocation - Tier 1'!AM2,'Allocation CU RU'!$B$11:$I$82,8,))</f>
        <v>109.10346048839041</v>
      </c>
      <c r="AN73" s="73">
        <f>($E$73-$H$9)*(VLOOKUP('Cost Allocation - Tier 1'!AN2,'Allocation CU RU'!$B$11:$I$82,8,))</f>
        <v>184.4648818542785</v>
      </c>
      <c r="AO73" s="73">
        <f>($E$73-$H$9)*(VLOOKUP('Cost Allocation - Tier 1'!AO2,'Allocation CU RU'!$B$11:$I$82,8,))</f>
        <v>1086.8846826595782</v>
      </c>
      <c r="AP73" s="73">
        <f>($E$73-$H$9)*(VLOOKUP('Cost Allocation - Tier 1'!AP2,'Allocation CU RU'!$B$11:$I$82,8,))</f>
        <v>164.63370949148268</v>
      </c>
      <c r="AQ73" s="73">
        <f>($E$73-$H$9)*(VLOOKUP('Cost Allocation - Tier 1'!AQ2,'Allocation CU RU'!$B$11:$I$82,8,))</f>
        <v>1032.7963169511861</v>
      </c>
      <c r="AR73" s="73">
        <f>($E$73-$H$9)*(VLOOKUP('Cost Allocation - Tier 1'!AR2,'Allocation CU RU'!$B$11:$I$82,8,))</f>
        <v>3.1239372125594054</v>
      </c>
      <c r="AS73" s="73">
        <f>($E$73-$H$9)*(VLOOKUP('Cost Allocation - Tier 1'!AS2,'Allocation CU RU'!$B$11:$I$82,8,))</f>
        <v>1522.1739628058606</v>
      </c>
      <c r="AT73" s="73">
        <f>($E$73-$H$9)*(VLOOKUP('Cost Allocation - Tier 1'!AT2,'Allocation CU RU'!$B$11:$I$82,8,))</f>
        <v>1262.6738860349501</v>
      </c>
      <c r="AU73" s="73">
        <f>($E$73-$H$9)*(VLOOKUP('Cost Allocation - Tier 1'!AU2,'Allocation CU RU'!$B$11:$I$82,8,))</f>
        <v>1765.6391857955016</v>
      </c>
      <c r="AV73" s="73">
        <f>($E$73-$H$9)*(VLOOKUP('Cost Allocation - Tier 1'!AV2,'Allocation CU RU'!$B$11:$I$82,8,))</f>
        <v>2481.3552825022343</v>
      </c>
      <c r="AW73" s="73">
        <f>($E$73-$H$9)*(VLOOKUP('Cost Allocation - Tier 1'!AW2,'Allocation CU RU'!$B$11:$I$82,8,))</f>
        <v>6355.3273778119801</v>
      </c>
      <c r="AX73" s="73">
        <f>($E$73-$H$9)*(VLOOKUP('Cost Allocation - Tier 1'!AX2,'Allocation CU RU'!$B$11:$I$82,8,))</f>
        <v>66.270738051821468</v>
      </c>
      <c r="AY73" s="73">
        <f>($G$73-$H$73)*(VLOOKUP('Cost Allocation - Tier 1'!AY2,'Allocation CU RU'!$B$11:$I$82,8,))</f>
        <v>21670.895491528292</v>
      </c>
      <c r="AZ73" s="73">
        <f>($G$73-$H$73)*(VLOOKUP('Cost Allocation - Tier 1'!AZ2,'Allocation CU RU'!$B$11:$I$82,8,))</f>
        <v>728.79565287101138</v>
      </c>
      <c r="BA73" s="73">
        <f>($G$73-$H$73)*(VLOOKUP('Cost Allocation - Tier 1'!BA2,'Allocation CU RU'!$B$11:$I$82,8,))</f>
        <v>13141.272632837763</v>
      </c>
      <c r="BB73" s="73">
        <f>($E$73-$H$9)*(VLOOKUP('Cost Allocation - Tier 1'!BB2,'Allocation CU RU'!$B$11:$I$82,8,))</f>
        <v>46643.055859497552</v>
      </c>
      <c r="BC73" s="666">
        <f t="shared" si="41"/>
        <v>195553.05111633684</v>
      </c>
      <c r="BD73" s="73">
        <f>($G$73-$H$73)*(VLOOKUP('Cost Allocation - Tier 1'!BD2,'Allocation CU RU'!$B$11:$I$82,8,))</f>
        <v>31407.940367976782</v>
      </c>
      <c r="BE73" s="73">
        <f>($G$73-$H$73)*(VLOOKUP('Cost Allocation - Tier 1'!BE2,'Allocation CU RU'!$B$11:$I$82,8,))</f>
        <v>28644.055714324411</v>
      </c>
      <c r="BF73" s="73">
        <f>($G$73-$H$73)*(VLOOKUP('Cost Allocation - Tier 1'!BF2,'Allocation CU RU'!$B$11:$I$82,8,))</f>
        <v>17537.702885704741</v>
      </c>
      <c r="BG73" s="73">
        <f>($G$73-$H$73)*(VLOOKUP('Cost Allocation - Tier 1'!BG2,'Allocation CU RU'!$B$11:$I$82,8,))</f>
        <v>32412.24131464116</v>
      </c>
      <c r="BH73" s="73">
        <f>($G$73-$H$73)*(VLOOKUP('Cost Allocation - Tier 1'!BH2,'Allocation CU RU'!$B$11:$I$82,8,))</f>
        <v>25390.228021559935</v>
      </c>
      <c r="BI73" s="73">
        <f>($G$73-$H$73)*(VLOOKUP('Cost Allocation - Tier 1'!BI2,'Allocation CU RU'!$B$11:$I$82,8,))</f>
        <v>18487.831191364327</v>
      </c>
      <c r="BJ73" s="73">
        <f>($G$73-$H$73)*(VLOOKUP('Cost Allocation - Tier 1'!BJ2,'Allocation CU RU'!$B$11:$I$82,8,))</f>
        <v>10427.573652776669</v>
      </c>
      <c r="BK73" s="73">
        <f>($G$73-$H$73)*(VLOOKUP('Cost Allocation - Tier 1'!BK2,'Allocation CU RU'!$B$11:$I$82,8,))</f>
        <v>31245.477967988816</v>
      </c>
      <c r="BL73" s="76">
        <f t="shared" si="39"/>
        <v>311043.42268738651</v>
      </c>
    </row>
    <row r="74" spans="1:73" outlineLevel="1" x14ac:dyDescent="0.25">
      <c r="A74" s="69" t="s">
        <v>860</v>
      </c>
      <c r="B74" s="27" t="s">
        <v>861</v>
      </c>
      <c r="C74" s="668" t="s">
        <v>857</v>
      </c>
      <c r="D74" s="775">
        <f t="shared" si="38"/>
        <v>89769.337310000003</v>
      </c>
      <c r="E74" s="775">
        <f t="shared" si="38"/>
        <v>67657</v>
      </c>
      <c r="F74" s="775">
        <f t="shared" si="38"/>
        <v>0</v>
      </c>
      <c r="G74" s="775">
        <f>((E74-F74)*(1+Assumptions!$B$20))+F74</f>
        <v>71716.42</v>
      </c>
      <c r="H74" s="637"/>
      <c r="I74" s="666">
        <f t="shared" si="40"/>
        <v>68850.205303529321</v>
      </c>
      <c r="J74" s="73">
        <f>($G$74-$H$74)*(VLOOKUP('Cost Allocation - Tier 1'!J2,'CU Composites'!$B$5:$M$55,12,))</f>
        <v>446.12693918732248</v>
      </c>
      <c r="K74" s="73">
        <f>($G$74-$H$74)*(VLOOKUP('Cost Allocation - Tier 1'!K2,'CU Composites'!$B$5:$M$55,12,))</f>
        <v>128.6965401756965</v>
      </c>
      <c r="L74" s="73">
        <f>($G$74-$H$74)*(VLOOKUP('Cost Allocation - Tier 1'!L2,'CU Composites'!$B$5:$M$55,12,))</f>
        <v>132.98316805571136</v>
      </c>
      <c r="M74" s="73">
        <f>($G$74-$H$74)*(VLOOKUP('Cost Allocation - Tier 1'!M2,'CU Composites'!$B$5:$M$55,12,))</f>
        <v>136.56358719479081</v>
      </c>
      <c r="N74" s="73">
        <f>($G$74-$H$74)*(VLOOKUP('Cost Allocation - Tier 1'!N2,'CU Composites'!$B$5:$M$55,12,))</f>
        <v>227.31394266505788</v>
      </c>
      <c r="O74" s="73">
        <f>($G$74-$H$74)*(VLOOKUP('Cost Allocation - Tier 1'!O2,'CU Composites'!$B$5:$M$55,12,))</f>
        <v>534.25677006625699</v>
      </c>
      <c r="P74" s="73">
        <f>($G$74-$H$74)*(VLOOKUP('Cost Allocation - Tier 1'!P2,'CU Composites'!$B$5:$M$55,12,))</f>
        <v>65.147299923960603</v>
      </c>
      <c r="Q74" s="73">
        <f>($G$74-$H$74)*(VLOOKUP('Cost Allocation - Tier 1'!Q2,'CU Composites'!$B$5:$M$55,12,))</f>
        <v>174.44925605652119</v>
      </c>
      <c r="R74" s="73">
        <f>($G$74-$H$74)*(VLOOKUP('Cost Allocation - Tier 1'!R2,'CU Composites'!$B$5:$M$55,12,))</f>
        <v>149.73781169751467</v>
      </c>
      <c r="S74" s="73">
        <f>($G$74-$H$74)*(VLOOKUP('Cost Allocation - Tier 1'!S2,'CU Composites'!$B$5:$M$55,12,))</f>
        <v>153.59800518471459</v>
      </c>
      <c r="T74" s="73">
        <f>($G$74-$H$74)*(VLOOKUP('Cost Allocation - Tier 1'!T2,'CU Composites'!$B$5:$M$55,12,))</f>
        <v>559.21047405933814</v>
      </c>
      <c r="U74" s="73">
        <f>($G$74-$H$74)*(VLOOKUP('Cost Allocation - Tier 1'!U2,'CU Composites'!$B$5:$M$55,12,))</f>
        <v>445.55643878970199</v>
      </c>
      <c r="V74" s="73">
        <f>($G$74-$H$74)*(VLOOKUP('Cost Allocation - Tier 1'!V2,'CU Composites'!$B$5:$M$55,12,))</f>
        <v>347.96849416581205</v>
      </c>
      <c r="W74" s="73">
        <f>($G$74-$H$74)*(VLOOKUP('Cost Allocation - Tier 1'!W2,'CU Composites'!$B$5:$M$55,12,))</f>
        <v>561.18902016056552</v>
      </c>
      <c r="X74" s="73">
        <f>($G$74-$H$74)*(VLOOKUP('Cost Allocation - Tier 1'!X2,'CU Composites'!$B$5:$M$55,12,))</f>
        <v>13.600465238810223</v>
      </c>
      <c r="Y74" s="73">
        <f>($G$74-$H$74)*(VLOOKUP('Cost Allocation - Tier 1'!Y2,'CU Composites'!$B$5:$M$55,12,))</f>
        <v>10.509878513012675</v>
      </c>
      <c r="Z74" s="73">
        <f>($G$74-$H$74)*(VLOOKUP('Cost Allocation - Tier 1'!Z2,'CU Composites'!$B$5:$M$55,12,))</f>
        <v>49.599335441514874</v>
      </c>
      <c r="AA74" s="73">
        <f>($G$74-$H$74)*(VLOOKUP('Cost Allocation - Tier 1'!AA2,'CU Composites'!$B$5:$M$55,12,))</f>
        <v>45.055505591689482</v>
      </c>
      <c r="AB74" s="73">
        <f>($G$74-$H$74)*(VLOOKUP('Cost Allocation - Tier 1'!AB2,'CU Composites'!$B$5:$M$55,12,))</f>
        <v>26.962643263155638</v>
      </c>
      <c r="AC74" s="73">
        <f>($G$74-$H$74)*(VLOOKUP('Cost Allocation - Tier 1'!AC2,'CU Composites'!$B$5:$M$55,12,))</f>
        <v>28.513326308926651</v>
      </c>
      <c r="AD74" s="73">
        <f>($G$74-$H$74)*(VLOOKUP('Cost Allocation - Tier 1'!AD2,'CU Composites'!$B$5:$M$55,12,))</f>
        <v>168.26468011528414</v>
      </c>
      <c r="AE74" s="73">
        <f>($G$74-$H$74)*(VLOOKUP('Cost Allocation - Tier 1'!AE2,'CU Composites'!$B$5:$M$55,12,))</f>
        <v>66.167336439195623</v>
      </c>
      <c r="AF74" s="73">
        <f>($G$74-$H$74)*(VLOOKUP('Cost Allocation - Tier 1'!AF2,'CU Composites'!$B$5:$M$55,12,))</f>
        <v>173.86465230952899</v>
      </c>
      <c r="AG74" s="73">
        <f>($G$74-$H$74)*(VLOOKUP('Cost Allocation - Tier 1'!AG2,'CU Composites'!$B$5:$M$55,12,))</f>
        <v>563.08241177128423</v>
      </c>
      <c r="AH74" s="73">
        <f>($G$74-$H$74)*(VLOOKUP('Cost Allocation - Tier 1'!AH2,'CU Composites'!$B$5:$M$55,12,))</f>
        <v>4287.7221923245015</v>
      </c>
      <c r="AI74" s="73">
        <f>($G$74-$H$74)*(VLOOKUP('Cost Allocation - Tier 1'!AI2,'CU Composites'!$B$5:$M$55,12,))</f>
        <v>31.363270550273608</v>
      </c>
      <c r="AJ74" s="73">
        <f>($G$74-$H$74)*(VLOOKUP('Cost Allocation - Tier 1'!AJ2,'CU Composites'!$B$5:$M$55,12,))</f>
        <v>672.35939084645759</v>
      </c>
      <c r="AK74" s="73">
        <f>($G$74-$H$74)*(VLOOKUP('Cost Allocation - Tier 1'!AK2,'CU Composites'!$B$5:$M$55,12,))</f>
        <v>571.78791389088155</v>
      </c>
      <c r="AL74" s="73">
        <f>($G$74-$H$74)*(VLOOKUP('Cost Allocation - Tier 1'!AL2,'CU Composites'!$B$5:$M$55,12,))</f>
        <v>0</v>
      </c>
      <c r="AM74" s="73">
        <f>($G$74-$H$74)*(VLOOKUP('Cost Allocation - Tier 1'!AM2,'CU Composites'!$B$5:$M$55,12,))</f>
        <v>65.087127399286089</v>
      </c>
      <c r="AN74" s="73">
        <f>($G$74-$H$74)*(VLOOKUP('Cost Allocation - Tier 1'!AN2,'CU Composites'!$B$5:$M$55,12,))</f>
        <v>112.12693449355933</v>
      </c>
      <c r="AO74" s="73">
        <f>($G$74-$H$74)*(VLOOKUP('Cost Allocation - Tier 1'!AO2,'CU Composites'!$B$5:$M$55,12,))</f>
        <v>697.83761510050101</v>
      </c>
      <c r="AP74" s="73">
        <f>($G$74-$H$74)*(VLOOKUP('Cost Allocation - Tier 1'!AP2,'CU Composites'!$B$5:$M$55,12,))</f>
        <v>104.53652230710614</v>
      </c>
      <c r="AQ74" s="73">
        <f>($G$74-$H$74)*(VLOOKUP('Cost Allocation - Tier 1'!AQ2,'CU Composites'!$B$5:$M$55,12,))</f>
        <v>669.9707790425141</v>
      </c>
      <c r="AR74" s="73">
        <f>($G$74-$H$74)*(VLOOKUP('Cost Allocation - Tier 1'!AR2,'CU Composites'!$B$5:$M$55,12,))</f>
        <v>1.8151450966926548</v>
      </c>
      <c r="AS74" s="73">
        <f>($G$74-$H$74)*(VLOOKUP('Cost Allocation - Tier 1'!AS2,'CU Composites'!$B$5:$M$55,12,))</f>
        <v>984.32874857836691</v>
      </c>
      <c r="AT74" s="73">
        <f>($G$74-$H$74)*(VLOOKUP('Cost Allocation - Tier 1'!AT2,'CU Composites'!$B$5:$M$55,12,))</f>
        <v>823.41547457544607</v>
      </c>
      <c r="AU74" s="73">
        <f>($G$74-$H$74)*(VLOOKUP('Cost Allocation - Tier 1'!AU2,'CU Composites'!$B$5:$M$55,12,))</f>
        <v>1127.9932167235647</v>
      </c>
      <c r="AV74" s="73">
        <f>($G$74-$H$74)*(VLOOKUP('Cost Allocation - Tier 1'!AV2,'CU Composites'!$B$5:$M$55,12,))</f>
        <v>1599.8218972214011</v>
      </c>
      <c r="AW74" s="73">
        <f>($G$74-$H$74)*(VLOOKUP('Cost Allocation - Tier 1'!AW2,'CU Composites'!$B$5:$M$55,12,))</f>
        <v>4082.8699344962793</v>
      </c>
      <c r="AX74" s="73">
        <f>($G$74-$H$74)*(VLOOKUP('Cost Allocation - Tier 1'!AX2,'CU Composites'!$B$5:$M$55,12,))</f>
        <v>38.506217329001323</v>
      </c>
      <c r="AY74" s="73">
        <f>($E$74-$H$10)*(VLOOKUP('Cost Allocation - Tier 1'!AY2,'CU Composites'!$B$5:$M$55,12,))</f>
        <v>12394.86308676543</v>
      </c>
      <c r="AZ74" s="73">
        <f>($E$74-$H$10)*(VLOOKUP('Cost Allocation - Tier 1'!AZ2,'CU Composites'!$B$5:$M$55,12,))</f>
        <v>409.6318366000329</v>
      </c>
      <c r="BA74" s="73">
        <f>($E$74-$H$10)*(VLOOKUP('Cost Allocation - Tier 1'!BA2,'CU Composites'!$B$5:$M$55,12,))</f>
        <v>7170.0921142448142</v>
      </c>
      <c r="BB74" s="73">
        <f>($E$74-$H$10)*(VLOOKUP('Cost Allocation - Tier 1'!BB2,'CU Composites'!$B$5:$M$55,12,))</f>
        <v>27795.657903567848</v>
      </c>
      <c r="BC74" s="666">
        <f t="shared" si="41"/>
        <v>0</v>
      </c>
      <c r="BD74" s="74"/>
      <c r="BE74" s="74"/>
      <c r="BF74" s="74"/>
      <c r="BG74" s="74"/>
      <c r="BH74" s="74"/>
      <c r="BI74" s="74"/>
      <c r="BJ74" s="74"/>
      <c r="BK74" s="74"/>
      <c r="BL74" s="76">
        <f t="shared" si="39"/>
        <v>68850.205303529321</v>
      </c>
    </row>
    <row r="75" spans="1:73" outlineLevel="1" x14ac:dyDescent="0.25">
      <c r="A75" s="177" t="s">
        <v>473</v>
      </c>
      <c r="B75" s="3" t="s">
        <v>858</v>
      </c>
      <c r="C75" s="668" t="s">
        <v>857</v>
      </c>
      <c r="D75" s="775">
        <f t="shared" si="38"/>
        <v>3600346</v>
      </c>
      <c r="E75" s="775">
        <f t="shared" si="38"/>
        <v>2713494.5697640241</v>
      </c>
      <c r="F75" s="775">
        <f t="shared" si="38"/>
        <v>692935.04066082323</v>
      </c>
      <c r="G75" s="775">
        <f>((E75-F75)*(1+Assumptions!$B$20))+F75</f>
        <v>2834728.1415102161</v>
      </c>
      <c r="H75" s="637">
        <f>G75*Assumptions!$B$18</f>
        <v>56694.562830204319</v>
      </c>
      <c r="I75" s="666">
        <f t="shared" si="40"/>
        <v>1026131.0728212788</v>
      </c>
      <c r="J75" s="74">
        <f>($E$75-$H$11)*(VLOOKUP('Cost Allocation - Tier 1'!J2,'Allocation CU RU'!$B$11:$I$82,8,))</f>
        <v>6367.585177904396</v>
      </c>
      <c r="K75" s="74">
        <f>($E$75-$H$11)*(VLOOKUP('Cost Allocation - Tier 1'!K2,'Allocation CU RU'!$B$11:$I$82,8,))</f>
        <v>1889.2516841553625</v>
      </c>
      <c r="L75" s="74">
        <f>($E$75-$H$11)*(VLOOKUP('Cost Allocation - Tier 1'!L2,'Allocation CU RU'!$B$11:$I$82,8,))</f>
        <v>1984.0007729475208</v>
      </c>
      <c r="M75" s="74">
        <f>($E$75-$H$11)*(VLOOKUP('Cost Allocation - Tier 1'!M2,'Allocation CU RU'!$B$11:$I$82,8,))</f>
        <v>1895.7412042544809</v>
      </c>
      <c r="N75" s="74">
        <f>($E$75-$H$11)*(VLOOKUP('Cost Allocation - Tier 1'!N2,'Allocation CU RU'!$B$11:$I$82,8,))</f>
        <v>3319.2780672578638</v>
      </c>
      <c r="O75" s="74">
        <f>($E$75-$H$11)*(VLOOKUP('Cost Allocation - Tier 1'!O2,'Allocation CU RU'!$B$11:$I$82,8,))</f>
        <v>7598.9994026829472</v>
      </c>
      <c r="P75" s="74">
        <f>($E$75-$H$11)*(VLOOKUP('Cost Allocation - Tier 1'!P2,'Allocation CU RU'!$B$11:$I$82,8,))</f>
        <v>919.20183682284926</v>
      </c>
      <c r="Q75" s="74">
        <f>($E$75-$H$11)*(VLOOKUP('Cost Allocation - Tier 1'!Q2,'Allocation CU RU'!$B$11:$I$82,8,))</f>
        <v>2433.6973068036218</v>
      </c>
      <c r="R75" s="74">
        <f>($E$75-$H$11)*(VLOOKUP('Cost Allocation - Tier 1'!R2,'Allocation CU RU'!$B$11:$I$82,8,))</f>
        <v>2081.5168207244965</v>
      </c>
      <c r="S75" s="74">
        <f>($E$75-$H$11)*(VLOOKUP('Cost Allocation - Tier 1'!S2,'Allocation CU RU'!$B$11:$I$82,8,))</f>
        <v>2141.4390863871408</v>
      </c>
      <c r="T75" s="74">
        <f>($E$75-$H$11)*(VLOOKUP('Cost Allocation - Tier 1'!T2,'Allocation CU RU'!$B$11:$I$82,8,))</f>
        <v>7756.2944258479547</v>
      </c>
      <c r="U75" s="74">
        <f>($E$75-$H$11)*(VLOOKUP('Cost Allocation - Tier 1'!U2,'Allocation CU RU'!$B$11:$I$82,8,))</f>
        <v>6192.6182737191102</v>
      </c>
      <c r="V75" s="74">
        <f>($E$75-$H$11)*(VLOOKUP('Cost Allocation - Tier 1'!V2,'Allocation CU RU'!$B$11:$I$82,8,))</f>
        <v>4914.6271279931143</v>
      </c>
      <c r="W75" s="74">
        <f>($E$75-$H$11)*(VLOOKUP('Cost Allocation - Tier 1'!W2,'Allocation CU RU'!$B$11:$I$82,8,))</f>
        <v>7880.9242833353373</v>
      </c>
      <c r="X75" s="74">
        <f>($E$75-$H$11)*(VLOOKUP('Cost Allocation - Tier 1'!X2,'Allocation CU RU'!$B$11:$I$82,8,))</f>
        <v>194.90314708990556</v>
      </c>
      <c r="Y75" s="74">
        <f>($E$75-$H$11)*(VLOOKUP('Cost Allocation - Tier 1'!Y2,'Allocation CU RU'!$B$11:$I$82,8,))</f>
        <v>153.77369099539297</v>
      </c>
      <c r="Z75" s="74">
        <f>($E$75-$H$11)*(VLOOKUP('Cost Allocation - Tier 1'!Z2,'Allocation CU RU'!$B$11:$I$82,8,))</f>
        <v>743.7057632024015</v>
      </c>
      <c r="AA75" s="74">
        <f>($E$75-$H$11)*(VLOOKUP('Cost Allocation - Tier 1'!AA2,'Allocation CU RU'!$B$11:$I$82,8,))</f>
        <v>679.82679246299472</v>
      </c>
      <c r="AB75" s="74">
        <f>($E$75-$H$11)*(VLOOKUP('Cost Allocation - Tier 1'!AB2,'Allocation CU RU'!$B$11:$I$82,8,))</f>
        <v>409.02218469810293</v>
      </c>
      <c r="AC75" s="74">
        <f>($E$75-$H$11)*(VLOOKUP('Cost Allocation - Tier 1'!AC2,'Allocation CU RU'!$B$11:$I$82,8,))</f>
        <v>418.20746738804655</v>
      </c>
      <c r="AD75" s="74">
        <f>($E$75-$H$11)*(VLOOKUP('Cost Allocation - Tier 1'!AD2,'Allocation CU RU'!$B$11:$I$82,8,))</f>
        <v>2371.8631309924353</v>
      </c>
      <c r="AE75" s="74">
        <f>($E$75-$H$11)*(VLOOKUP('Cost Allocation - Tier 1'!AE2,'Allocation CU RU'!$B$11:$I$82,8,))</f>
        <v>951.5150584674675</v>
      </c>
      <c r="AF75" s="74">
        <f>($E$75-$H$11)*(VLOOKUP('Cost Allocation - Tier 1'!AF2,'Allocation CU RU'!$B$11:$I$82,8,))</f>
        <v>2475.4844789451513</v>
      </c>
      <c r="AG75" s="74">
        <f>($E$75-$H$11)*(VLOOKUP('Cost Allocation - Tier 1'!AG2,'Allocation CU RU'!$B$11:$I$82,8,))</f>
        <v>7686.311585938508</v>
      </c>
      <c r="AH75" s="74">
        <f>($E$75-$H$11)*(VLOOKUP('Cost Allocation - Tier 1'!AH2,'Allocation CU RU'!$B$11:$I$82,8,))</f>
        <v>62993.901587754444</v>
      </c>
      <c r="AI75" s="74">
        <f>($E$75-$H$11)*(VLOOKUP('Cost Allocation - Tier 1'!AI2,'Allocation CU RU'!$B$11:$I$82,8,))</f>
        <v>437.29179211342631</v>
      </c>
      <c r="AJ75" s="74">
        <f>($E$75-$H$11)*(VLOOKUP('Cost Allocation - Tier 1'!AJ2,'Allocation CU RU'!$B$11:$I$82,8,))</f>
        <v>9277.3937949127794</v>
      </c>
      <c r="AK75" s="74">
        <f>($E$75-$H$11)*(VLOOKUP('Cost Allocation - Tier 1'!AK2,'Allocation CU RU'!$B$11:$I$82,8,))</f>
        <v>7978.0511288857806</v>
      </c>
      <c r="AL75" s="74">
        <f>($E$75-$H$11)*(VLOOKUP('Cost Allocation - Tier 1'!AL2,'Allocation CU RU'!$B$11:$I$82,8,))</f>
        <v>0</v>
      </c>
      <c r="AM75" s="74">
        <f>($E$75-$H$11)*(VLOOKUP('Cost Allocation - Tier 1'!AM2,'Allocation CU RU'!$B$11:$I$82,8,))</f>
        <v>973.71477496570333</v>
      </c>
      <c r="AN75" s="74">
        <f>($E$75-$H$11)*(VLOOKUP('Cost Allocation - Tier 1'!AN2,'Allocation CU RU'!$B$11:$I$82,8,))</f>
        <v>1646.2922451751806</v>
      </c>
      <c r="AO75" s="74">
        <f>($E$75-$H$11)*(VLOOKUP('Cost Allocation - Tier 1'!AO2,'Allocation CU RU'!$B$11:$I$82,8,))</f>
        <v>9700.1109722102301</v>
      </c>
      <c r="AP75" s="74">
        <f>($E$75-$H$11)*(VLOOKUP('Cost Allocation - Tier 1'!AP2,'Allocation CU RU'!$B$11:$I$82,8,))</f>
        <v>1469.3051409338759</v>
      </c>
      <c r="AQ75" s="74">
        <f>($E$75-$H$11)*(VLOOKUP('Cost Allocation - Tier 1'!AQ2,'Allocation CU RU'!$B$11:$I$82,8,))</f>
        <v>9217.3889704675439</v>
      </c>
      <c r="AR75" s="74">
        <f>($E$75-$H$11)*(VLOOKUP('Cost Allocation - Tier 1'!AR2,'Allocation CU RU'!$B$11:$I$82,8,))</f>
        <v>27.88017727685132</v>
      </c>
      <c r="AS75" s="74">
        <f>($E$75-$H$11)*(VLOOKUP('Cost Allocation - Tier 1'!AS2,'Allocation CU RU'!$B$11:$I$82,8,))</f>
        <v>13584.933704370238</v>
      </c>
      <c r="AT75" s="74">
        <f>($E$75-$H$11)*(VLOOKUP('Cost Allocation - Tier 1'!AT2,'Allocation CU RU'!$B$11:$I$82,8,))</f>
        <v>11268.975459549423</v>
      </c>
      <c r="AU75" s="74">
        <f>($E$75-$H$11)*(VLOOKUP('Cost Allocation - Tier 1'!AU2,'Allocation CU RU'!$B$11:$I$82,8,))</f>
        <v>15757.785818814024</v>
      </c>
      <c r="AV75" s="74">
        <f>($E$75-$H$11)*(VLOOKUP('Cost Allocation - Tier 1'!AV2,'Allocation CU RU'!$B$11:$I$82,8,))</f>
        <v>22145.331501824552</v>
      </c>
      <c r="AW75" s="74">
        <f>($E$75-$H$11)*(VLOOKUP('Cost Allocation - Tier 1'!AW2,'Allocation CU RU'!$B$11:$I$82,8,))</f>
        <v>56719.339055043572</v>
      </c>
      <c r="AX75" s="74">
        <f>($E$75-$H$11)*(VLOOKUP('Cost Allocation - Tier 1'!AX2,'Allocation CU RU'!$B$11:$I$82,8,))</f>
        <v>591.44592206410232</v>
      </c>
      <c r="AY75" s="74">
        <f>($G$75-$H$75)*(VLOOKUP('Cost Allocation - Tier 1'!AY2,'Allocation CU RU'!$B$11:$I$82,8,))</f>
        <v>190610.44060202266</v>
      </c>
      <c r="AZ75" s="74">
        <f>($G$75-$H$75)*(VLOOKUP('Cost Allocation - Tier 1'!AZ2,'Allocation CU RU'!$B$11:$I$82,8,))</f>
        <v>6410.2593525444345</v>
      </c>
      <c r="BA75" s="74">
        <f>($G$75-$H$75)*(VLOOKUP('Cost Allocation - Tier 1'!BA2,'Allocation CU RU'!$B$11:$I$82,8,))</f>
        <v>115586.53714128812</v>
      </c>
      <c r="BB75" s="74">
        <f>($E$75-$H$11)*(VLOOKUP('Cost Allocation - Tier 1'!BB2,'Allocation CU RU'!$B$11:$I$82,8,))</f>
        <v>416274.90490804525</v>
      </c>
      <c r="BC75" s="666">
        <f t="shared" si="41"/>
        <v>1720023.6717917984</v>
      </c>
      <c r="BD75" s="74">
        <f>($G$75-$H$75)*(VLOOKUP('Cost Allocation - Tier 1'!BD2,'Allocation CU RU'!$B$11:$I$82,8,))</f>
        <v>276254.4517037819</v>
      </c>
      <c r="BE75" s="74">
        <f>($G$75-$H$75)*(VLOOKUP('Cost Allocation - Tier 1'!BE2,'Allocation CU RU'!$B$11:$I$82,8,))</f>
        <v>251944.18396187911</v>
      </c>
      <c r="BF75" s="74">
        <f>($G$75-$H$75)*(VLOOKUP('Cost Allocation - Tier 1'!BF2,'Allocation CU RU'!$B$11:$I$82,8,))</f>
        <v>154256.1670097278</v>
      </c>
      <c r="BG75" s="74">
        <f>($G$75-$H$75)*(VLOOKUP('Cost Allocation - Tier 1'!BG2,'Allocation CU RU'!$B$11:$I$82,8,))</f>
        <v>285087.96972870897</v>
      </c>
      <c r="BH75" s="74">
        <f>($G$75-$H$75)*(VLOOKUP('Cost Allocation - Tier 1'!BH2,'Allocation CU RU'!$B$11:$I$82,8,))</f>
        <v>223324.52999310996</v>
      </c>
      <c r="BI75" s="74">
        <f>($G$75-$H$75)*(VLOOKUP('Cost Allocation - Tier 1'!BI2,'Allocation CU RU'!$B$11:$I$82,8,))</f>
        <v>162613.19937329693</v>
      </c>
      <c r="BJ75" s="74">
        <f>($G$75-$H$75)*(VLOOKUP('Cost Allocation - Tier 1'!BJ2,'Allocation CU RU'!$B$11:$I$82,8,))</f>
        <v>91717.686938355138</v>
      </c>
      <c r="BK75" s="74">
        <f>($G$75-$H$75)*(VLOOKUP('Cost Allocation - Tier 1'!BK2,'Allocation CU RU'!$B$11:$I$82,8,))</f>
        <v>274825.48308293865</v>
      </c>
      <c r="BL75" s="76">
        <f t="shared" si="39"/>
        <v>2802849.3074432816</v>
      </c>
    </row>
    <row r="76" spans="1:73" outlineLevel="1" x14ac:dyDescent="0.25">
      <c r="A76" s="177" t="s">
        <v>474</v>
      </c>
      <c r="B76" s="3" t="s">
        <v>132</v>
      </c>
      <c r="C76" s="668" t="s">
        <v>857</v>
      </c>
      <c r="D76" s="775">
        <f t="shared" si="38"/>
        <v>1603845</v>
      </c>
      <c r="E76" s="775">
        <f t="shared" si="38"/>
        <v>1208779.5723642064</v>
      </c>
      <c r="F76" s="775">
        <f t="shared" si="38"/>
        <v>660860.84878997307</v>
      </c>
      <c r="G76" s="775">
        <f>((E76-F76)*(1+Assumptions!$B$20))+F76</f>
        <v>1241654.6957786605</v>
      </c>
      <c r="H76" s="242"/>
      <c r="I76" s="666">
        <f t="shared" si="40"/>
        <v>464061.26052578603</v>
      </c>
      <c r="J76" s="74">
        <f>($E$76-$H$12)*(VLOOKUP('Cost Allocation - Tier 1'!J2,'Allocation CU RU'!$B$11:$I$82,8,))</f>
        <v>2894.4552714746669</v>
      </c>
      <c r="K76" s="74">
        <f>($E$76-$H$12)*(VLOOKUP('Cost Allocation - Tier 1'!K2,'Allocation CU RU'!$B$11:$I$82,8,))</f>
        <v>858.77995245688157</v>
      </c>
      <c r="L76" s="74">
        <f>($E$76-$H$12)*(VLOOKUP('Cost Allocation - Tier 1'!L2,'Allocation CU RU'!$B$11:$I$82,8,))</f>
        <v>901.84918386245818</v>
      </c>
      <c r="M76" s="74">
        <f>($E$76-$H$12)*(VLOOKUP('Cost Allocation - Tier 1'!M2,'Allocation CU RU'!$B$11:$I$82,8,))</f>
        <v>861.72983457630937</v>
      </c>
      <c r="N76" s="74">
        <f>($E$76-$H$12)*(VLOOKUP('Cost Allocation - Tier 1'!N2,'Allocation CU RU'!$B$11:$I$82,8,))</f>
        <v>1508.8140371648149</v>
      </c>
      <c r="O76" s="74">
        <f>($E$76-$H$12)*(VLOOKUP('Cost Allocation - Tier 1'!O2,'Allocation CU RU'!$B$11:$I$82,8,))</f>
        <v>3454.2080340521106</v>
      </c>
      <c r="P76" s="74">
        <f>($E$76-$H$12)*(VLOOKUP('Cost Allocation - Tier 1'!P2,'Allocation CU RU'!$B$11:$I$82,8,))</f>
        <v>417.83321742964193</v>
      </c>
      <c r="Q76" s="74">
        <f>($E$76-$H$12)*(VLOOKUP('Cost Allocation - Tier 1'!Q2,'Allocation CU RU'!$B$11:$I$82,8,))</f>
        <v>1106.2636465853659</v>
      </c>
      <c r="R76" s="74">
        <f>($E$76-$H$12)*(VLOOKUP('Cost Allocation - Tier 1'!R2,'Allocation CU RU'!$B$11:$I$82,8,))</f>
        <v>946.17616664407444</v>
      </c>
      <c r="S76" s="74">
        <f>($E$76-$H$12)*(VLOOKUP('Cost Allocation - Tier 1'!S2,'Allocation CU RU'!$B$11:$I$82,8,))</f>
        <v>973.41448586244837</v>
      </c>
      <c r="T76" s="74">
        <f>($E$76-$H$12)*(VLOOKUP('Cost Allocation - Tier 1'!T2,'Allocation CU RU'!$B$11:$I$82,8,))</f>
        <v>3525.7082018954125</v>
      </c>
      <c r="U76" s="74">
        <f>($E$76-$H$12)*(VLOOKUP('Cost Allocation - Tier 1'!U2,'Allocation CU RU'!$B$11:$I$82,8,))</f>
        <v>2814.9221574285389</v>
      </c>
      <c r="V76" s="74">
        <f>($E$76-$H$12)*(VLOOKUP('Cost Allocation - Tier 1'!V2,'Allocation CU RU'!$B$11:$I$82,8,))</f>
        <v>2233.9973475837578</v>
      </c>
      <c r="W76" s="74">
        <f>($E$76-$H$12)*(VLOOKUP('Cost Allocation - Tier 1'!W2,'Allocation CU RU'!$B$11:$I$82,8,))</f>
        <v>3582.3600625158638</v>
      </c>
      <c r="X76" s="74">
        <f>($E$76-$H$12)*(VLOOKUP('Cost Allocation - Tier 1'!X2,'Allocation CU RU'!$B$11:$I$82,8,))</f>
        <v>88.595350632912982</v>
      </c>
      <c r="Y76" s="74">
        <f>($E$76-$H$12)*(VLOOKUP('Cost Allocation - Tier 1'!Y2,'Allocation CU RU'!$B$11:$I$82,8,))</f>
        <v>69.899507910817363</v>
      </c>
      <c r="Z76" s="74">
        <f>($E$76-$H$12)*(VLOOKUP('Cost Allocation - Tier 1'!Z2,'Allocation CU RU'!$B$11:$I$82,8,))</f>
        <v>338.05956364697118</v>
      </c>
      <c r="AA76" s="74">
        <f>($E$76-$H$12)*(VLOOKUP('Cost Allocation - Tier 1'!AA2,'Allocation CU RU'!$B$11:$I$82,8,))</f>
        <v>309.02268099408741</v>
      </c>
      <c r="AB76" s="74">
        <f>($E$76-$H$12)*(VLOOKUP('Cost Allocation - Tier 1'!AB2,'Allocation CU RU'!$B$11:$I$82,8,))</f>
        <v>185.92549382105557</v>
      </c>
      <c r="AC76" s="74">
        <f>($E$76-$H$12)*(VLOOKUP('Cost Allocation - Tier 1'!AC2,'Allocation CU RU'!$B$11:$I$82,8,))</f>
        <v>190.10076421934525</v>
      </c>
      <c r="AD76" s="74">
        <f>($E$76-$H$12)*(VLOOKUP('Cost Allocation - Tier 1'!AD2,'Allocation CU RU'!$B$11:$I$82,8,))</f>
        <v>1078.1562477624918</v>
      </c>
      <c r="AE76" s="74">
        <f>($E$76-$H$12)*(VLOOKUP('Cost Allocation - Tier 1'!AE2,'Allocation CU RU'!$B$11:$I$82,8,))</f>
        <v>432.52154465487354</v>
      </c>
      <c r="AF76" s="74">
        <f>($E$76-$H$12)*(VLOOKUP('Cost Allocation - Tier 1'!AF2,'Allocation CU RU'!$B$11:$I$82,8,))</f>
        <v>1125.2584613080289</v>
      </c>
      <c r="AG76" s="74">
        <f>($E$76-$H$12)*(VLOOKUP('Cost Allocation - Tier 1'!AG2,'Allocation CU RU'!$B$11:$I$82,8,))</f>
        <v>3493.8967389578515</v>
      </c>
      <c r="AH76" s="74">
        <f>($E$76-$H$12)*(VLOOKUP('Cost Allocation - Tier 1'!AH2,'Allocation CU RU'!$B$11:$I$82,8,))</f>
        <v>28634.564819663541</v>
      </c>
      <c r="AI76" s="74">
        <f>($E$76-$H$12)*(VLOOKUP('Cost Allocation - Tier 1'!AI2,'Allocation CU RU'!$B$11:$I$82,8,))</f>
        <v>198.77575210888128</v>
      </c>
      <c r="AJ76" s="74">
        <f>($E$76-$H$12)*(VLOOKUP('Cost Allocation - Tier 1'!AJ2,'Allocation CU RU'!$B$11:$I$82,8,))</f>
        <v>4217.140505385295</v>
      </c>
      <c r="AK76" s="74">
        <f>($E$76-$H$12)*(VLOOKUP('Cost Allocation - Tier 1'!AK2,'Allocation CU RU'!$B$11:$I$82,8,))</f>
        <v>3626.5101291817496</v>
      </c>
      <c r="AL76" s="74">
        <f>($E$76-$H$12)*(VLOOKUP('Cost Allocation - Tier 1'!AL2,'Allocation CU RU'!$B$11:$I$82,8,))</f>
        <v>0</v>
      </c>
      <c r="AM76" s="74">
        <f>($E$76-$H$12)*(VLOOKUP('Cost Allocation - Tier 1'!AM2,'Allocation CU RU'!$B$11:$I$82,8,))</f>
        <v>442.61266784338329</v>
      </c>
      <c r="AN76" s="74">
        <f>($E$76-$H$12)*(VLOOKUP('Cost Allocation - Tier 1'!AN2,'Allocation CU RU'!$B$11:$I$82,8,))</f>
        <v>748.34009036427062</v>
      </c>
      <c r="AO76" s="74">
        <f>($E$76-$H$12)*(VLOOKUP('Cost Allocation - Tier 1'!AO2,'Allocation CU RU'!$B$11:$I$82,8,))</f>
        <v>4409.2912074155065</v>
      </c>
      <c r="AP76" s="74">
        <f>($E$76-$H$12)*(VLOOKUP('Cost Allocation - Tier 1'!AP2,'Allocation CU RU'!$B$11:$I$82,8,))</f>
        <v>667.88867235546206</v>
      </c>
      <c r="AQ76" s="74">
        <f>($E$76-$H$12)*(VLOOKUP('Cost Allocation - Tier 1'!AQ2,'Allocation CU RU'!$B$11:$I$82,8,))</f>
        <v>4189.8646581721159</v>
      </c>
      <c r="AR76" s="74">
        <f>($E$76-$H$12)*(VLOOKUP('Cost Allocation - Tier 1'!AR2,'Allocation CU RU'!$B$11:$I$82,8,))</f>
        <v>12.673238572238246</v>
      </c>
      <c r="AS76" s="74">
        <f>($E$76-$H$12)*(VLOOKUP('Cost Allocation - Tier 1'!AS2,'Allocation CU RU'!$B$11:$I$82,8,))</f>
        <v>6175.1797384183619</v>
      </c>
      <c r="AT76" s="74">
        <f>($E$76-$H$12)*(VLOOKUP('Cost Allocation - Tier 1'!AT2,'Allocation CU RU'!$B$11:$I$82,8,))</f>
        <v>5122.4356662231694</v>
      </c>
      <c r="AU76" s="74">
        <f>($E$76-$H$12)*(VLOOKUP('Cost Allocation - Tier 1'!AU2,'Allocation CU RU'!$B$11:$I$82,8,))</f>
        <v>7162.8733586953831</v>
      </c>
      <c r="AV76" s="74">
        <f>($E$76-$H$12)*(VLOOKUP('Cost Allocation - Tier 1'!AV2,'Allocation CU RU'!$B$11:$I$82,8,))</f>
        <v>10066.401895405075</v>
      </c>
      <c r="AW76" s="74">
        <f>($E$76-$H$12)*(VLOOKUP('Cost Allocation - Tier 1'!AW2,'Allocation CU RU'!$B$11:$I$82,8,))</f>
        <v>25782.394005832444</v>
      </c>
      <c r="AX76" s="74">
        <f>($E$76-$H$12)*(VLOOKUP('Cost Allocation - Tier 1'!AX2,'Allocation CU RU'!$B$11:$I$82,8,))</f>
        <v>268.84819269493232</v>
      </c>
      <c r="AY76" s="74">
        <f>($G$76-$H$76)*(VLOOKUP('Cost Allocation - Tier 1'!AY2,'Allocation CU RU'!$B$11:$I$82,8,))</f>
        <v>85194.200118486769</v>
      </c>
      <c r="AZ76" s="74">
        <f>($G$76-$H$76)*(VLOOKUP('Cost Allocation - Tier 1'!AZ2,'Allocation CU RU'!$B$11:$I$82,8,))</f>
        <v>2865.0944636989461</v>
      </c>
      <c r="BA76" s="74">
        <f>($G$76-$H$76)*(VLOOKUP('Cost Allocation - Tier 1'!BA2,'Allocation CU RU'!$B$11:$I$82,8,))</f>
        <v>51661.926519429646</v>
      </c>
      <c r="BB76" s="74">
        <f>($E$76-$H$12)*(VLOOKUP('Cost Allocation - Tier 1'!BB2,'Allocation CU RU'!$B$11:$I$82,8,))</f>
        <v>189222.29687239806</v>
      </c>
      <c r="BC76" s="666">
        <f t="shared" si="41"/>
        <v>768772.37385500234</v>
      </c>
      <c r="BD76" s="74">
        <f>($G$76-$H$76)*(VLOOKUP('Cost Allocation - Tier 1'!BD2,'Allocation CU RU'!$B$11:$I$82,8,))</f>
        <v>123473.17894938588</v>
      </c>
      <c r="BE76" s="74">
        <f>($G$76-$H$76)*(VLOOKUP('Cost Allocation - Tier 1'!BE2,'Allocation CU RU'!$B$11:$I$82,8,))</f>
        <v>112607.59462779085</v>
      </c>
      <c r="BF76" s="74">
        <f>($G$76-$H$76)*(VLOOKUP('Cost Allocation - Tier 1'!BF2,'Allocation CU RU'!$B$11:$I$82,8,))</f>
        <v>68945.492808424955</v>
      </c>
      <c r="BG76" s="74">
        <f>($G$76-$H$76)*(VLOOKUP('Cost Allocation - Tier 1'!BG2,'Allocation CU RU'!$B$11:$I$82,8,))</f>
        <v>127421.3598569427</v>
      </c>
      <c r="BH76" s="74">
        <f>($G$76-$H$76)*(VLOOKUP('Cost Allocation - Tier 1'!BH2,'Allocation CU RU'!$B$11:$I$82,8,))</f>
        <v>99815.910605466153</v>
      </c>
      <c r="BI76" s="74">
        <f>($G$76-$H$76)*(VLOOKUP('Cost Allocation - Tier 1'!BI2,'Allocation CU RU'!$B$11:$I$82,8,))</f>
        <v>72680.706290592541</v>
      </c>
      <c r="BJ76" s="74">
        <f>($G$76-$H$76)*(VLOOKUP('Cost Allocation - Tier 1'!BJ2,'Allocation CU RU'!$B$11:$I$82,8,))</f>
        <v>40993.635767022257</v>
      </c>
      <c r="BK76" s="74">
        <f>($G$76-$H$76)*(VLOOKUP('Cost Allocation - Tier 1'!BK2,'Allocation CU RU'!$B$11:$I$82,8,))</f>
        <v>122834.49494937698</v>
      </c>
      <c r="BL76" s="76">
        <f t="shared" si="39"/>
        <v>1232833.6343807883</v>
      </c>
    </row>
    <row r="77" spans="1:73" outlineLevel="1" x14ac:dyDescent="0.25">
      <c r="A77" s="177" t="s">
        <v>475</v>
      </c>
      <c r="B77" s="3" t="s">
        <v>132</v>
      </c>
      <c r="C77" s="668" t="s">
        <v>857</v>
      </c>
      <c r="D77" s="775">
        <f t="shared" si="38"/>
        <v>1153459</v>
      </c>
      <c r="E77" s="775">
        <f t="shared" si="38"/>
        <v>869334.42867586657</v>
      </c>
      <c r="F77" s="775">
        <f t="shared" si="38"/>
        <v>41884.039402184157</v>
      </c>
      <c r="G77" s="775">
        <f>((E77-F77)*(1+Assumptions!$B$20))+F77</f>
        <v>918981.45203228761</v>
      </c>
      <c r="H77" s="242"/>
      <c r="I77" s="666">
        <f t="shared" si="40"/>
        <v>336671.40092091996</v>
      </c>
      <c r="J77" s="74">
        <f>($E$77-$H$13)*(VLOOKUP('Cost Allocation - Tier 1'!J2,'Allocation CU RU'!$B$11:$I$82,8,))</f>
        <v>2081.6447243841503</v>
      </c>
      <c r="K77" s="74">
        <f>($E$77-$H$13)*(VLOOKUP('Cost Allocation - Tier 1'!K2,'Allocation CU RU'!$B$11:$I$82,8,))</f>
        <v>617.62044660236006</v>
      </c>
      <c r="L77" s="74">
        <f>($E$77-$H$13)*(VLOOKUP('Cost Allocation - Tier 1'!L2,'Allocation CU RU'!$B$11:$I$82,8,))</f>
        <v>648.59513093148473</v>
      </c>
      <c r="M77" s="74">
        <f>($E$77-$H$13)*(VLOOKUP('Cost Allocation - Tier 1'!M2,'Allocation CU RU'!$B$11:$I$82,8,))</f>
        <v>619.74195340606809</v>
      </c>
      <c r="N77" s="74">
        <f>($E$77-$H$13)*(VLOOKUP('Cost Allocation - Tier 1'!N2,'Allocation CU RU'!$B$11:$I$82,8,))</f>
        <v>1085.1142912775799</v>
      </c>
      <c r="O77" s="74">
        <f>($E$77-$H$13)*(VLOOKUP('Cost Allocation - Tier 1'!O2,'Allocation CU RU'!$B$11:$I$82,8,))</f>
        <v>2484.2097239756417</v>
      </c>
      <c r="P77" s="74">
        <f>($E$77-$H$13)*(VLOOKUP('Cost Allocation - Tier 1'!P2,'Allocation CU RU'!$B$11:$I$82,8,))</f>
        <v>300.4987920548291</v>
      </c>
      <c r="Q77" s="74">
        <f>($E$77-$H$13)*(VLOOKUP('Cost Allocation - Tier 1'!Q2,'Allocation CU RU'!$B$11:$I$82,8,))</f>
        <v>795.60665745549579</v>
      </c>
      <c r="R77" s="74">
        <f>($E$77-$H$13)*(VLOOKUP('Cost Allocation - Tier 1'!R2,'Allocation CU RU'!$B$11:$I$82,8,))</f>
        <v>680.47436940671162</v>
      </c>
      <c r="S77" s="74">
        <f>($E$77-$H$13)*(VLOOKUP('Cost Allocation - Tier 1'!S2,'Allocation CU RU'!$B$11:$I$82,8,))</f>
        <v>700.06372152447022</v>
      </c>
      <c r="T77" s="74">
        <f>($E$77-$H$13)*(VLOOKUP('Cost Allocation - Tier 1'!T2,'Allocation CU RU'!$B$11:$I$82,8,))</f>
        <v>2535.6314711521877</v>
      </c>
      <c r="U77" s="74">
        <f>($E$77-$H$13)*(VLOOKUP('Cost Allocation - Tier 1'!U2,'Allocation CU RU'!$B$11:$I$82,8,))</f>
        <v>2024.445814143739</v>
      </c>
      <c r="V77" s="74">
        <f>($E$77-$H$13)*(VLOOKUP('Cost Allocation - Tier 1'!V2,'Allocation CU RU'!$B$11:$I$82,8,))</f>
        <v>1606.6542256556049</v>
      </c>
      <c r="W77" s="74">
        <f>($E$77-$H$13)*(VLOOKUP('Cost Allocation - Tier 1'!W2,'Allocation CU RU'!$B$11:$I$82,8,))</f>
        <v>2576.3745594801776</v>
      </c>
      <c r="X77" s="74">
        <f>($E$77-$H$13)*(VLOOKUP('Cost Allocation - Tier 1'!X2,'Allocation CU RU'!$B$11:$I$82,8,))</f>
        <v>63.716322054618225</v>
      </c>
      <c r="Y77" s="74">
        <f>($E$77-$H$13)*(VLOOKUP('Cost Allocation - Tier 1'!Y2,'Allocation CU RU'!$B$11:$I$82,8,))</f>
        <v>50.270578824826266</v>
      </c>
      <c r="Z77" s="74">
        <f>($E$77-$H$13)*(VLOOKUP('Cost Allocation - Tier 1'!Z2,'Allocation CU RU'!$B$11:$I$82,8,))</f>
        <v>243.12688958388853</v>
      </c>
      <c r="AA77" s="74">
        <f>($E$77-$H$13)*(VLOOKUP('Cost Allocation - Tier 1'!AA2,'Allocation CU RU'!$B$11:$I$82,8,))</f>
        <v>222.24404016395542</v>
      </c>
      <c r="AB77" s="74">
        <f>($E$77-$H$13)*(VLOOKUP('Cost Allocation - Tier 1'!AB2,'Allocation CU RU'!$B$11:$I$82,8,))</f>
        <v>133.71456355030625</v>
      </c>
      <c r="AC77" s="74">
        <f>($E$77-$H$13)*(VLOOKUP('Cost Allocation - Tier 1'!AC2,'Allocation CU RU'!$B$11:$I$82,8,))</f>
        <v>136.71734949180362</v>
      </c>
      <c r="AD77" s="74">
        <f>($E$77-$H$13)*(VLOOKUP('Cost Allocation - Tier 1'!AD2,'Allocation CU RU'!$B$11:$I$82,8,))</f>
        <v>775.39227755043419</v>
      </c>
      <c r="AE77" s="74">
        <f>($E$77-$H$13)*(VLOOKUP('Cost Allocation - Tier 1'!AE2,'Allocation CU RU'!$B$11:$I$82,8,))</f>
        <v>311.0623959148582</v>
      </c>
      <c r="AF77" s="74">
        <f>($E$77-$H$13)*(VLOOKUP('Cost Allocation - Tier 1'!AF2,'Allocation CU RU'!$B$11:$I$82,8,))</f>
        <v>809.26741644105118</v>
      </c>
      <c r="AG77" s="74">
        <f>($E$77-$H$13)*(VLOOKUP('Cost Allocation - Tier 1'!AG2,'Allocation CU RU'!$B$11:$I$82,8,))</f>
        <v>2512.7531891308604</v>
      </c>
      <c r="AH77" s="74">
        <f>($E$77-$H$13)*(VLOOKUP('Cost Allocation - Tier 1'!AH2,'Allocation CU RU'!$B$11:$I$82,8,))</f>
        <v>20593.509037546824</v>
      </c>
      <c r="AI77" s="74">
        <f>($E$77-$H$13)*(VLOOKUP('Cost Allocation - Tier 1'!AI2,'Allocation CU RU'!$B$11:$I$82,8,))</f>
        <v>142.95625839888399</v>
      </c>
      <c r="AJ77" s="74">
        <f>($E$77-$H$13)*(VLOOKUP('Cost Allocation - Tier 1'!AJ2,'Allocation CU RU'!$B$11:$I$82,8,))</f>
        <v>3032.8982353040456</v>
      </c>
      <c r="AK77" s="74">
        <f>($E$77-$H$13)*(VLOOKUP('Cost Allocation - Tier 1'!AK2,'Allocation CU RU'!$B$11:$I$82,8,))</f>
        <v>2608.1265627887055</v>
      </c>
      <c r="AL77" s="74">
        <f>($E$77-$H$13)*(VLOOKUP('Cost Allocation - Tier 1'!AL2,'Allocation CU RU'!$B$11:$I$82,8,))</f>
        <v>0</v>
      </c>
      <c r="AM77" s="74">
        <f>($E$77-$H$13)*(VLOOKUP('Cost Allocation - Tier 1'!AM2,'Allocation CU RU'!$B$11:$I$82,8,))</f>
        <v>318.31976608585057</v>
      </c>
      <c r="AN77" s="74">
        <f>($E$77-$H$13)*(VLOOKUP('Cost Allocation - Tier 1'!AN2,'Allocation CU RU'!$B$11:$I$82,8,))</f>
        <v>538.19391044114684</v>
      </c>
      <c r="AO77" s="74">
        <f>($E$77-$H$13)*(VLOOKUP('Cost Allocation - Tier 1'!AO2,'Allocation CU RU'!$B$11:$I$82,8,))</f>
        <v>3171.0898664236774</v>
      </c>
      <c r="AP77" s="74">
        <f>($E$77-$H$13)*(VLOOKUP('Cost Allocation - Tier 1'!AP2,'Allocation CU RU'!$B$11:$I$82,8,))</f>
        <v>480.33457106295117</v>
      </c>
      <c r="AQ77" s="74">
        <f>($E$77-$H$13)*(VLOOKUP('Cost Allocation - Tier 1'!AQ2,'Allocation CU RU'!$B$11:$I$82,8,))</f>
        <v>3013.281893668373</v>
      </c>
      <c r="AR77" s="74">
        <f>($E$77-$H$13)*(VLOOKUP('Cost Allocation - Tier 1'!AR2,'Allocation CU RU'!$B$11:$I$82,8,))</f>
        <v>9.1143851745619777</v>
      </c>
      <c r="AS77" s="74">
        <f>($E$77-$H$13)*(VLOOKUP('Cost Allocation - Tier 1'!AS2,'Allocation CU RU'!$B$11:$I$82,8,))</f>
        <v>4441.0879142911599</v>
      </c>
      <c r="AT77" s="74">
        <f>($E$77-$H$13)*(VLOOKUP('Cost Allocation - Tier 1'!AT2,'Allocation CU RU'!$B$11:$I$82,8,))</f>
        <v>3683.9716563172324</v>
      </c>
      <c r="AU77" s="74">
        <f>($E$77-$H$13)*(VLOOKUP('Cost Allocation - Tier 1'!AU2,'Allocation CU RU'!$B$11:$I$82,8,))</f>
        <v>5151.4209549223388</v>
      </c>
      <c r="AV77" s="74">
        <f>($E$77-$H$13)*(VLOOKUP('Cost Allocation - Tier 1'!AV2,'Allocation CU RU'!$B$11:$I$82,8,))</f>
        <v>7239.591022743497</v>
      </c>
      <c r="AW77" s="74">
        <f>($E$77-$H$13)*(VLOOKUP('Cost Allocation - Tier 1'!AW2,'Allocation CU RU'!$B$11:$I$82,8,))</f>
        <v>18542.274601082703</v>
      </c>
      <c r="AX77" s="74">
        <f>($E$77-$H$13)*(VLOOKUP('Cost Allocation - Tier 1'!AX2,'Allocation CU RU'!$B$11:$I$82,8,))</f>
        <v>193.35120756538439</v>
      </c>
      <c r="AY77" s="74">
        <f>($G$77-$H$77)*(VLOOKUP('Cost Allocation - Tier 1'!AY2,'Allocation CU RU'!$B$11:$I$82,8,))</f>
        <v>63054.478830379026</v>
      </c>
      <c r="AZ77" s="74">
        <f>($G$77-$H$77)*(VLOOKUP('Cost Allocation - Tier 1'!AZ2,'Allocation CU RU'!$B$11:$I$82,8,))</f>
        <v>2120.5321249226631</v>
      </c>
      <c r="BA77" s="74">
        <f>($G$77-$H$77)*(VLOOKUP('Cost Allocation - Tier 1'!BA2,'Allocation CU RU'!$B$11:$I$82,8,))</f>
        <v>38236.357023429657</v>
      </c>
      <c r="BB77" s="74">
        <f>($E$77-$H$13)*(VLOOKUP('Cost Allocation - Tier 1'!BB2,'Allocation CU RU'!$B$11:$I$82,8,))</f>
        <v>136085.57019421415</v>
      </c>
      <c r="BC77" s="666">
        <f t="shared" si="41"/>
        <v>568988.74929517298</v>
      </c>
      <c r="BD77" s="74">
        <f>($G$77-$H$77)*(VLOOKUP('Cost Allocation - Tier 1'!BD2,'Allocation CU RU'!$B$11:$I$82,8,))</f>
        <v>91385.762614774838</v>
      </c>
      <c r="BE77" s="74">
        <f>($G$77-$H$77)*(VLOOKUP('Cost Allocation - Tier 1'!BE2,'Allocation CU RU'!$B$11:$I$82,8,))</f>
        <v>83343.856526885589</v>
      </c>
      <c r="BF77" s="74">
        <f>($G$77-$H$77)*(VLOOKUP('Cost Allocation - Tier 1'!BF2,'Allocation CU RU'!$B$11:$I$82,8,))</f>
        <v>51028.381165533487</v>
      </c>
      <c r="BG77" s="74">
        <f>($G$77-$H$77)*(VLOOKUP('Cost Allocation - Tier 1'!BG2,'Allocation CU RU'!$B$11:$I$82,8,))</f>
        <v>94307.91563819439</v>
      </c>
      <c r="BH77" s="74">
        <f>($G$77-$H$77)*(VLOOKUP('Cost Allocation - Tier 1'!BH2,'Allocation CU RU'!$B$11:$I$82,8,))</f>
        <v>73876.393151810757</v>
      </c>
      <c r="BI77" s="74">
        <f>($G$77-$H$77)*(VLOOKUP('Cost Allocation - Tier 1'!BI2,'Allocation CU RU'!$B$11:$I$82,8,))</f>
        <v>53792.911369593414</v>
      </c>
      <c r="BJ77" s="74">
        <f>($G$77-$H$77)*(VLOOKUP('Cost Allocation - Tier 1'!BJ2,'Allocation CU RU'!$B$11:$I$82,8,))</f>
        <v>30340.473119731494</v>
      </c>
      <c r="BK77" s="74">
        <f>($G$77-$H$77)*(VLOOKUP('Cost Allocation - Tier 1'!BK2,'Allocation CU RU'!$B$11:$I$82,8,))</f>
        <v>90913.055708649132</v>
      </c>
      <c r="BL77" s="76">
        <f t="shared" si="39"/>
        <v>905660.15021609294</v>
      </c>
    </row>
    <row r="78" spans="1:73" ht="30" outlineLevel="1" x14ac:dyDescent="0.25">
      <c r="A78" s="669" t="s">
        <v>827</v>
      </c>
      <c r="B78" s="670" t="s">
        <v>862</v>
      </c>
      <c r="C78" s="679" t="s">
        <v>863</v>
      </c>
      <c r="D78" s="775">
        <f t="shared" si="38"/>
        <v>158781.74609999999</v>
      </c>
      <c r="E78" s="775">
        <f t="shared" si="38"/>
        <v>119670</v>
      </c>
      <c r="F78" s="775">
        <f t="shared" si="38"/>
        <v>0</v>
      </c>
      <c r="G78" s="664">
        <f>E78</f>
        <v>119670</v>
      </c>
      <c r="H78" s="674"/>
      <c r="I78" s="675">
        <f t="shared" si="40"/>
        <v>119670</v>
      </c>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676">
        <f>($E$78-$H$78)*(VLOOKUP('Cost Allocation - Tier 1'!AY2,'CU Composites'!$B$52:$J$55,8,))</f>
        <v>32481.857142857149</v>
      </c>
      <c r="AZ78" s="676">
        <f>($E$78-$H$78)*(VLOOKUP('Cost Allocation - Tier 1'!AZ2,'CU Composites'!$B$52:$J$55,8,))</f>
        <v>2778.0535714285716</v>
      </c>
      <c r="BA78" s="676">
        <f>($E$78-$H$78)*(VLOOKUP('Cost Allocation - Tier 1'!BA2,'CU Composites'!$B$52:$J$55,8,))</f>
        <v>23506.607142857141</v>
      </c>
      <c r="BB78" s="676">
        <f>($E$78-$H$78)*(VLOOKUP('Cost Allocation - Tier 1'!BB2,'CU Composites'!$B$52:$J$55,8,))</f>
        <v>60903.482142857138</v>
      </c>
      <c r="BC78" s="675">
        <f t="shared" si="41"/>
        <v>0</v>
      </c>
      <c r="BD78" s="74"/>
      <c r="BE78" s="74"/>
      <c r="BF78" s="74"/>
      <c r="BG78" s="74"/>
      <c r="BH78" s="74"/>
      <c r="BI78" s="74"/>
      <c r="BJ78" s="74"/>
      <c r="BK78" s="74"/>
      <c r="BL78" s="677">
        <f t="shared" si="39"/>
        <v>119670</v>
      </c>
    </row>
    <row r="79" spans="1:73" outlineLevel="1" x14ac:dyDescent="0.25">
      <c r="A79" s="177" t="s">
        <v>476</v>
      </c>
      <c r="B79" s="3" t="s">
        <v>132</v>
      </c>
      <c r="C79" s="668" t="s">
        <v>857</v>
      </c>
      <c r="D79" s="775">
        <f t="shared" si="38"/>
        <v>881802</v>
      </c>
      <c r="E79" s="775">
        <f t="shared" si="38"/>
        <v>664593.05261412542</v>
      </c>
      <c r="F79" s="775">
        <f t="shared" si="38"/>
        <v>284257.96824009105</v>
      </c>
      <c r="G79" s="775">
        <f>((E79-F79)*(1+Assumptions!$B$20))+F79</f>
        <v>687413.15767656756</v>
      </c>
      <c r="H79" s="242"/>
      <c r="I79" s="666">
        <f t="shared" si="40"/>
        <v>255677.17005282658</v>
      </c>
      <c r="J79" s="74">
        <f>($E$79-$H$15)*(VLOOKUP('Cost Allocation - Tier 1'!J2,'Allocation CU RU'!$B$11:$I$82,8,))</f>
        <v>1591.3859801270721</v>
      </c>
      <c r="K79" s="74">
        <f>($E$79-$H$15)*(VLOOKUP('Cost Allocation - Tier 1'!K2,'Allocation CU RU'!$B$11:$I$82,8,))</f>
        <v>472.16151164007937</v>
      </c>
      <c r="L79" s="74">
        <f>($E$79-$H$15)*(VLOOKUP('Cost Allocation - Tier 1'!L2,'Allocation CU RU'!$B$11:$I$82,8,))</f>
        <v>495.84119040698033</v>
      </c>
      <c r="M79" s="74">
        <f>($E$79-$H$15)*(VLOOKUP('Cost Allocation - Tier 1'!M2,'Allocation CU RU'!$B$11:$I$82,8,))</f>
        <v>473.78337157833755</v>
      </c>
      <c r="N79" s="74">
        <f>($E$79-$H$15)*(VLOOKUP('Cost Allocation - Tier 1'!N2,'Allocation CU RU'!$B$11:$I$82,8,))</f>
        <v>829.55350149173273</v>
      </c>
      <c r="O79" s="74">
        <f>($E$79-$H$15)*(VLOOKUP('Cost Allocation - Tier 1'!O2,'Allocation CU RU'!$B$11:$I$82,8,))</f>
        <v>1899.1408476774373</v>
      </c>
      <c r="P79" s="74">
        <f>($E$79-$H$15)*(VLOOKUP('Cost Allocation - Tier 1'!P2,'Allocation CU RU'!$B$11:$I$82,8,))</f>
        <v>229.72679205028734</v>
      </c>
      <c r="Q79" s="74">
        <f>($E$79-$H$15)*(VLOOKUP('Cost Allocation - Tier 1'!Q2,'Allocation CU RU'!$B$11:$I$82,8,))</f>
        <v>608.22928405567177</v>
      </c>
      <c r="R79" s="74">
        <f>($E$79-$H$15)*(VLOOKUP('Cost Allocation - Tier 1'!R2,'Allocation CU RU'!$B$11:$I$82,8,))</f>
        <v>520.21238716900825</v>
      </c>
      <c r="S79" s="74">
        <f>($E$79-$H$15)*(VLOOKUP('Cost Allocation - Tier 1'!S2,'Allocation CU RU'!$B$11:$I$82,8,))</f>
        <v>535.18815126304526</v>
      </c>
      <c r="T79" s="74">
        <f>($E$79-$H$15)*(VLOOKUP('Cost Allocation - Tier 1'!T2,'Allocation CU RU'!$B$11:$I$82,8,))</f>
        <v>1938.4519974484931</v>
      </c>
      <c r="U79" s="74">
        <f>($E$79-$H$15)*(VLOOKUP('Cost Allocation - Tier 1'!U2,'Allocation CU RU'!$B$11:$I$82,8,))</f>
        <v>1547.6582763700985</v>
      </c>
      <c r="V79" s="74">
        <f>($E$79-$H$15)*(VLOOKUP('Cost Allocation - Tier 1'!V2,'Allocation CU RU'!$B$11:$I$82,8,))</f>
        <v>1228.2629113748851</v>
      </c>
      <c r="W79" s="74">
        <f>($E$79-$H$15)*(VLOOKUP('Cost Allocation - Tier 1'!W2,'Allocation CU RU'!$B$11:$I$82,8,))</f>
        <v>1969.5994736689729</v>
      </c>
      <c r="X79" s="74">
        <f>($E$79-$H$15)*(VLOOKUP('Cost Allocation - Tier 1'!X2,'Allocation CU RU'!$B$11:$I$82,8,))</f>
        <v>48.710166742299869</v>
      </c>
      <c r="Y79" s="74">
        <f>($E$79-$H$15)*(VLOOKUP('Cost Allocation - Tier 1'!Y2,'Allocation CU RU'!$B$11:$I$82,8,))</f>
        <v>38.431098937100884</v>
      </c>
      <c r="Z79" s="74">
        <f>($E$79-$H$15)*(VLOOKUP('Cost Allocation - Tier 1'!Z2,'Allocation CU RU'!$B$11:$I$82,8,))</f>
        <v>185.86683834349734</v>
      </c>
      <c r="AA79" s="74">
        <f>($E$79-$H$15)*(VLOOKUP('Cost Allocation - Tier 1'!AA2,'Allocation CU RU'!$B$11:$I$82,8,))</f>
        <v>169.9022150806021</v>
      </c>
      <c r="AB79" s="74">
        <f>($E$79-$H$15)*(VLOOKUP('Cost Allocation - Tier 1'!AB2,'Allocation CU RU'!$B$11:$I$82,8,))</f>
        <v>102.22276610420236</v>
      </c>
      <c r="AC79" s="74">
        <f>($E$79-$H$15)*(VLOOKUP('Cost Allocation - Tier 1'!AC2,'Allocation CU RU'!$B$11:$I$82,8,))</f>
        <v>104.51835064494828</v>
      </c>
      <c r="AD79" s="74">
        <f>($E$79-$H$15)*(VLOOKUP('Cost Allocation - Tier 1'!AD2,'Allocation CU RU'!$B$11:$I$82,8,))</f>
        <v>592.77569564980456</v>
      </c>
      <c r="AE79" s="74">
        <f>($E$79-$H$15)*(VLOOKUP('Cost Allocation - Tier 1'!AE2,'Allocation CU RU'!$B$11:$I$82,8,))</f>
        <v>237.80250779829524</v>
      </c>
      <c r="AF79" s="74">
        <f>($E$79-$H$15)*(VLOOKUP('Cost Allocation - Tier 1'!AF2,'Allocation CU RU'!$B$11:$I$82,8,))</f>
        <v>618.67272816160073</v>
      </c>
      <c r="AG79" s="74">
        <f>($E$79-$H$15)*(VLOOKUP('Cost Allocation - Tier 1'!AG2,'Allocation CU RU'!$B$11:$I$82,8,))</f>
        <v>1920.9618960725704</v>
      </c>
      <c r="AH79" s="74">
        <f>($E$79-$H$15)*(VLOOKUP('Cost Allocation - Tier 1'!AH2,'Allocation CU RU'!$B$11:$I$82,8,))</f>
        <v>15743.426906658031</v>
      </c>
      <c r="AI79" s="74">
        <f>($E$79-$H$15)*(VLOOKUP('Cost Allocation - Tier 1'!AI2,'Allocation CU RU'!$B$11:$I$82,8,))</f>
        <v>109.28790236033764</v>
      </c>
      <c r="AJ79" s="74">
        <f>($E$79-$H$15)*(VLOOKUP('Cost Allocation - Tier 1'!AJ2,'Allocation CU RU'!$B$11:$I$82,8,))</f>
        <v>2318.6049349717487</v>
      </c>
      <c r="AK79" s="74">
        <f>($E$79-$H$15)*(VLOOKUP('Cost Allocation - Tier 1'!AK2,'Allocation CU RU'!$B$11:$I$82,8,))</f>
        <v>1993.8734010660164</v>
      </c>
      <c r="AL79" s="74">
        <f>($E$79-$H$15)*(VLOOKUP('Cost Allocation - Tier 1'!AL2,'Allocation CU RU'!$B$11:$I$82,8,))</f>
        <v>0</v>
      </c>
      <c r="AM79" s="74">
        <f>($E$79-$H$15)*(VLOOKUP('Cost Allocation - Tier 1'!AM2,'Allocation CU RU'!$B$11:$I$82,8,))</f>
        <v>243.35065778153816</v>
      </c>
      <c r="AN79" s="74">
        <f>($E$79-$H$15)*(VLOOKUP('Cost Allocation - Tier 1'!AN2,'Allocation CU RU'!$B$11:$I$82,8,))</f>
        <v>411.44112327774479</v>
      </c>
      <c r="AO79" s="74">
        <f>($E$79-$H$15)*(VLOOKUP('Cost Allocation - Tier 1'!AO2,'Allocation CU RU'!$B$11:$I$82,8,))</f>
        <v>2424.2503516745123</v>
      </c>
      <c r="AP79" s="74">
        <f>($E$79-$H$15)*(VLOOKUP('Cost Allocation - Tier 1'!AP2,'Allocation CU RU'!$B$11:$I$82,8,))</f>
        <v>367.20853141069813</v>
      </c>
      <c r="AQ79" s="74">
        <f>($E$79-$H$15)*(VLOOKUP('Cost Allocation - Tier 1'!AQ2,'Allocation CU RU'!$B$11:$I$82,8,))</f>
        <v>2303.6085377985332</v>
      </c>
      <c r="AR79" s="74">
        <f>($E$79-$H$15)*(VLOOKUP('Cost Allocation - Tier 1'!AR2,'Allocation CU RU'!$B$11:$I$82,8,))</f>
        <v>6.9678099314315478</v>
      </c>
      <c r="AS79" s="74">
        <f>($E$79-$H$15)*(VLOOKUP('Cost Allocation - Tier 1'!AS2,'Allocation CU RU'!$B$11:$I$82,8,))</f>
        <v>3395.1446952148049</v>
      </c>
      <c r="AT79" s="74">
        <f>($E$79-$H$15)*(VLOOKUP('Cost Allocation - Tier 1'!AT2,'Allocation CU RU'!$B$11:$I$82,8,))</f>
        <v>2816.3407407492141</v>
      </c>
      <c r="AU79" s="74">
        <f>($E$79-$H$15)*(VLOOKUP('Cost Allocation - Tier 1'!AU2,'Allocation CU RU'!$B$11:$I$82,8,))</f>
        <v>3938.1835859726511</v>
      </c>
      <c r="AV79" s="74">
        <f>($E$79-$H$15)*(VLOOKUP('Cost Allocation - Tier 1'!AV2,'Allocation CU RU'!$B$11:$I$82,8,))</f>
        <v>5534.5580926909934</v>
      </c>
      <c r="AW79" s="74">
        <f>($E$79-$H$15)*(VLOOKUP('Cost Allocation - Tier 1'!AW2,'Allocation CU RU'!$B$11:$I$82,8,))</f>
        <v>14175.28913275975</v>
      </c>
      <c r="AX79" s="74">
        <f>($E$79-$H$15)*(VLOOKUP('Cost Allocation - Tier 1'!AX2,'Allocation CU RU'!$B$11:$I$82,8,))</f>
        <v>147.81408054692113</v>
      </c>
      <c r="AY79" s="74">
        <f>($G$79-$H$79)*(VLOOKUP('Cost Allocation - Tier 1'!AY2,'Allocation CU RU'!$B$11:$I$82,8,))</f>
        <v>47165.781531919602</v>
      </c>
      <c r="AZ79" s="74">
        <f>($G$79-$H$79)*(VLOOKUP('Cost Allocation - Tier 1'!AZ2,'Allocation CU RU'!$B$11:$I$82,8,))</f>
        <v>1586.1927144711026</v>
      </c>
      <c r="BA79" s="74">
        <f>($G$79-$H$79)*(VLOOKUP('Cost Allocation - Tier 1'!BA2,'Allocation CU RU'!$B$11:$I$82,8,))</f>
        <v>28601.420476330695</v>
      </c>
      <c r="BB79" s="74">
        <f>($E$79-$H$15)*(VLOOKUP('Cost Allocation - Tier 1'!BB2,'Allocation CU RU'!$B$11:$I$82,8,))</f>
        <v>104035.36490538322</v>
      </c>
      <c r="BC79" s="666">
        <f t="shared" si="41"/>
        <v>425612.89128357056</v>
      </c>
      <c r="BD79" s="74">
        <f>($G$79-$H$79)*(VLOOKUP('Cost Allocation - Tier 1'!BD2,'Allocation CU RU'!$B$11:$I$82,8,))</f>
        <v>68358.04521057567</v>
      </c>
      <c r="BE79" s="74">
        <f>($G$79-$H$79)*(VLOOKUP('Cost Allocation - Tier 1'!BE2,'Allocation CU RU'!$B$11:$I$82,8,))</f>
        <v>62342.567917329783</v>
      </c>
      <c r="BF79" s="74">
        <f>($G$79-$H$79)*(VLOOKUP('Cost Allocation - Tier 1'!BF2,'Allocation CU RU'!$B$11:$I$82,8,))</f>
        <v>38170.06377065643</v>
      </c>
      <c r="BG79" s="74">
        <f>($G$79-$H$79)*(VLOOKUP('Cost Allocation - Tier 1'!BG2,'Allocation CU RU'!$B$11:$I$82,8,))</f>
        <v>70543.863469040793</v>
      </c>
      <c r="BH79" s="74">
        <f>($G$79-$H$79)*(VLOOKUP('Cost Allocation - Tier 1'!BH2,'Allocation CU RU'!$B$11:$I$82,8,))</f>
        <v>55260.750455774752</v>
      </c>
      <c r="BI79" s="74">
        <f>($G$79-$H$79)*(VLOOKUP('Cost Allocation - Tier 1'!BI2,'Allocation CU RU'!$B$11:$I$82,8,))</f>
        <v>40237.977582042375</v>
      </c>
      <c r="BJ79" s="74">
        <f>($G$79-$H$79)*(VLOOKUP('Cost Allocation - Tier 1'!BJ2,'Allocation CU RU'!$B$11:$I$82,8,))</f>
        <v>22695.170165309137</v>
      </c>
      <c r="BK79" s="74">
        <f>($G$79-$H$79)*(VLOOKUP('Cost Allocation - Tier 1'!BK2,'Allocation CU RU'!$B$11:$I$82,8,))</f>
        <v>68004.452712841579</v>
      </c>
      <c r="BL79" s="76">
        <f t="shared" si="39"/>
        <v>681290.06133639719</v>
      </c>
    </row>
    <row r="80" spans="1:73" outlineLevel="1" x14ac:dyDescent="0.25">
      <c r="A80" s="177" t="s">
        <v>477</v>
      </c>
      <c r="B80" s="3" t="s">
        <v>858</v>
      </c>
      <c r="C80" s="668" t="s">
        <v>857</v>
      </c>
      <c r="D80" s="775">
        <f t="shared" si="38"/>
        <v>322578</v>
      </c>
      <c r="E80" s="775">
        <f t="shared" si="38"/>
        <v>243119.31445626041</v>
      </c>
      <c r="F80" s="775">
        <f t="shared" si="38"/>
        <v>29.393366143364261</v>
      </c>
      <c r="G80" s="775">
        <f>((E80-F80)*(1+Assumptions!$B$20))+F80</f>
        <v>257704.70972166746</v>
      </c>
      <c r="H80" s="637">
        <f>G80*Assumptions!$B$18</f>
        <v>5154.094194433349</v>
      </c>
      <c r="I80" s="666">
        <f t="shared" si="40"/>
        <v>92348.235985338091</v>
      </c>
      <c r="J80" s="74">
        <f>($E$80-$H$16)*(VLOOKUP('Cost Allocation - Tier 1'!J2,'Allocation CU RU'!$B$11:$I$82,8,))</f>
        <v>570.51263726265313</v>
      </c>
      <c r="K80" s="74">
        <f>($E$80-$H$16)*(VLOOKUP('Cost Allocation - Tier 1'!K2,'Allocation CU RU'!$B$11:$I$82,8,))</f>
        <v>169.270128418621</v>
      </c>
      <c r="L80" s="74">
        <f>($E$80-$H$16)*(VLOOKUP('Cost Allocation - Tier 1'!L2,'Allocation CU RU'!$B$11:$I$82,8,))</f>
        <v>177.75930461568564</v>
      </c>
      <c r="M80" s="74">
        <f>($E$80-$H$16)*(VLOOKUP('Cost Allocation - Tier 1'!M2,'Allocation CU RU'!$B$11:$I$82,8,))</f>
        <v>169.85156598449203</v>
      </c>
      <c r="N80" s="74">
        <f>($E$80-$H$16)*(VLOOKUP('Cost Allocation - Tier 1'!N2,'Allocation CU RU'!$B$11:$I$82,8,))</f>
        <v>297.39532822120628</v>
      </c>
      <c r="O80" s="74">
        <f>($E$80-$H$16)*(VLOOKUP('Cost Allocation - Tier 1'!O2,'Allocation CU RU'!$B$11:$I$82,8,))</f>
        <v>680.84290490932256</v>
      </c>
      <c r="P80" s="74">
        <f>($E$80-$H$16)*(VLOOKUP('Cost Allocation - Tier 1'!P2,'Allocation CU RU'!$B$11:$I$82,8,))</f>
        <v>82.35716514986089</v>
      </c>
      <c r="Q80" s="74">
        <f>($E$80-$H$16)*(VLOOKUP('Cost Allocation - Tier 1'!Q2,'Allocation CU RU'!$B$11:$I$82,8,))</f>
        <v>218.0504901012566</v>
      </c>
      <c r="R80" s="74">
        <f>($E$80-$H$16)*(VLOOKUP('Cost Allocation - Tier 1'!R2,'Allocation CU RU'!$B$11:$I$82,8,))</f>
        <v>186.49639034572417</v>
      </c>
      <c r="S80" s="74">
        <f>($E$80-$H$16)*(VLOOKUP('Cost Allocation - Tier 1'!S2,'Allocation CU RU'!$B$11:$I$82,8,))</f>
        <v>191.86520895730331</v>
      </c>
      <c r="T80" s="74">
        <f>($E$80-$H$16)*(VLOOKUP('Cost Allocation - Tier 1'!T2,'Allocation CU RU'!$B$11:$I$82,8,))</f>
        <v>694.935970959786</v>
      </c>
      <c r="U80" s="74">
        <f>($E$80-$H$16)*(VLOOKUP('Cost Allocation - Tier 1'!U2,'Allocation CU RU'!$B$11:$I$82,8,))</f>
        <v>554.8362344896193</v>
      </c>
      <c r="V80" s="74">
        <f>($E$80-$H$16)*(VLOOKUP('Cost Allocation - Tier 1'!V2,'Allocation CU RU'!$B$11:$I$82,8,))</f>
        <v>440.33284292503072</v>
      </c>
      <c r="W80" s="74">
        <f>($E$80-$H$16)*(VLOOKUP('Cost Allocation - Tier 1'!W2,'Allocation CU RU'!$B$11:$I$82,8,))</f>
        <v>706.1023561262574</v>
      </c>
      <c r="X80" s="74">
        <f>($E$80-$H$16)*(VLOOKUP('Cost Allocation - Tier 1'!X2,'Allocation CU RU'!$B$11:$I$82,8,))</f>
        <v>17.46261814335832</v>
      </c>
      <c r="Y80" s="74">
        <f>($E$80-$H$16)*(VLOOKUP('Cost Allocation - Tier 1'!Y2,'Allocation CU RU'!$B$11:$I$82,8,))</f>
        <v>13.777567404330549</v>
      </c>
      <c r="Z80" s="74">
        <f>($E$80-$H$16)*(VLOOKUP('Cost Allocation - Tier 1'!Z2,'Allocation CU RU'!$B$11:$I$82,8,))</f>
        <v>66.63335070637774</v>
      </c>
      <c r="AA80" s="74">
        <f>($E$80-$H$16)*(VLOOKUP('Cost Allocation - Tier 1'!AA2,'Allocation CU RU'!$B$11:$I$82,8,))</f>
        <v>60.910025608407615</v>
      </c>
      <c r="AB80" s="74">
        <f>($E$80-$H$16)*(VLOOKUP('Cost Allocation - Tier 1'!AB2,'Allocation CU RU'!$B$11:$I$82,8,))</f>
        <v>36.64691068456883</v>
      </c>
      <c r="AC80" s="74">
        <f>($E$80-$H$16)*(VLOOKUP('Cost Allocation - Tier 1'!AC2,'Allocation CU RU'!$B$11:$I$82,8,))</f>
        <v>37.469878843617053</v>
      </c>
      <c r="AD80" s="74">
        <f>($E$80-$H$16)*(VLOOKUP('Cost Allocation - Tier 1'!AD2,'Allocation CU RU'!$B$11:$I$82,8,))</f>
        <v>212.51037124467422</v>
      </c>
      <c r="AE80" s="74">
        <f>($E$80-$H$16)*(VLOOKUP('Cost Allocation - Tier 1'!AE2,'Allocation CU RU'!$B$11:$I$82,8,))</f>
        <v>85.252313119438725</v>
      </c>
      <c r="AF80" s="74">
        <f>($E$80-$H$16)*(VLOOKUP('Cost Allocation - Tier 1'!AF2,'Allocation CU RU'!$B$11:$I$82,8,))</f>
        <v>221.79446982294729</v>
      </c>
      <c r="AG80" s="74">
        <f>($E$80-$H$16)*(VLOOKUP('Cost Allocation - Tier 1'!AG2,'Allocation CU RU'!$B$11:$I$82,8,))</f>
        <v>688.6657612265243</v>
      </c>
      <c r="AH80" s="74">
        <f>($E$80-$H$16)*(VLOOKUP('Cost Allocation - Tier 1'!AH2,'Allocation CU RU'!$B$11:$I$82,8,))</f>
        <v>5644.0260981513029</v>
      </c>
      <c r="AI80" s="74">
        <f>($E$80-$H$16)*(VLOOKUP('Cost Allocation - Tier 1'!AI2,'Allocation CU RU'!$B$11:$I$82,8,))</f>
        <v>39.179765421535826</v>
      </c>
      <c r="AJ80" s="74">
        <f>($E$80-$H$16)*(VLOOKUP('Cost Allocation - Tier 1'!AJ2,'Allocation CU RU'!$B$11:$I$82,8,))</f>
        <v>831.22098142105631</v>
      </c>
      <c r="AK80" s="74">
        <f>($E$80-$H$16)*(VLOOKUP('Cost Allocation - Tier 1'!AK2,'Allocation CU RU'!$B$11:$I$82,8,))</f>
        <v>714.804570742289</v>
      </c>
      <c r="AL80" s="74">
        <f>($E$80-$H$16)*(VLOOKUP('Cost Allocation - Tier 1'!AL2,'Allocation CU RU'!$B$11:$I$82,8,))</f>
        <v>0</v>
      </c>
      <c r="AM80" s="74">
        <f>($E$80-$H$16)*(VLOOKUP('Cost Allocation - Tier 1'!AM2,'Allocation CU RU'!$B$11:$I$82,8,))</f>
        <v>87.241327549876218</v>
      </c>
      <c r="AN80" s="74">
        <f>($E$80-$H$16)*(VLOOKUP('Cost Allocation - Tier 1'!AN2,'Allocation CU RU'!$B$11:$I$82,8,))</f>
        <v>147.50184006318264</v>
      </c>
      <c r="AO80" s="74">
        <f>($E$80-$H$16)*(VLOOKUP('Cost Allocation - Tier 1'!AO2,'Allocation CU RU'!$B$11:$I$82,8,))</f>
        <v>869.09491398705336</v>
      </c>
      <c r="AP80" s="74">
        <f>($E$80-$H$16)*(VLOOKUP('Cost Allocation - Tier 1'!AP2,'Allocation CU RU'!$B$11:$I$82,8,))</f>
        <v>131.64443466049315</v>
      </c>
      <c r="AQ80" s="74">
        <f>($E$80-$H$16)*(VLOOKUP('Cost Allocation - Tier 1'!AQ2,'Allocation CU RU'!$B$11:$I$82,8,))</f>
        <v>825.84476584069409</v>
      </c>
      <c r="AR80" s="74">
        <f>($E$80-$H$16)*(VLOOKUP('Cost Allocation - Tier 1'!AR2,'Allocation CU RU'!$B$11:$I$82,8,))</f>
        <v>2.4979632028733199</v>
      </c>
      <c r="AS80" s="74">
        <f>($E$80-$H$16)*(VLOOKUP('Cost Allocation - Tier 1'!AS2,'Allocation CU RU'!$B$11:$I$82,8,))</f>
        <v>1217.161001883803</v>
      </c>
      <c r="AT80" s="74">
        <f>($E$80-$H$16)*(VLOOKUP('Cost Allocation - Tier 1'!AT2,'Allocation CU RU'!$B$11:$I$82,8,))</f>
        <v>1009.6595065559071</v>
      </c>
      <c r="AU80" s="74">
        <f>($E$80-$H$16)*(VLOOKUP('Cost Allocation - Tier 1'!AU2,'Allocation CU RU'!$B$11:$I$82,8,))</f>
        <v>1411.8407047159883</v>
      </c>
      <c r="AV80" s="74">
        <f>($E$80-$H$16)*(VLOOKUP('Cost Allocation - Tier 1'!AV2,'Allocation CU RU'!$B$11:$I$82,8,))</f>
        <v>1984.1417311546058</v>
      </c>
      <c r="AW80" s="74">
        <f>($E$80-$H$16)*(VLOOKUP('Cost Allocation - Tier 1'!AW2,'Allocation CU RU'!$B$11:$I$82,8,))</f>
        <v>5081.8479539738255</v>
      </c>
      <c r="AX80" s="74">
        <f>($E$80-$H$16)*(VLOOKUP('Cost Allocation - Tier 1'!AX2,'Allocation CU RU'!$B$11:$I$82,8,))</f>
        <v>52.991418782415352</v>
      </c>
      <c r="AY80" s="74">
        <f>($G$80-$H$80)*(VLOOKUP('Cost Allocation - Tier 1'!AY2,'Allocation CU RU'!$B$11:$I$82,8,))</f>
        <v>17328.366535739053</v>
      </c>
      <c r="AZ80" s="74">
        <f>($G$80-$H$80)*(VLOOKUP('Cost Allocation - Tier 1'!AZ2,'Allocation CU RU'!$B$11:$I$82,8,))</f>
        <v>582.75571526516126</v>
      </c>
      <c r="BA80" s="74">
        <f>($G$80-$H$80)*(VLOOKUP('Cost Allocation - Tier 1'!BA2,'Allocation CU RU'!$B$11:$I$82,8,))</f>
        <v>10507.954736660957</v>
      </c>
      <c r="BB80" s="74">
        <f>($E$80-$H$16)*(VLOOKUP('Cost Allocation - Tier 1'!BB2,'Allocation CU RU'!$B$11:$I$82,8,))</f>
        <v>37296.728224294944</v>
      </c>
      <c r="BC80" s="666">
        <f t="shared" si="41"/>
        <v>156367.09374795776</v>
      </c>
      <c r="BD80" s="74">
        <f>($G$80-$H$80)*(VLOOKUP('Cost Allocation - Tier 1'!BD2,'Allocation CU RU'!$B$11:$I$82,8,))</f>
        <v>25114.250725896265</v>
      </c>
      <c r="BE80" s="74">
        <f>($G$80-$H$80)*(VLOOKUP('Cost Allocation - Tier 1'!BE2,'Allocation CU RU'!$B$11:$I$82,8,))</f>
        <v>22904.207935568782</v>
      </c>
      <c r="BF80" s="74">
        <f>($G$80-$H$80)*(VLOOKUP('Cost Allocation - Tier 1'!BF2,'Allocation CU RU'!$B$11:$I$82,8,))</f>
        <v>14023.404981911452</v>
      </c>
      <c r="BG80" s="74">
        <f>($G$80-$H$80)*(VLOOKUP('Cost Allocation - Tier 1'!BG2,'Allocation CU RU'!$B$11:$I$82,8,))</f>
        <v>25917.30452322519</v>
      </c>
      <c r="BH80" s="74">
        <f>($G$80-$H$80)*(VLOOKUP('Cost Allocation - Tier 1'!BH2,'Allocation CU RU'!$B$11:$I$82,8,))</f>
        <v>20302.399490393884</v>
      </c>
      <c r="BI80" s="74">
        <f>($G$80-$H$80)*(VLOOKUP('Cost Allocation - Tier 1'!BI2,'Allocation CU RU'!$B$11:$I$82,8,))</f>
        <v>14783.141539308732</v>
      </c>
      <c r="BJ80" s="74">
        <f>($G$80-$H$80)*(VLOOKUP('Cost Allocation - Tier 1'!BJ2,'Allocation CU RU'!$B$11:$I$82,8,))</f>
        <v>8338.041148524153</v>
      </c>
      <c r="BK80" s="74">
        <f>($G$80-$H$80)*(VLOOKUP('Cost Allocation - Tier 1'!BK2,'Allocation CU RU'!$B$11:$I$82,8,))</f>
        <v>24984.343403129293</v>
      </c>
      <c r="BL80" s="76">
        <f t="shared" si="39"/>
        <v>253869.42392772919</v>
      </c>
    </row>
    <row r="81" spans="1:73" outlineLevel="1" x14ac:dyDescent="0.25">
      <c r="A81" s="69" t="s">
        <v>479</v>
      </c>
      <c r="B81" s="3" t="s">
        <v>132</v>
      </c>
      <c r="C81" s="668" t="s">
        <v>857</v>
      </c>
      <c r="D81" s="775">
        <f t="shared" si="38"/>
        <v>127101</v>
      </c>
      <c r="E81" s="775">
        <f t="shared" si="38"/>
        <v>95792.980261224118</v>
      </c>
      <c r="F81" s="775">
        <f t="shared" si="38"/>
        <v>28653.256257395446</v>
      </c>
      <c r="G81" s="775">
        <f>((E81-F81)*(1+Assumptions!$B$20))+F81</f>
        <v>99821.36370145384</v>
      </c>
      <c r="H81" s="242"/>
      <c r="I81" s="666">
        <f t="shared" si="40"/>
        <v>36935.91925288755</v>
      </c>
      <c r="J81" s="74">
        <f>($E$81-$H$17)*(VLOOKUP('Cost Allocation - Tier 1'!J2,'Allocation CU RU'!$B$11:$I$82,8,))</f>
        <v>229.37887355679732</v>
      </c>
      <c r="K81" s="74">
        <f>($E$81-$H$17)*(VLOOKUP('Cost Allocation - Tier 1'!K2,'Allocation CU RU'!$B$11:$I$82,8,))</f>
        <v>68.056321363487186</v>
      </c>
      <c r="L81" s="74">
        <f>($E$81-$H$17)*(VLOOKUP('Cost Allocation - Tier 1'!L2,'Allocation CU RU'!$B$11:$I$82,8,))</f>
        <v>71.469458157179957</v>
      </c>
      <c r="M81" s="74">
        <f>($E$81-$H$17)*(VLOOKUP('Cost Allocation - Tier 1'!M2,'Allocation CU RU'!$B$11:$I$82,8,))</f>
        <v>68.29009268631539</v>
      </c>
      <c r="N81" s="74">
        <f>($E$81-$H$17)*(VLOOKUP('Cost Allocation - Tier 1'!N2,'Allocation CU RU'!$B$11:$I$82,8,))</f>
        <v>119.57001639041499</v>
      </c>
      <c r="O81" s="74">
        <f>($E$81-$H$17)*(VLOOKUP('Cost Allocation - Tier 1'!O2,'Allocation CU RU'!$B$11:$I$82,8,))</f>
        <v>273.73798299465176</v>
      </c>
      <c r="P81" s="74">
        <f>($E$81-$H$17)*(VLOOKUP('Cost Allocation - Tier 1'!P2,'Allocation CU RU'!$B$11:$I$82,8,))</f>
        <v>33.112314324965887</v>
      </c>
      <c r="Q81" s="74">
        <f>($E$81-$H$17)*(VLOOKUP('Cost Allocation - Tier 1'!Q2,'Allocation CU RU'!$B$11:$I$82,8,))</f>
        <v>87.668830681672233</v>
      </c>
      <c r="R81" s="74">
        <f>($E$81-$H$17)*(VLOOKUP('Cost Allocation - Tier 1'!R2,'Allocation CU RU'!$B$11:$I$82,8,))</f>
        <v>74.982268833103262</v>
      </c>
      <c r="S81" s="74">
        <f>($E$81-$H$17)*(VLOOKUP('Cost Allocation - Tier 1'!S2,'Allocation CU RU'!$B$11:$I$82,8,))</f>
        <v>77.140842517576857</v>
      </c>
      <c r="T81" s="74">
        <f>($E$81-$H$17)*(VLOOKUP('Cost Allocation - Tier 1'!T2,'Allocation CU RU'!$B$11:$I$82,8,))</f>
        <v>279.40420562405268</v>
      </c>
      <c r="U81" s="74">
        <f>($E$81-$H$17)*(VLOOKUP('Cost Allocation - Tier 1'!U2,'Allocation CU RU'!$B$11:$I$82,8,))</f>
        <v>223.07605855386569</v>
      </c>
      <c r="V81" s="74">
        <f>($E$81-$H$17)*(VLOOKUP('Cost Allocation - Tier 1'!V2,'Allocation CU RU'!$B$11:$I$82,8,))</f>
        <v>177.03911342757135</v>
      </c>
      <c r="W81" s="74">
        <f>($E$81-$H$17)*(VLOOKUP('Cost Allocation - Tier 1'!W2,'Allocation CU RU'!$B$11:$I$82,8,))</f>
        <v>283.89373431087716</v>
      </c>
      <c r="X81" s="74">
        <f>($E$81-$H$17)*(VLOOKUP('Cost Allocation - Tier 1'!X2,'Allocation CU RU'!$B$11:$I$82,8,))</f>
        <v>7.0209762544347312</v>
      </c>
      <c r="Y81" s="74">
        <f>($E$81-$H$17)*(VLOOKUP('Cost Allocation - Tier 1'!Y2,'Allocation CU RU'!$B$11:$I$82,8,))</f>
        <v>5.5393740386214363</v>
      </c>
      <c r="Z81" s="74">
        <f>($E$81-$H$17)*(VLOOKUP('Cost Allocation - Tier 1'!Z2,'Allocation CU RU'!$B$11:$I$82,8,))</f>
        <v>26.79043710526496</v>
      </c>
      <c r="AA81" s="74">
        <f>($E$81-$H$17)*(VLOOKUP('Cost Allocation - Tier 1'!AA2,'Allocation CU RU'!$B$11:$I$82,8,))</f>
        <v>24.489331436036213</v>
      </c>
      <c r="AB81" s="74">
        <f>($E$81-$H$17)*(VLOOKUP('Cost Allocation - Tier 1'!AB2,'Allocation CU RU'!$B$11:$I$82,8,))</f>
        <v>14.734164579588416</v>
      </c>
      <c r="AC81" s="74">
        <f>($E$81-$H$17)*(VLOOKUP('Cost Allocation - Tier 1'!AC2,'Allocation CU RU'!$B$11:$I$82,8,))</f>
        <v>15.065045084183945</v>
      </c>
      <c r="AD81" s="74">
        <f>($E$81-$H$17)*(VLOOKUP('Cost Allocation - Tier 1'!AD2,'Allocation CU RU'!$B$11:$I$82,8,))</f>
        <v>85.441384452275926</v>
      </c>
      <c r="AE81" s="74">
        <f>($E$81-$H$17)*(VLOOKUP('Cost Allocation - Tier 1'!AE2,'Allocation CU RU'!$B$11:$I$82,8,))</f>
        <v>34.276330223418775</v>
      </c>
      <c r="AF81" s="74">
        <f>($E$81-$H$17)*(VLOOKUP('Cost Allocation - Tier 1'!AF2,'Allocation CU RU'!$B$11:$I$82,8,))</f>
        <v>89.174125735786049</v>
      </c>
      <c r="AG81" s="74">
        <f>($E$81-$H$17)*(VLOOKUP('Cost Allocation - Tier 1'!AG2,'Allocation CU RU'!$B$11:$I$82,8,))</f>
        <v>276.88322089620999</v>
      </c>
      <c r="AH81" s="74">
        <f>($E$81-$H$17)*(VLOOKUP('Cost Allocation - Tier 1'!AH2,'Allocation CU RU'!$B$11:$I$82,8,))</f>
        <v>2269.2229131518666</v>
      </c>
      <c r="AI81" s="74">
        <f>($E$81-$H$17)*(VLOOKUP('Cost Allocation - Tier 1'!AI2,'Allocation CU RU'!$B$11:$I$82,8,))</f>
        <v>15.752517773719354</v>
      </c>
      <c r="AJ81" s="74">
        <f>($E$81-$H$17)*(VLOOKUP('Cost Allocation - Tier 1'!AJ2,'Allocation CU RU'!$B$11:$I$82,8,))</f>
        <v>334.1986135661341</v>
      </c>
      <c r="AK81" s="74">
        <f>($E$81-$H$17)*(VLOOKUP('Cost Allocation - Tier 1'!AK2,'Allocation CU RU'!$B$11:$I$82,8,))</f>
        <v>287.39252479455905</v>
      </c>
      <c r="AL81" s="74">
        <f>($E$81-$H$17)*(VLOOKUP('Cost Allocation - Tier 1'!AL2,'Allocation CU RU'!$B$11:$I$82,8,))</f>
        <v>0</v>
      </c>
      <c r="AM81" s="74">
        <f>($E$81-$H$17)*(VLOOKUP('Cost Allocation - Tier 1'!AM2,'Allocation CU RU'!$B$11:$I$82,8,))</f>
        <v>35.07602835408774</v>
      </c>
      <c r="AN81" s="74">
        <f>($E$81-$H$17)*(VLOOKUP('Cost Allocation - Tier 1'!AN2,'Allocation CU RU'!$B$11:$I$82,8,))</f>
        <v>59.304218191526708</v>
      </c>
      <c r="AO81" s="74">
        <f>($E$81-$H$17)*(VLOOKUP('Cost Allocation - Tier 1'!AO2,'Allocation CU RU'!$B$11:$I$82,8,))</f>
        <v>349.42611147194293</v>
      </c>
      <c r="AP81" s="74">
        <f>($E$81-$H$17)*(VLOOKUP('Cost Allocation - Tier 1'!AP2,'Allocation CU RU'!$B$11:$I$82,8,))</f>
        <v>52.928629727343711</v>
      </c>
      <c r="AQ81" s="74">
        <f>($E$81-$H$17)*(VLOOKUP('Cost Allocation - Tier 1'!AQ2,'Allocation CU RU'!$B$11:$I$82,8,))</f>
        <v>332.03706587502791</v>
      </c>
      <c r="AR81" s="74">
        <f>($E$81-$H$17)*(VLOOKUP('Cost Allocation - Tier 1'!AR2,'Allocation CU RU'!$B$11:$I$82,8,))</f>
        <v>1.0043247918408906</v>
      </c>
      <c r="AS81" s="74">
        <f>($E$81-$H$17)*(VLOOKUP('Cost Allocation - Tier 1'!AS2,'Allocation CU RU'!$B$11:$I$82,8,))</f>
        <v>489.36868583479838</v>
      </c>
      <c r="AT81" s="74">
        <f>($E$81-$H$17)*(VLOOKUP('Cost Allocation - Tier 1'!AT2,'Allocation CU RU'!$B$11:$I$82,8,))</f>
        <v>405.94115741398394</v>
      </c>
      <c r="AU81" s="74">
        <f>($E$81-$H$17)*(VLOOKUP('Cost Allocation - Tier 1'!AU2,'Allocation CU RU'!$B$11:$I$82,8,))</f>
        <v>567.64111666871918</v>
      </c>
      <c r="AV81" s="74">
        <f>($E$81-$H$17)*(VLOOKUP('Cost Allocation - Tier 1'!AV2,'Allocation CU RU'!$B$11:$I$82,8,))</f>
        <v>797.73902547183832</v>
      </c>
      <c r="AW81" s="74">
        <f>($E$81-$H$17)*(VLOOKUP('Cost Allocation - Tier 1'!AW2,'Allocation CU RU'!$B$11:$I$82,8,))</f>
        <v>2043.1949848865131</v>
      </c>
      <c r="AX81" s="74">
        <f>($E$81-$H$17)*(VLOOKUP('Cost Allocation - Tier 1'!AX2,'Allocation CU RU'!$B$11:$I$82,8,))</f>
        <v>21.305596326152834</v>
      </c>
      <c r="AY81" s="74">
        <f>($G$81-$H$81)*(VLOOKUP('Cost Allocation - Tier 1'!AY2,'Allocation CU RU'!$B$11:$I$82,8,))</f>
        <v>6849.0871610232953</v>
      </c>
      <c r="AZ81" s="74">
        <f>($G$81-$H$81)*(VLOOKUP('Cost Allocation - Tier 1'!AZ2,'Allocation CU RU'!$B$11:$I$82,8,))</f>
        <v>230.33588764431877</v>
      </c>
      <c r="BA81" s="74">
        <f>($G$81-$H$81)*(VLOOKUP('Cost Allocation - Tier 1'!BA2,'Allocation CU RU'!$B$11:$I$82,8,))</f>
        <v>4153.2996042669974</v>
      </c>
      <c r="BB81" s="74">
        <f>($E$81-$H$17)*(VLOOKUP('Cost Allocation - Tier 1'!BB2,'Allocation CU RU'!$B$11:$I$82,8,))</f>
        <v>14995.428582424525</v>
      </c>
      <c r="BC81" s="666">
        <f t="shared" si="41"/>
        <v>61804.547588881353</v>
      </c>
      <c r="BD81" s="74">
        <f>($G$81-$H$81)*(VLOOKUP('Cost Allocation - Tier 1'!BD2,'Allocation CU RU'!$B$11:$I$82,8,))</f>
        <v>9926.4804822020069</v>
      </c>
      <c r="BE81" s="74">
        <f>($G$81-$H$81)*(VLOOKUP('Cost Allocation - Tier 1'!BE2,'Allocation CU RU'!$B$11:$I$82,8,))</f>
        <v>9052.9546556721325</v>
      </c>
      <c r="BF81" s="74">
        <f>($G$81-$H$81)*(VLOOKUP('Cost Allocation - Tier 1'!BF2,'Allocation CU RU'!$B$11:$I$82,8,))</f>
        <v>5542.7915157118659</v>
      </c>
      <c r="BG81" s="74">
        <f>($G$81-$H$81)*(VLOOKUP('Cost Allocation - Tier 1'!BG2,'Allocation CU RU'!$B$11:$I$82,8,))</f>
        <v>10243.889826097902</v>
      </c>
      <c r="BH81" s="74">
        <f>($G$81-$H$81)*(VLOOKUP('Cost Allocation - Tier 1'!BH2,'Allocation CU RU'!$B$11:$I$82,8,))</f>
        <v>8024.5823171406082</v>
      </c>
      <c r="BI81" s="74">
        <f>($G$81-$H$81)*(VLOOKUP('Cost Allocation - Tier 1'!BI2,'Allocation CU RU'!$B$11:$I$82,8,))</f>
        <v>5843.0795948160185</v>
      </c>
      <c r="BJ81" s="74">
        <f>($G$81-$H$81)*(VLOOKUP('Cost Allocation - Tier 1'!BJ2,'Allocation CU RU'!$B$11:$I$82,8,))</f>
        <v>3295.6349613599091</v>
      </c>
      <c r="BK81" s="74">
        <f>($G$81-$H$81)*(VLOOKUP('Cost Allocation - Tier 1'!BK2,'Allocation CU RU'!$B$11:$I$82,8,))</f>
        <v>9875.1342358809161</v>
      </c>
      <c r="BL81" s="76">
        <f t="shared" si="39"/>
        <v>98740.46684176891</v>
      </c>
    </row>
    <row r="82" spans="1:73" outlineLevel="1" x14ac:dyDescent="0.25">
      <c r="A82" s="69" t="s">
        <v>864</v>
      </c>
      <c r="B82" s="3" t="s">
        <v>132</v>
      </c>
      <c r="C82" s="668" t="s">
        <v>857</v>
      </c>
      <c r="D82" s="775">
        <f t="shared" si="38"/>
        <v>273540.59963000001</v>
      </c>
      <c r="E82" s="775">
        <f t="shared" si="38"/>
        <v>206161</v>
      </c>
      <c r="F82" s="775">
        <f t="shared" si="38"/>
        <v>0</v>
      </c>
      <c r="G82" s="775">
        <f>((E82-F82)*(1+Assumptions!$B$20))+F82</f>
        <v>218530.66</v>
      </c>
      <c r="H82" s="242"/>
      <c r="I82" s="666">
        <f t="shared" si="40"/>
        <v>79898.790831041973</v>
      </c>
      <c r="J82" s="74">
        <f>($G$82-$H$82)*(VLOOKUP('Cost Allocation - Tier 1'!J2,'Allocation CU RU'!$B$11:$I$82,8,))</f>
        <v>523.27755636927407</v>
      </c>
      <c r="K82" s="74">
        <f>($G$82-$H$82)*(VLOOKUP('Cost Allocation - Tier 1'!K2,'Allocation CU RU'!$B$11:$I$82,8,))</f>
        <v>155.25556031536399</v>
      </c>
      <c r="L82" s="74">
        <f>($G$82-$H$82)*(VLOOKUP('Cost Allocation - Tier 1'!L2,'Allocation CU RU'!$B$11:$I$82,8,))</f>
        <v>163.04188280122872</v>
      </c>
      <c r="M82" s="74">
        <f>($G$82-$H$82)*(VLOOKUP('Cost Allocation - Tier 1'!M2,'Allocation CU RU'!$B$11:$I$82,8,))</f>
        <v>155.78885828069934</v>
      </c>
      <c r="N82" s="74">
        <f>($G$82-$H$82)*(VLOOKUP('Cost Allocation - Tier 1'!N2,'Allocation CU RU'!$B$11:$I$82,8,))</f>
        <v>272.77274938887365</v>
      </c>
      <c r="O82" s="74">
        <f>($G$82-$H$82)*(VLOOKUP('Cost Allocation - Tier 1'!O2,'Allocation CU RU'!$B$11:$I$82,8,))</f>
        <v>624.47312869651398</v>
      </c>
      <c r="P82" s="74">
        <f>($G$82-$H$82)*(VLOOKUP('Cost Allocation - Tier 1'!P2,'Allocation CU RU'!$B$11:$I$82,8,))</f>
        <v>75.538477702956712</v>
      </c>
      <c r="Q82" s="74">
        <f>($G$82-$H$82)*(VLOOKUP('Cost Allocation - Tier 1'!Q2,'Allocation CU RU'!$B$11:$I$82,8,))</f>
        <v>199.99719580756326</v>
      </c>
      <c r="R82" s="74">
        <f>($G$82-$H$82)*(VLOOKUP('Cost Allocation - Tier 1'!R2,'Allocation CU RU'!$B$11:$I$82,8,))</f>
        <v>171.05558937316326</v>
      </c>
      <c r="S82" s="74">
        <f>($G$82-$H$82)*(VLOOKUP('Cost Allocation - Tier 1'!S2,'Allocation CU RU'!$B$11:$I$82,8,))</f>
        <v>175.97990147453328</v>
      </c>
      <c r="T82" s="74">
        <f>($G$82-$H$82)*(VLOOKUP('Cost Allocation - Tier 1'!T2,'Allocation CU RU'!$B$11:$I$82,8,))</f>
        <v>637.39937201343832</v>
      </c>
      <c r="U82" s="74">
        <f>($G$82-$H$82)*(VLOOKUP('Cost Allocation - Tier 1'!U2,'Allocation CU RU'!$B$11:$I$82,8,))</f>
        <v>508.89906727025516</v>
      </c>
      <c r="V82" s="74">
        <f>($G$82-$H$82)*(VLOOKUP('Cost Allocation - Tier 1'!V2,'Allocation CU RU'!$B$11:$I$82,8,))</f>
        <v>403.87588106811074</v>
      </c>
      <c r="W82" s="74">
        <f>($G$82-$H$82)*(VLOOKUP('Cost Allocation - Tier 1'!W2,'Allocation CU RU'!$B$11:$I$82,8,))</f>
        <v>647.64124635898281</v>
      </c>
      <c r="X82" s="74">
        <f>($G$82-$H$82)*(VLOOKUP('Cost Allocation - Tier 1'!X2,'Allocation CU RU'!$B$11:$I$82,8,))</f>
        <v>16.016816373621232</v>
      </c>
      <c r="Y82" s="74">
        <f>($G$82-$H$82)*(VLOOKUP('Cost Allocation - Tier 1'!Y2,'Allocation CU RU'!$B$11:$I$82,8,))</f>
        <v>12.63686609755489</v>
      </c>
      <c r="Z82" s="74">
        <f>($G$82-$H$82)*(VLOOKUP('Cost Allocation - Tier 1'!Z2,'Allocation CU RU'!$B$11:$I$82,8,))</f>
        <v>61.116502340118629</v>
      </c>
      <c r="AA82" s="74">
        <f>($G$82-$H$82)*(VLOOKUP('Cost Allocation - Tier 1'!AA2,'Allocation CU RU'!$B$11:$I$82,8,))</f>
        <v>55.867034798185891</v>
      </c>
      <c r="AB82" s="74">
        <f>($G$82-$H$82)*(VLOOKUP('Cost Allocation - Tier 1'!AB2,'Allocation CU RU'!$B$11:$I$82,8,))</f>
        <v>33.612762661163842</v>
      </c>
      <c r="AC82" s="74">
        <f>($G$82-$H$82)*(VLOOKUP('Cost Allocation - Tier 1'!AC2,'Allocation CU RU'!$B$11:$I$82,8,))</f>
        <v>34.367593911357893</v>
      </c>
      <c r="AD82" s="74">
        <f>($G$82-$H$82)*(VLOOKUP('Cost Allocation - Tier 1'!AD2,'Allocation CU RU'!$B$11:$I$82,8,))</f>
        <v>194.91576611097074</v>
      </c>
      <c r="AE82" s="74">
        <f>($G$82-$H$82)*(VLOOKUP('Cost Allocation - Tier 1'!AE2,'Allocation CU RU'!$B$11:$I$82,8,))</f>
        <v>78.193924499222305</v>
      </c>
      <c r="AF82" s="74">
        <f>($G$82-$H$82)*(VLOOKUP('Cost Allocation - Tier 1'!AF2,'Allocation CU RU'!$B$11:$I$82,8,))</f>
        <v>203.43119609415194</v>
      </c>
      <c r="AG82" s="74">
        <f>($G$82-$H$82)*(VLOOKUP('Cost Allocation - Tier 1'!AG2,'Allocation CU RU'!$B$11:$I$82,8,))</f>
        <v>631.6482986579266</v>
      </c>
      <c r="AH82" s="74">
        <f>($G$82-$H$82)*(VLOOKUP('Cost Allocation - Tier 1'!AH2,'Allocation CU RU'!$B$11:$I$82,8,))</f>
        <v>5176.7340315116235</v>
      </c>
      <c r="AI82" s="74">
        <f>($G$82-$H$82)*(VLOOKUP('Cost Allocation - Tier 1'!AI2,'Allocation CU RU'!$B$11:$I$82,8,))</f>
        <v>35.935911967299631</v>
      </c>
      <c r="AJ82" s="74">
        <f>($G$82-$H$82)*(VLOOKUP('Cost Allocation - Tier 1'!AJ2,'Allocation CU RU'!$B$11:$I$82,8,))</f>
        <v>762.40078755807338</v>
      </c>
      <c r="AK82" s="74">
        <f>($G$82-$H$82)*(VLOOKUP('Cost Allocation - Tier 1'!AK2,'Allocation CU RU'!$B$11:$I$82,8,))</f>
        <v>655.62296893944438</v>
      </c>
      <c r="AL82" s="74">
        <f>($G$82-$H$82)*(VLOOKUP('Cost Allocation - Tier 1'!AL2,'Allocation CU RU'!$B$11:$I$82,8,))</f>
        <v>0</v>
      </c>
      <c r="AM82" s="74">
        <f>($G$82-$H$82)*(VLOOKUP('Cost Allocation - Tier 1'!AM2,'Allocation CU RU'!$B$11:$I$82,8,))</f>
        <v>80.018260268078194</v>
      </c>
      <c r="AN82" s="74">
        <f>($G$82-$H$82)*(VLOOKUP('Cost Allocation - Tier 1'!AN2,'Allocation CU RU'!$B$11:$I$82,8,))</f>
        <v>135.28955782393911</v>
      </c>
      <c r="AO82" s="74">
        <f>($G$82-$H$82)*(VLOOKUP('Cost Allocation - Tier 1'!AO2,'Allocation CU RU'!$B$11:$I$82,8,))</f>
        <v>797.13898192712372</v>
      </c>
      <c r="AP82" s="74">
        <f>($G$82-$H$82)*(VLOOKUP('Cost Allocation - Tier 1'!AP2,'Allocation CU RU'!$B$11:$I$82,8,))</f>
        <v>120.7450520452597</v>
      </c>
      <c r="AQ82" s="74">
        <f>($G$82-$H$82)*(VLOOKUP('Cost Allocation - Tier 1'!AQ2,'Allocation CU RU'!$B$11:$I$82,8,))</f>
        <v>757.4696909133005</v>
      </c>
      <c r="AR82" s="74">
        <f>($G$82-$H$82)*(VLOOKUP('Cost Allocation - Tier 1'!AR2,'Allocation CU RU'!$B$11:$I$82,8,))</f>
        <v>2.2911465852388111</v>
      </c>
      <c r="AS82" s="74">
        <f>($G$82-$H$82)*(VLOOKUP('Cost Allocation - Tier 1'!AS2,'Allocation CU RU'!$B$11:$I$82,8,))</f>
        <v>1116.3872509988089</v>
      </c>
      <c r="AT82" s="74">
        <f>($G$82-$H$82)*(VLOOKUP('Cost Allocation - Tier 1'!AT2,'Allocation CU RU'!$B$11:$I$82,8,))</f>
        <v>926.06565542622354</v>
      </c>
      <c r="AU82" s="74">
        <f>($G$82-$H$82)*(VLOOKUP('Cost Allocation - Tier 1'!AU2,'Allocation CU RU'!$B$11:$I$82,8,))</f>
        <v>1294.9486228581718</v>
      </c>
      <c r="AV82" s="74">
        <f>($G$82-$H$82)*(VLOOKUP('Cost Allocation - Tier 1'!AV2,'Allocation CU RU'!$B$11:$I$82,8,))</f>
        <v>1819.8665003294043</v>
      </c>
      <c r="AW82" s="74">
        <f>($G$82-$H$82)*(VLOOKUP('Cost Allocation - Tier 1'!AW2,'Allocation CU RU'!$B$11:$I$82,8,))</f>
        <v>4661.1009213655088</v>
      </c>
      <c r="AX82" s="74">
        <f>($G$82-$H$82)*(VLOOKUP('Cost Allocation - Tier 1'!AX2,'Allocation CU RU'!$B$11:$I$82,8,))</f>
        <v>48.604041905275373</v>
      </c>
      <c r="AY82" s="74">
        <f>($E$82-$H$18)*(VLOOKUP('Cost Allocation - Tier 1'!AY2,'Allocation CU RU'!$B$11:$I$82,8,))</f>
        <v>14145.415428572816</v>
      </c>
      <c r="AZ82" s="74">
        <f>($E$82-$H$18)*(VLOOKUP('Cost Allocation - Tier 1'!AZ2,'Allocation CU RU'!$B$11:$I$82,8,))</f>
        <v>475.71256464360238</v>
      </c>
      <c r="BA82" s="74">
        <f>($E$82-$H$18)*(VLOOKUP('Cost Allocation - Tier 1'!BA2,'Allocation CU RU'!$B$11:$I$82,8,))</f>
        <v>8577.8070742066793</v>
      </c>
      <c r="BB82" s="74">
        <f>($E$82-$H$18)*(VLOOKUP('Cost Allocation - Tier 1'!BB2,'Allocation CU RU'!$B$11:$I$82,8,))</f>
        <v>32272.433152730864</v>
      </c>
      <c r="BC82" s="666">
        <f t="shared" si="41"/>
        <v>127644.89346768757</v>
      </c>
      <c r="BD82" s="74">
        <f>($E$82-$H$18)*(VLOOKUP('Cost Allocation - Tier 1'!BD2,'Allocation CU RU'!$B$11:$I$82,8,))</f>
        <v>20501.153929451299</v>
      </c>
      <c r="BE82" s="74">
        <f>($E$82-$H$18)*(VLOOKUP('Cost Allocation - Tier 1'!BE2,'Allocation CU RU'!$B$11:$I$82,8,))</f>
        <v>18697.061586435128</v>
      </c>
      <c r="BF82" s="74">
        <f>($E$82-$H$18)*(VLOOKUP('Cost Allocation - Tier 1'!BF2,'Allocation CU RU'!$B$11:$I$82,8,))</f>
        <v>11447.523849586831</v>
      </c>
      <c r="BG82" s="74">
        <f>($E$82-$H$18)*(VLOOKUP('Cost Allocation - Tier 1'!BG2,'Allocation CU RU'!$B$11:$I$82,8,))</f>
        <v>21156.699248814322</v>
      </c>
      <c r="BH82" s="74">
        <f>($E$82-$H$18)*(VLOOKUP('Cost Allocation - Tier 1'!BH2,'Allocation CU RU'!$B$11:$I$82,8,))</f>
        <v>16573.164839060701</v>
      </c>
      <c r="BI82" s="74">
        <f>($E$82-$H$18)*(VLOOKUP('Cost Allocation - Tier 1'!BI2,'Allocation CU RU'!$B$11:$I$82,8,))</f>
        <v>12067.708631487276</v>
      </c>
      <c r="BJ82" s="74">
        <f>($E$82-$H$18)*(VLOOKUP('Cost Allocation - Tier 1'!BJ2,'Allocation CU RU'!$B$11:$I$82,8,))</f>
        <v>6806.4728238031939</v>
      </c>
      <c r="BK82" s="74">
        <f>($E$82-$H$18)*(VLOOKUP('Cost Allocation - Tier 1'!BK2,'Allocation CU RU'!$B$11:$I$82,8,))</f>
        <v>20395.108559048811</v>
      </c>
      <c r="BL82" s="76">
        <f t="shared" si="39"/>
        <v>207543.68429872952</v>
      </c>
    </row>
    <row r="83" spans="1:73" outlineLevel="1" x14ac:dyDescent="0.25">
      <c r="A83" s="177" t="s">
        <v>480</v>
      </c>
      <c r="B83" s="3" t="s">
        <v>132</v>
      </c>
      <c r="C83" s="668" t="s">
        <v>857</v>
      </c>
      <c r="D83" s="775">
        <f t="shared" si="38"/>
        <v>735849</v>
      </c>
      <c r="E83" s="775">
        <f t="shared" si="38"/>
        <v>554591.77136483195</v>
      </c>
      <c r="F83" s="775">
        <f t="shared" si="38"/>
        <v>0</v>
      </c>
      <c r="G83" s="775">
        <f>((E83-F83)*(1+Assumptions!$B$20))+F83</f>
        <v>587867.27764672192</v>
      </c>
      <c r="H83" s="242"/>
      <c r="I83" s="666">
        <f t="shared" si="40"/>
        <v>214959.87559234875</v>
      </c>
      <c r="J83" s="74">
        <f>($E$83-$H$19)*(VLOOKUP('Cost Allocation - Tier 1'!J2,'Allocation CU RU'!$B$11:$I$82,8,))</f>
        <v>1327.9849468367343</v>
      </c>
      <c r="K83" s="74">
        <f>($E$83-$H$19)*(VLOOKUP('Cost Allocation - Tier 1'!K2,'Allocation CU RU'!$B$11:$I$82,8,))</f>
        <v>394.01087339203218</v>
      </c>
      <c r="L83" s="74">
        <f>($E$83-$H$19)*(VLOOKUP('Cost Allocation - Tier 1'!L2,'Allocation CU RU'!$B$11:$I$82,8,))</f>
        <v>413.77116872017302</v>
      </c>
      <c r="M83" s="74">
        <f>($E$83-$H$19)*(VLOOKUP('Cost Allocation - Tier 1'!M2,'Allocation CU RU'!$B$11:$I$82,8,))</f>
        <v>395.3642883465314</v>
      </c>
      <c r="N83" s="74">
        <f>($E$83-$H$19)*(VLOOKUP('Cost Allocation - Tier 1'!N2,'Allocation CU RU'!$B$11:$I$82,8,))</f>
        <v>692.24850308707619</v>
      </c>
      <c r="O83" s="74">
        <f>($E$83-$H$19)*(VLOOKUP('Cost Allocation - Tier 1'!O2,'Allocation CU RU'!$B$11:$I$82,8,))</f>
        <v>1584.8012293265317</v>
      </c>
      <c r="P83" s="74">
        <f>($E$83-$H$19)*(VLOOKUP('Cost Allocation - Tier 1'!P2,'Allocation CU RU'!$B$11:$I$82,8,))</f>
        <v>191.70316035052301</v>
      </c>
      <c r="Q83" s="74">
        <f>($E$83-$H$19)*(VLOOKUP('Cost Allocation - Tier 1'!Q2,'Allocation CU RU'!$B$11:$I$82,8,))</f>
        <v>507.55715052027779</v>
      </c>
      <c r="R83" s="74">
        <f>($E$83-$H$19)*(VLOOKUP('Cost Allocation - Tier 1'!R2,'Allocation CU RU'!$B$11:$I$82,8,))</f>
        <v>434.10852423324917</v>
      </c>
      <c r="S83" s="74">
        <f>($E$83-$H$19)*(VLOOKUP('Cost Allocation - Tier 1'!S2,'Allocation CU RU'!$B$11:$I$82,8,))</f>
        <v>446.6055485457739</v>
      </c>
      <c r="T83" s="74">
        <f>($E$83-$H$19)*(VLOOKUP('Cost Allocation - Tier 1'!T2,'Allocation CU RU'!$B$11:$I$82,8,))</f>
        <v>1617.6057254014804</v>
      </c>
      <c r="U83" s="74">
        <f>($E$83-$H$19)*(VLOOKUP('Cost Allocation - Tier 1'!U2,'Allocation CU RU'!$B$11:$I$82,8,))</f>
        <v>1291.4949104318889</v>
      </c>
      <c r="V83" s="74">
        <f>($E$83-$H$19)*(VLOOKUP('Cost Allocation - Tier 1'!V2,'Allocation CU RU'!$B$11:$I$82,8,))</f>
        <v>1024.9648277870745</v>
      </c>
      <c r="W83" s="74">
        <f>($E$83-$H$19)*(VLOOKUP('Cost Allocation - Tier 1'!W2,'Allocation CU RU'!$B$11:$I$82,8,))</f>
        <v>1643.5977726290482</v>
      </c>
      <c r="X83" s="74">
        <f>($E$83-$H$19)*(VLOOKUP('Cost Allocation - Tier 1'!X2,'Allocation CU RU'!$B$11:$I$82,8,))</f>
        <v>40.647818316532067</v>
      </c>
      <c r="Y83" s="74">
        <f>($E$83-$H$19)*(VLOOKUP('Cost Allocation - Tier 1'!Y2,'Allocation CU RU'!$B$11:$I$82,8,))</f>
        <v>32.070108393683327</v>
      </c>
      <c r="Z83" s="74">
        <f>($E$83-$H$19)*(VLOOKUP('Cost Allocation - Tier 1'!Z2,'Allocation CU RU'!$B$11:$I$82,8,))</f>
        <v>155.10276357756521</v>
      </c>
      <c r="AA83" s="74">
        <f>($E$83-$H$19)*(VLOOKUP('Cost Allocation - Tier 1'!AA2,'Allocation CU RU'!$B$11:$I$82,8,))</f>
        <v>141.78055285069206</v>
      </c>
      <c r="AB83" s="74">
        <f>($E$83-$H$19)*(VLOOKUP('Cost Allocation - Tier 1'!AB2,'Allocation CU RU'!$B$11:$I$82,8,))</f>
        <v>85.303186219821683</v>
      </c>
      <c r="AC83" s="74">
        <f>($E$83-$H$19)*(VLOOKUP('Cost Allocation - Tier 1'!AC2,'Allocation CU RU'!$B$11:$I$82,8,))</f>
        <v>87.218813071114084</v>
      </c>
      <c r="AD83" s="74">
        <f>($E$83-$H$19)*(VLOOKUP('Cost Allocation - Tier 1'!AD2,'Allocation CU RU'!$B$11:$I$82,8,))</f>
        <v>494.66138982244655</v>
      </c>
      <c r="AE83" s="74">
        <f>($E$83-$H$19)*(VLOOKUP('Cost Allocation - Tier 1'!AE2,'Allocation CU RU'!$B$11:$I$82,8,))</f>
        <v>198.44220988483551</v>
      </c>
      <c r="AF83" s="74">
        <f>($E$83-$H$19)*(VLOOKUP('Cost Allocation - Tier 1'!AF2,'Allocation CU RU'!$B$11:$I$82,8,))</f>
        <v>516.27202971300323</v>
      </c>
      <c r="AG83" s="74">
        <f>($E$83-$H$19)*(VLOOKUP('Cost Allocation - Tier 1'!AG2,'Allocation CU RU'!$B$11:$I$82,8,))</f>
        <v>1603.0105287389965</v>
      </c>
      <c r="AH83" s="74">
        <f>($E$83-$H$19)*(VLOOKUP('Cost Allocation - Tier 1'!AH2,'Allocation CU RU'!$B$11:$I$82,8,))</f>
        <v>13137.626072335292</v>
      </c>
      <c r="AI83" s="74">
        <f>($E$83-$H$19)*(VLOOKUP('Cost Allocation - Tier 1'!AI2,'Allocation CU RU'!$B$11:$I$82,8,))</f>
        <v>91.198924094016675</v>
      </c>
      <c r="AJ83" s="74">
        <f>($E$83-$H$19)*(VLOOKUP('Cost Allocation - Tier 1'!AJ2,'Allocation CU RU'!$B$11:$I$82,8,))</f>
        <v>1934.836984713151</v>
      </c>
      <c r="AK83" s="74">
        <f>($E$83-$H$19)*(VLOOKUP('Cost Allocation - Tier 1'!AK2,'Allocation CU RU'!$B$11:$I$82,8,))</f>
        <v>1663.853958486176</v>
      </c>
      <c r="AL83" s="74">
        <f>($E$83-$H$19)*(VLOOKUP('Cost Allocation - Tier 1'!AL2,'Allocation CU RU'!$B$11:$I$82,8,))</f>
        <v>0</v>
      </c>
      <c r="AM83" s="74">
        <f>($E$83-$H$19)*(VLOOKUP('Cost Allocation - Tier 1'!AM2,'Allocation CU RU'!$B$11:$I$82,8,))</f>
        <v>203.07204812178591</v>
      </c>
      <c r="AN83" s="74">
        <f>($E$83-$H$19)*(VLOOKUP('Cost Allocation - Tier 1'!AN2,'Allocation CU RU'!$B$11:$I$82,8,))</f>
        <v>343.34072628867386</v>
      </c>
      <c r="AO83" s="74">
        <f>($E$83-$H$19)*(VLOOKUP('Cost Allocation - Tier 1'!AO2,'Allocation CU RU'!$B$11:$I$82,8,))</f>
        <v>2022.9963155326686</v>
      </c>
      <c r="AP83" s="74">
        <f>($E$83-$H$19)*(VLOOKUP('Cost Allocation - Tier 1'!AP2,'Allocation CU RU'!$B$11:$I$82,8,))</f>
        <v>306.42936921217097</v>
      </c>
      <c r="AQ83" s="74">
        <f>($E$83-$H$19)*(VLOOKUP('Cost Allocation - Tier 1'!AQ2,'Allocation CU RU'!$B$11:$I$82,8,))</f>
        <v>1922.3227424416284</v>
      </c>
      <c r="AR83" s="74">
        <f>($E$83-$H$19)*(VLOOKUP('Cost Allocation - Tier 1'!AR2,'Allocation CU RU'!$B$11:$I$82,8,))</f>
        <v>5.8145206863150376</v>
      </c>
      <c r="AS83" s="74">
        <f>($E$83-$H$19)*(VLOOKUP('Cost Allocation - Tier 1'!AS2,'Allocation CU RU'!$B$11:$I$82,8,))</f>
        <v>2833.1913840398624</v>
      </c>
      <c r="AT83" s="74">
        <f>($E$83-$H$19)*(VLOOKUP('Cost Allocation - Tier 1'!AT2,'Allocation CU RU'!$B$11:$I$82,8,))</f>
        <v>2350.1891782277298</v>
      </c>
      <c r="AU83" s="74">
        <f>($E$83-$H$19)*(VLOOKUP('Cost Allocation - Tier 1'!AU2,'Allocation CU RU'!$B$11:$I$82,8,))</f>
        <v>3286.3482432046981</v>
      </c>
      <c r="AV83" s="74">
        <f>($E$83-$H$19)*(VLOOKUP('Cost Allocation - Tier 1'!AV2,'Allocation CU RU'!$B$11:$I$82,8,))</f>
        <v>4618.496031930722</v>
      </c>
      <c r="AW83" s="74">
        <f>($E$83-$H$19)*(VLOOKUP('Cost Allocation - Tier 1'!AW2,'Allocation CU RU'!$B$11:$I$82,8,))</f>
        <v>11829.041364220233</v>
      </c>
      <c r="AX83" s="74">
        <f>($E$83-$H$19)*(VLOOKUP('Cost Allocation - Tier 1'!AX2,'Allocation CU RU'!$B$11:$I$82,8,))</f>
        <v>123.34837452894341</v>
      </c>
      <c r="AY83" s="74">
        <f>($G$83-$H$83)*(VLOOKUP('Cost Allocation - Tier 1'!AY2,'Allocation CU RU'!$B$11:$I$82,8,))</f>
        <v>40335.596253302225</v>
      </c>
      <c r="AZ83" s="74">
        <f>($G$83-$H$83)*(VLOOKUP('Cost Allocation - Tier 1'!AZ2,'Allocation CU RU'!$B$11:$I$82,8,))</f>
        <v>1356.4925001303579</v>
      </c>
      <c r="BA83" s="74">
        <f>($G$83-$H$83)*(VLOOKUP('Cost Allocation - Tier 1'!BA2,'Allocation CU RU'!$B$11:$I$82,8,))</f>
        <v>24459.583009845086</v>
      </c>
      <c r="BB83" s="74">
        <f>($E$83-$H$19)*(VLOOKUP('Cost Allocation - Tier 1'!BB2,'Allocation CU RU'!$B$11:$I$82,8,))</f>
        <v>86815.769560809946</v>
      </c>
      <c r="BC83" s="666">
        <f t="shared" si="41"/>
        <v>363978.90982462891</v>
      </c>
      <c r="BD83" s="74">
        <f>($G$83-$H$83)*(VLOOKUP('Cost Allocation - Tier 1'!BD2,'Allocation CU RU'!$B$11:$I$82,8,))</f>
        <v>58458.959498270437</v>
      </c>
      <c r="BE83" s="74">
        <f>($G$83-$H$83)*(VLOOKUP('Cost Allocation - Tier 1'!BE2,'Allocation CU RU'!$B$11:$I$82,8,))</f>
        <v>53314.597304100767</v>
      </c>
      <c r="BF83" s="74">
        <f>($G$83-$H$83)*(VLOOKUP('Cost Allocation - Tier 1'!BF2,'Allocation CU RU'!$B$11:$I$82,8,))</f>
        <v>32642.569066179018</v>
      </c>
      <c r="BG83" s="74">
        <f>($G$83-$H$83)*(VLOOKUP('Cost Allocation - Tier 1'!BG2,'Allocation CU RU'!$B$11:$I$82,8,))</f>
        <v>60328.244388564875</v>
      </c>
      <c r="BH83" s="74">
        <f>($G$83-$H$83)*(VLOOKUP('Cost Allocation - Tier 1'!BH2,'Allocation CU RU'!$B$11:$I$82,8,))</f>
        <v>47258.314113382192</v>
      </c>
      <c r="BI83" s="74">
        <f>($G$83-$H$83)*(VLOOKUP('Cost Allocation - Tier 1'!BI2,'Allocation CU RU'!$B$11:$I$82,8,))</f>
        <v>34411.02352349025</v>
      </c>
      <c r="BJ83" s="74">
        <f>($G$83-$H$83)*(VLOOKUP('Cost Allocation - Tier 1'!BJ2,'Allocation CU RU'!$B$11:$I$82,8,))</f>
        <v>19408.630387442725</v>
      </c>
      <c r="BK83" s="74">
        <f>($G$83-$H$83)*(VLOOKUP('Cost Allocation - Tier 1'!BK2,'Allocation CU RU'!$B$11:$I$82,8,))</f>
        <v>58156.571543198683</v>
      </c>
      <c r="BL83" s="76">
        <f>BC83+I83+H83</f>
        <v>578938.78541697771</v>
      </c>
    </row>
    <row r="84" spans="1:73" outlineLevel="1" x14ac:dyDescent="0.25">
      <c r="A84" s="177" t="s">
        <v>481</v>
      </c>
      <c r="B84" s="3" t="s">
        <v>132</v>
      </c>
      <c r="C84" s="668" t="s">
        <v>857</v>
      </c>
      <c r="D84" s="681">
        <f t="shared" si="38"/>
        <v>1105656</v>
      </c>
      <c r="E84" s="681">
        <f t="shared" si="38"/>
        <v>833306.4522207065</v>
      </c>
      <c r="F84" s="681">
        <f t="shared" si="38"/>
        <v>274524.24199030775</v>
      </c>
      <c r="G84" s="681">
        <f>((E84-F84)*(1+Assumptions!$B$20))+F84</f>
        <v>866833.3848345303</v>
      </c>
      <c r="H84" s="683"/>
      <c r="I84" s="684">
        <f t="shared" si="40"/>
        <v>321136.23483269045</v>
      </c>
      <c r="J84" s="78">
        <f>($E$84-$H$20)*(VLOOKUP('Cost Allocation - Tier 1'!J2,'Allocation CU RU'!$B$11:$I$82,8,))</f>
        <v>1995.3747635448526</v>
      </c>
      <c r="K84" s="78">
        <f>($E$84-$H$20)*(VLOOKUP('Cost Allocation - Tier 1'!K2,'Allocation CU RU'!$B$11:$I$82,8,))</f>
        <v>592.02429605957298</v>
      </c>
      <c r="L84" s="78">
        <f>($E$84-$H$20)*(VLOOKUP('Cost Allocation - Tier 1'!L2,'Allocation CU RU'!$B$11:$I$82,8,))</f>
        <v>621.71529121120182</v>
      </c>
      <c r="M84" s="78">
        <f>($E$84-$H$20)*(VLOOKUP('Cost Allocation - Tier 1'!M2,'Allocation CU RU'!$B$11:$I$82,8,))</f>
        <v>594.05788089142277</v>
      </c>
      <c r="N84" s="78">
        <f>($E$84-$H$20)*(VLOOKUP('Cost Allocation - Tier 1'!N2,'Allocation CU RU'!$B$11:$I$82,8,))</f>
        <v>1040.1437128123357</v>
      </c>
      <c r="O84" s="78">
        <f>($E$84-$H$20)*(VLOOKUP('Cost Allocation - Tier 1'!O2,'Allocation CU RU'!$B$11:$I$82,8,))</f>
        <v>2381.2561925235418</v>
      </c>
      <c r="P84" s="78">
        <f>($E$84-$H$20)*(VLOOKUP('Cost Allocation - Tier 1'!P2,'Allocation CU RU'!$B$11:$I$82,8,))</f>
        <v>288.04516886007576</v>
      </c>
      <c r="Q84" s="78">
        <f>($E$84-$H$20)*(VLOOKUP('Cost Allocation - Tier 1'!Q2,'Allocation CU RU'!$B$11:$I$82,8,))</f>
        <v>762.63419372133183</v>
      </c>
      <c r="R84" s="78">
        <f>($E$84-$H$20)*(VLOOKUP('Cost Allocation - Tier 1'!R2,'Allocation CU RU'!$B$11:$I$82,8,))</f>
        <v>652.27335291566249</v>
      </c>
      <c r="S84" s="78">
        <f>($E$84-$H$20)*(VLOOKUP('Cost Allocation - Tier 1'!S2,'Allocation CU RU'!$B$11:$I$82,8,))</f>
        <v>671.05086013968389</v>
      </c>
      <c r="T84" s="78">
        <f>($E$84-$H$20)*(VLOOKUP('Cost Allocation - Tier 1'!T2,'Allocation CU RU'!$B$11:$I$82,8,))</f>
        <v>2430.5468593753599</v>
      </c>
      <c r="U84" s="78">
        <f>($E$84-$H$20)*(VLOOKUP('Cost Allocation - Tier 1'!U2,'Allocation CU RU'!$B$11:$I$82,8,))</f>
        <v>1940.5463575930396</v>
      </c>
      <c r="V84" s="78">
        <f>($E$84-$H$20)*(VLOOKUP('Cost Allocation - Tier 1'!V2,'Allocation CU RU'!$B$11:$I$82,8,))</f>
        <v>1540.0693778638629</v>
      </c>
      <c r="W84" s="78">
        <f>($E$84-$H$20)*(VLOOKUP('Cost Allocation - Tier 1'!W2,'Allocation CU RU'!$B$11:$I$82,8,))</f>
        <v>2469.6014248764936</v>
      </c>
      <c r="X84" s="78">
        <f>($E$84-$H$20)*(VLOOKUP('Cost Allocation - Tier 1'!X2,'Allocation CU RU'!$B$11:$I$82,8,))</f>
        <v>61.075715545694273</v>
      </c>
      <c r="Y84" s="78">
        <f>($E$84-$H$20)*(VLOOKUP('Cost Allocation - Tier 1'!Y2,'Allocation CU RU'!$B$11:$I$82,8,))</f>
        <v>48.187206568367067</v>
      </c>
      <c r="Z84" s="78">
        <f>($E$84-$H$20)*(VLOOKUP('Cost Allocation - Tier 1'!Z2,'Allocation CU RU'!$B$11:$I$82,8,))</f>
        <v>233.05094002453825</v>
      </c>
      <c r="AA84" s="78">
        <f>($E$84-$H$20)*(VLOOKUP('Cost Allocation - Tier 1'!AA2,'Allocation CU RU'!$B$11:$I$82,8,))</f>
        <v>213.03354212981847</v>
      </c>
      <c r="AB84" s="78">
        <f>($E$84-$H$20)*(VLOOKUP('Cost Allocation - Tier 1'!AB2,'Allocation CU RU'!$B$11:$I$82,8,))</f>
        <v>128.1730078631121</v>
      </c>
      <c r="AC84" s="78">
        <f>($E$84-$H$20)*(VLOOKUP('Cost Allocation - Tier 1'!AC2,'Allocation CU RU'!$B$11:$I$82,8,))</f>
        <v>131.05134882965896</v>
      </c>
      <c r="AD84" s="78">
        <f>($E$84-$H$20)*(VLOOKUP('Cost Allocation - Tier 1'!AD2,'Allocation CU RU'!$B$11:$I$82,8,))</f>
        <v>743.25756184424665</v>
      </c>
      <c r="AE84" s="78">
        <f>($E$84-$H$20)*(VLOOKUP('Cost Allocation - Tier 1'!AE2,'Allocation CU RU'!$B$11:$I$82,8,))</f>
        <v>298.17098346593895</v>
      </c>
      <c r="AF84" s="78">
        <f>($E$84-$H$20)*(VLOOKUP('Cost Allocation - Tier 1'!AF2,'Allocation CU RU'!$B$11:$I$82,8,))</f>
        <v>775.72880751942364</v>
      </c>
      <c r="AG84" s="78">
        <f>($E$84-$H$20)*(VLOOKUP('Cost Allocation - Tier 1'!AG2,'Allocation CU RU'!$B$11:$I$82,8,))</f>
        <v>2408.6167259362237</v>
      </c>
      <c r="AH84" s="78">
        <f>($E$84-$H$20)*(VLOOKUP('Cost Allocation - Tier 1'!AH2,'Allocation CU RU'!$B$11:$I$82,8,))</f>
        <v>19740.048695634498</v>
      </c>
      <c r="AI84" s="78">
        <f>($E$84-$H$20)*(VLOOKUP('Cost Allocation - Tier 1'!AI2,'Allocation CU RU'!$B$11:$I$82,8,))</f>
        <v>137.03169756036104</v>
      </c>
      <c r="AJ84" s="78">
        <f>($E$84-$H$20)*(VLOOKUP('Cost Allocation - Tier 1'!AJ2,'Allocation CU RU'!$B$11:$I$82,8,))</f>
        <v>2907.2053113750289</v>
      </c>
      <c r="AK84" s="78">
        <f>($E$84-$H$20)*(VLOOKUP('Cost Allocation - Tier 1'!AK2,'Allocation CU RU'!$B$11:$I$82,8,))</f>
        <v>2500.0375244431825</v>
      </c>
      <c r="AL84" s="78">
        <f>($E$84-$H$20)*(VLOOKUP('Cost Allocation - Tier 1'!AL2,'Allocation CU RU'!$B$11:$I$82,8,))</f>
        <v>0</v>
      </c>
      <c r="AM84" s="78">
        <f>($E$84-$H$20)*(VLOOKUP('Cost Allocation - Tier 1'!AM2,'Allocation CU RU'!$B$11:$I$82,8,))</f>
        <v>305.12758519498067</v>
      </c>
      <c r="AN84" s="78">
        <f>($E$84-$H$20)*(VLOOKUP('Cost Allocation - Tier 1'!AN2,'Allocation CU RU'!$B$11:$I$82,8,))</f>
        <v>515.88944751631107</v>
      </c>
      <c r="AO84" s="78">
        <f>($E$84-$H$20)*(VLOOKUP('Cost Allocation - Tier 1'!AO2,'Allocation CU RU'!$B$11:$I$82,8,))</f>
        <v>3039.6698429250951</v>
      </c>
      <c r="AP84" s="78">
        <f>($E$84-$H$20)*(VLOOKUP('Cost Allocation - Tier 1'!AP2,'Allocation CU RU'!$B$11:$I$82,8,))</f>
        <v>460.4279827052182</v>
      </c>
      <c r="AQ84" s="78">
        <f>($E$84-$H$20)*(VLOOKUP('Cost Allocation - Tier 1'!AQ2,'Allocation CU RU'!$B$11:$I$82,8,))</f>
        <v>2888.4019331643331</v>
      </c>
      <c r="AR84" s="78">
        <f>($E$84-$H$20)*(VLOOKUP('Cost Allocation - Tier 1'!AR2,'Allocation CU RU'!$B$11:$I$82,8,))</f>
        <v>8.7366561399802674</v>
      </c>
      <c r="AS84" s="78">
        <f>($E$84-$H$20)*(VLOOKUP('Cost Allocation - Tier 1'!AS2,'Allocation CU RU'!$B$11:$I$82,8,))</f>
        <v>4257.0351429600069</v>
      </c>
      <c r="AT84" s="78">
        <f>($E$84-$H$20)*(VLOOKUP('Cost Allocation - Tier 1'!AT2,'Allocation CU RU'!$B$11:$I$82,8,))</f>
        <v>3531.296184465235</v>
      </c>
      <c r="AU84" s="78">
        <f>($E$84-$H$20)*(VLOOKUP('Cost Allocation - Tier 1'!AU2,'Allocation CU RU'!$B$11:$I$82,8,))</f>
        <v>4937.9297290459508</v>
      </c>
      <c r="AV84" s="78">
        <f>($E$84-$H$20)*(VLOOKUP('Cost Allocation - Tier 1'!AV2,'Allocation CU RU'!$B$11:$I$82,8,))</f>
        <v>6939.5594050958753</v>
      </c>
      <c r="AW84" s="78">
        <f>($E$84-$H$20)*(VLOOKUP('Cost Allocation - Tier 1'!AW2,'Allocation CU RU'!$B$11:$I$82,8,))</f>
        <v>17773.823921209765</v>
      </c>
      <c r="AX84" s="78">
        <f>($E$84-$H$20)*(VLOOKUP('Cost Allocation - Tier 1'!AX2,'Allocation CU RU'!$B$11:$I$82,8,))</f>
        <v>185.33812016891164</v>
      </c>
      <c r="AY84" s="78">
        <f>($G$84-$H$84)*(VLOOKUP('Cost Allocation - Tier 1'!AY2,'Allocation CU RU'!$B$11:$I$82,8,))</f>
        <v>59476.42054433361</v>
      </c>
      <c r="AZ84" s="78">
        <f>($G$84-$H$84)*(VLOOKUP('Cost Allocation - Tier 1'!AZ2,'Allocation CU RU'!$B$11:$I$82,8,))</f>
        <v>2000.2014572025219</v>
      </c>
      <c r="BA84" s="78">
        <f>($G$84-$H$84)*(VLOOKUP('Cost Allocation - Tier 1'!BA2,'Allocation CU RU'!$B$11:$I$82,8,))</f>
        <v>36066.615609121771</v>
      </c>
      <c r="BB84" s="78">
        <f>($E$84-$H$20)*(VLOOKUP('Cost Allocation - Tier 1'!BB2,'Allocation CU RU'!$B$11:$I$82,8,))</f>
        <v>130445.75247031236</v>
      </c>
      <c r="BC84" s="684">
        <f t="shared" si="41"/>
        <v>536701.19499536115</v>
      </c>
      <c r="BD84" s="78">
        <f>($G$84-$H$84)*(VLOOKUP('Cost Allocation - Tier 1'!BD2,'Allocation CU RU'!$B$11:$I$82,8,))</f>
        <v>86200.031304077886</v>
      </c>
      <c r="BE84" s="78">
        <f>($G$84-$H$84)*(VLOOKUP('Cost Allocation - Tier 1'!BE2,'Allocation CU RU'!$B$11:$I$82,8,))</f>
        <v>78614.467243703883</v>
      </c>
      <c r="BF84" s="78">
        <f>($G$84-$H$84)*(VLOOKUP('Cost Allocation - Tier 1'!BF2,'Allocation CU RU'!$B$11:$I$82,8,))</f>
        <v>48132.749872727458</v>
      </c>
      <c r="BG84" s="78">
        <f>($G$84-$H$84)*(VLOOKUP('Cost Allocation - Tier 1'!BG2,'Allocation CU RU'!$B$11:$I$82,8,))</f>
        <v>88956.36527653574</v>
      </c>
      <c r="BH84" s="78">
        <f>($G$84-$H$84)*(VLOOKUP('Cost Allocation - Tier 1'!BH2,'Allocation CU RU'!$B$11:$I$82,8,))</f>
        <v>69684.239865268464</v>
      </c>
      <c r="BI84" s="78">
        <f>($G$84-$H$84)*(VLOOKUP('Cost Allocation - Tier 1'!BI2,'Allocation CU RU'!$B$11:$I$82,8,))</f>
        <v>50740.405412415508</v>
      </c>
      <c r="BJ84" s="78">
        <f>($G$84-$H$84)*(VLOOKUP('Cost Allocation - Tier 1'!BJ2,'Allocation CU RU'!$B$11:$I$82,8,))</f>
        <v>28618.787630257742</v>
      </c>
      <c r="BK84" s="78">
        <f>($G$84-$H$84)*(VLOOKUP('Cost Allocation - Tier 1'!BK2,'Allocation CU RU'!$B$11:$I$82,8,))</f>
        <v>85754.148390374423</v>
      </c>
      <c r="BL84" s="685">
        <f>BC84+I84+H84</f>
        <v>857837.42982805159</v>
      </c>
    </row>
    <row r="85" spans="1:73" outlineLevel="1" x14ac:dyDescent="0.25">
      <c r="A85" s="1" t="s">
        <v>865</v>
      </c>
      <c r="B85" s="35"/>
      <c r="C85" s="690"/>
      <c r="D85" s="776">
        <f t="shared" ref="D85:AI85" si="42">SUM(D69:D84)</f>
        <v>17328186.377785556</v>
      </c>
      <c r="E85" s="776">
        <f t="shared" si="42"/>
        <v>13059839.148787376</v>
      </c>
      <c r="F85" s="776">
        <f t="shared" si="42"/>
        <v>3101443.2896452448</v>
      </c>
      <c r="G85" s="776">
        <f t="shared" si="42"/>
        <v>13650162.700335907</v>
      </c>
      <c r="H85" s="688">
        <f t="shared" si="42"/>
        <v>132835.08270087352</v>
      </c>
      <c r="I85" s="666">
        <f t="shared" si="42"/>
        <v>5107951.1579746203</v>
      </c>
      <c r="J85" s="687">
        <f t="shared" si="42"/>
        <v>31063.352057212745</v>
      </c>
      <c r="K85" s="687">
        <f t="shared" si="42"/>
        <v>9212.7751197778325</v>
      </c>
      <c r="L85" s="687">
        <f t="shared" si="42"/>
        <v>9672.6432750700988</v>
      </c>
      <c r="M85" s="687">
        <f t="shared" si="42"/>
        <v>9251.8456909322813</v>
      </c>
      <c r="N85" s="687">
        <f t="shared" si="42"/>
        <v>16187.380588841324</v>
      </c>
      <c r="O85" s="687">
        <f t="shared" si="42"/>
        <v>37072.484195907164</v>
      </c>
      <c r="P85" s="687">
        <f t="shared" si="42"/>
        <v>4484.9404837773382</v>
      </c>
      <c r="Q85" s="687">
        <f t="shared" si="42"/>
        <v>11876.38275670288</v>
      </c>
      <c r="R85" s="687">
        <f t="shared" si="42"/>
        <v>10158.283799935463</v>
      </c>
      <c r="S85" s="687">
        <f t="shared" si="42"/>
        <v>10450.267896930318</v>
      </c>
      <c r="T85" s="687">
        <f t="shared" si="42"/>
        <v>37853.758702784748</v>
      </c>
      <c r="U85" s="687">
        <f t="shared" si="42"/>
        <v>30221.489144703581</v>
      </c>
      <c r="V85" s="687">
        <f t="shared" si="42"/>
        <v>23978.9433370404</v>
      </c>
      <c r="W85" s="687">
        <f t="shared" si="42"/>
        <v>38454.994313614297</v>
      </c>
      <c r="X85" s="687">
        <f t="shared" si="42"/>
        <v>950.75220548881782</v>
      </c>
      <c r="Y85" s="687">
        <f t="shared" si="42"/>
        <v>749.89907911183218</v>
      </c>
      <c r="Z85" s="687">
        <f t="shared" si="42"/>
        <v>3625.5557046713675</v>
      </c>
      <c r="AA85" s="687">
        <f t="shared" si="42"/>
        <v>3313.862967850841</v>
      </c>
      <c r="AB85" s="687">
        <f t="shared" si="42"/>
        <v>1993.6617854471965</v>
      </c>
      <c r="AC85" s="687">
        <f t="shared" si="42"/>
        <v>2039.3780132063023</v>
      </c>
      <c r="AD85" s="687">
        <f t="shared" si="42"/>
        <v>11572.881250103525</v>
      </c>
      <c r="AE85" s="687">
        <f t="shared" si="42"/>
        <v>4641.3320078723464</v>
      </c>
      <c r="AF85" s="687">
        <f t="shared" si="42"/>
        <v>12076.723185092473</v>
      </c>
      <c r="AG85" s="687">
        <f t="shared" si="42"/>
        <v>37521.132532651754</v>
      </c>
      <c r="AH85" s="687">
        <f t="shared" si="42"/>
        <v>307180.95598331094</v>
      </c>
      <c r="AI85" s="687">
        <f t="shared" si="42"/>
        <v>2133.9910120464338</v>
      </c>
      <c r="AJ85" s="687">
        <f t="shared" ref="AJ85:BK85" si="43">SUM(AJ69:AJ84)</f>
        <v>45280.801428350285</v>
      </c>
      <c r="AK85" s="687">
        <f t="shared" si="43"/>
        <v>38932.607689622862</v>
      </c>
      <c r="AL85" s="687">
        <f t="shared" si="43"/>
        <v>0</v>
      </c>
      <c r="AM85" s="687">
        <f t="shared" si="43"/>
        <v>4746.9945747188713</v>
      </c>
      <c r="AN85" s="687">
        <f t="shared" si="43"/>
        <v>8027.9849673776207</v>
      </c>
      <c r="AO85" s="687">
        <f t="shared" si="43"/>
        <v>47338.828353088553</v>
      </c>
      <c r="AP85" s="687">
        <f t="shared" si="43"/>
        <v>7169.3884261570474</v>
      </c>
      <c r="AQ85" s="687">
        <f t="shared" si="43"/>
        <v>44989.891946094154</v>
      </c>
      <c r="AR85" s="687">
        <f t="shared" si="43"/>
        <v>135.87124959575209</v>
      </c>
      <c r="AS85" s="687">
        <f t="shared" si="43"/>
        <v>66304.691463701107</v>
      </c>
      <c r="AT85" s="687">
        <f t="shared" si="43"/>
        <v>55007.968779299044</v>
      </c>
      <c r="AU85" s="687">
        <f t="shared" si="43"/>
        <v>76896.068915247204</v>
      </c>
      <c r="AV85" s="687">
        <f t="shared" si="43"/>
        <v>108081.09870172027</v>
      </c>
      <c r="AW85" s="687">
        <f t="shared" si="43"/>
        <v>276806.15888552059</v>
      </c>
      <c r="AX85" s="687">
        <f t="shared" si="43"/>
        <v>2882.3524219799001</v>
      </c>
      <c r="AY85" s="687">
        <f t="shared" si="43"/>
        <v>956423.97158414824</v>
      </c>
      <c r="AZ85" s="687">
        <f t="shared" si="43"/>
        <v>33843.164062955519</v>
      </c>
      <c r="BA85" s="687">
        <f t="shared" si="43"/>
        <v>583440.70259266172</v>
      </c>
      <c r="BB85" s="687">
        <f t="shared" si="43"/>
        <v>2083902.9448422976</v>
      </c>
      <c r="BC85" s="666">
        <f t="shared" si="43"/>
        <v>8225587.4617074635</v>
      </c>
      <c r="BD85" s="687">
        <f t="shared" si="43"/>
        <v>1321118.5354259224</v>
      </c>
      <c r="BE85" s="687">
        <f t="shared" si="43"/>
        <v>1204860.6973461497</v>
      </c>
      <c r="BF85" s="687">
        <f t="shared" si="43"/>
        <v>737691.93648624246</v>
      </c>
      <c r="BG85" s="687">
        <f t="shared" si="43"/>
        <v>1363362.64886473</v>
      </c>
      <c r="BH85" s="687">
        <f t="shared" si="43"/>
        <v>1067994.286316657</v>
      </c>
      <c r="BI85" s="687">
        <f t="shared" si="43"/>
        <v>777657.37519165745</v>
      </c>
      <c r="BJ85" s="687">
        <f t="shared" si="43"/>
        <v>438617.13537409093</v>
      </c>
      <c r="BK85" s="687">
        <f t="shared" si="43"/>
        <v>1314284.8467020125</v>
      </c>
      <c r="BL85" s="687">
        <f>BC85+I85+H85</f>
        <v>13466373.702382958</v>
      </c>
    </row>
    <row r="86" spans="1:73" outlineLevel="1" x14ac:dyDescent="0.25">
      <c r="C86" s="668"/>
      <c r="D86" s="76"/>
      <c r="E86" s="76"/>
      <c r="F86" s="200" t="s">
        <v>118</v>
      </c>
      <c r="G86" s="777">
        <f>((E21-E78-F85-F78)*Assumptions!$B$20+E85+F78)-G85</f>
        <v>0</v>
      </c>
      <c r="H86" s="692">
        <f>H85/(H85+I85+BC85)</f>
        <v>9.8642058832339955E-3</v>
      </c>
      <c r="I86" s="692">
        <f>I85/(I85+BC85+H85)</f>
        <v>0.37931155564699182</v>
      </c>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80"/>
      <c r="BC86" s="692">
        <f>BC85/(BC85+I85+H85)</f>
        <v>0.61082423846977418</v>
      </c>
      <c r="BD86" s="45">
        <f>BD85/$BC$85</f>
        <v>0.16061084288217942</v>
      </c>
      <c r="BE86" s="45">
        <f t="shared" ref="BE86:BK86" si="44">BE85/$BC$85</f>
        <v>0.14647716080524725</v>
      </c>
      <c r="BF86" s="45">
        <f t="shared" si="44"/>
        <v>8.9682583757137849E-2</v>
      </c>
      <c r="BG86" s="45">
        <f t="shared" si="44"/>
        <v>0.16574653849485954</v>
      </c>
      <c r="BH86" s="45">
        <f t="shared" si="44"/>
        <v>0.12983805610097582</v>
      </c>
      <c r="BI86" s="45">
        <f t="shared" si="44"/>
        <v>9.4541256635089221E-2</v>
      </c>
      <c r="BJ86" s="45">
        <f t="shared" si="44"/>
        <v>5.3323502718314417E-2</v>
      </c>
      <c r="BK86" s="45">
        <f t="shared" si="44"/>
        <v>0.15978005860619635</v>
      </c>
      <c r="BL86" s="80">
        <f>BC86+I86+H86</f>
        <v>1</v>
      </c>
    </row>
    <row r="87" spans="1:73" outlineLevel="1" x14ac:dyDescent="0.25">
      <c r="C87" s="668"/>
      <c r="D87" s="76"/>
      <c r="E87" s="76"/>
      <c r="F87" s="76"/>
      <c r="G87" s="76"/>
      <c r="H87" s="242" t="s">
        <v>866</v>
      </c>
      <c r="I87" s="692">
        <f>I86/(I86+BC86)</f>
        <v>0.38309043860529285</v>
      </c>
      <c r="BB87" s="177" t="s">
        <v>866</v>
      </c>
      <c r="BC87" s="692">
        <f>BC86/(BC86+I86)</f>
        <v>0.61690956139470721</v>
      </c>
      <c r="BD87" s="77"/>
      <c r="BL87" s="80">
        <f>BC87+I87</f>
        <v>1</v>
      </c>
    </row>
    <row r="88" spans="1:73" outlineLevel="1" x14ac:dyDescent="0.25">
      <c r="A88" s="199" t="s">
        <v>867</v>
      </c>
      <c r="C88" s="668"/>
      <c r="D88" s="76"/>
      <c r="E88" s="76"/>
      <c r="F88" s="76"/>
      <c r="G88" s="76"/>
      <c r="H88" s="692"/>
      <c r="I88" s="692"/>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80"/>
      <c r="BC88" s="692"/>
      <c r="BD88" s="76"/>
      <c r="BE88" s="76"/>
      <c r="BF88" s="76"/>
      <c r="BG88" s="76"/>
      <c r="BH88" s="76"/>
      <c r="BI88" s="76"/>
      <c r="BJ88" s="76"/>
      <c r="BK88" s="76"/>
      <c r="BL88" s="80"/>
    </row>
    <row r="89" spans="1:73" outlineLevel="1" x14ac:dyDescent="0.25">
      <c r="A89" s="199"/>
      <c r="C89" s="668"/>
      <c r="D89" s="76"/>
      <c r="E89" s="76"/>
      <c r="F89" s="76"/>
      <c r="G89" s="76"/>
      <c r="H89" s="692"/>
      <c r="I89" s="692"/>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80"/>
      <c r="BC89" s="692"/>
      <c r="BD89" s="77"/>
      <c r="BE89" s="77"/>
      <c r="BF89" s="77"/>
      <c r="BG89" s="77"/>
      <c r="BH89" s="77"/>
      <c r="BI89" s="77"/>
      <c r="BJ89" s="77"/>
      <c r="BK89" s="77"/>
      <c r="BL89" s="80"/>
    </row>
    <row r="90" spans="1:73" outlineLevel="1" x14ac:dyDescent="0.25">
      <c r="A90" s="693" t="s">
        <v>421</v>
      </c>
      <c r="B90" s="3" t="s">
        <v>868</v>
      </c>
      <c r="C90" s="679" t="s">
        <v>863</v>
      </c>
      <c r="D90" s="775">
        <f t="shared" ref="D90:E92" si="45">D26</f>
        <v>-169110</v>
      </c>
      <c r="E90" s="775">
        <f t="shared" si="45"/>
        <v>-127500</v>
      </c>
      <c r="F90" s="665"/>
      <c r="G90" s="778">
        <f>E90</f>
        <v>-127500</v>
      </c>
      <c r="H90" s="692"/>
      <c r="I90" s="666">
        <f t="shared" ref="I90" si="46">SUM(J90:BB90)</f>
        <v>-127500</v>
      </c>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f>G90</f>
        <v>-127500</v>
      </c>
      <c r="BC90" s="694">
        <f>SUM(BD90:BK90)</f>
        <v>0</v>
      </c>
      <c r="BD90" s="73"/>
      <c r="BE90" s="73"/>
      <c r="BF90" s="73"/>
      <c r="BG90" s="73"/>
      <c r="BH90" s="73"/>
      <c r="BI90" s="73"/>
      <c r="BJ90" s="73"/>
      <c r="BK90" s="73"/>
      <c r="BL90" s="695">
        <f t="shared" ref="BL90:BL93" si="47">BC90+I90+H90</f>
        <v>-127500</v>
      </c>
    </row>
    <row r="91" spans="1:73" outlineLevel="1" x14ac:dyDescent="0.25">
      <c r="A91" s="693" t="s">
        <v>315</v>
      </c>
      <c r="B91" s="3" t="s">
        <v>334</v>
      </c>
      <c r="C91" s="679" t="s">
        <v>863</v>
      </c>
      <c r="D91" s="775">
        <f t="shared" si="45"/>
        <v>-148330</v>
      </c>
      <c r="E91" s="775">
        <f t="shared" si="45"/>
        <v>-111875</v>
      </c>
      <c r="F91" s="665"/>
      <c r="G91" s="778">
        <f>E91</f>
        <v>-111875</v>
      </c>
      <c r="H91" s="692"/>
      <c r="I91" s="666"/>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694">
        <f>SUM(BD91:BK91)</f>
        <v>-111875</v>
      </c>
      <c r="BD91" s="73"/>
      <c r="BE91" s="73"/>
      <c r="BF91" s="73"/>
      <c r="BG91" s="73"/>
      <c r="BH91" s="73"/>
      <c r="BI91" s="73"/>
      <c r="BJ91" s="73"/>
      <c r="BK91" s="73">
        <f>G91</f>
        <v>-111875</v>
      </c>
      <c r="BL91" s="695">
        <f t="shared" si="47"/>
        <v>-111875</v>
      </c>
    </row>
    <row r="92" spans="1:73" outlineLevel="1" x14ac:dyDescent="0.25">
      <c r="A92" s="177" t="s">
        <v>482</v>
      </c>
      <c r="B92" s="3" t="s">
        <v>132</v>
      </c>
      <c r="C92" s="679" t="s">
        <v>863</v>
      </c>
      <c r="D92" s="775">
        <f t="shared" si="45"/>
        <v>0</v>
      </c>
      <c r="E92" s="775">
        <f t="shared" si="45"/>
        <v>0</v>
      </c>
      <c r="F92" s="664"/>
      <c r="G92" s="778">
        <f>E92</f>
        <v>0</v>
      </c>
      <c r="H92" s="692"/>
      <c r="I92" s="666">
        <f t="shared" ref="I92:I93" si="48">SUM(J92:BB92)</f>
        <v>0</v>
      </c>
      <c r="J92" s="73">
        <f>($D$92-$E$92)*(VLOOKUP('Cost Allocation - Tier 1'!J2,'Allocation CU RU'!$B$11:$I$82,8,))</f>
        <v>0</v>
      </c>
      <c r="K92" s="73">
        <f>($D$92-$E$92)*(VLOOKUP('Cost Allocation - Tier 1'!K2,'Allocation CU RU'!$B$11:$I$82,8,))</f>
        <v>0</v>
      </c>
      <c r="L92" s="73">
        <f>($D$92-$E$92)*(VLOOKUP('Cost Allocation - Tier 1'!L2,'Allocation CU RU'!$B$11:$I$82,8,))</f>
        <v>0</v>
      </c>
      <c r="M92" s="73">
        <f>($D$92-$E$92)*(VLOOKUP('Cost Allocation - Tier 1'!M2,'Allocation CU RU'!$B$11:$I$82,8,))</f>
        <v>0</v>
      </c>
      <c r="N92" s="73">
        <f>($D$92-$E$92)*(VLOOKUP('Cost Allocation - Tier 1'!N2,'Allocation CU RU'!$B$11:$I$82,8,))</f>
        <v>0</v>
      </c>
      <c r="O92" s="73">
        <f>($D$92-$E$92)*(VLOOKUP('Cost Allocation - Tier 1'!O2,'Allocation CU RU'!$B$11:$I$82,8,))</f>
        <v>0</v>
      </c>
      <c r="P92" s="73">
        <f>($D$92-$E$92)*(VLOOKUP('Cost Allocation - Tier 1'!P2,'Allocation CU RU'!$B$11:$I$82,8,))</f>
        <v>0</v>
      </c>
      <c r="Q92" s="73">
        <f>($D$92-$E$92)*(VLOOKUP('Cost Allocation - Tier 1'!Q2,'Allocation CU RU'!$B$11:$I$82,8,))</f>
        <v>0</v>
      </c>
      <c r="R92" s="73">
        <f>($D$92-$E$92)*(VLOOKUP('Cost Allocation - Tier 1'!R2,'Allocation CU RU'!$B$11:$I$82,8,))</f>
        <v>0</v>
      </c>
      <c r="S92" s="73">
        <f>($D$92-$E$92)*(VLOOKUP('Cost Allocation - Tier 1'!S2,'Allocation CU RU'!$B$11:$I$82,8,))</f>
        <v>0</v>
      </c>
      <c r="T92" s="73">
        <f>($D$92-$E$92)*(VLOOKUP('Cost Allocation - Tier 1'!T2,'Allocation CU RU'!$B$11:$I$82,8,))</f>
        <v>0</v>
      </c>
      <c r="U92" s="73">
        <f>($D$92-$E$92)*(VLOOKUP('Cost Allocation - Tier 1'!U2,'Allocation CU RU'!$B$11:$I$82,8,))</f>
        <v>0</v>
      </c>
      <c r="V92" s="73">
        <f>($D$92-$E$92)*(VLOOKUP('Cost Allocation - Tier 1'!V2,'Allocation CU RU'!$B$11:$I$82,8,))</f>
        <v>0</v>
      </c>
      <c r="W92" s="73">
        <f>($D$92-$E$92)*(VLOOKUP('Cost Allocation - Tier 1'!W2,'Allocation CU RU'!$B$11:$I$82,8,))</f>
        <v>0</v>
      </c>
      <c r="X92" s="73">
        <f>($D$92-$E$92)*(VLOOKUP('Cost Allocation - Tier 1'!X2,'Allocation CU RU'!$B$11:$I$82,8,))</f>
        <v>0</v>
      </c>
      <c r="Y92" s="73">
        <f>($D$92-$E$92)*(VLOOKUP('Cost Allocation - Tier 1'!Y2,'Allocation CU RU'!$B$11:$I$82,8,))</f>
        <v>0</v>
      </c>
      <c r="Z92" s="73">
        <f>($D$92-$E$92)*(VLOOKUP('Cost Allocation - Tier 1'!Z2,'Allocation CU RU'!$B$11:$I$82,8,))</f>
        <v>0</v>
      </c>
      <c r="AA92" s="73">
        <f>($D$92-$E$92)*(VLOOKUP('Cost Allocation - Tier 1'!AA2,'Allocation CU RU'!$B$11:$I$82,8,))</f>
        <v>0</v>
      </c>
      <c r="AB92" s="73">
        <f>($D$92-$E$92)*(VLOOKUP('Cost Allocation - Tier 1'!AB2,'Allocation CU RU'!$B$11:$I$82,8,))</f>
        <v>0</v>
      </c>
      <c r="AC92" s="73">
        <f>($D$92-$E$92)*(VLOOKUP('Cost Allocation - Tier 1'!AC2,'Allocation CU RU'!$B$11:$I$82,8,))</f>
        <v>0</v>
      </c>
      <c r="AD92" s="73">
        <f>($D$92-$E$92)*(VLOOKUP('Cost Allocation - Tier 1'!AD2,'Allocation CU RU'!$B$11:$I$82,8,))</f>
        <v>0</v>
      </c>
      <c r="AE92" s="73">
        <f>($D$92-$E$92)*(VLOOKUP('Cost Allocation - Tier 1'!AE2,'Allocation CU RU'!$B$11:$I$82,8,))</f>
        <v>0</v>
      </c>
      <c r="AF92" s="73">
        <f>($D$92-$E$92)*(VLOOKUP('Cost Allocation - Tier 1'!AF2,'Allocation CU RU'!$B$11:$I$82,8,))</f>
        <v>0</v>
      </c>
      <c r="AG92" s="73">
        <f>($D$92-$E$92)*(VLOOKUP('Cost Allocation - Tier 1'!AG2,'Allocation CU RU'!$B$11:$I$82,8,))</f>
        <v>0</v>
      </c>
      <c r="AH92" s="73">
        <f>($D$92-$E$92)*(VLOOKUP('Cost Allocation - Tier 1'!AH2,'Allocation CU RU'!$B$11:$I$82,8,))</f>
        <v>0</v>
      </c>
      <c r="AI92" s="73">
        <f>($D$92-$E$92)*(VLOOKUP('Cost Allocation - Tier 1'!AI2,'Allocation CU RU'!$B$11:$I$82,8,))</f>
        <v>0</v>
      </c>
      <c r="AJ92" s="73">
        <f>($D$92-$E$92)*(VLOOKUP('Cost Allocation - Tier 1'!AJ2,'Allocation CU RU'!$B$11:$I$82,8,))</f>
        <v>0</v>
      </c>
      <c r="AK92" s="73">
        <f>($D$92-$E$92)*(VLOOKUP('Cost Allocation - Tier 1'!AK2,'Allocation CU RU'!$B$11:$I$82,8,))</f>
        <v>0</v>
      </c>
      <c r="AL92" s="73">
        <f>($D$92-$E$92)*(VLOOKUP('Cost Allocation - Tier 1'!AL2,'Allocation CU RU'!$B$11:$I$82,8,))</f>
        <v>0</v>
      </c>
      <c r="AM92" s="73">
        <f>($D$92-$E$92)*(VLOOKUP('Cost Allocation - Tier 1'!AM2,'Allocation CU RU'!$B$11:$I$82,8,))</f>
        <v>0</v>
      </c>
      <c r="AN92" s="73">
        <f>($D$92-$E$92)*(VLOOKUP('Cost Allocation - Tier 1'!AN2,'Allocation CU RU'!$B$11:$I$82,8,))</f>
        <v>0</v>
      </c>
      <c r="AO92" s="73">
        <f>($D$92-$E$92)*(VLOOKUP('Cost Allocation - Tier 1'!AO2,'Allocation CU RU'!$B$11:$I$82,8,))</f>
        <v>0</v>
      </c>
      <c r="AP92" s="73">
        <f>($D$92-$E$92)*(VLOOKUP('Cost Allocation - Tier 1'!AP2,'Allocation CU RU'!$B$11:$I$82,8,))</f>
        <v>0</v>
      </c>
      <c r="AQ92" s="73">
        <f>($D$92-$E$92)*(VLOOKUP('Cost Allocation - Tier 1'!AQ2,'Allocation CU RU'!$B$11:$I$82,8,))</f>
        <v>0</v>
      </c>
      <c r="AR92" s="73">
        <f>($D$92-$E$92)*(VLOOKUP('Cost Allocation - Tier 1'!AR2,'Allocation CU RU'!$B$11:$I$82,8,))</f>
        <v>0</v>
      </c>
      <c r="AS92" s="73">
        <f>($D$92-$E$92)*(VLOOKUP('Cost Allocation - Tier 1'!AS2,'Allocation CU RU'!$B$11:$I$82,8,))</f>
        <v>0</v>
      </c>
      <c r="AT92" s="73">
        <f>($D$92-$E$92)*(VLOOKUP('Cost Allocation - Tier 1'!AT2,'Allocation CU RU'!$B$11:$I$82,8,))</f>
        <v>0</v>
      </c>
      <c r="AU92" s="73">
        <f>($D$92-$E$92)*(VLOOKUP('Cost Allocation - Tier 1'!AU2,'Allocation CU RU'!$B$11:$I$82,8,))</f>
        <v>0</v>
      </c>
      <c r="AV92" s="73">
        <f>($D$92-$E$92)*(VLOOKUP('Cost Allocation - Tier 1'!AV2,'Allocation CU RU'!$B$11:$I$82,8,))</f>
        <v>0</v>
      </c>
      <c r="AW92" s="73">
        <f>($D$92-$E$92)*(VLOOKUP('Cost Allocation - Tier 1'!AW2,'Allocation CU RU'!$B$11:$I$82,8,))</f>
        <v>0</v>
      </c>
      <c r="AX92" s="73">
        <f>($D$92-$E$92)*(VLOOKUP('Cost Allocation - Tier 1'!AX2,'Allocation CU RU'!$B$11:$I$82,8,))</f>
        <v>0</v>
      </c>
      <c r="AY92" s="73">
        <f>($D$92-$E$92)*(VLOOKUP('Cost Allocation - Tier 1'!AY2,'Allocation CU RU'!$B$11:$I$82,8,))</f>
        <v>0</v>
      </c>
      <c r="AZ92" s="73">
        <f>($D$92-$E$92)*(VLOOKUP('Cost Allocation - Tier 1'!AZ2,'Allocation CU RU'!$B$11:$I$82,8,))</f>
        <v>0</v>
      </c>
      <c r="BA92" s="73">
        <f>($D$92-$E$92)*(VLOOKUP('Cost Allocation - Tier 1'!BA2,'Allocation CU RU'!$B$11:$I$82,8,))</f>
        <v>0</v>
      </c>
      <c r="BB92" s="73">
        <f>($D$92-$E$92)*(VLOOKUP('Cost Allocation - Tier 1'!BB2,'Allocation CU RU'!$B$11:$I$82,8,))</f>
        <v>0</v>
      </c>
      <c r="BC92" s="694">
        <f t="shared" ref="BC92:BC93" si="49">SUM(BD92:BK92)</f>
        <v>0</v>
      </c>
      <c r="BD92" s="73">
        <f>($D$92-$E$92)*(VLOOKUP('Cost Allocation - Tier 1'!BD2,'Allocation CU RU'!$B$11:$I$82,8,))</f>
        <v>0</v>
      </c>
      <c r="BE92" s="73">
        <f>($D$92-$E$92)*(VLOOKUP('Cost Allocation - Tier 1'!BE2,'Allocation CU RU'!$B$11:$I$82,8,))</f>
        <v>0</v>
      </c>
      <c r="BF92" s="73">
        <f>($D$92-$E$92)*(VLOOKUP('Cost Allocation - Tier 1'!BF2,'Allocation CU RU'!$B$11:$I$82,8,))</f>
        <v>0</v>
      </c>
      <c r="BG92" s="73">
        <f>($D$92-$E$92)*(VLOOKUP('Cost Allocation - Tier 1'!BG2,'Allocation CU RU'!$B$11:$I$82,8,))</f>
        <v>0</v>
      </c>
      <c r="BH92" s="73">
        <f>($D$92-$E$92)*(VLOOKUP('Cost Allocation - Tier 1'!BH2,'Allocation CU RU'!$B$11:$I$82,8,))</f>
        <v>0</v>
      </c>
      <c r="BI92" s="73">
        <f>($D$92-$E$92)*(VLOOKUP('Cost Allocation - Tier 1'!BI2,'Allocation CU RU'!$B$11:$I$82,8,))</f>
        <v>0</v>
      </c>
      <c r="BJ92" s="73">
        <f>($D$92-$E$92)*(VLOOKUP('Cost Allocation - Tier 1'!BJ2,'Allocation CU RU'!$B$11:$I$82,8,))</f>
        <v>0</v>
      </c>
      <c r="BK92" s="73">
        <f>($D$92-$E$92)*(VLOOKUP('Cost Allocation - Tier 1'!BK2,'Allocation CU RU'!$B$11:$I$82,8,))</f>
        <v>0</v>
      </c>
      <c r="BL92" s="695">
        <f t="shared" si="47"/>
        <v>0</v>
      </c>
    </row>
    <row r="93" spans="1:73" outlineLevel="1" x14ac:dyDescent="0.25">
      <c r="D93" s="685"/>
      <c r="E93" s="685"/>
      <c r="F93" s="685"/>
      <c r="G93" s="685"/>
      <c r="H93" s="697"/>
      <c r="I93" s="684">
        <f t="shared" si="48"/>
        <v>0</v>
      </c>
      <c r="J93" s="685"/>
      <c r="K93" s="685"/>
      <c r="L93" s="685"/>
      <c r="M93" s="685"/>
      <c r="N93" s="685"/>
      <c r="O93" s="685"/>
      <c r="P93" s="685"/>
      <c r="Q93" s="685"/>
      <c r="R93" s="685"/>
      <c r="S93" s="685"/>
      <c r="T93" s="685"/>
      <c r="U93" s="685"/>
      <c r="V93" s="685"/>
      <c r="W93" s="685"/>
      <c r="X93" s="685"/>
      <c r="Y93" s="685"/>
      <c r="Z93" s="685"/>
      <c r="AA93" s="685"/>
      <c r="AB93" s="685"/>
      <c r="AC93" s="685"/>
      <c r="AD93" s="685"/>
      <c r="AE93" s="685"/>
      <c r="AF93" s="685"/>
      <c r="AG93" s="685"/>
      <c r="AH93" s="685"/>
      <c r="AI93" s="685"/>
      <c r="AJ93" s="685"/>
      <c r="AK93" s="685"/>
      <c r="AL93" s="685"/>
      <c r="AM93" s="685"/>
      <c r="AN93" s="685"/>
      <c r="AO93" s="685"/>
      <c r="AP93" s="685"/>
      <c r="AQ93" s="685"/>
      <c r="AR93" s="685"/>
      <c r="AS93" s="685"/>
      <c r="AT93" s="685"/>
      <c r="AU93" s="685"/>
      <c r="AV93" s="685"/>
      <c r="AW93" s="685"/>
      <c r="AX93" s="685"/>
      <c r="AY93" s="685"/>
      <c r="AZ93" s="685"/>
      <c r="BA93" s="685"/>
      <c r="BB93" s="91"/>
      <c r="BC93" s="684">
        <f t="shared" si="49"/>
        <v>0</v>
      </c>
      <c r="BD93" s="685"/>
      <c r="BE93" s="685"/>
      <c r="BF93" s="685"/>
      <c r="BG93" s="685"/>
      <c r="BH93" s="685"/>
      <c r="BI93" s="685"/>
      <c r="BJ93" s="685"/>
      <c r="BK93" s="685"/>
      <c r="BL93" s="685">
        <f t="shared" si="47"/>
        <v>0</v>
      </c>
    </row>
    <row r="94" spans="1:73" outlineLevel="1" x14ac:dyDescent="0.25">
      <c r="A94" s="1" t="s">
        <v>869</v>
      </c>
      <c r="B94" s="35"/>
      <c r="C94" s="686"/>
      <c r="D94" s="687">
        <f t="shared" ref="D94:G94" si="50">SUM(D90:D93)</f>
        <v>-317440</v>
      </c>
      <c r="E94" s="687">
        <f t="shared" si="50"/>
        <v>-239375</v>
      </c>
      <c r="F94" s="687"/>
      <c r="G94" s="687">
        <f t="shared" si="50"/>
        <v>-239375</v>
      </c>
      <c r="H94" s="688">
        <f t="shared" ref="H94:BL94" si="51">SUM(H90:H93)</f>
        <v>0</v>
      </c>
      <c r="I94" s="688">
        <f t="shared" si="51"/>
        <v>-127500</v>
      </c>
      <c r="J94" s="698">
        <f t="shared" si="51"/>
        <v>0</v>
      </c>
      <c r="K94" s="698">
        <f t="shared" si="51"/>
        <v>0</v>
      </c>
      <c r="L94" s="698">
        <f t="shared" si="51"/>
        <v>0</v>
      </c>
      <c r="M94" s="698">
        <f t="shared" si="51"/>
        <v>0</v>
      </c>
      <c r="N94" s="698">
        <f t="shared" si="51"/>
        <v>0</v>
      </c>
      <c r="O94" s="698">
        <f t="shared" si="51"/>
        <v>0</v>
      </c>
      <c r="P94" s="698">
        <f t="shared" si="51"/>
        <v>0</v>
      </c>
      <c r="Q94" s="698">
        <f t="shared" si="51"/>
        <v>0</v>
      </c>
      <c r="R94" s="698">
        <f t="shared" si="51"/>
        <v>0</v>
      </c>
      <c r="S94" s="698">
        <f t="shared" si="51"/>
        <v>0</v>
      </c>
      <c r="T94" s="698">
        <f t="shared" si="51"/>
        <v>0</v>
      </c>
      <c r="U94" s="698">
        <f t="shared" si="51"/>
        <v>0</v>
      </c>
      <c r="V94" s="698">
        <f t="shared" si="51"/>
        <v>0</v>
      </c>
      <c r="W94" s="698">
        <f t="shared" si="51"/>
        <v>0</v>
      </c>
      <c r="X94" s="698">
        <f t="shared" si="51"/>
        <v>0</v>
      </c>
      <c r="Y94" s="698">
        <f t="shared" si="51"/>
        <v>0</v>
      </c>
      <c r="Z94" s="698">
        <f t="shared" si="51"/>
        <v>0</v>
      </c>
      <c r="AA94" s="698">
        <f t="shared" si="51"/>
        <v>0</v>
      </c>
      <c r="AB94" s="698">
        <f t="shared" si="51"/>
        <v>0</v>
      </c>
      <c r="AC94" s="698">
        <f t="shared" si="51"/>
        <v>0</v>
      </c>
      <c r="AD94" s="698">
        <f t="shared" si="51"/>
        <v>0</v>
      </c>
      <c r="AE94" s="698">
        <f t="shared" si="51"/>
        <v>0</v>
      </c>
      <c r="AF94" s="698">
        <f t="shared" si="51"/>
        <v>0</v>
      </c>
      <c r="AG94" s="698">
        <f t="shared" si="51"/>
        <v>0</v>
      </c>
      <c r="AH94" s="698">
        <f t="shared" si="51"/>
        <v>0</v>
      </c>
      <c r="AI94" s="698">
        <f t="shared" si="51"/>
        <v>0</v>
      </c>
      <c r="AJ94" s="698">
        <f t="shared" si="51"/>
        <v>0</v>
      </c>
      <c r="AK94" s="698">
        <f t="shared" si="51"/>
        <v>0</v>
      </c>
      <c r="AL94" s="698">
        <f t="shared" si="51"/>
        <v>0</v>
      </c>
      <c r="AM94" s="698">
        <f t="shared" si="51"/>
        <v>0</v>
      </c>
      <c r="AN94" s="698">
        <f t="shared" si="51"/>
        <v>0</v>
      </c>
      <c r="AO94" s="698">
        <f t="shared" si="51"/>
        <v>0</v>
      </c>
      <c r="AP94" s="698">
        <f t="shared" si="51"/>
        <v>0</v>
      </c>
      <c r="AQ94" s="698">
        <f t="shared" si="51"/>
        <v>0</v>
      </c>
      <c r="AR94" s="698">
        <f t="shared" si="51"/>
        <v>0</v>
      </c>
      <c r="AS94" s="698">
        <f t="shared" si="51"/>
        <v>0</v>
      </c>
      <c r="AT94" s="698">
        <f t="shared" si="51"/>
        <v>0</v>
      </c>
      <c r="AU94" s="698">
        <f t="shared" si="51"/>
        <v>0</v>
      </c>
      <c r="AV94" s="698">
        <f t="shared" si="51"/>
        <v>0</v>
      </c>
      <c r="AW94" s="698">
        <f t="shared" si="51"/>
        <v>0</v>
      </c>
      <c r="AX94" s="698">
        <f t="shared" si="51"/>
        <v>0</v>
      </c>
      <c r="AY94" s="698">
        <f t="shared" si="51"/>
        <v>0</v>
      </c>
      <c r="AZ94" s="698">
        <f t="shared" si="51"/>
        <v>0</v>
      </c>
      <c r="BA94" s="698">
        <f t="shared" si="51"/>
        <v>0</v>
      </c>
      <c r="BB94" s="698">
        <f t="shared" si="51"/>
        <v>-127500</v>
      </c>
      <c r="BC94" s="688">
        <f t="shared" si="51"/>
        <v>-111875</v>
      </c>
      <c r="BD94" s="698">
        <f t="shared" si="51"/>
        <v>0</v>
      </c>
      <c r="BE94" s="698">
        <f t="shared" si="51"/>
        <v>0</v>
      </c>
      <c r="BF94" s="698">
        <f t="shared" si="51"/>
        <v>0</v>
      </c>
      <c r="BG94" s="698">
        <f t="shared" si="51"/>
        <v>0</v>
      </c>
      <c r="BH94" s="698">
        <f t="shared" si="51"/>
        <v>0</v>
      </c>
      <c r="BI94" s="698">
        <f t="shared" si="51"/>
        <v>0</v>
      </c>
      <c r="BJ94" s="698">
        <f t="shared" si="51"/>
        <v>0</v>
      </c>
      <c r="BK94" s="698">
        <f t="shared" si="51"/>
        <v>-111875</v>
      </c>
      <c r="BL94" s="698">
        <f t="shared" si="51"/>
        <v>-239375</v>
      </c>
    </row>
    <row r="95" spans="1:73" outlineLevel="1" x14ac:dyDescent="0.25">
      <c r="D95" s="76"/>
      <c r="E95" s="76"/>
      <c r="F95" s="76"/>
      <c r="G95" s="76"/>
      <c r="H95" s="692"/>
      <c r="I95" s="692"/>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80"/>
      <c r="BC95" s="692"/>
      <c r="BE95" s="76"/>
      <c r="BF95" s="76"/>
      <c r="BG95" s="76"/>
      <c r="BH95" s="76"/>
      <c r="BI95" s="76"/>
      <c r="BJ95" s="76"/>
      <c r="BK95" s="76"/>
      <c r="BL95" s="80"/>
      <c r="BU95" s="1248"/>
    </row>
    <row r="96" spans="1:73" outlineLevel="1" x14ac:dyDescent="0.25">
      <c r="D96" s="76"/>
      <c r="E96" s="76"/>
      <c r="F96" s="76"/>
      <c r="G96" s="76"/>
      <c r="H96" s="692"/>
      <c r="I96" s="692"/>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80"/>
      <c r="BC96" s="692"/>
      <c r="BD96" s="76"/>
      <c r="BE96" s="76"/>
      <c r="BF96" s="76"/>
      <c r="BG96" s="76"/>
      <c r="BH96" s="76"/>
      <c r="BI96" s="76"/>
      <c r="BJ96" s="76"/>
      <c r="BK96" s="76"/>
      <c r="BL96" s="80"/>
      <c r="BU96" s="1248"/>
    </row>
    <row r="97" spans="1:73" outlineLevel="1" x14ac:dyDescent="0.25">
      <c r="A97" s="699" t="s">
        <v>892</v>
      </c>
      <c r="B97" s="700"/>
      <c r="C97" s="701"/>
      <c r="D97" s="702">
        <f t="shared" ref="D97:BL97" si="52">D85+D94</f>
        <v>17010746.377785556</v>
      </c>
      <c r="E97" s="702">
        <f t="shared" si="52"/>
        <v>12820464.148787376</v>
      </c>
      <c r="F97" s="702"/>
      <c r="G97" s="702">
        <f t="shared" si="52"/>
        <v>13410787.700335907</v>
      </c>
      <c r="H97" s="702">
        <f t="shared" si="52"/>
        <v>132835.08270087352</v>
      </c>
      <c r="I97" s="702">
        <f t="shared" si="52"/>
        <v>4980451.1579746203</v>
      </c>
      <c r="J97" s="702">
        <f t="shared" si="52"/>
        <v>31063.352057212745</v>
      </c>
      <c r="K97" s="702">
        <f t="shared" si="52"/>
        <v>9212.7751197778325</v>
      </c>
      <c r="L97" s="702">
        <f t="shared" si="52"/>
        <v>9672.6432750700988</v>
      </c>
      <c r="M97" s="702">
        <f t="shared" si="52"/>
        <v>9251.8456909322813</v>
      </c>
      <c r="N97" s="702">
        <f t="shared" si="52"/>
        <v>16187.380588841324</v>
      </c>
      <c r="O97" s="702">
        <f t="shared" si="52"/>
        <v>37072.484195907164</v>
      </c>
      <c r="P97" s="702">
        <f t="shared" si="52"/>
        <v>4484.9404837773382</v>
      </c>
      <c r="Q97" s="702">
        <f t="shared" si="52"/>
        <v>11876.38275670288</v>
      </c>
      <c r="R97" s="702">
        <f t="shared" si="52"/>
        <v>10158.283799935463</v>
      </c>
      <c r="S97" s="702">
        <f t="shared" si="52"/>
        <v>10450.267896930318</v>
      </c>
      <c r="T97" s="702">
        <f t="shared" si="52"/>
        <v>37853.758702784748</v>
      </c>
      <c r="U97" s="702">
        <f t="shared" si="52"/>
        <v>30221.489144703581</v>
      </c>
      <c r="V97" s="702">
        <f t="shared" si="52"/>
        <v>23978.9433370404</v>
      </c>
      <c r="W97" s="702">
        <f t="shared" si="52"/>
        <v>38454.994313614297</v>
      </c>
      <c r="X97" s="702">
        <f t="shared" si="52"/>
        <v>950.75220548881782</v>
      </c>
      <c r="Y97" s="702">
        <f t="shared" si="52"/>
        <v>749.89907911183218</v>
      </c>
      <c r="Z97" s="702">
        <f t="shared" si="52"/>
        <v>3625.5557046713675</v>
      </c>
      <c r="AA97" s="702">
        <f t="shared" si="52"/>
        <v>3313.862967850841</v>
      </c>
      <c r="AB97" s="702">
        <f t="shared" si="52"/>
        <v>1993.6617854471965</v>
      </c>
      <c r="AC97" s="702">
        <f t="shared" si="52"/>
        <v>2039.3780132063023</v>
      </c>
      <c r="AD97" s="702">
        <f t="shared" si="52"/>
        <v>11572.881250103525</v>
      </c>
      <c r="AE97" s="702">
        <f t="shared" si="52"/>
        <v>4641.3320078723464</v>
      </c>
      <c r="AF97" s="702">
        <f t="shared" si="52"/>
        <v>12076.723185092473</v>
      </c>
      <c r="AG97" s="702">
        <f t="shared" si="52"/>
        <v>37521.132532651754</v>
      </c>
      <c r="AH97" s="702">
        <f t="shared" si="52"/>
        <v>307180.95598331094</v>
      </c>
      <c r="AI97" s="702">
        <f t="shared" si="52"/>
        <v>2133.9910120464338</v>
      </c>
      <c r="AJ97" s="702">
        <f t="shared" si="52"/>
        <v>45280.801428350285</v>
      </c>
      <c r="AK97" s="702">
        <f t="shared" si="52"/>
        <v>38932.607689622862</v>
      </c>
      <c r="AL97" s="702">
        <f t="shared" si="52"/>
        <v>0</v>
      </c>
      <c r="AM97" s="702">
        <f t="shared" si="52"/>
        <v>4746.9945747188713</v>
      </c>
      <c r="AN97" s="702">
        <f t="shared" si="52"/>
        <v>8027.9849673776207</v>
      </c>
      <c r="AO97" s="702">
        <f t="shared" si="52"/>
        <v>47338.828353088553</v>
      </c>
      <c r="AP97" s="702">
        <f t="shared" si="52"/>
        <v>7169.3884261570474</v>
      </c>
      <c r="AQ97" s="702">
        <f t="shared" si="52"/>
        <v>44989.891946094154</v>
      </c>
      <c r="AR97" s="702">
        <f t="shared" si="52"/>
        <v>135.87124959575209</v>
      </c>
      <c r="AS97" s="702">
        <f t="shared" si="52"/>
        <v>66304.691463701107</v>
      </c>
      <c r="AT97" s="702">
        <f t="shared" si="52"/>
        <v>55007.968779299044</v>
      </c>
      <c r="AU97" s="702">
        <f t="shared" si="52"/>
        <v>76896.068915247204</v>
      </c>
      <c r="AV97" s="702">
        <f t="shared" si="52"/>
        <v>108081.09870172027</v>
      </c>
      <c r="AW97" s="702">
        <f t="shared" si="52"/>
        <v>276806.15888552059</v>
      </c>
      <c r="AX97" s="702">
        <f t="shared" si="52"/>
        <v>2882.3524219799001</v>
      </c>
      <c r="AY97" s="702">
        <f t="shared" si="52"/>
        <v>956423.97158414824</v>
      </c>
      <c r="AZ97" s="702">
        <f t="shared" si="52"/>
        <v>33843.164062955519</v>
      </c>
      <c r="BA97" s="702">
        <f t="shared" si="52"/>
        <v>583440.70259266172</v>
      </c>
      <c r="BB97" s="702">
        <f t="shared" si="52"/>
        <v>1956402.9448422976</v>
      </c>
      <c r="BC97" s="702">
        <f t="shared" si="52"/>
        <v>8113712.4617074635</v>
      </c>
      <c r="BD97" s="702">
        <f t="shared" si="52"/>
        <v>1321118.5354259224</v>
      </c>
      <c r="BE97" s="702">
        <f t="shared" si="52"/>
        <v>1204860.6973461497</v>
      </c>
      <c r="BF97" s="702">
        <f t="shared" si="52"/>
        <v>737691.93648624246</v>
      </c>
      <c r="BG97" s="702">
        <f t="shared" si="52"/>
        <v>1363362.64886473</v>
      </c>
      <c r="BH97" s="702">
        <f t="shared" si="52"/>
        <v>1067994.286316657</v>
      </c>
      <c r="BI97" s="702">
        <f t="shared" si="52"/>
        <v>777657.37519165745</v>
      </c>
      <c r="BJ97" s="702">
        <f t="shared" si="52"/>
        <v>438617.13537409093</v>
      </c>
      <c r="BK97" s="702">
        <f t="shared" si="52"/>
        <v>1202409.8467020125</v>
      </c>
      <c r="BL97" s="702">
        <f t="shared" si="52"/>
        <v>13226998.702382958</v>
      </c>
      <c r="BU97" s="1248"/>
    </row>
    <row r="98" spans="1:73" outlineLevel="1" x14ac:dyDescent="0.25">
      <c r="D98" s="76"/>
      <c r="E98" s="76"/>
      <c r="F98" s="779"/>
      <c r="G98" s="780"/>
      <c r="H98" s="692"/>
      <c r="I98" s="692"/>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80"/>
      <c r="BC98" s="692"/>
      <c r="BD98" s="45">
        <f>BD97/$BC$97</f>
        <v>0.16282540719318317</v>
      </c>
      <c r="BE98" s="45">
        <f t="shared" ref="BE98:BK98" si="53">BE97/$BC$97</f>
        <v>0.14849684445097983</v>
      </c>
      <c r="BF98" s="45">
        <f t="shared" si="53"/>
        <v>9.0919161847029681E-2</v>
      </c>
      <c r="BG98" s="45">
        <f t="shared" si="53"/>
        <v>0.16803191575978299</v>
      </c>
      <c r="BH98" s="45">
        <f t="shared" si="53"/>
        <v>0.13162831334694677</v>
      </c>
      <c r="BI98" s="45">
        <f t="shared" si="53"/>
        <v>9.584482798248016E-2</v>
      </c>
      <c r="BJ98" s="45">
        <f t="shared" si="53"/>
        <v>5.4058747761168209E-2</v>
      </c>
      <c r="BK98" s="45">
        <f t="shared" si="53"/>
        <v>0.14819478165842906</v>
      </c>
      <c r="BL98" s="77"/>
    </row>
    <row r="99" spans="1:73" outlineLevel="1" x14ac:dyDescent="0.25">
      <c r="A99" s="199" t="s">
        <v>871</v>
      </c>
      <c r="H99" s="242"/>
      <c r="I99" s="241"/>
    </row>
    <row r="100" spans="1:73" outlineLevel="1" x14ac:dyDescent="0.25">
      <c r="A100" s="1"/>
      <c r="H100" s="242"/>
      <c r="I100" s="241"/>
    </row>
    <row r="101" spans="1:73" outlineLevel="1" x14ac:dyDescent="0.25">
      <c r="A101" s="343" t="s">
        <v>872</v>
      </c>
      <c r="H101" s="242"/>
      <c r="I101" s="705"/>
      <c r="AY101" s="706"/>
      <c r="AZ101" s="706"/>
      <c r="BA101" s="706"/>
      <c r="BC101" s="694"/>
    </row>
    <row r="102" spans="1:73" outlineLevel="1" x14ac:dyDescent="0.25">
      <c r="A102" s="781" t="s">
        <v>873</v>
      </c>
      <c r="B102" s="19" t="s">
        <v>861</v>
      </c>
      <c r="C102" s="709" t="s">
        <v>857</v>
      </c>
      <c r="D102" s="775">
        <f t="shared" ref="D102:E104" si="54">D38</f>
        <v>0</v>
      </c>
      <c r="E102" s="775">
        <f t="shared" si="54"/>
        <v>0</v>
      </c>
      <c r="F102" s="664"/>
      <c r="G102" s="775">
        <f>((E102-F102)*(1+Assumptions!$B$20))+F102</f>
        <v>0</v>
      </c>
      <c r="H102" s="242"/>
      <c r="I102" s="694">
        <f t="shared" ref="I102:I104" si="55">SUM(J102:BB102)</f>
        <v>0</v>
      </c>
      <c r="J102" s="73">
        <f>$E$102*(VLOOKUP(J2,'CU Composites'!$B$5:$N$55,12,))</f>
        <v>0</v>
      </c>
      <c r="K102" s="73">
        <f>$E$102*(VLOOKUP(K2,'CU Composites'!$B$5:$N$55,12,))</f>
        <v>0</v>
      </c>
      <c r="L102" s="73">
        <f>$E$102*(VLOOKUP(L2,'CU Composites'!$B$5:$N$55,12,))</f>
        <v>0</v>
      </c>
      <c r="M102" s="73">
        <f>$E$102*(VLOOKUP(M2,'CU Composites'!$B$5:$N$55,12,))</f>
        <v>0</v>
      </c>
      <c r="N102" s="73">
        <f>$E$102*(VLOOKUP(N2,'CU Composites'!$B$5:$N$55,12,))</f>
        <v>0</v>
      </c>
      <c r="O102" s="73">
        <f>$E$102*(VLOOKUP(O2,'CU Composites'!$B$5:$N$55,12,))</f>
        <v>0</v>
      </c>
      <c r="P102" s="73">
        <f>$E$102*(VLOOKUP(P2,'CU Composites'!$B$5:$N$55,12,))</f>
        <v>0</v>
      </c>
      <c r="Q102" s="73">
        <f>$E$102*(VLOOKUP(Q2,'CU Composites'!$B$5:$N$55,12,))</f>
        <v>0</v>
      </c>
      <c r="R102" s="73">
        <f>$E$102*(VLOOKUP(R2,'CU Composites'!$B$5:$N$55,12,))</f>
        <v>0</v>
      </c>
      <c r="S102" s="73">
        <f>$E$102*(VLOOKUP(S2,'CU Composites'!$B$5:$N$55,12,))</f>
        <v>0</v>
      </c>
      <c r="T102" s="73">
        <f>$E$102*(VLOOKUP(T2,'CU Composites'!$B$5:$N$55,12,))</f>
        <v>0</v>
      </c>
      <c r="U102" s="73">
        <f>$E$102*(VLOOKUP(U2,'CU Composites'!$B$5:$N$55,12,))</f>
        <v>0</v>
      </c>
      <c r="V102" s="73">
        <f>$E$102*(VLOOKUP(V2,'CU Composites'!$B$5:$N$55,12,))</f>
        <v>0</v>
      </c>
      <c r="W102" s="73">
        <f>$E$102*(VLOOKUP(W2,'CU Composites'!$B$5:$N$55,12,))</f>
        <v>0</v>
      </c>
      <c r="X102" s="73">
        <f>$E$102*(VLOOKUP(X2,'CU Composites'!$B$5:$N$55,12,))</f>
        <v>0</v>
      </c>
      <c r="Y102" s="73">
        <f>$E$102*(VLOOKUP(Y2,'CU Composites'!$B$5:$N$55,12,))</f>
        <v>0</v>
      </c>
      <c r="Z102" s="73">
        <f>$E$102*(VLOOKUP(Z2,'CU Composites'!$B$5:$N$55,12,))</f>
        <v>0</v>
      </c>
      <c r="AA102" s="73">
        <f>$E$102*(VLOOKUP(AA2,'CU Composites'!$B$5:$N$55,12,))</f>
        <v>0</v>
      </c>
      <c r="AB102" s="73">
        <f>$E$102*(VLOOKUP(AB2,'CU Composites'!$B$5:$N$55,12,))</f>
        <v>0</v>
      </c>
      <c r="AC102" s="73">
        <f>$E$102*(VLOOKUP(AC2,'CU Composites'!$B$5:$N$55,12,))</f>
        <v>0</v>
      </c>
      <c r="AD102" s="73">
        <f>$E$102*(VLOOKUP(AD2,'CU Composites'!$B$5:$N$55,12,))</f>
        <v>0</v>
      </c>
      <c r="AE102" s="73">
        <f>$E$102*(VLOOKUP(AE2,'CU Composites'!$B$5:$N$55,12,))</f>
        <v>0</v>
      </c>
      <c r="AF102" s="73">
        <f>$E$102*(VLOOKUP(AF2,'CU Composites'!$B$5:$N$55,12,))</f>
        <v>0</v>
      </c>
      <c r="AG102" s="73">
        <f>$E$102*(VLOOKUP(AG2,'CU Composites'!$B$5:$N$55,12,))</f>
        <v>0</v>
      </c>
      <c r="AH102" s="73">
        <f>$E$102*(VLOOKUP(AH2,'CU Composites'!$B$5:$N$55,12,))</f>
        <v>0</v>
      </c>
      <c r="AI102" s="73">
        <f>$E$102*(VLOOKUP(AI2,'CU Composites'!$B$5:$N$55,12,))</f>
        <v>0</v>
      </c>
      <c r="AJ102" s="73">
        <f>$E$102*(VLOOKUP(AJ2,'CU Composites'!$B$5:$N$55,12,))</f>
        <v>0</v>
      </c>
      <c r="AK102" s="73">
        <f>$E$102*(VLOOKUP(AK2,'CU Composites'!$B$5:$N$55,12,))</f>
        <v>0</v>
      </c>
      <c r="AL102" s="73">
        <f>$E$102*(VLOOKUP(AL2,'CU Composites'!$B$5:$N$55,12,))</f>
        <v>0</v>
      </c>
      <c r="AM102" s="73">
        <f>$E$102*(VLOOKUP(AM2,'CU Composites'!$B$5:$N$55,12,))</f>
        <v>0</v>
      </c>
      <c r="AN102" s="73">
        <f>$E$102*(VLOOKUP(AN2,'CU Composites'!$B$5:$N$55,12,))</f>
        <v>0</v>
      </c>
      <c r="AO102" s="73">
        <f>$E$102*(VLOOKUP(AO2,'CU Composites'!$B$5:$N$55,12,))</f>
        <v>0</v>
      </c>
      <c r="AP102" s="73">
        <f>$E$102*(VLOOKUP(AP2,'CU Composites'!$B$5:$N$55,12,))</f>
        <v>0</v>
      </c>
      <c r="AQ102" s="73">
        <f>$E$102*(VLOOKUP(AQ2,'CU Composites'!$B$5:$N$55,12,))</f>
        <v>0</v>
      </c>
      <c r="AR102" s="73">
        <f>$E$102*(VLOOKUP(AR2,'CU Composites'!$B$5:$N$55,12,))</f>
        <v>0</v>
      </c>
      <c r="AS102" s="73">
        <f>$E$102*(VLOOKUP(AS2,'CU Composites'!$B$5:$N$55,12,))</f>
        <v>0</v>
      </c>
      <c r="AT102" s="73">
        <f>$E$102*(VLOOKUP(AT2,'CU Composites'!$B$5:$N$55,12,))</f>
        <v>0</v>
      </c>
      <c r="AU102" s="73">
        <f>$E$102*(VLOOKUP(AU2,'CU Composites'!$B$5:$N$55,12,))</f>
        <v>0</v>
      </c>
      <c r="AV102" s="73">
        <f>$E$102*(VLOOKUP(AV2,'CU Composites'!$B$5:$N$55,12,))</f>
        <v>0</v>
      </c>
      <c r="AW102" s="73">
        <f>$E$102*(VLOOKUP(AW2,'CU Composites'!$B$5:$N$55,12,))</f>
        <v>0</v>
      </c>
      <c r="AX102" s="73">
        <f>$E$102*(VLOOKUP(AX2,'CU Composites'!$B$5:$N$55,12,))</f>
        <v>0</v>
      </c>
      <c r="AY102" s="73">
        <f>$G$102*(VLOOKUP(AY2,'CU Composites'!$B$5:$N$55,12,))</f>
        <v>0</v>
      </c>
      <c r="AZ102" s="73">
        <f>$G$102*(VLOOKUP(AZ2,'CU Composites'!$B$5:$N$55,12,))</f>
        <v>0</v>
      </c>
      <c r="BA102" s="73">
        <f>$G$102*(VLOOKUP(BA2,'CU Composites'!$B$5:$N$55,12,))</f>
        <v>0</v>
      </c>
      <c r="BB102" s="73">
        <f>$E$102*(VLOOKUP(BB2,'CU Composites'!$B$5:$N$55,12,))</f>
        <v>0</v>
      </c>
      <c r="BC102" s="666">
        <f t="shared" ref="BC102:BC105" si="56">SUM(BD102:BK102)</f>
        <v>0</v>
      </c>
      <c r="BL102" s="76">
        <f t="shared" ref="BL102:BL105" si="57">BC102+I102+H102</f>
        <v>0</v>
      </c>
    </row>
    <row r="103" spans="1:73" outlineLevel="1" x14ac:dyDescent="0.25">
      <c r="A103" s="71" t="s">
        <v>874</v>
      </c>
      <c r="B103" s="19" t="s">
        <v>875</v>
      </c>
      <c r="C103" s="711" t="s">
        <v>863</v>
      </c>
      <c r="D103" s="775">
        <f t="shared" si="54"/>
        <v>753533</v>
      </c>
      <c r="E103" s="775">
        <f t="shared" si="54"/>
        <v>567919.77872071031</v>
      </c>
      <c r="F103" s="664"/>
      <c r="G103" s="664">
        <f>E103</f>
        <v>567919.77872071031</v>
      </c>
      <c r="H103" s="242"/>
      <c r="I103" s="694">
        <f t="shared" si="55"/>
        <v>567919.77872071054</v>
      </c>
      <c r="J103" s="73">
        <f>VLOOKUP(J2,'CU Composites'!$B$5:$J$45,9,)*'Cost Allocation - Tier 1'!$E$103</f>
        <v>14599.913922650792</v>
      </c>
      <c r="K103" s="73">
        <f>VLOOKUP(K2,'CU Composites'!$B$5:$J$45,9,)*'Cost Allocation - Tier 1'!$E$103</f>
        <v>3719.7579516262308</v>
      </c>
      <c r="L103" s="73">
        <f>VLOOKUP(L2,'CU Composites'!$B$5:$J$45,9,)*'Cost Allocation - Tier 1'!$E$103</f>
        <v>3544.6786242343082</v>
      </c>
      <c r="M103" s="73">
        <f>VLOOKUP(M2,'CU Composites'!$B$5:$J$45,9,)*'Cost Allocation - Tier 1'!$E$103</f>
        <v>4971.214479491292</v>
      </c>
      <c r="N103" s="73">
        <f>VLOOKUP(N2,'CU Composites'!$B$5:$J$45,9,)*'Cost Allocation - Tier 1'!$E$103</f>
        <v>6736.1137126283829</v>
      </c>
      <c r="O103" s="73">
        <f>VLOOKUP(O2,'CU Composites'!$B$5:$J$45,9,)*'Cost Allocation - Tier 1'!$E$103</f>
        <v>19598.923773719362</v>
      </c>
      <c r="P103" s="73">
        <f>VLOOKUP(P2,'CU Composites'!$B$5:$J$45,9,)*'Cost Allocation - Tier 1'!$E$103</f>
        <v>2490.4120327431369</v>
      </c>
      <c r="Q103" s="73">
        <f>VLOOKUP(Q2,'CU Composites'!$B$5:$J$45,9,)*'Cost Allocation - Tier 1'!$E$103</f>
        <v>7044.1060334562499</v>
      </c>
      <c r="R103" s="73">
        <f>VLOOKUP(R2,'CU Composites'!$B$5:$J$45,9,)*'Cost Allocation - Tier 1'!$E$103</f>
        <v>6147.0259936691391</v>
      </c>
      <c r="S103" s="73">
        <f>VLOOKUP(S2,'CU Composites'!$B$5:$J$45,9,)*'Cost Allocation - Tier 1'!$E$103</f>
        <v>6220.6778916426656</v>
      </c>
      <c r="T103" s="73">
        <f>VLOOKUP(T2,'CU Composites'!$B$5:$J$45,9,)*'Cost Allocation - Tier 1'!$E$103</f>
        <v>23191.463861110202</v>
      </c>
      <c r="U103" s="73">
        <f>VLOOKUP(U2,'CU Composites'!$B$5:$J$45,9,)*'Cost Allocation - Tier 1'!$E$103</f>
        <v>18305.797549512376</v>
      </c>
      <c r="V103" s="73">
        <f>VLOOKUP(V2,'CU Composites'!$B$5:$J$45,9,)*'Cost Allocation - Tier 1'!$E$103</f>
        <v>9356.5437254249191</v>
      </c>
      <c r="W103" s="73">
        <f>VLOOKUP(W2,'CU Composites'!$B$5:$J$45,9,)*'Cost Allocation - Tier 1'!$E$103</f>
        <v>15352.719162477264</v>
      </c>
      <c r="X103" s="73">
        <f>VLOOKUP(X2,'CU Composites'!$B$5:$J$45,9,)*'Cost Allocation - Tier 1'!$E$103</f>
        <v>545.18529982856944</v>
      </c>
      <c r="Y103" s="73">
        <f>VLOOKUP(Y2,'CU Composites'!$B$5:$J$45,9,)*'Cost Allocation - Tier 1'!$E$103</f>
        <v>382.9325131068415</v>
      </c>
      <c r="Z103" s="73">
        <f>VLOOKUP(Z2,'CU Composites'!$B$5:$J$45,9,)*'Cost Allocation - Tier 1'!$E$103</f>
        <v>1588.6780453355432</v>
      </c>
      <c r="AA103" s="73">
        <f>VLOOKUP(AA2,'CU Composites'!$B$5:$J$45,9,)*'Cost Allocation - Tier 1'!$E$103</f>
        <v>1391.5206111393359</v>
      </c>
      <c r="AB103" s="73">
        <f>VLOOKUP(AB2,'CU Composites'!$B$5:$J$45,9,)*'Cost Allocation - Tier 1'!$E$103</f>
        <v>806.11947105810339</v>
      </c>
      <c r="AC103" s="73">
        <f>VLOOKUP(AC2,'CU Composites'!$B$5:$J$45,9,)*'Cost Allocation - Tier 1'!$E$103</f>
        <v>1026.5270919398949</v>
      </c>
      <c r="AD103" s="73">
        <f>VLOOKUP(AD2,'CU Composites'!$B$5:$J$45,9,)*'Cost Allocation - Tier 1'!$E$103</f>
        <v>7224.1784490901337</v>
      </c>
      <c r="AE103" s="73">
        <f>VLOOKUP(AE2,'CU Composites'!$B$5:$J$45,9,)*'Cost Allocation - Tier 1'!$E$103</f>
        <v>2612.3630837705809</v>
      </c>
      <c r="AF103" s="73">
        <f>VLOOKUP(AF2,'CU Composites'!$B$5:$J$45,9,)*'Cost Allocation - Tier 1'!$E$103</f>
        <v>5231.9606085170162</v>
      </c>
      <c r="AG103" s="73">
        <f>VLOOKUP(AG2,'CU Composites'!$B$5:$J$45,9,)*'Cost Allocation - Tier 1'!$E$103</f>
        <v>10109.980923680778</v>
      </c>
      <c r="AH103" s="73">
        <f>VLOOKUP(AH2,'CU Composites'!$B$5:$J$45,9,)*'Cost Allocation - Tier 1'!$E$103</f>
        <v>139420.13015345743</v>
      </c>
      <c r="AI103" s="73">
        <f>VLOOKUP(AI2,'CU Composites'!$B$5:$J$45,9,)*'Cost Allocation - Tier 1'!$E$103</f>
        <v>1404.865187511424</v>
      </c>
      <c r="AJ103" s="73">
        <f>VLOOKUP(AJ2,'CU Composites'!$B$5:$J$45,9,)*'Cost Allocation - Tier 1'!$E$103</f>
        <v>24457.437008287383</v>
      </c>
      <c r="AK103" s="73">
        <f>VLOOKUP(AK2,'CU Composites'!$B$5:$J$45,9,)*'Cost Allocation - Tier 1'!$E$103</f>
        <v>19536.370824101454</v>
      </c>
      <c r="AL103" s="73">
        <f>VLOOKUP(AL2,'CU Composites'!$B$5:$J$45,9,)*'Cost Allocation - Tier 1'!$E$103</f>
        <v>0</v>
      </c>
      <c r="AM103" s="73">
        <f>VLOOKUP(AM2,'CU Composites'!$B$5:$J$45,9,)*'Cost Allocation - Tier 1'!$E$103</f>
        <v>2111.6917933774757</v>
      </c>
      <c r="AN103" s="73">
        <f>VLOOKUP(AN2,'CU Composites'!$B$5:$J$45,9,)*'Cost Allocation - Tier 1'!$E$103</f>
        <v>2662.1218544969088</v>
      </c>
      <c r="AO103" s="73">
        <f>VLOOKUP(AO2,'CU Composites'!$B$5:$J$45,9,)*'Cost Allocation - Tier 1'!$E$103</f>
        <v>24367.377494150038</v>
      </c>
      <c r="AP103" s="73">
        <f>VLOOKUP(AP2,'CU Composites'!$B$5:$J$45,9,)*'Cost Allocation - Tier 1'!$E$103</f>
        <v>3418.4456723181829</v>
      </c>
      <c r="AQ103" s="73">
        <f>VLOOKUP(AQ2,'CU Composites'!$B$5:$J$45,9,)*'Cost Allocation - Tier 1'!$E$103</f>
        <v>12383.804132564923</v>
      </c>
      <c r="AR103" s="73">
        <f>VLOOKUP(AR2,'CU Composites'!$B$5:$J$45,9,)*'Cost Allocation - Tier 1'!$E$103</f>
        <v>50.086885504980565</v>
      </c>
      <c r="AS103" s="73">
        <f>VLOOKUP(AS2,'CU Composites'!$B$5:$J$45,9,)*'Cost Allocation - Tier 1'!$E$103</f>
        <v>18454.293986368946</v>
      </c>
      <c r="AT103" s="73">
        <f>VLOOKUP(AT2,'CU Composites'!$B$5:$J$45,9,)*'Cost Allocation - Tier 1'!$E$103</f>
        <v>14857.85917054842</v>
      </c>
      <c r="AU103" s="73">
        <f>VLOOKUP(AU2,'CU Composites'!$B$5:$J$45,9,)*'Cost Allocation - Tier 1'!$E$103</f>
        <v>22403.475393911685</v>
      </c>
      <c r="AV103" s="73">
        <f>VLOOKUP(AV2,'CU Composites'!$B$5:$J$45,9,)*'Cost Allocation - Tier 1'!$E$103</f>
        <v>30310.924830223474</v>
      </c>
      <c r="AW103" s="73">
        <f>VLOOKUP(AW2,'CU Composites'!$B$5:$J$45,9,)*'Cost Allocation - Tier 1'!$E$103</f>
        <v>78819.563804035148</v>
      </c>
      <c r="AX103" s="73">
        <f>VLOOKUP(AX2,'CU Composites'!$B$5:$J$45,9,)*'Cost Allocation - Tier 1'!$E$103</f>
        <v>1062.5357179994924</v>
      </c>
      <c r="BC103" s="666">
        <f t="shared" si="56"/>
        <v>0</v>
      </c>
      <c r="BD103" s="71"/>
      <c r="BE103" s="71"/>
      <c r="BF103" s="71"/>
      <c r="BG103" s="71"/>
      <c r="BH103" s="71"/>
      <c r="BI103" s="71"/>
      <c r="BJ103" s="71"/>
      <c r="BK103" s="71"/>
      <c r="BL103" s="76">
        <f t="shared" si="57"/>
        <v>567919.77872071054</v>
      </c>
    </row>
    <row r="104" spans="1:73" outlineLevel="1" x14ac:dyDescent="0.25">
      <c r="A104" s="71" t="s">
        <v>876</v>
      </c>
      <c r="B104" s="19" t="s">
        <v>875</v>
      </c>
      <c r="C104" s="711" t="s">
        <v>863</v>
      </c>
      <c r="D104" s="681">
        <f t="shared" si="54"/>
        <v>1968597.65</v>
      </c>
      <c r="E104" s="681">
        <f t="shared" si="54"/>
        <v>1483684.9106517036</v>
      </c>
      <c r="F104" s="681"/>
      <c r="G104" s="681">
        <f>E104</f>
        <v>1483684.9106517036</v>
      </c>
      <c r="H104" s="683"/>
      <c r="I104" s="684">
        <f t="shared" si="55"/>
        <v>1483684.9106517041</v>
      </c>
      <c r="J104" s="78">
        <f>VLOOKUP(J2,'CU Composites'!$B$5:$J$45,9,)*'Cost Allocation - Tier 1'!$E$104</f>
        <v>38142.133441179918</v>
      </c>
      <c r="K104" s="78">
        <f>VLOOKUP(K2,'CU Composites'!$B$5:$J$45,9,)*'Cost Allocation - Tier 1'!$E$104</f>
        <v>9717.8315510272423</v>
      </c>
      <c r="L104" s="78">
        <f>VLOOKUP(L2,'CU Composites'!$B$5:$J$45,9,)*'Cost Allocation - Tier 1'!$E$104</f>
        <v>9260.4385072357691</v>
      </c>
      <c r="M104" s="78">
        <f>VLOOKUP(M2,'CU Composites'!$B$5:$J$45,9,)*'Cost Allocation - Tier 1'!$E$104</f>
        <v>12987.249585582224</v>
      </c>
      <c r="N104" s="78">
        <f>VLOOKUP(N2,'CU Composites'!$B$5:$J$45,9,)*'Cost Allocation - Tier 1'!$E$104</f>
        <v>17598.03170506535</v>
      </c>
      <c r="O104" s="78">
        <f>VLOOKUP(O2,'CU Composites'!$B$5:$J$45,9,)*'Cost Allocation - Tier 1'!$E$104</f>
        <v>51201.998165273537</v>
      </c>
      <c r="P104" s="78">
        <f>VLOOKUP(P2,'CU Composites'!$B$5:$J$45,9,)*'Cost Allocation - Tier 1'!$E$104</f>
        <v>6506.1772678699699</v>
      </c>
      <c r="Q104" s="78">
        <f>VLOOKUP(Q2,'CU Composites'!$B$5:$J$45,9,)*'Cost Allocation - Tier 1'!$E$104</f>
        <v>18402.658654382478</v>
      </c>
      <c r="R104" s="78">
        <f>VLOOKUP(R2,'CU Composites'!$B$5:$J$45,9,)*'Cost Allocation - Tier 1'!$E$104</f>
        <v>16059.045755960231</v>
      </c>
      <c r="S104" s="78">
        <f>VLOOKUP(S2,'CU Composites'!$B$5:$J$45,9,)*'Cost Allocation - Tier 1'!$E$104</f>
        <v>16251.46062467696</v>
      </c>
      <c r="T104" s="78">
        <f>VLOOKUP(T2,'CU Composites'!$B$5:$J$45,9,)*'Cost Allocation - Tier 1'!$E$104</f>
        <v>60587.474280544404</v>
      </c>
      <c r="U104" s="78">
        <f>VLOOKUP(U2,'CU Composites'!$B$5:$J$45,9,)*'Cost Allocation - Tier 1'!$E$104</f>
        <v>47823.718453399939</v>
      </c>
      <c r="V104" s="78">
        <f>VLOOKUP(V2,'CU Composites'!$B$5:$J$45,9,)*'Cost Allocation - Tier 1'!$E$104</f>
        <v>24443.879684093114</v>
      </c>
      <c r="W104" s="78">
        <f>VLOOKUP(W2,'CU Composites'!$B$5:$J$45,9,)*'Cost Allocation - Tier 1'!$E$104</f>
        <v>40108.829824788969</v>
      </c>
      <c r="X104" s="78">
        <f>VLOOKUP(X2,'CU Composites'!$B$5:$J$45,9,)*'Cost Allocation - Tier 1'!$E$104</f>
        <v>1424.2913051678786</v>
      </c>
      <c r="Y104" s="78">
        <f>VLOOKUP(Y2,'CU Composites'!$B$5:$J$45,9,)*'Cost Allocation - Tier 1'!$E$104</f>
        <v>1000.4074744048664</v>
      </c>
      <c r="Z104" s="78">
        <f>VLOOKUP(Z2,'CU Composites'!$B$5:$J$45,9,)*'Cost Allocation - Tier 1'!$E$104</f>
        <v>4150.4059764524491</v>
      </c>
      <c r="AA104" s="78">
        <f>VLOOKUP(AA2,'CU Composites'!$B$5:$J$45,9,)*'Cost Allocation - Tier 1'!$E$104</f>
        <v>3635.3340928870534</v>
      </c>
      <c r="AB104" s="78">
        <f>VLOOKUP(AB2,'CU Composites'!$B$5:$J$45,9,)*'Cost Allocation - Tier 1'!$E$104</f>
        <v>2105.9792953251217</v>
      </c>
      <c r="AC104" s="78">
        <f>VLOOKUP(AC2,'CU Composites'!$B$5:$J$45,9,)*'Cost Allocation - Tier 1'!$E$104</f>
        <v>2681.7920659801375</v>
      </c>
      <c r="AD104" s="78">
        <f>VLOOKUP(AD2,'CU Composites'!$B$5:$J$45,9,)*'Cost Allocation - Tier 1'!$E$104</f>
        <v>18873.096092751719</v>
      </c>
      <c r="AE104" s="78">
        <f>VLOOKUP(AE2,'CU Composites'!$B$5:$J$45,9,)*'Cost Allocation - Tier 1'!$E$104</f>
        <v>6824.7732052312476</v>
      </c>
      <c r="AF104" s="78">
        <f>VLOOKUP(AF2,'CU Composites'!$B$5:$J$45,9,)*'Cost Allocation - Tier 1'!$E$104</f>
        <v>13668.446317306829</v>
      </c>
      <c r="AG104" s="78">
        <f>VLOOKUP(AG2,'CU Composites'!$B$5:$J$45,9,)*'Cost Allocation - Tier 1'!$E$104</f>
        <v>26412.227052966235</v>
      </c>
      <c r="AH104" s="78">
        <f>VLOOKUP(AH2,'CU Composites'!$B$5:$J$45,9,)*'Cost Allocation - Tier 1'!$E$104</f>
        <v>364233.73705304269</v>
      </c>
      <c r="AI104" s="78">
        <f>VLOOKUP(AI2,'CU Composites'!$B$5:$J$45,9,)*'Cost Allocation - Tier 1'!$E$104</f>
        <v>3670.196669159543</v>
      </c>
      <c r="AJ104" s="78">
        <f>VLOOKUP(AJ2,'CU Composites'!$B$5:$J$45,9,)*'Cost Allocation - Tier 1'!$E$104</f>
        <v>63894.816842178865</v>
      </c>
      <c r="AK104" s="78">
        <f>VLOOKUP(AK2,'CU Composites'!$B$5:$J$45,9,)*'Cost Allocation - Tier 1'!$E$104</f>
        <v>51038.579191428478</v>
      </c>
      <c r="AL104" s="78">
        <f>VLOOKUP(AL2,'CU Composites'!$B$5:$J$45,9,)*'Cost Allocation - Tier 1'!$E$104</f>
        <v>0</v>
      </c>
      <c r="AM104" s="78">
        <f>VLOOKUP(AM2,'CU Composites'!$B$5:$J$45,9,)*'Cost Allocation - Tier 1'!$E$104</f>
        <v>5516.7743177368266</v>
      </c>
      <c r="AN104" s="78">
        <f>VLOOKUP(AN2,'CU Composites'!$B$5:$J$45,9,)*'Cost Allocation - Tier 1'!$E$104</f>
        <v>6954.7675108804206</v>
      </c>
      <c r="AO104" s="78">
        <f>VLOOKUP(AO2,'CU Composites'!$B$5:$J$45,9,)*'Cost Allocation - Tier 1'!$E$104</f>
        <v>63659.53723545836</v>
      </c>
      <c r="AP104" s="78">
        <f>VLOOKUP(AP2,'CU Composites'!$B$5:$J$45,9,)*'Cost Allocation - Tier 1'!$E$104</f>
        <v>8930.6561453556042</v>
      </c>
      <c r="AQ104" s="78">
        <f>VLOOKUP(AQ2,'CU Composites'!$B$5:$J$45,9,)*'Cost Allocation - Tier 1'!$E$104</f>
        <v>32352.568120344553</v>
      </c>
      <c r="AR104" s="78">
        <f>VLOOKUP(AR2,'CU Composites'!$B$5:$J$45,9,)*'Cost Allocation - Tier 1'!$E$104</f>
        <v>130.85150232428279</v>
      </c>
      <c r="AS104" s="78">
        <f>VLOOKUP(AS2,'CU Composites'!$B$5:$J$45,9,)*'Cost Allocation - Tier 1'!$E$104</f>
        <v>48211.663953635783</v>
      </c>
      <c r="AT104" s="78">
        <f>VLOOKUP(AT2,'CU Composites'!$B$5:$J$45,9,)*'Cost Allocation - Tier 1'!$E$104</f>
        <v>38816.012898137924</v>
      </c>
      <c r="AU104" s="78">
        <f>VLOOKUP(AU2,'CU Composites'!$B$5:$J$45,9,)*'Cost Allocation - Tier 1'!$E$104</f>
        <v>58528.862056853999</v>
      </c>
      <c r="AV104" s="78">
        <f>VLOOKUP(AV2,'CU Composites'!$B$5:$J$45,9,)*'Cost Allocation - Tier 1'!$E$104</f>
        <v>79186.996973064975</v>
      </c>
      <c r="AW104" s="78">
        <f>VLOOKUP(AW2,'CU Composites'!$B$5:$J$45,9,)*'Cost Allocation - Tier 1'!$E$104</f>
        <v>205915.34555042529</v>
      </c>
      <c r="AX104" s="78">
        <f>VLOOKUP(AX2,'CU Composites'!$B$5:$J$45,9,)*'Cost Allocation - Tier 1'!$E$104</f>
        <v>2775.8642521228176</v>
      </c>
      <c r="AY104" s="79"/>
      <c r="AZ104" s="79"/>
      <c r="BA104" s="79"/>
      <c r="BB104" s="79"/>
      <c r="BC104" s="684">
        <f t="shared" si="56"/>
        <v>0</v>
      </c>
      <c r="BD104" s="79"/>
      <c r="BE104" s="79"/>
      <c r="BF104" s="79"/>
      <c r="BG104" s="79"/>
      <c r="BH104" s="79"/>
      <c r="BI104" s="79"/>
      <c r="BJ104" s="79"/>
      <c r="BK104" s="79"/>
      <c r="BL104" s="685">
        <f t="shared" si="57"/>
        <v>1483684.9106517041</v>
      </c>
      <c r="BU104" s="1017"/>
    </row>
    <row r="105" spans="1:73" outlineLevel="1" x14ac:dyDescent="0.25">
      <c r="A105" s="177" t="s">
        <v>877</v>
      </c>
      <c r="C105" s="712"/>
      <c r="D105" s="76">
        <f>SUM(D102:D104)</f>
        <v>2722130.65</v>
      </c>
      <c r="E105" s="76">
        <f>SUM(E102:E104)</f>
        <v>2051604.6893724138</v>
      </c>
      <c r="F105" s="76"/>
      <c r="G105" s="76">
        <f>SUM(G102:G104)</f>
        <v>2051604.6893724138</v>
      </c>
      <c r="H105" s="637">
        <f>SUM(H102:H104)</f>
        <v>0</v>
      </c>
      <c r="I105" s="666">
        <f>SUM(I102:I104)</f>
        <v>2051604.6893724147</v>
      </c>
      <c r="J105" s="73">
        <f>SUM(J102:J104)</f>
        <v>52742.047363830708</v>
      </c>
      <c r="K105" s="73">
        <f t="shared" ref="K105:BB105" si="58">SUM(K102:K104)</f>
        <v>13437.589502653473</v>
      </c>
      <c r="L105" s="73">
        <f t="shared" si="58"/>
        <v>12805.117131470077</v>
      </c>
      <c r="M105" s="73">
        <f t="shared" si="58"/>
        <v>17958.464065073516</v>
      </c>
      <c r="N105" s="73">
        <f t="shared" si="58"/>
        <v>24334.145417693733</v>
      </c>
      <c r="O105" s="73">
        <f t="shared" si="58"/>
        <v>70800.921938992891</v>
      </c>
      <c r="P105" s="73">
        <f t="shared" si="58"/>
        <v>8996.5893006131064</v>
      </c>
      <c r="Q105" s="73">
        <f t="shared" si="58"/>
        <v>25446.764687838728</v>
      </c>
      <c r="R105" s="73">
        <f t="shared" si="58"/>
        <v>22206.071749629369</v>
      </c>
      <c r="S105" s="73">
        <f t="shared" si="58"/>
        <v>22472.138516319625</v>
      </c>
      <c r="T105" s="73">
        <f t="shared" si="58"/>
        <v>83778.938141654609</v>
      </c>
      <c r="U105" s="73">
        <f t="shared" si="58"/>
        <v>66129.516002912307</v>
      </c>
      <c r="V105" s="73">
        <f t="shared" si="58"/>
        <v>33800.423409518029</v>
      </c>
      <c r="W105" s="73">
        <f t="shared" si="58"/>
        <v>55461.548987266229</v>
      </c>
      <c r="X105" s="73">
        <f t="shared" si="58"/>
        <v>1969.476604996448</v>
      </c>
      <c r="Y105" s="73">
        <f t="shared" si="58"/>
        <v>1383.3399875117079</v>
      </c>
      <c r="Z105" s="73">
        <f t="shared" si="58"/>
        <v>5739.0840217879922</v>
      </c>
      <c r="AA105" s="73">
        <f t="shared" si="58"/>
        <v>5026.8547040263893</v>
      </c>
      <c r="AB105" s="73">
        <f t="shared" si="58"/>
        <v>2912.0987663832252</v>
      </c>
      <c r="AC105" s="73">
        <f t="shared" si="58"/>
        <v>3708.3191579200325</v>
      </c>
      <c r="AD105" s="73">
        <f t="shared" si="58"/>
        <v>26097.274541841853</v>
      </c>
      <c r="AE105" s="73">
        <f t="shared" si="58"/>
        <v>9437.1362890018281</v>
      </c>
      <c r="AF105" s="73">
        <f t="shared" si="58"/>
        <v>18900.406925823845</v>
      </c>
      <c r="AG105" s="73">
        <f t="shared" si="58"/>
        <v>36522.207976647012</v>
      </c>
      <c r="AH105" s="73">
        <f t="shared" si="58"/>
        <v>503653.86720650014</v>
      </c>
      <c r="AI105" s="73">
        <f t="shared" si="58"/>
        <v>5075.0618566709672</v>
      </c>
      <c r="AJ105" s="73">
        <f t="shared" si="58"/>
        <v>88352.253850466252</v>
      </c>
      <c r="AK105" s="73">
        <f t="shared" si="58"/>
        <v>70574.950015529932</v>
      </c>
      <c r="AL105" s="73">
        <f t="shared" si="58"/>
        <v>0</v>
      </c>
      <c r="AM105" s="73">
        <f t="shared" si="58"/>
        <v>7628.4661111143023</v>
      </c>
      <c r="AN105" s="73">
        <f t="shared" si="58"/>
        <v>9616.8893653773303</v>
      </c>
      <c r="AO105" s="73">
        <f t="shared" si="58"/>
        <v>88026.914729608397</v>
      </c>
      <c r="AP105" s="73">
        <f t="shared" si="58"/>
        <v>12349.101817673787</v>
      </c>
      <c r="AQ105" s="73">
        <f t="shared" si="58"/>
        <v>44736.372252909474</v>
      </c>
      <c r="AR105" s="73">
        <f t="shared" si="58"/>
        <v>180.93838782926335</v>
      </c>
      <c r="AS105" s="73">
        <f t="shared" si="58"/>
        <v>66665.957940004737</v>
      </c>
      <c r="AT105" s="73">
        <f t="shared" si="58"/>
        <v>53673.872068686345</v>
      </c>
      <c r="AU105" s="73">
        <f t="shared" si="58"/>
        <v>80932.337450765684</v>
      </c>
      <c r="AV105" s="73">
        <f t="shared" si="58"/>
        <v>109497.92180328845</v>
      </c>
      <c r="AW105" s="73">
        <f t="shared" si="58"/>
        <v>284734.90935446043</v>
      </c>
      <c r="AX105" s="73">
        <f t="shared" si="58"/>
        <v>3838.3999701223102</v>
      </c>
      <c r="AY105" s="73">
        <f t="shared" si="58"/>
        <v>0</v>
      </c>
      <c r="AZ105" s="73">
        <f t="shared" si="58"/>
        <v>0</v>
      </c>
      <c r="BA105" s="73">
        <f t="shared" si="58"/>
        <v>0</v>
      </c>
      <c r="BB105" s="73">
        <f t="shared" si="58"/>
        <v>0</v>
      </c>
      <c r="BC105" s="666">
        <f t="shared" si="56"/>
        <v>0</v>
      </c>
      <c r="BL105" s="76">
        <f t="shared" si="57"/>
        <v>2051604.6893724147</v>
      </c>
    </row>
    <row r="106" spans="1:73" outlineLevel="1" x14ac:dyDescent="0.25">
      <c r="C106" s="712"/>
      <c r="D106" s="76"/>
      <c r="E106" s="76"/>
      <c r="F106" s="76"/>
      <c r="G106" s="76"/>
      <c r="H106" s="242"/>
      <c r="I106" s="666"/>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BC106" s="666"/>
      <c r="BL106" s="76"/>
    </row>
    <row r="107" spans="1:73" outlineLevel="1" x14ac:dyDescent="0.25">
      <c r="A107" s="343" t="s">
        <v>878</v>
      </c>
      <c r="B107" s="3" t="s">
        <v>875</v>
      </c>
      <c r="C107" s="679" t="s">
        <v>863</v>
      </c>
      <c r="D107" s="775">
        <f>D43</f>
        <v>178543.24444444446</v>
      </c>
      <c r="E107" s="775">
        <f>E43</f>
        <v>134563.7681123011</v>
      </c>
      <c r="F107" s="664"/>
      <c r="G107" s="664">
        <f>E107</f>
        <v>134563.7681123011</v>
      </c>
      <c r="H107" s="242"/>
      <c r="I107" s="694">
        <f t="shared" ref="I107" si="59">SUM(J107:BB107)</f>
        <v>134563.7681123011</v>
      </c>
      <c r="J107" s="73">
        <f>VLOOKUP(J2,'CU Composites'!$B$5:$J$45,9,)*$E$107</f>
        <v>3459.3256040010037</v>
      </c>
      <c r="K107" s="73">
        <f>VLOOKUP(K2,'CU Composites'!$B$5:$J$45,9,)*$E$107</f>
        <v>881.36505399414239</v>
      </c>
      <c r="L107" s="73">
        <f>VLOOKUP(L2,'CU Composites'!$B$5:$J$45,9,)*$E$107</f>
        <v>839.88149435215598</v>
      </c>
      <c r="M107" s="73">
        <f>VLOOKUP(M2,'CU Composites'!$B$5:$J$45,9,)*$E$107</f>
        <v>1177.8870494027142</v>
      </c>
      <c r="N107" s="73">
        <f>VLOOKUP(N2,'CU Composites'!$B$5:$J$45,9,)*$E$107</f>
        <v>1596.0649330545359</v>
      </c>
      <c r="O107" s="73">
        <f>VLOOKUP(O2,'CU Composites'!$B$5:$J$45,9,)*$E$107</f>
        <v>4643.7985306273376</v>
      </c>
      <c r="P107" s="73">
        <f>VLOOKUP(P2,'CU Composites'!$B$5:$J$45,9,)*$E$107</f>
        <v>590.08197959405061</v>
      </c>
      <c r="Q107" s="73">
        <f>VLOOKUP(Q2,'CU Composites'!$B$5:$J$45,9,)*$E$107</f>
        <v>1669.0410976346957</v>
      </c>
      <c r="R107" s="73">
        <f>VLOOKUP(R2,'CU Composites'!$B$5:$J$45,9,)*$E$107</f>
        <v>1456.4856012862385</v>
      </c>
      <c r="S107" s="73">
        <f>VLOOKUP(S2,'CU Composites'!$B$5:$J$45,9,)*$E$107</f>
        <v>1473.9367929708555</v>
      </c>
      <c r="T107" s="73">
        <f>VLOOKUP(T2,'CU Composites'!$B$5:$J$45,9,)*$E$107</f>
        <v>5495.0203921775137</v>
      </c>
      <c r="U107" s="73">
        <f>VLOOKUP(U2,'CU Composites'!$B$5:$J$45,9,)*$E$107</f>
        <v>4337.4032545795608</v>
      </c>
      <c r="V107" s="73">
        <f>VLOOKUP(V2,'CU Composites'!$B$5:$J$45,9,)*$E$107</f>
        <v>2216.95356875369</v>
      </c>
      <c r="W107" s="73">
        <f>VLOOKUP(W2,'CU Composites'!$B$5:$J$45,9,)*$E$107</f>
        <v>3637.6964118533424</v>
      </c>
      <c r="X107" s="73">
        <f>VLOOKUP(X2,'CU Composites'!$B$5:$J$45,9,)*$E$107</f>
        <v>129.17702642725669</v>
      </c>
      <c r="Y107" s="73">
        <f>VLOOKUP(Y2,'CU Composites'!$B$5:$J$45,9,)*$E$107</f>
        <v>90.732606658713323</v>
      </c>
      <c r="Z107" s="73">
        <f>VLOOKUP(Z2,'CU Composites'!$B$5:$J$45,9,)*$E$107</f>
        <v>376.42376988382205</v>
      </c>
      <c r="AA107" s="73">
        <f>VLOOKUP(AA2,'CU Composites'!$B$5:$J$45,9,)*$E$107</f>
        <v>329.70899034831012</v>
      </c>
      <c r="AB107" s="73">
        <f>VLOOKUP(AB2,'CU Composites'!$B$5:$J$45,9,)*$E$107</f>
        <v>191.00316213431026</v>
      </c>
      <c r="AC107" s="73">
        <f>VLOOKUP(AC2,'CU Composites'!$B$5:$J$45,9,)*$E$107</f>
        <v>243.22687593651423</v>
      </c>
      <c r="AD107" s="73">
        <f>VLOOKUP(AD2,'CU Composites'!$B$5:$J$45,9,)*$E$107</f>
        <v>1711.707727128324</v>
      </c>
      <c r="AE107" s="73">
        <f>VLOOKUP(AE2,'CU Composites'!$B$5:$J$45,9,)*$E$107</f>
        <v>618.97724538048567</v>
      </c>
      <c r="AF107" s="73">
        <f>VLOOKUP(AF2,'CU Composites'!$B$5:$J$45,9,)*$E$107</f>
        <v>1239.668630106655</v>
      </c>
      <c r="AG107" s="73">
        <f>VLOOKUP(AG2,'CU Composites'!$B$5:$J$45,9,)*$E$107</f>
        <v>2395.4741137885235</v>
      </c>
      <c r="AH107" s="73">
        <f>VLOOKUP(AH2,'CU Composites'!$B$5:$J$45,9,)*$E$107</f>
        <v>33034.415716982548</v>
      </c>
      <c r="AI107" s="73">
        <f>VLOOKUP(AI2,'CU Composites'!$B$5:$J$45,9,)*$E$107</f>
        <v>332.87087438153662</v>
      </c>
      <c r="AJ107" s="73">
        <f>VLOOKUP(AJ2,'CU Composites'!$B$5:$J$45,9,)*$E$107</f>
        <v>5794.9819772395585</v>
      </c>
      <c r="AK107" s="73">
        <f>VLOOKUP(AK2,'CU Composites'!$B$5:$J$45,9,)*$E$107</f>
        <v>4628.9771404900093</v>
      </c>
      <c r="AL107" s="73">
        <f>VLOOKUP(AL2,'CU Composites'!$B$5:$J$45,9,)*$E$107</f>
        <v>0</v>
      </c>
      <c r="AM107" s="73">
        <f>VLOOKUP(AM2,'CU Composites'!$B$5:$J$45,9,)*$E$107</f>
        <v>500.34743542263175</v>
      </c>
      <c r="AN107" s="73">
        <f>VLOOKUP(AN2,'CU Composites'!$B$5:$J$45,9,)*$E$107</f>
        <v>630.76716349295839</v>
      </c>
      <c r="AO107" s="73">
        <f>VLOOKUP(AO2,'CU Composites'!$B$5:$J$45,9,)*$E$107</f>
        <v>5773.6431402580702</v>
      </c>
      <c r="AP107" s="73">
        <f>VLOOKUP(AP2,'CU Composites'!$B$5:$J$45,9,)*$E$107</f>
        <v>809.97166851718316</v>
      </c>
      <c r="AQ107" s="73">
        <f>VLOOKUP(AQ2,'CU Composites'!$B$5:$J$45,9,)*$E$107</f>
        <v>2934.23721110112</v>
      </c>
      <c r="AR107" s="73">
        <f>VLOOKUP(AR2,'CU Composites'!$B$5:$J$45,9,)*$E$107</f>
        <v>11.86766212253033</v>
      </c>
      <c r="AS107" s="73">
        <f>VLOOKUP(AS2,'CU Composites'!$B$5:$J$45,9,)*$E$107</f>
        <v>4372.5882240829687</v>
      </c>
      <c r="AT107" s="73">
        <f>VLOOKUP(AT2,'CU Composites'!$B$5:$J$45,9,)*$E$107</f>
        <v>3520.443539710082</v>
      </c>
      <c r="AU107" s="73">
        <f>VLOOKUP(AU2,'CU Composites'!$B$5:$J$45,9,)*$E$107</f>
        <v>5308.3132174175125</v>
      </c>
      <c r="AV107" s="73">
        <f>VLOOKUP(AV2,'CU Composites'!$B$5:$J$45,9,)*$E$107</f>
        <v>7181.916201811694</v>
      </c>
      <c r="AW107" s="73">
        <f>VLOOKUP(AW2,'CU Composites'!$B$5:$J$45,9,)*$E$107</f>
        <v>18675.626213143063</v>
      </c>
      <c r="AX107" s="73">
        <f>VLOOKUP(AX2,'CU Composites'!$B$5:$J$45,9,)*$E$107</f>
        <v>251.75881405291693</v>
      </c>
      <c r="AY107" s="73"/>
      <c r="AZ107" s="73"/>
      <c r="BA107" s="73"/>
      <c r="BB107" s="73"/>
      <c r="BC107" s="666">
        <f t="shared" ref="BC107" si="60">SUM(BD107:BK107)</f>
        <v>0</v>
      </c>
      <c r="BL107" s="76">
        <f>BC107+I107+H107</f>
        <v>134563.7681123011</v>
      </c>
    </row>
    <row r="108" spans="1:73" outlineLevel="1" x14ac:dyDescent="0.25">
      <c r="C108" s="712"/>
      <c r="D108" s="76"/>
      <c r="E108" s="76"/>
      <c r="F108" s="76"/>
      <c r="G108" s="76"/>
      <c r="H108" s="242"/>
      <c r="I108" s="241"/>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BL108" s="73"/>
      <c r="BU108" s="1249"/>
    </row>
    <row r="109" spans="1:73" outlineLevel="1" x14ac:dyDescent="0.25">
      <c r="A109" s="343" t="s">
        <v>879</v>
      </c>
      <c r="B109" s="3" t="s">
        <v>116</v>
      </c>
      <c r="C109" s="679" t="s">
        <v>863</v>
      </c>
      <c r="D109" s="775">
        <f t="shared" ref="D109:E112" si="61">D45</f>
        <v>1135998</v>
      </c>
      <c r="E109" s="775">
        <f t="shared" si="61"/>
        <v>856174.49108024396</v>
      </c>
      <c r="F109" s="713"/>
      <c r="G109" s="713">
        <f>E109</f>
        <v>856174.49108024396</v>
      </c>
      <c r="H109" s="242"/>
      <c r="I109" s="694">
        <f t="shared" ref="I109:I112" si="62">SUM(J109:BB109)</f>
        <v>856174.49108024407</v>
      </c>
      <c r="J109" s="73">
        <f>VLOOKUP(J2,'CU Composites'!$B$5:$K$45,10,)*$E$109</f>
        <v>0</v>
      </c>
      <c r="K109" s="73">
        <f>VLOOKUP(K2,'CU Composites'!$B$5:$K$45,10,)*$E$109</f>
        <v>0</v>
      </c>
      <c r="L109" s="73">
        <f>VLOOKUP(L2,'CU Composites'!$B$5:$K$45,10,)*$E$109</f>
        <v>0</v>
      </c>
      <c r="M109" s="73">
        <f>VLOOKUP(M2,'CU Composites'!$B$5:$K$45,10,)*$E$109</f>
        <v>0</v>
      </c>
      <c r="N109" s="73">
        <f>VLOOKUP(N2,'CU Composites'!$B$5:$K$45,10,)*$E$109</f>
        <v>0</v>
      </c>
      <c r="O109" s="73">
        <f>VLOOKUP(O2,'CU Composites'!$B$5:$K$45,10,)*$E$109</f>
        <v>0</v>
      </c>
      <c r="P109" s="73">
        <f>VLOOKUP(P2,'CU Composites'!$B$5:$K$45,10,)*$E$109</f>
        <v>0</v>
      </c>
      <c r="Q109" s="73">
        <f>VLOOKUP(Q2,'CU Composites'!$B$5:$K$45,10,)*$E$109</f>
        <v>0</v>
      </c>
      <c r="R109" s="73">
        <f>VLOOKUP(R2,'CU Composites'!$B$5:$K$45,10,)*$E$109</f>
        <v>0</v>
      </c>
      <c r="S109" s="73">
        <f>VLOOKUP(S2,'CU Composites'!$B$5:$K$45,10,)*$E$109</f>
        <v>0</v>
      </c>
      <c r="T109" s="73">
        <f>VLOOKUP(T2,'CU Composites'!$B$5:$K$45,10,)*$E$109</f>
        <v>0</v>
      </c>
      <c r="U109" s="73">
        <f>VLOOKUP(U2,'CU Composites'!$B$5:$K$45,10,)*$E$109</f>
        <v>0</v>
      </c>
      <c r="V109" s="73">
        <f>VLOOKUP(V2,'CU Composites'!$B$5:$K$45,10,)*$E$109</f>
        <v>0</v>
      </c>
      <c r="W109" s="73">
        <f>VLOOKUP(W2,'CU Composites'!$B$5:$K$45,10,)*$E$109</f>
        <v>0</v>
      </c>
      <c r="X109" s="73">
        <f>VLOOKUP(X2,'CU Composites'!$B$5:$K$45,10,)*$E$109</f>
        <v>0</v>
      </c>
      <c r="Y109" s="73">
        <f>VLOOKUP(Y2,'CU Composites'!$B$5:$K$45,10,)*$E$109</f>
        <v>0</v>
      </c>
      <c r="Z109" s="73">
        <f>VLOOKUP(Z2,'CU Composites'!$B$5:$K$45,10,)*$E$109</f>
        <v>0</v>
      </c>
      <c r="AA109" s="73">
        <f>VLOOKUP(AA2,'CU Composites'!$B$5:$K$45,10,)*$E$109</f>
        <v>0</v>
      </c>
      <c r="AB109" s="73">
        <f>VLOOKUP(AB2,'CU Composites'!$B$5:$K$45,10,)*$E$109</f>
        <v>0</v>
      </c>
      <c r="AC109" s="73">
        <f>VLOOKUP(AC2,'CU Composites'!$B$5:$K$45,10,)*$E$109</f>
        <v>0</v>
      </c>
      <c r="AD109" s="73">
        <f>VLOOKUP(AD2,'CU Composites'!$B$5:$K$45,10,)*$E$109</f>
        <v>0</v>
      </c>
      <c r="AE109" s="73">
        <f>VLOOKUP(AE2,'CU Composites'!$B$5:$K$45,10,)*$E$109</f>
        <v>0</v>
      </c>
      <c r="AF109" s="73">
        <f>VLOOKUP(AF2,'CU Composites'!$B$5:$K$45,10,)*$E$109</f>
        <v>66315.798642938636</v>
      </c>
      <c r="AG109" s="73">
        <f>VLOOKUP(AG2,'CU Composites'!$B$5:$K$45,10,)*$E$109</f>
        <v>0</v>
      </c>
      <c r="AH109" s="73">
        <f>VLOOKUP(AH2,'CU Composites'!$B$5:$K$45,10,)*$E$109</f>
        <v>0</v>
      </c>
      <c r="AI109" s="73">
        <f>VLOOKUP(AI2,'CU Composites'!$B$5:$K$45,10,)*$E$109</f>
        <v>0</v>
      </c>
      <c r="AJ109" s="73">
        <f>VLOOKUP(AJ2,'CU Composites'!$B$5:$K$45,10,)*$E$109</f>
        <v>241530.1604478964</v>
      </c>
      <c r="AK109" s="73">
        <f>VLOOKUP(AK2,'CU Composites'!$B$5:$K$45,10,)*$E$109</f>
        <v>209862.28841385114</v>
      </c>
      <c r="AL109" s="73">
        <f>VLOOKUP(AL2,'CU Composites'!$B$5:$K$45,10,)*$E$109</f>
        <v>0</v>
      </c>
      <c r="AM109" s="73">
        <f>VLOOKUP(AM2,'CU Composites'!$B$5:$K$45,10,)*$E$109</f>
        <v>0</v>
      </c>
      <c r="AN109" s="73">
        <f>VLOOKUP(AN2,'CU Composites'!$B$5:$K$45,10,)*$E$109</f>
        <v>45282.667666193593</v>
      </c>
      <c r="AO109" s="73">
        <f>VLOOKUP(AO2,'CU Composites'!$B$5:$K$45,10,)*$E$109</f>
        <v>254274.34151038347</v>
      </c>
      <c r="AP109" s="73">
        <f>VLOOKUP(AP2,'CU Composites'!$B$5:$K$45,10,)*$E$109</f>
        <v>38909.234398980887</v>
      </c>
      <c r="AQ109" s="73">
        <f>VLOOKUP(AQ2,'CU Composites'!$B$5:$K$45,10,)*$E$109</f>
        <v>0</v>
      </c>
      <c r="AR109" s="73">
        <f>VLOOKUP(AR2,'CU Composites'!$B$5:$K$45,10,)*$E$109</f>
        <v>0</v>
      </c>
      <c r="AS109" s="73">
        <f>VLOOKUP(AS2,'CU Composites'!$B$5:$K$45,10,)*$E$109</f>
        <v>0</v>
      </c>
      <c r="AT109" s="73">
        <f>VLOOKUP(AT2,'CU Composites'!$B$5:$K$45,10,)*$E$109</f>
        <v>0</v>
      </c>
      <c r="AU109" s="73">
        <f>VLOOKUP(AU2,'CU Composites'!$B$5:$K$45,10,)*$E$109</f>
        <v>0</v>
      </c>
      <c r="AV109" s="73">
        <f>VLOOKUP(AV2,'CU Composites'!$B$5:$K$45,10,)*$E$109</f>
        <v>0</v>
      </c>
      <c r="AW109" s="73">
        <f>VLOOKUP(AW2,'CU Composites'!$B$5:$K$45,10,)*$E$109</f>
        <v>0</v>
      </c>
      <c r="AX109" s="73">
        <f>VLOOKUP(AX2,'CU Composites'!$B$5:$K$45,10,)*$E$109</f>
        <v>0</v>
      </c>
      <c r="AY109" s="73"/>
      <c r="AZ109" s="73"/>
      <c r="BA109" s="73"/>
      <c r="BB109" s="73"/>
      <c r="BC109" s="666">
        <f t="shared" ref="BC109:BC112" si="63">SUM(BD109:BK109)</f>
        <v>0</v>
      </c>
      <c r="BL109" s="76">
        <f>BC109+I109+H109</f>
        <v>856174.49108024407</v>
      </c>
    </row>
    <row r="110" spans="1:73" outlineLevel="1" x14ac:dyDescent="0.25">
      <c r="A110" s="343" t="s">
        <v>25</v>
      </c>
      <c r="B110" s="3" t="s">
        <v>117</v>
      </c>
      <c r="C110" s="679" t="s">
        <v>863</v>
      </c>
      <c r="D110" s="775">
        <f t="shared" si="61"/>
        <v>704894</v>
      </c>
      <c r="E110" s="775">
        <f t="shared" si="61"/>
        <v>531261.72908360534</v>
      </c>
      <c r="F110" s="713"/>
      <c r="G110" s="713">
        <f>E110</f>
        <v>531261.72908360534</v>
      </c>
      <c r="H110" s="242"/>
      <c r="I110" s="694">
        <f t="shared" si="62"/>
        <v>531261.72908360558</v>
      </c>
      <c r="J110" s="73">
        <f>VLOOKUP(J2,'CU Composites'!$B$5:$L$45,11,)*$E$110</f>
        <v>16464.047006191959</v>
      </c>
      <c r="K110" s="73">
        <f>VLOOKUP(K2,'CU Composites'!$B$5:$L$45,11,)*$E$110</f>
        <v>4015.4830353516045</v>
      </c>
      <c r="L110" s="73">
        <f>VLOOKUP(L2,'CU Composites'!$B$5:$L$45,11,)*$E$110</f>
        <v>3703.1634436142167</v>
      </c>
      <c r="M110" s="73">
        <f>VLOOKUP(M2,'CU Composites'!$B$5:$L$45,11,)*$E$110</f>
        <v>5788.8384771076271</v>
      </c>
      <c r="N110" s="73">
        <f>VLOOKUP(N2,'CU Composites'!$B$5:$L$45,11,)*$E$110</f>
        <v>7340.1075809320209</v>
      </c>
      <c r="O110" s="73">
        <f>VLOOKUP(O2,'CU Composites'!$B$5:$L$45,11,)*$E$110</f>
        <v>22549.418783010155</v>
      </c>
      <c r="P110" s="73">
        <f>VLOOKUP(P2,'CU Composites'!$B$5:$L$45,11,)*$E$110</f>
        <v>2894.3281971884589</v>
      </c>
      <c r="Q110" s="73">
        <f>VLOOKUP(Q2,'CU Composites'!$B$5:$L$45,11,)*$E$110</f>
        <v>8290.5033213782699</v>
      </c>
      <c r="R110" s="73">
        <f>VLOOKUP(R2,'CU Composites'!$B$5:$L$45,11,)*$E$110</f>
        <v>7261.0987741477384</v>
      </c>
      <c r="S110" s="73">
        <f>VLOOKUP(S2,'CU Composites'!$B$5:$L$45,11,)*$E$110</f>
        <v>7326.2323271179575</v>
      </c>
      <c r="T110" s="73">
        <f>VLOOKUP(T2,'CU Composites'!$B$5:$L$45,11,)*$E$110</f>
        <v>27455.164569147135</v>
      </c>
      <c r="U110" s="73">
        <f>VLOOKUP(U2,'CU Composites'!$B$5:$L$45,11,)*$E$110</f>
        <v>21627.325561634607</v>
      </c>
      <c r="V110" s="73">
        <f>VLOOKUP(V2,'CU Composites'!$B$5:$L$45,11,)*$E$110</f>
        <v>10246.418323206721</v>
      </c>
      <c r="W110" s="73">
        <f>VLOOKUP(W2,'CU Composites'!$B$5:$L$45,11,)*$E$110</f>
        <v>16945.117262977557</v>
      </c>
      <c r="X110" s="73">
        <f>VLOOKUP(X2,'CU Composites'!$B$5:$L$45,11,)*$E$110</f>
        <v>632.69895718458247</v>
      </c>
      <c r="Y110" s="73">
        <f>VLOOKUP(Y2,'CU Composites'!$B$5:$L$45,11,)*$E$110</f>
        <v>433.18262372380622</v>
      </c>
      <c r="Z110" s="73">
        <f>VLOOKUP(Z2,'CU Composites'!$B$5:$L$45,11,)*$E$110</f>
        <v>1726.8564531260431</v>
      </c>
      <c r="AA110" s="73">
        <f>VLOOKUP(AA2,'CU Composites'!$B$5:$L$45,11,)*$E$110</f>
        <v>1493.6605485300399</v>
      </c>
      <c r="AB110" s="73">
        <f>VLOOKUP(AB2,'CU Composites'!$B$5:$L$45,11,)*$E$110</f>
        <v>855.19014179356191</v>
      </c>
      <c r="AC110" s="73">
        <f>VLOOKUP(AC2,'CU Composites'!$B$5:$L$45,11,)*$E$110</f>
        <v>1157.2529571222185</v>
      </c>
      <c r="AD110" s="73">
        <f>VLOOKUP(AD2,'CU Composites'!$B$5:$L$45,11,)*$E$110</f>
        <v>8523.9269296358816</v>
      </c>
      <c r="AE110" s="73">
        <f>VLOOKUP(AE2,'CU Composites'!$B$5:$L$45,11,)*$E$110</f>
        <v>3020.003265511888</v>
      </c>
      <c r="AF110" s="73">
        <f>VLOOKUP(AF2,'CU Composites'!$B$5:$L$45,11,)*$E$110</f>
        <v>0</v>
      </c>
      <c r="AG110" s="73">
        <f>VLOOKUP(AG2,'CU Composites'!$B$5:$L$45,11,)*$E$110</f>
        <v>10376.495861710981</v>
      </c>
      <c r="AH110" s="73">
        <f>VLOOKUP(AH2,'CU Composites'!$B$5:$L$45,11,)*$E$110</f>
        <v>154135.86398939916</v>
      </c>
      <c r="AI110" s="73">
        <f>VLOOKUP(AI2,'CU Composites'!$B$5:$L$45,11,)*$E$110</f>
        <v>1673.5499608484329</v>
      </c>
      <c r="AJ110" s="73">
        <f>VLOOKUP(AJ2,'CU Composites'!$B$5:$L$45,11,)*$E$110</f>
        <v>0</v>
      </c>
      <c r="AK110" s="73">
        <f>VLOOKUP(AK2,'CU Composites'!$B$5:$L$45,11,)*$E$110</f>
        <v>0</v>
      </c>
      <c r="AL110" s="73">
        <f>VLOOKUP(AL2,'CU Composites'!$B$5:$L$45,11,)*$E$110</f>
        <v>0</v>
      </c>
      <c r="AM110" s="73">
        <f>VLOOKUP(AM2,'CU Composites'!$B$5:$L$45,11,)*$E$110</f>
        <v>2305.2181276839524</v>
      </c>
      <c r="AN110" s="73">
        <f>VLOOKUP(AN2,'CU Composites'!$B$5:$L$45,11,)*$E$110</f>
        <v>0</v>
      </c>
      <c r="AO110" s="73">
        <f>VLOOKUP(AO2,'CU Composites'!$B$5:$L$45,11,)*$E$110</f>
        <v>0</v>
      </c>
      <c r="AP110" s="73">
        <f>VLOOKUP(AP2,'CU Composites'!$B$5:$L$45,11,)*$E$110</f>
        <v>0</v>
      </c>
      <c r="AQ110" s="73">
        <f>VLOOKUP(AQ2,'CU Composites'!$B$5:$L$45,11,)*$E$110</f>
        <v>12697.278789506669</v>
      </c>
      <c r="AR110" s="73">
        <f>VLOOKUP(AR2,'CU Composites'!$B$5:$L$45,11,)*$E$110</f>
        <v>51.496295228307488</v>
      </c>
      <c r="AS110" s="73">
        <f>VLOOKUP(AS2,'CU Composites'!$B$5:$L$45,11,)*$E$110</f>
        <v>18928.614425093561</v>
      </c>
      <c r="AT110" s="73">
        <f>VLOOKUP(AT2,'CU Composites'!$B$5:$L$45,11,)*$E$110</f>
        <v>15224.0358782975</v>
      </c>
      <c r="AU110" s="73">
        <f>VLOOKUP(AU2,'CU Composites'!$B$5:$L$45,11,)*$E$110</f>
        <v>23039.385360816421</v>
      </c>
      <c r="AV110" s="73">
        <f>VLOOKUP(AV2,'CU Composites'!$B$5:$L$45,11,)*$E$110</f>
        <v>31076.272885046012</v>
      </c>
      <c r="AW110" s="73">
        <f>VLOOKUP(AW2,'CU Composites'!$B$5:$L$45,11,)*$E$110</f>
        <v>80911.064244701847</v>
      </c>
      <c r="AX110" s="73">
        <f>VLOOKUP(AX2,'CU Composites'!$B$5:$L$45,11,)*$E$110</f>
        <v>1092.4347256385622</v>
      </c>
      <c r="BC110" s="666">
        <f t="shared" si="63"/>
        <v>0</v>
      </c>
      <c r="BL110" s="76">
        <f>BC110+I110+H110</f>
        <v>531261.72908360558</v>
      </c>
    </row>
    <row r="111" spans="1:73" outlineLevel="1" x14ac:dyDescent="0.25">
      <c r="A111" s="343" t="s">
        <v>9</v>
      </c>
      <c r="B111" s="3" t="s">
        <v>875</v>
      </c>
      <c r="C111" s="679" t="s">
        <v>863</v>
      </c>
      <c r="D111" s="775">
        <f t="shared" si="61"/>
        <v>40160.489999999991</v>
      </c>
      <c r="E111" s="775">
        <f t="shared" si="61"/>
        <v>30267.99966838253</v>
      </c>
      <c r="F111" s="713"/>
      <c r="G111" s="713">
        <f>E111</f>
        <v>30267.99966838253</v>
      </c>
      <c r="H111" s="242"/>
      <c r="I111" s="694">
        <f t="shared" si="62"/>
        <v>30267.999668382545</v>
      </c>
      <c r="J111" s="73">
        <f>VLOOKUP(J2,'CU Composites'!$B$5:$J$45,9,)*$E$111</f>
        <v>778.12079509653563</v>
      </c>
      <c r="K111" s="73">
        <f>VLOOKUP(K2,'CU Composites'!$B$5:$J$45,9,)*$E$111</f>
        <v>198.24918353768936</v>
      </c>
      <c r="L111" s="73">
        <f>VLOOKUP(L2,'CU Composites'!$B$5:$J$45,9,)*$E$111</f>
        <v>188.9181103439075</v>
      </c>
      <c r="M111" s="73">
        <f>VLOOKUP(M2,'CU Composites'!$B$5:$J$45,9,)*$E$111</f>
        <v>264.94713488522092</v>
      </c>
      <c r="N111" s="73">
        <f>VLOOKUP(N2,'CU Composites'!$B$5:$J$45,9,)*$E$111</f>
        <v>359.00966168021171</v>
      </c>
      <c r="O111" s="73">
        <f>VLOOKUP(O2,'CU Composites'!$B$5:$J$45,9,)*$E$111</f>
        <v>1044.54931930681</v>
      </c>
      <c r="P111" s="73">
        <f>VLOOKUP(P2,'CU Composites'!$B$5:$J$45,9,)*$E$111</f>
        <v>132.72964493507305</v>
      </c>
      <c r="Q111" s="73">
        <f>VLOOKUP(Q2,'CU Composites'!$B$5:$J$45,9,)*$E$111</f>
        <v>375.42450020843057</v>
      </c>
      <c r="R111" s="73">
        <f>VLOOKUP(R2,'CU Composites'!$B$5:$J$45,9,)*$E$111</f>
        <v>327.61348998449898</v>
      </c>
      <c r="S111" s="73">
        <f>VLOOKUP(S2,'CU Composites'!$B$5:$J$45,9,)*$E$111</f>
        <v>331.53886062128169</v>
      </c>
      <c r="T111" s="73">
        <f>VLOOKUP(T2,'CU Composites'!$B$5:$J$45,9,)*$E$111</f>
        <v>1236.0182665914797</v>
      </c>
      <c r="U111" s="73">
        <f>VLOOKUP(U2,'CU Composites'!$B$5:$J$45,9,)*$E$111</f>
        <v>975.63052902688537</v>
      </c>
      <c r="V111" s="73">
        <f>VLOOKUP(V2,'CU Composites'!$B$5:$J$45,9,)*$E$111</f>
        <v>498.66877856641992</v>
      </c>
      <c r="W111" s="73">
        <f>VLOOKUP(W2,'CU Composites'!$B$5:$J$45,9,)*$E$111</f>
        <v>818.24249820177272</v>
      </c>
      <c r="X111" s="73">
        <f>VLOOKUP(X2,'CU Composites'!$B$5:$J$45,9,)*$E$111</f>
        <v>29.056336991096948</v>
      </c>
      <c r="Y111" s="73">
        <f>VLOOKUP(Y2,'CU Composites'!$B$5:$J$45,9,)*$E$111</f>
        <v>20.408870432087475</v>
      </c>
      <c r="Z111" s="73">
        <f>VLOOKUP(Z2,'CU Composites'!$B$5:$J$45,9,)*$E$111</f>
        <v>84.670596712974231</v>
      </c>
      <c r="AA111" s="73">
        <f>VLOOKUP(AA2,'CU Composites'!$B$5:$J$45,9,)*$E$111</f>
        <v>74.162843018759858</v>
      </c>
      <c r="AB111" s="73">
        <f>VLOOKUP(AB2,'CU Composites'!$B$5:$J$45,9,)*$E$111</f>
        <v>42.963152186081089</v>
      </c>
      <c r="AC111" s="73">
        <f>VLOOKUP(AC2,'CU Composites'!$B$5:$J$45,9,)*$E$111</f>
        <v>54.710053853754545</v>
      </c>
      <c r="AD111" s="73">
        <f>VLOOKUP(AD2,'CU Composites'!$B$5:$J$45,9,)*$E$111</f>
        <v>385.02168632680952</v>
      </c>
      <c r="AE111" s="73">
        <f>VLOOKUP(AE2,'CU Composites'!$B$5:$J$45,9,)*$E$111</f>
        <v>139.22917974678953</v>
      </c>
      <c r="AF111" s="73">
        <f>VLOOKUP(AF2,'CU Composites'!$B$5:$J$45,9,)*$E$111</f>
        <v>278.84392813419117</v>
      </c>
      <c r="AG111" s="73">
        <f>VLOOKUP(AG2,'CU Composites'!$B$5:$J$45,9,)*$E$111</f>
        <v>538.82416269184296</v>
      </c>
      <c r="AH111" s="73">
        <f>VLOOKUP(AH2,'CU Composites'!$B$5:$J$45,9,)*$E$111</f>
        <v>7430.5713788601479</v>
      </c>
      <c r="AI111" s="73">
        <f>VLOOKUP(AI2,'CU Composites'!$B$5:$J$45,9,)*$E$111</f>
        <v>74.874059018517642</v>
      </c>
      <c r="AJ111" s="73">
        <f>VLOOKUP(AJ2,'CU Composites'!$B$5:$J$45,9,)*$E$111</f>
        <v>1303.4898994429641</v>
      </c>
      <c r="AK111" s="73">
        <f>VLOOKUP(AK2,'CU Composites'!$B$5:$J$45,9,)*$E$111</f>
        <v>1041.215481097202</v>
      </c>
      <c r="AL111" s="73">
        <f>VLOOKUP(AL2,'CU Composites'!$B$5:$J$45,9,)*$E$111</f>
        <v>0</v>
      </c>
      <c r="AM111" s="73">
        <f>VLOOKUP(AM2,'CU Composites'!$B$5:$J$45,9,)*$E$111</f>
        <v>112.5452729356487</v>
      </c>
      <c r="AN111" s="73">
        <f>VLOOKUP(AN2,'CU Composites'!$B$5:$J$45,9,)*$E$111</f>
        <v>141.88113608336269</v>
      </c>
      <c r="AO111" s="73">
        <f>VLOOKUP(AO2,'CU Composites'!$B$5:$J$45,9,)*$E$111</f>
        <v>1298.6900642440839</v>
      </c>
      <c r="AP111" s="73">
        <f>VLOOKUP(AP2,'CU Composites'!$B$5:$J$45,9,)*$E$111</f>
        <v>182.19036623303509</v>
      </c>
      <c r="AQ111" s="73">
        <f>VLOOKUP(AQ2,'CU Composites'!$B$5:$J$45,9,)*$E$111</f>
        <v>660.01043355477748</v>
      </c>
      <c r="AR111" s="73">
        <f>VLOOKUP(AR2,'CU Composites'!$B$5:$J$45,9,)*$E$111</f>
        <v>2.6694436268271149</v>
      </c>
      <c r="AS111" s="73">
        <f>VLOOKUP(AS2,'CU Composites'!$B$5:$J$45,9,)*$E$111</f>
        <v>983.54483359936455</v>
      </c>
      <c r="AT111" s="73">
        <f>VLOOKUP(AT2,'CU Composites'!$B$5:$J$45,9,)*$E$111</f>
        <v>791.86831185922574</v>
      </c>
      <c r="AU111" s="73">
        <f>VLOOKUP(AU2,'CU Composites'!$B$5:$J$45,9,)*$E$111</f>
        <v>1194.0214290846402</v>
      </c>
      <c r="AV111" s="73">
        <f>VLOOKUP(AV2,'CU Composites'!$B$5:$J$45,9,)*$E$111</f>
        <v>1615.4589029743106</v>
      </c>
      <c r="AW111" s="73">
        <f>VLOOKUP(AW2,'CU Composites'!$B$5:$J$45,9,)*$E$111</f>
        <v>4200.7878937701662</v>
      </c>
      <c r="AX111" s="73">
        <f>VLOOKUP(AX2,'CU Composites'!$B$5:$J$45,9,)*$E$111</f>
        <v>56.62917891766044</v>
      </c>
      <c r="BC111" s="666">
        <f t="shared" si="63"/>
        <v>0</v>
      </c>
      <c r="BL111" s="76">
        <f>BC111+I111+H111</f>
        <v>30267.999668382545</v>
      </c>
    </row>
    <row r="112" spans="1:73" outlineLevel="1" x14ac:dyDescent="0.25">
      <c r="A112" s="343" t="s">
        <v>20</v>
      </c>
      <c r="B112" s="3" t="s">
        <v>861</v>
      </c>
      <c r="C112" s="712" t="s">
        <v>857</v>
      </c>
      <c r="D112" s="775">
        <f t="shared" si="61"/>
        <v>1675906</v>
      </c>
      <c r="E112" s="775">
        <f t="shared" si="61"/>
        <v>1263090.2225605391</v>
      </c>
      <c r="F112" s="713"/>
      <c r="G112" s="775">
        <f>((E112-F112)*(1+Assumptions!$B$20))+F112</f>
        <v>1338875.6359141716</v>
      </c>
      <c r="H112" s="242"/>
      <c r="I112" s="694">
        <f t="shared" si="62"/>
        <v>1285464.5864137018</v>
      </c>
      <c r="J112" s="73">
        <f>$E$112*(VLOOKUP(J2,'CU Composites'!$B$5:$N$55,12,))</f>
        <v>7857.316008082491</v>
      </c>
      <c r="K112" s="73">
        <f>$E$112*(VLOOKUP(K2,'CU Composites'!$B$5:$N$55,12,))</f>
        <v>2266.6404928368129</v>
      </c>
      <c r="L112" s="73">
        <f>$E$112*(VLOOKUP(L2,'CU Composites'!$B$5:$N$55,12,))</f>
        <v>2342.1378163647046</v>
      </c>
      <c r="M112" s="73">
        <f>$E$112*(VLOOKUP(M2,'CU Composites'!$B$5:$N$55,12,))</f>
        <v>2405.1971883640308</v>
      </c>
      <c r="N112" s="73">
        <f>$E$112*(VLOOKUP(N2,'CU Composites'!$B$5:$N$55,12,))</f>
        <v>4003.5185586776583</v>
      </c>
      <c r="O112" s="73">
        <f>$E$112*(VLOOKUP(O2,'CU Composites'!$B$5:$N$55,12,))</f>
        <v>9409.4839453428285</v>
      </c>
      <c r="P112" s="73">
        <f>$E$112*(VLOOKUP(P2,'CU Composites'!$B$5:$N$55,12,))</f>
        <v>1147.3929897807725</v>
      </c>
      <c r="Q112" s="73">
        <f>$E$112*(VLOOKUP(Q2,'CU Composites'!$B$5:$N$55,12,))</f>
        <v>3072.4504884369835</v>
      </c>
      <c r="R112" s="73">
        <f>$E$112*(VLOOKUP(R2,'CU Composites'!$B$5:$N$55,12,))</f>
        <v>2637.2254206601765</v>
      </c>
      <c r="S112" s="73">
        <f>$E$112*(VLOOKUP(S2,'CU Composites'!$B$5:$N$55,12,))</f>
        <v>2705.2122589724363</v>
      </c>
      <c r="T112" s="73">
        <f>$E$112*(VLOOKUP(T2,'CU Composites'!$B$5:$N$55,12,))</f>
        <v>9848.9757594954408</v>
      </c>
      <c r="U112" s="73">
        <f>$E$112*(VLOOKUP(U2,'CU Composites'!$B$5:$N$55,12,))</f>
        <v>7847.2681909410139</v>
      </c>
      <c r="V112" s="73">
        <f>$E$112*(VLOOKUP(V2,'CU Composites'!$B$5:$N$55,12,))</f>
        <v>6128.5212332120209</v>
      </c>
      <c r="W112" s="73">
        <f>$E$112*(VLOOKUP(W2,'CU Composites'!$B$5:$N$55,12,))</f>
        <v>9883.8224826774622</v>
      </c>
      <c r="X112" s="73">
        <f>$E$112*(VLOOKUP(X2,'CU Composites'!$B$5:$N$55,12,))</f>
        <v>239.53530677375812</v>
      </c>
      <c r="Y112" s="73">
        <f>$E$112*(VLOOKUP(Y2,'CU Composites'!$B$5:$N$55,12,))</f>
        <v>185.10300416676415</v>
      </c>
      <c r="Z112" s="73">
        <f>$E$112*(VLOOKUP(Z2,'CU Composites'!$B$5:$N$55,12,))</f>
        <v>873.55776601338812</v>
      </c>
      <c r="AA112" s="73">
        <f>$E$112*(VLOOKUP(AA2,'CU Composites'!$B$5:$N$55,12,))</f>
        <v>793.53052739365251</v>
      </c>
      <c r="AB112" s="73">
        <f>$E$112*(VLOOKUP(AB2,'CU Composites'!$B$5:$N$55,12,))</f>
        <v>474.87383056878298</v>
      </c>
      <c r="AC112" s="73">
        <f>$E$112*(VLOOKUP(AC2,'CU Composites'!$B$5:$N$55,12,))</f>
        <v>502.18490651769065</v>
      </c>
      <c r="AD112" s="73">
        <f>$E$112*(VLOOKUP(AD2,'CU Composites'!$B$5:$N$55,12,))</f>
        <v>2963.5259575964915</v>
      </c>
      <c r="AE112" s="73">
        <f>$E$112*(VLOOKUP(AE2,'CU Composites'!$B$5:$N$55,12,))</f>
        <v>1165.358166361646</v>
      </c>
      <c r="AF112" s="73">
        <f>$E$112*(VLOOKUP(AF2,'CU Composites'!$B$5:$N$55,12,))</f>
        <v>3062.1542790486997</v>
      </c>
      <c r="AG112" s="73">
        <f>$E$112*(VLOOKUP(AG2,'CU Composites'!$B$5:$N$55,12,))</f>
        <v>9917.1694404728605</v>
      </c>
      <c r="AH112" s="73">
        <f>$E$112*(VLOOKUP(AH2,'CU Composites'!$B$5:$N$55,12,))</f>
        <v>75516.596871133792</v>
      </c>
      <c r="AI112" s="73">
        <f>$E$112*(VLOOKUP(AI2,'CU Composites'!$B$5:$N$55,12,))</f>
        <v>552.37894445332734</v>
      </c>
      <c r="AJ112" s="73">
        <f>$E$112*(VLOOKUP(AJ2,'CU Composites'!$B$5:$N$55,12,))</f>
        <v>11841.78703600822</v>
      </c>
      <c r="AK112" s="73">
        <f>$E$112*(VLOOKUP(AK2,'CU Composites'!$B$5:$N$55,12,))</f>
        <v>10070.493248461928</v>
      </c>
      <c r="AL112" s="73">
        <f>$E$112*(VLOOKUP(AL2,'CU Composites'!$B$5:$N$55,12,))</f>
        <v>0</v>
      </c>
      <c r="AM112" s="73">
        <f>$E$112*(VLOOKUP(AM2,'CU Composites'!$B$5:$N$55,12,))</f>
        <v>1146.333213963977</v>
      </c>
      <c r="AN112" s="73">
        <f>$E$112*(VLOOKUP(AN2,'CU Composites'!$B$5:$N$55,12,))</f>
        <v>1974.811830324225</v>
      </c>
      <c r="AO112" s="73">
        <f>$E$112*(VLOOKUP(AO2,'CU Composites'!$B$5:$N$55,12,))</f>
        <v>12290.516851906546</v>
      </c>
      <c r="AP112" s="73">
        <f>$E$112*(VLOOKUP(AP2,'CU Composites'!$B$5:$N$55,12,))</f>
        <v>1841.1273070600494</v>
      </c>
      <c r="AQ112" s="73">
        <f>$E$112*(VLOOKUP(AQ2,'CU Composites'!$B$5:$N$55,12,))</f>
        <v>11799.718117690021</v>
      </c>
      <c r="AR112" s="73">
        <f>$E$112*(VLOOKUP(AR2,'CU Composites'!$B$5:$N$55,12,))</f>
        <v>31.968857678077022</v>
      </c>
      <c r="AS112" s="73">
        <f>$E$112*(VLOOKUP(AS2,'CU Composites'!$B$5:$N$55,12,))</f>
        <v>17336.281121040152</v>
      </c>
      <c r="AT112" s="73">
        <f>$E$112*(VLOOKUP(AT2,'CU Composites'!$B$5:$N$55,12,))</f>
        <v>14502.230242966563</v>
      </c>
      <c r="AU112" s="73">
        <f>$E$112*(VLOOKUP(AU2,'CU Composites'!$B$5:$N$55,12,))</f>
        <v>19866.541067696155</v>
      </c>
      <c r="AV112" s="73">
        <f>$E$112*(VLOOKUP(AV2,'CU Composites'!$B$5:$N$55,12,))</f>
        <v>28176.523538383586</v>
      </c>
      <c r="AW112" s="73">
        <f>$E$112*(VLOOKUP(AW2,'CU Composites'!$B$5:$N$55,12,))</f>
        <v>71908.679968250493</v>
      </c>
      <c r="AX112" s="73">
        <f>$E$112*(VLOOKUP(AX2,'CU Composites'!$B$5:$N$55,12,))</f>
        <v>678.18257821643601</v>
      </c>
      <c r="AY112" s="73">
        <f>$G$112*(VLOOKUP(AY2,'CU Composites'!$B$5:$N$55,12,))</f>
        <v>245284.00900663872</v>
      </c>
      <c r="AZ112" s="73">
        <f>$G$112*(VLOOKUP(AZ2,'CU Composites'!$B$5:$N$55,12,))</f>
        <v>8106.2726062130905</v>
      </c>
      <c r="BA112" s="73">
        <f>$G$112*(VLOOKUP(BA2,'CU Composites'!$B$5:$N$55,12,))</f>
        <v>141890.14645968212</v>
      </c>
      <c r="BB112" s="73">
        <f>$E$112*(VLOOKUP(BB2,'CU Composites'!$B$5:$N$55,12,))</f>
        <v>518917.83152717561</v>
      </c>
      <c r="BC112" s="666">
        <f t="shared" si="63"/>
        <v>0</v>
      </c>
      <c r="BL112" s="76">
        <f>BC112+I112+H112</f>
        <v>1285464.5864137018</v>
      </c>
    </row>
    <row r="113" spans="1:73" outlineLevel="1" x14ac:dyDescent="0.25">
      <c r="C113" s="668"/>
      <c r="D113" s="775"/>
      <c r="E113" s="775"/>
      <c r="H113" s="242"/>
      <c r="I113" s="241"/>
      <c r="BL113" s="76"/>
    </row>
    <row r="114" spans="1:73" ht="30" outlineLevel="1" x14ac:dyDescent="0.25">
      <c r="A114" s="714" t="s">
        <v>881</v>
      </c>
      <c r="B114" s="670" t="s">
        <v>882</v>
      </c>
      <c r="C114" s="722" t="s">
        <v>863</v>
      </c>
      <c r="D114" s="775">
        <f>D50</f>
        <v>146957.03714</v>
      </c>
      <c r="E114" s="775">
        <f>E50</f>
        <v>110758</v>
      </c>
      <c r="F114" s="716"/>
      <c r="G114" s="782">
        <f>E114</f>
        <v>110758</v>
      </c>
      <c r="H114" s="717"/>
      <c r="I114" s="718">
        <f>SUM(J114:BB114)</f>
        <v>110758</v>
      </c>
      <c r="J114" s="715"/>
      <c r="K114" s="715"/>
      <c r="L114" s="715"/>
      <c r="M114" s="715"/>
      <c r="N114" s="715"/>
      <c r="O114" s="715"/>
      <c r="P114" s="715"/>
      <c r="Q114" s="715"/>
      <c r="R114" s="715"/>
      <c r="S114" s="715"/>
      <c r="T114" s="715"/>
      <c r="U114" s="715"/>
      <c r="V114" s="715"/>
      <c r="W114" s="715"/>
      <c r="X114" s="715"/>
      <c r="Y114" s="715"/>
      <c r="Z114" s="715"/>
      <c r="AA114" s="715"/>
      <c r="AB114" s="715"/>
      <c r="AC114" s="715"/>
      <c r="AD114" s="715"/>
      <c r="AE114" s="715"/>
      <c r="AF114" s="715"/>
      <c r="AG114" s="715"/>
      <c r="AH114" s="715"/>
      <c r="AI114" s="715"/>
      <c r="AJ114" s="715"/>
      <c r="AK114" s="715"/>
      <c r="AL114" s="715"/>
      <c r="AM114" s="715"/>
      <c r="AN114" s="715"/>
      <c r="AO114" s="715"/>
      <c r="AP114" s="715"/>
      <c r="AQ114" s="715"/>
      <c r="AR114" s="715"/>
      <c r="AS114" s="715"/>
      <c r="AT114" s="715"/>
      <c r="AU114" s="715"/>
      <c r="AV114" s="715"/>
      <c r="AW114" s="715"/>
      <c r="AX114" s="715"/>
      <c r="AY114" s="715">
        <f>$G$114*VLOOKUP(AY2,'CU Composites'!$B$52:$J$55,9,)</f>
        <v>28402.423647378499</v>
      </c>
      <c r="AZ114" s="715">
        <f>$G$114*VLOOKUP(AZ2,'CU Composites'!$B$52:$J$55,9,)</f>
        <v>1159.6842519688196</v>
      </c>
      <c r="BA114" s="715">
        <f>$G$114*VLOOKUP(BA2,'CU Composites'!$B$52:$J$55,9,)</f>
        <v>17804.148565767387</v>
      </c>
      <c r="BB114" s="715">
        <f>$G$114*VLOOKUP(BB2,'CU Composites'!$B$52:$J$55,9,)</f>
        <v>63391.743534885296</v>
      </c>
      <c r="BC114" s="719">
        <f t="shared" ref="BC114" si="64">SUM(BD114:BK114)</f>
        <v>0</v>
      </c>
      <c r="BD114" s="715"/>
      <c r="BE114" s="715"/>
      <c r="BF114" s="715"/>
      <c r="BG114" s="715"/>
      <c r="BH114" s="715"/>
      <c r="BI114" s="715"/>
      <c r="BJ114" s="715"/>
      <c r="BK114" s="715"/>
      <c r="BL114" s="720">
        <f>BC114+I114+H114</f>
        <v>110758</v>
      </c>
    </row>
    <row r="115" spans="1:73" outlineLevel="1" x14ac:dyDescent="0.25">
      <c r="A115" s="714"/>
      <c r="B115" s="670"/>
      <c r="C115" s="724"/>
      <c r="D115" s="715"/>
      <c r="E115" s="716"/>
      <c r="F115" s="716"/>
      <c r="G115" s="716"/>
      <c r="H115" s="717"/>
      <c r="I115" s="718"/>
      <c r="J115" s="715"/>
      <c r="K115" s="715"/>
      <c r="L115" s="715"/>
      <c r="M115" s="715"/>
      <c r="N115" s="715"/>
      <c r="O115" s="715"/>
      <c r="P115" s="715"/>
      <c r="Q115" s="715"/>
      <c r="R115" s="715"/>
      <c r="S115" s="715"/>
      <c r="T115" s="715"/>
      <c r="U115" s="715"/>
      <c r="V115" s="715"/>
      <c r="W115" s="715"/>
      <c r="X115" s="715"/>
      <c r="Y115" s="715"/>
      <c r="Z115" s="715"/>
      <c r="AA115" s="715"/>
      <c r="AB115" s="715"/>
      <c r="AC115" s="715"/>
      <c r="AD115" s="715"/>
      <c r="AE115" s="715"/>
      <c r="AF115" s="715"/>
      <c r="AG115" s="715"/>
      <c r="AH115" s="715"/>
      <c r="AI115" s="715"/>
      <c r="AJ115" s="715"/>
      <c r="AK115" s="715"/>
      <c r="AL115" s="715"/>
      <c r="AM115" s="715"/>
      <c r="AN115" s="715"/>
      <c r="AO115" s="715"/>
      <c r="AP115" s="715"/>
      <c r="AQ115" s="715"/>
      <c r="AR115" s="715"/>
      <c r="AS115" s="715"/>
      <c r="AT115" s="715"/>
      <c r="AU115" s="715"/>
      <c r="AV115" s="715"/>
      <c r="AW115" s="715"/>
      <c r="AX115" s="715"/>
      <c r="AY115" s="715"/>
      <c r="AZ115" s="715"/>
      <c r="BA115" s="715"/>
      <c r="BB115" s="715"/>
      <c r="BC115" s="719"/>
      <c r="BD115" s="715"/>
      <c r="BE115" s="715"/>
      <c r="BF115" s="715"/>
      <c r="BG115" s="715"/>
      <c r="BH115" s="715"/>
      <c r="BI115" s="715"/>
      <c r="BJ115" s="715"/>
      <c r="BK115" s="715"/>
      <c r="BL115" s="720"/>
      <c r="BU115" s="1017"/>
    </row>
    <row r="116" spans="1:73" outlineLevel="1" x14ac:dyDescent="0.25">
      <c r="A116" s="725" t="s">
        <v>893</v>
      </c>
      <c r="B116" s="726"/>
      <c r="C116" s="731"/>
      <c r="D116" s="728">
        <f t="shared" ref="D116:H116" si="65">D114+SUM(D109:D112)+D105+D107</f>
        <v>6604589.4215844451</v>
      </c>
      <c r="E116" s="728">
        <f t="shared" si="65"/>
        <v>4977720.8998774858</v>
      </c>
      <c r="F116" s="728"/>
      <c r="G116" s="728">
        <f t="shared" si="65"/>
        <v>5053506.313231118</v>
      </c>
      <c r="H116" s="728">
        <f t="shared" si="65"/>
        <v>0</v>
      </c>
      <c r="I116" s="728">
        <f t="shared" ref="I116:AK116" si="66">I114+SUM(I109:I112)+I105+I107</f>
        <v>5000095.2637306498</v>
      </c>
      <c r="J116" s="728">
        <f t="shared" si="66"/>
        <v>81300.856777202687</v>
      </c>
      <c r="K116" s="728">
        <f t="shared" si="66"/>
        <v>20799.32726837372</v>
      </c>
      <c r="L116" s="728">
        <f t="shared" si="66"/>
        <v>19879.217996145064</v>
      </c>
      <c r="M116" s="728">
        <f t="shared" si="66"/>
        <v>27595.333914833111</v>
      </c>
      <c r="N116" s="728">
        <f t="shared" si="66"/>
        <v>37632.846152038161</v>
      </c>
      <c r="O116" s="728">
        <f t="shared" si="66"/>
        <v>108448.17251728002</v>
      </c>
      <c r="P116" s="728">
        <f t="shared" si="66"/>
        <v>13761.122112111461</v>
      </c>
      <c r="Q116" s="728">
        <f t="shared" si="66"/>
        <v>38854.184095497105</v>
      </c>
      <c r="R116" s="728">
        <f t="shared" si="66"/>
        <v>33888.495035708023</v>
      </c>
      <c r="S116" s="728">
        <f t="shared" si="66"/>
        <v>34309.058756002152</v>
      </c>
      <c r="T116" s="728">
        <f t="shared" si="66"/>
        <v>127814.11712906617</v>
      </c>
      <c r="U116" s="728">
        <f t="shared" si="66"/>
        <v>100917.14353909438</v>
      </c>
      <c r="V116" s="728">
        <f t="shared" si="66"/>
        <v>52890.985313256882</v>
      </c>
      <c r="W116" s="728">
        <f t="shared" si="66"/>
        <v>86746.427642976356</v>
      </c>
      <c r="X116" s="728">
        <f t="shared" si="66"/>
        <v>2999.9442323731423</v>
      </c>
      <c r="Y116" s="728">
        <f t="shared" si="66"/>
        <v>2112.767092493079</v>
      </c>
      <c r="Z116" s="728">
        <f t="shared" si="66"/>
        <v>8800.5926075242205</v>
      </c>
      <c r="AA116" s="728">
        <f t="shared" si="66"/>
        <v>7717.9176133171513</v>
      </c>
      <c r="AB116" s="728">
        <f t="shared" si="66"/>
        <v>4476.1290530659617</v>
      </c>
      <c r="AC116" s="728">
        <f t="shared" si="66"/>
        <v>5665.6939513502102</v>
      </c>
      <c r="AD116" s="728">
        <f t="shared" si="66"/>
        <v>39681.456842529362</v>
      </c>
      <c r="AE116" s="728">
        <f t="shared" si="66"/>
        <v>14380.704146002638</v>
      </c>
      <c r="AF116" s="728">
        <f t="shared" si="66"/>
        <v>89796.872406052018</v>
      </c>
      <c r="AG116" s="728">
        <f t="shared" si="66"/>
        <v>59750.171555311215</v>
      </c>
      <c r="AH116" s="728">
        <f t="shared" si="66"/>
        <v>773771.31516287581</v>
      </c>
      <c r="AI116" s="728">
        <f t="shared" si="66"/>
        <v>7708.7356953727813</v>
      </c>
      <c r="AJ116" s="728">
        <f t="shared" si="66"/>
        <v>348822.67321105342</v>
      </c>
      <c r="AK116" s="728">
        <f t="shared" si="66"/>
        <v>296177.92429943022</v>
      </c>
      <c r="AL116" s="728">
        <f t="shared" ref="AL116:BC116" si="67">AL114+SUM(AL109:AL112)+AL105+AL107</f>
        <v>0</v>
      </c>
      <c r="AM116" s="728">
        <f t="shared" si="67"/>
        <v>11692.910161120511</v>
      </c>
      <c r="AN116" s="728">
        <f t="shared" si="67"/>
        <v>57647.017161471464</v>
      </c>
      <c r="AO116" s="728">
        <f t="shared" si="67"/>
        <v>361664.1062964006</v>
      </c>
      <c r="AP116" s="728">
        <f t="shared" si="67"/>
        <v>54091.625558464941</v>
      </c>
      <c r="AQ116" s="728">
        <f t="shared" si="67"/>
        <v>72827.616804762059</v>
      </c>
      <c r="AR116" s="728">
        <f t="shared" si="67"/>
        <v>278.94064648500529</v>
      </c>
      <c r="AS116" s="728">
        <f t="shared" si="67"/>
        <v>108286.98654382078</v>
      </c>
      <c r="AT116" s="728">
        <f t="shared" si="67"/>
        <v>87712.450041519711</v>
      </c>
      <c r="AU116" s="728">
        <f t="shared" si="67"/>
        <v>130340.59852578041</v>
      </c>
      <c r="AV116" s="728">
        <f t="shared" si="67"/>
        <v>177548.09333150406</v>
      </c>
      <c r="AW116" s="728">
        <f t="shared" si="67"/>
        <v>460431.06767432595</v>
      </c>
      <c r="AX116" s="728">
        <f t="shared" si="67"/>
        <v>5917.405266947886</v>
      </c>
      <c r="AY116" s="728">
        <f t="shared" si="67"/>
        <v>273686.43265401723</v>
      </c>
      <c r="AZ116" s="728">
        <f t="shared" si="67"/>
        <v>9265.9568581819094</v>
      </c>
      <c r="BA116" s="728">
        <f t="shared" si="67"/>
        <v>159694.29502544951</v>
      </c>
      <c r="BB116" s="728">
        <f t="shared" si="67"/>
        <v>582309.57506206096</v>
      </c>
      <c r="BC116" s="728">
        <f t="shared" si="67"/>
        <v>0</v>
      </c>
      <c r="BD116" s="728">
        <f>BD114+BD112+BD111+BD110+BD109+BD107+BD105</f>
        <v>0</v>
      </c>
      <c r="BE116" s="728">
        <f t="shared" ref="BE116:BK116" si="68">BE114+BE112+BE111+BE110+BE109+BE107+BE105</f>
        <v>0</v>
      </c>
      <c r="BF116" s="728">
        <f t="shared" si="68"/>
        <v>0</v>
      </c>
      <c r="BG116" s="728">
        <f t="shared" si="68"/>
        <v>0</v>
      </c>
      <c r="BH116" s="728">
        <f t="shared" si="68"/>
        <v>0</v>
      </c>
      <c r="BI116" s="728">
        <f t="shared" si="68"/>
        <v>0</v>
      </c>
      <c r="BJ116" s="728">
        <f t="shared" si="68"/>
        <v>0</v>
      </c>
      <c r="BK116" s="728">
        <f t="shared" si="68"/>
        <v>0</v>
      </c>
      <c r="BL116" s="728">
        <f>BL114+SUM(BL109:BL112)+BL105+BL107</f>
        <v>5000095.2637306498</v>
      </c>
    </row>
    <row r="117" spans="1:73" outlineLevel="1" x14ac:dyDescent="0.25">
      <c r="C117" s="668"/>
      <c r="H117" s="242"/>
      <c r="I117" s="241"/>
      <c r="BL117" s="80"/>
    </row>
    <row r="118" spans="1:73" outlineLevel="1" x14ac:dyDescent="0.25">
      <c r="A118" s="1" t="s">
        <v>884</v>
      </c>
      <c r="C118" s="668"/>
      <c r="F118" s="69"/>
      <c r="H118" s="242"/>
      <c r="I118" s="241"/>
      <c r="BL118" s="80"/>
    </row>
    <row r="119" spans="1:73" outlineLevel="1" x14ac:dyDescent="0.25">
      <c r="A119" s="177" t="s">
        <v>885</v>
      </c>
      <c r="B119" s="3" t="s">
        <v>875</v>
      </c>
      <c r="C119" s="651" t="s">
        <v>863</v>
      </c>
      <c r="D119" s="775">
        <f t="shared" ref="D119:F121" si="69">D55</f>
        <v>364587</v>
      </c>
      <c r="E119" s="775">
        <f t="shared" si="69"/>
        <v>274780.49184899346</v>
      </c>
      <c r="F119" s="713">
        <f t="shared" si="69"/>
        <v>0</v>
      </c>
      <c r="G119" s="775">
        <f>E119</f>
        <v>274780.49184899346</v>
      </c>
      <c r="H119" s="242"/>
      <c r="I119" s="694">
        <f t="shared" ref="I119:I121" si="70">SUM(J119:BB119)</f>
        <v>274780.49184899352</v>
      </c>
      <c r="J119" s="81">
        <f>($E$119)*VLOOKUP(J2,'CU Composites'!$B$5:$J$45,9,)</f>
        <v>7063.9757214580968</v>
      </c>
      <c r="K119" s="81">
        <f>($E$119)*VLOOKUP(K2,'CU Composites'!$B$5:$J$45,9,)</f>
        <v>1799.7558067258533</v>
      </c>
      <c r="L119" s="81">
        <f>($E$119)*VLOOKUP(L2,'CU Composites'!$B$5:$J$45,9,)</f>
        <v>1715.0459841489537</v>
      </c>
      <c r="M119" s="81">
        <f>($E$119)*VLOOKUP(M2,'CU Composites'!$B$5:$J$45,9,)</f>
        <v>2405.2565361228926</v>
      </c>
      <c r="N119" s="81">
        <f>($E$119)*VLOOKUP(N2,'CU Composites'!$B$5:$J$45,9,)</f>
        <v>3259.1797441466319</v>
      </c>
      <c r="O119" s="81">
        <f>($E$119)*VLOOKUP(O2,'CU Composites'!$B$5:$J$45,9,)</f>
        <v>9482.6806813888979</v>
      </c>
      <c r="P119" s="81">
        <f>($E$119)*VLOOKUP(P2,'CU Composites'!$B$5:$J$45,9,)</f>
        <v>1204.9530037592542</v>
      </c>
      <c r="Q119" s="81">
        <f>($E$119)*VLOOKUP(Q2,'CU Composites'!$B$5:$J$45,9,)</f>
        <v>3408.1977649548376</v>
      </c>
      <c r="R119" s="81">
        <f>($E$119)*VLOOKUP(R2,'CU Composites'!$B$5:$J$45,9,)</f>
        <v>2974.1574237012182</v>
      </c>
      <c r="S119" s="81">
        <f>($E$119)*VLOOKUP(S2,'CU Composites'!$B$5:$J$45,9,)</f>
        <v>3009.7929227788618</v>
      </c>
      <c r="T119" s="81">
        <f>($E$119)*VLOOKUP(T2,'CU Composites'!$B$5:$J$45,9,)</f>
        <v>11220.883803006085</v>
      </c>
      <c r="U119" s="81">
        <f>($E$119)*VLOOKUP(U2,'CU Composites'!$B$5:$J$45,9,)</f>
        <v>8857.0186192032306</v>
      </c>
      <c r="V119" s="81">
        <f>($E$119)*VLOOKUP(V2,'CU Composites'!$B$5:$J$45,9,)</f>
        <v>4527.0402321086067</v>
      </c>
      <c r="W119" s="81">
        <f>($E$119)*VLOOKUP(W2,'CU Composites'!$B$5:$J$45,9,)</f>
        <v>7428.2106043001413</v>
      </c>
      <c r="X119" s="81">
        <f>($E$119)*VLOOKUP(X2,'CU Composites'!$B$5:$J$45,9,)</f>
        <v>263.78071419380257</v>
      </c>
      <c r="Y119" s="81">
        <f>($E$119)*VLOOKUP(Y2,'CU Composites'!$B$5:$J$45,9,)</f>
        <v>185.27684408789528</v>
      </c>
      <c r="Z119" s="81">
        <f>($E$119)*VLOOKUP(Z2,'CU Composites'!$B$5:$J$45,9,)</f>
        <v>768.66091135325144</v>
      </c>
      <c r="AA119" s="81">
        <f>($E$119)*VLOOKUP(AA2,'CU Composites'!$B$5:$J$45,9,)</f>
        <v>673.26888809575291</v>
      </c>
      <c r="AB119" s="81">
        <f>($E$119)*VLOOKUP(AB2,'CU Composites'!$B$5:$J$45,9,)</f>
        <v>390.03027020005851</v>
      </c>
      <c r="AC119" s="81">
        <f>($E$119)*VLOOKUP(AC2,'CU Composites'!$B$5:$J$45,9,)</f>
        <v>496.67158952440104</v>
      </c>
      <c r="AD119" s="81">
        <f>($E$119)*VLOOKUP(AD2,'CU Composites'!$B$5:$J$45,9,)</f>
        <v>3495.3234273992307</v>
      </c>
      <c r="AE119" s="81">
        <f>($E$119)*VLOOKUP(AE2,'CU Composites'!$B$5:$J$45,9,)</f>
        <v>1263.9574107871383</v>
      </c>
      <c r="AF119" s="81">
        <f>($E$119)*VLOOKUP(AF2,'CU Composites'!$B$5:$J$45,9,)</f>
        <v>2531.415110389848</v>
      </c>
      <c r="AG119" s="81">
        <f>($E$119)*VLOOKUP(AG2,'CU Composites'!$B$5:$J$45,9,)</f>
        <v>4891.5808796987039</v>
      </c>
      <c r="AH119" s="81">
        <f>($E$119)*VLOOKUP(AH2,'CU Composites'!$B$5:$J$45,9,)</f>
        <v>67456.590477468912</v>
      </c>
      <c r="AI119" s="81">
        <f>($E$119)*VLOOKUP(AI2,'CU Composites'!$B$5:$J$45,9,)</f>
        <v>679.72548530618758</v>
      </c>
      <c r="AJ119" s="81">
        <f>($E$119)*VLOOKUP(AJ2,'CU Composites'!$B$5:$J$45,9,)</f>
        <v>11833.408207126258</v>
      </c>
      <c r="AK119" s="81">
        <f>($E$119)*VLOOKUP(AK2,'CU Composites'!$B$5:$J$45,9,)</f>
        <v>9452.415262034543</v>
      </c>
      <c r="AL119" s="81">
        <f>($E$119)*VLOOKUP(AL2,'CU Composites'!$B$5:$J$45,9,)</f>
        <v>0</v>
      </c>
      <c r="AM119" s="81">
        <f>($E$119)*VLOOKUP(AM2,'CU Composites'!$B$5:$J$45,9,)</f>
        <v>1021.7142127446492</v>
      </c>
      <c r="AN119" s="81">
        <f>($E$119)*VLOOKUP(AN2,'CU Composites'!$B$5:$J$45,9,)</f>
        <v>1288.0325354901038</v>
      </c>
      <c r="AO119" s="81">
        <f>($E$119)*VLOOKUP(AO2,'CU Composites'!$B$5:$J$45,9,)</f>
        <v>11789.834099448437</v>
      </c>
      <c r="AP119" s="81">
        <f>($E$119)*VLOOKUP(AP2,'CU Composites'!$B$5:$J$45,9,)</f>
        <v>1653.9698358711155</v>
      </c>
      <c r="AQ119" s="81">
        <f>($E$119)*VLOOKUP(AQ2,'CU Composites'!$B$5:$J$45,9,)</f>
        <v>5991.7402386882159</v>
      </c>
      <c r="AR119" s="81">
        <f>($E$119)*VLOOKUP(AR2,'CU Composites'!$B$5:$J$45,9,)</f>
        <v>24.233878709498253</v>
      </c>
      <c r="AS119" s="81">
        <f>($E$119)*VLOOKUP(AS2,'CU Composites'!$B$5:$J$45,9,)</f>
        <v>8928.8666609269858</v>
      </c>
      <c r="AT119" s="81">
        <f>($E$119)*VLOOKUP(AT2,'CU Composites'!$B$5:$J$45,9,)</f>
        <v>7188.7791263458084</v>
      </c>
      <c r="AU119" s="81">
        <f>($E$119)*VLOOKUP(AU2,'CU Composites'!$B$5:$J$45,9,)</f>
        <v>10839.625979804574</v>
      </c>
      <c r="AV119" s="81">
        <f>($E$119)*VLOOKUP(AV2,'CU Composites'!$B$5:$J$45,9,)</f>
        <v>14665.541059351994</v>
      </c>
      <c r="AW119" s="81">
        <f>($E$119)*VLOOKUP(AW2,'CU Composites'!$B$5:$J$45,9,)</f>
        <v>38135.806007994019</v>
      </c>
      <c r="AX119" s="81">
        <f>($E$119)*VLOOKUP(AX2,'CU Composites'!$B$5:$J$45,9,)</f>
        <v>514.09388814860245</v>
      </c>
      <c r="BC119" s="666">
        <f t="shared" ref="BC119:BC122" si="71">SUM(BD119:BK119)</f>
        <v>0</v>
      </c>
      <c r="BL119" s="76">
        <f>BC119+I119+H119</f>
        <v>274780.49184899352</v>
      </c>
    </row>
    <row r="120" spans="1:73" outlineLevel="1" x14ac:dyDescent="0.25">
      <c r="A120" s="69" t="s">
        <v>886</v>
      </c>
      <c r="B120" s="27" t="s">
        <v>861</v>
      </c>
      <c r="C120" s="712" t="s">
        <v>857</v>
      </c>
      <c r="D120" s="775">
        <f t="shared" si="69"/>
        <v>4460140</v>
      </c>
      <c r="E120" s="775">
        <f t="shared" si="69"/>
        <v>3361500.7197606326</v>
      </c>
      <c r="F120" s="713">
        <f t="shared" si="69"/>
        <v>625158.46039055497</v>
      </c>
      <c r="G120" s="775">
        <f>((E120-F120)*(1+Assumptions!$B$20))+F120</f>
        <v>3525681.2553228373</v>
      </c>
      <c r="H120" s="242"/>
      <c r="I120" s="694">
        <f t="shared" si="70"/>
        <v>3409972.2511242572</v>
      </c>
      <c r="J120" s="73">
        <f>VLOOKUP(J2,'CU Composites'!$B$5:$N$55,12,)*$E$120</f>
        <v>20910.915898796851</v>
      </c>
      <c r="K120" s="73">
        <f>VLOOKUP(K2,'CU Composites'!$B$5:$N$55,12,)*$E$120</f>
        <v>6032.2798102764609</v>
      </c>
      <c r="L120" s="73">
        <f>VLOOKUP(L2,'CU Composites'!$B$5:$N$55,12,)*$E$120</f>
        <v>6233.2031511796449</v>
      </c>
      <c r="M120" s="73">
        <f>VLOOKUP(M2,'CU Composites'!$B$5:$N$55,12,)*$E$120</f>
        <v>6401.024990488695</v>
      </c>
      <c r="N120" s="73">
        <f>VLOOKUP(N2,'CU Composites'!$B$5:$N$55,12,)*$E$120</f>
        <v>10654.686637735393</v>
      </c>
      <c r="O120" s="73">
        <f>VLOOKUP(O2,'CU Composites'!$B$5:$N$55,12,)*$E$120</f>
        <v>25041.748000175045</v>
      </c>
      <c r="P120" s="73">
        <f>VLOOKUP(P2,'CU Composites'!$B$5:$N$55,12,)*$E$120</f>
        <v>3053.5921283418133</v>
      </c>
      <c r="Q120" s="73">
        <f>VLOOKUP(Q2,'CU Composites'!$B$5:$N$55,12,)*$E$120</f>
        <v>8176.8066475669439</v>
      </c>
      <c r="R120" s="73">
        <f>VLOOKUP(R2,'CU Composites'!$B$5:$N$55,12,)*$E$120</f>
        <v>7018.5288361657995</v>
      </c>
      <c r="S120" s="73">
        <f>VLOOKUP(S2,'CU Composites'!$B$5:$N$55,12,)*$E$120</f>
        <v>7199.4642925876042</v>
      </c>
      <c r="T120" s="73">
        <f>VLOOKUP(T2,'CU Composites'!$B$5:$N$55,12,)*$E$120</f>
        <v>26211.381034470902</v>
      </c>
      <c r="U120" s="73">
        <f>VLOOKUP(U2,'CU Composites'!$B$5:$N$55,12,)*$E$120</f>
        <v>20884.175335098538</v>
      </c>
      <c r="V120" s="73">
        <f>VLOOKUP(V2,'CU Composites'!$B$5:$N$55,12,)*$E$120</f>
        <v>16310.021381329418</v>
      </c>
      <c r="W120" s="73">
        <f>VLOOKUP(W2,'CU Composites'!$B$5:$N$55,12,)*$E$120</f>
        <v>26304.119686837483</v>
      </c>
      <c r="X120" s="73">
        <f>VLOOKUP(X2,'CU Composites'!$B$5:$N$55,12,)*$E$120</f>
        <v>637.4826530568597</v>
      </c>
      <c r="Y120" s="73">
        <f>VLOOKUP(Y2,'CU Composites'!$B$5:$N$55,12,)*$E$120</f>
        <v>492.62029791906673</v>
      </c>
      <c r="Z120" s="73">
        <f>VLOOKUP(Z2,'CU Composites'!$B$5:$N$55,12,)*$E$120</f>
        <v>2324.8260549857523</v>
      </c>
      <c r="AA120" s="73">
        <f>VLOOKUP(AA2,'CU Composites'!$B$5:$N$55,12,)*$E$120</f>
        <v>2111.847112218421</v>
      </c>
      <c r="AB120" s="73">
        <f>VLOOKUP(AB2,'CU Composites'!$B$5:$N$55,12,)*$E$120</f>
        <v>1263.7962789518335</v>
      </c>
      <c r="AC120" s="73">
        <f>VLOOKUP(AC2,'CU Composites'!$B$5:$N$55,12,)*$E$120</f>
        <v>1336.4800823887574</v>
      </c>
      <c r="AD120" s="73">
        <f>VLOOKUP(AD2,'CU Composites'!$B$5:$N$55,12,)*$E$120</f>
        <v>7886.9224553849772</v>
      </c>
      <c r="AE120" s="73">
        <f>VLOOKUP(AE2,'CU Composites'!$B$5:$N$55,12,)*$E$120</f>
        <v>3101.4034033628568</v>
      </c>
      <c r="AF120" s="73">
        <f>VLOOKUP(AF2,'CU Composites'!$B$5:$N$55,12,)*$E$120</f>
        <v>8149.40502996962</v>
      </c>
      <c r="AG120" s="73">
        <f>VLOOKUP(AG2,'CU Composites'!$B$5:$N$55,12,)*$E$120</f>
        <v>26392.86696761669</v>
      </c>
      <c r="AH120" s="73">
        <f>VLOOKUP(AH2,'CU Composites'!$B$5:$N$55,12,)*$E$120</f>
        <v>200974.63364223213</v>
      </c>
      <c r="AI120" s="73">
        <f>VLOOKUP(AI2,'CU Composites'!$B$5:$N$55,12,)*$E$120</f>
        <v>1470.0630138647773</v>
      </c>
      <c r="AJ120" s="73">
        <f>VLOOKUP(AJ2,'CU Composites'!$B$5:$N$55,12,)*$E$120</f>
        <v>31514.910759184404</v>
      </c>
      <c r="AK120" s="73">
        <f>VLOOKUP(AK2,'CU Composites'!$B$5:$N$55,12,)*$E$120</f>
        <v>26800.912316797589</v>
      </c>
      <c r="AL120" s="73">
        <f>VLOOKUP(AL2,'CU Composites'!$B$5:$N$55,12,)*$E$120</f>
        <v>0</v>
      </c>
      <c r="AM120" s="73">
        <f>VLOOKUP(AM2,'CU Composites'!$B$5:$N$55,12,)*$E$120</f>
        <v>3050.7717144811772</v>
      </c>
      <c r="AN120" s="73">
        <f>VLOOKUP(AN2,'CU Composites'!$B$5:$N$55,12,)*$E$120</f>
        <v>5255.6272469352625</v>
      </c>
      <c r="AO120" s="73">
        <f>VLOOKUP(AO2,'CU Composites'!$B$5:$N$55,12,)*$E$120</f>
        <v>32709.12917064708</v>
      </c>
      <c r="AP120" s="73">
        <f>VLOOKUP(AP2,'CU Composites'!$B$5:$N$55,12,)*$E$120</f>
        <v>4899.848528086186</v>
      </c>
      <c r="AQ120" s="73">
        <f>VLOOKUP(AQ2,'CU Composites'!$B$5:$N$55,12,)*$E$120</f>
        <v>31402.951457560252</v>
      </c>
      <c r="AR120" s="73">
        <f>VLOOKUP(AR2,'CU Composites'!$B$5:$N$55,12,)*$E$120</f>
        <v>85.079700701768743</v>
      </c>
      <c r="AS120" s="73">
        <f>VLOOKUP(AS2,'CU Composites'!$B$5:$N$55,12,)*$E$120</f>
        <v>46137.576259763984</v>
      </c>
      <c r="AT120" s="73">
        <f>VLOOKUP(AT2,'CU Composites'!$B$5:$N$55,12,)*$E$120</f>
        <v>38595.229801590831</v>
      </c>
      <c r="AU120" s="73">
        <f>VLOOKUP(AU2,'CU Composites'!$B$5:$N$55,12,)*$E$120</f>
        <v>52871.434601746354</v>
      </c>
      <c r="AV120" s="73">
        <f>VLOOKUP(AV2,'CU Composites'!$B$5:$N$55,12,)*$E$120</f>
        <v>74987.045630534267</v>
      </c>
      <c r="AW120" s="73">
        <f>VLOOKUP(AW2,'CU Composites'!$B$5:$N$55,12,)*$E$120</f>
        <v>191372.77381523352</v>
      </c>
      <c r="AX120" s="73">
        <f>VLOOKUP(AX2,'CU Composites'!$B$5:$N$55,12,)*$E$120</f>
        <v>1804.8680799557103</v>
      </c>
      <c r="AY120" s="73">
        <f>VLOOKUP(AY2,'CU Composites'!$B$5:$N$55,12,)*$G$120</f>
        <v>645910.05287408305</v>
      </c>
      <c r="AZ120" s="73">
        <f>VLOOKUP(AZ2,'CU Composites'!$B$5:$N$55,12,)*$G$120</f>
        <v>21346.369006668981</v>
      </c>
      <c r="BA120" s="73">
        <f>VLOOKUP(BA2,'CU Composites'!$B$5:$N$55,12,)*$G$120</f>
        <v>373641.44679975515</v>
      </c>
      <c r="BB120" s="73">
        <f>VLOOKUP(BB2,'CU Composites'!$B$5:$N$55,12,)*$E$120</f>
        <v>1381011.9285375294</v>
      </c>
      <c r="BC120" s="666">
        <f t="shared" si="71"/>
        <v>0</v>
      </c>
      <c r="BL120" s="76">
        <f>BC120+I120+H120</f>
        <v>3409972.2511242572</v>
      </c>
    </row>
    <row r="121" spans="1:73" ht="30" outlineLevel="1" x14ac:dyDescent="0.25">
      <c r="A121" s="721" t="s">
        <v>887</v>
      </c>
      <c r="B121" s="734" t="s">
        <v>888</v>
      </c>
      <c r="C121" s="744" t="s">
        <v>863</v>
      </c>
      <c r="D121" s="681">
        <f t="shared" si="69"/>
        <v>293576</v>
      </c>
      <c r="E121" s="681">
        <f t="shared" si="69"/>
        <v>221261.20151036681</v>
      </c>
      <c r="F121" s="783">
        <f t="shared" si="69"/>
        <v>29.393366143364261</v>
      </c>
      <c r="G121" s="681">
        <f>E121</f>
        <v>221261.20151036681</v>
      </c>
      <c r="H121" s="738"/>
      <c r="I121" s="739">
        <f t="shared" si="70"/>
        <v>221261.20151036687</v>
      </c>
      <c r="J121" s="740">
        <f>($E$121)*VLOOKUP(J2,'CU Composites'!$B$5:$J$45,8,)</f>
        <v>2972.7249997507301</v>
      </c>
      <c r="K121" s="740">
        <f>($E$121)*VLOOKUP(K2,'CU Composites'!$B$5:$J$45,8,)</f>
        <v>742.22294577106948</v>
      </c>
      <c r="L121" s="740">
        <f>($E$121)*VLOOKUP(L2,'CU Composites'!$B$5:$J$45,8,)</f>
        <v>696.85239683427585</v>
      </c>
      <c r="M121" s="740">
        <f>($E$121)*VLOOKUP(M2,'CU Composites'!$B$5:$J$45,8,)</f>
        <v>1027.6787879401302</v>
      </c>
      <c r="N121" s="740">
        <f>($E$121)*VLOOKUP(N2,'CU Composites'!$B$5:$J$45,8,)</f>
        <v>1349.8861800134548</v>
      </c>
      <c r="O121" s="740">
        <f>($E$121)*VLOOKUP(O2,'CU Composites'!$B$5:$J$45,8,)</f>
        <v>2747.2950931021956</v>
      </c>
      <c r="P121" s="740">
        <f>($E$121)*VLOOKUP(P2,'CU Composites'!$B$5:$J$45,8,)</f>
        <v>336.97612958609375</v>
      </c>
      <c r="Q121" s="740">
        <f>($E$121)*VLOOKUP(Q2,'CU Composites'!$B$5:$J$45,8,)</f>
        <v>909.70298072749199</v>
      </c>
      <c r="R121" s="740">
        <f>($E$121)*VLOOKUP(R2,'CU Composites'!$B$5:$J$45,8,)</f>
        <v>782.81514956889839</v>
      </c>
      <c r="S121" s="740">
        <f>($E$121)*VLOOKUP(S2,'CU Composites'!$B$5:$J$45,8,)</f>
        <v>801.33291815485086</v>
      </c>
      <c r="T121" s="740">
        <f>($E$121)*VLOOKUP(T2,'CU Composites'!$B$5:$J$45,8,)</f>
        <v>2928.1031134325362</v>
      </c>
      <c r="U121" s="740">
        <f>($E$121)*VLOOKUP(U2,'CU Composites'!$B$5:$J$45,8,)</f>
        <v>2329.6181022431024</v>
      </c>
      <c r="V121" s="740">
        <f>($E$121)*VLOOKUP(V2,'CU Composites'!$B$5:$J$45,8,)</f>
        <v>3608.6957530751106</v>
      </c>
      <c r="W121" s="740">
        <f>($E$121)*VLOOKUP(W2,'CU Composites'!$B$5:$J$45,8,)</f>
        <v>5994.8944418066349</v>
      </c>
      <c r="X121" s="740">
        <f>($E$121)*VLOOKUP(X2,'CU Composites'!$B$5:$J$45,8,)</f>
        <v>38.750148125381692</v>
      </c>
      <c r="Y121" s="740">
        <f>($E$121)*VLOOKUP(Y2,'CU Composites'!$B$5:$J$45,8,)</f>
        <v>27.028911419153193</v>
      </c>
      <c r="Z121" s="740">
        <f>($E$121)*VLOOKUP(Z2,'CU Composites'!$B$5:$J$45,8,)</f>
        <v>110.95230486182959</v>
      </c>
      <c r="AA121" s="740">
        <f>($E$121)*VLOOKUP(AA2,'CU Composites'!$B$5:$J$45,8,)</f>
        <v>96.865054667658725</v>
      </c>
      <c r="AB121" s="740">
        <f>($E$121)*VLOOKUP(AB2,'CU Composites'!$B$5:$J$45,8,)</f>
        <v>55.944767249860703</v>
      </c>
      <c r="AC121" s="740">
        <f>($E$121)*VLOOKUP(AC2,'CU Composites'!$B$5:$J$45,8,)</f>
        <v>72.389425537592928</v>
      </c>
      <c r="AD121" s="740">
        <f>($E$121)*VLOOKUP(AD2,'CU Composites'!$B$5:$J$45,8,)</f>
        <v>515.83104749104007</v>
      </c>
      <c r="AE121" s="740">
        <f>($E$121)*VLOOKUP(AE2,'CU Composites'!$B$5:$J$45,8,)</f>
        <v>185.48211808209629</v>
      </c>
      <c r="AF121" s="740">
        <f>($E$121)*VLOOKUP(AF2,'CU Composites'!$B$5:$J$45,8,)</f>
        <v>1412.3716896341523</v>
      </c>
      <c r="AG121" s="740">
        <f>($E$121)*VLOOKUP(AG2,'CU Composites'!$B$5:$J$45,8,)</f>
        <v>9943.2537490068589</v>
      </c>
      <c r="AH121" s="740">
        <f>($E$121)*VLOOKUP(AH2,'CU Composites'!$B$5:$J$45,8,)</f>
        <v>17165.493077081628</v>
      </c>
      <c r="AI121" s="740">
        <f>($E$121)*VLOOKUP(AI2,'CU Composites'!$B$5:$J$45,8,)</f>
        <v>100.58019657843003</v>
      </c>
      <c r="AJ121" s="740">
        <f>($E$121)*VLOOKUP(AJ2,'CU Composites'!$B$5:$J$45,8,)</f>
        <v>5437.8052388127653</v>
      </c>
      <c r="AK121" s="740">
        <f>($E$121)*VLOOKUP(AK2,'CU Composites'!$B$5:$J$45,8,)</f>
        <v>4631.6032162159654</v>
      </c>
      <c r="AL121" s="740">
        <f>($E$121)*VLOOKUP(AL2,'CU Composites'!$B$5:$J$45,8,)</f>
        <v>0</v>
      </c>
      <c r="AM121" s="740">
        <f>($E$121)*VLOOKUP(AM2,'CU Composites'!$B$5:$J$45,8,)</f>
        <v>147.64515713816795</v>
      </c>
      <c r="AN121" s="740">
        <f>($E$121)*VLOOKUP(AN2,'CU Composites'!$B$5:$J$45,8,)</f>
        <v>914.90285375100257</v>
      </c>
      <c r="AO121" s="740">
        <f>($E$121)*VLOOKUP(AO2,'CU Composites'!$B$5:$J$45,8,)</f>
        <v>5649.6496789968542</v>
      </c>
      <c r="AP121" s="740">
        <f>($E$121)*VLOOKUP(AP2,'CU Composites'!$B$5:$J$45,8,)</f>
        <v>847.64004165359404</v>
      </c>
      <c r="AQ121" s="740">
        <f>($E$121)*VLOOKUP(AQ2,'CU Composites'!$B$5:$J$45,8,)</f>
        <v>11190.88760111685</v>
      </c>
      <c r="AR121" s="740">
        <f>($E$121)*VLOOKUP(AR2,'CU Composites'!$B$5:$J$45,8,)</f>
        <v>3.4484440318070679</v>
      </c>
      <c r="AS121" s="740">
        <f>($E$121)*VLOOKUP(AS2,'CU Composites'!$B$5:$J$45,8,)</f>
        <v>16039.608821898248</v>
      </c>
      <c r="AT121" s="740">
        <f>($E$121)*VLOOKUP(AT2,'CU Composites'!$B$5:$J$45,8,)</f>
        <v>14314.900034846605</v>
      </c>
      <c r="AU121" s="740">
        <f>($E$121)*VLOOKUP(AU2,'CU Composites'!$B$5:$J$45,8,)</f>
        <v>16542.228048739624</v>
      </c>
      <c r="AV121" s="740">
        <f>($E$121)*VLOOKUP(AV2,'CU Composites'!$B$5:$J$45,8,)</f>
        <v>25487.220802255557</v>
      </c>
      <c r="AW121" s="740">
        <f>($E$121)*VLOOKUP(AW2,'CU Composites'!$B$5:$J$45,8,)</f>
        <v>63026.765311856594</v>
      </c>
      <c r="AX121" s="740">
        <f>($E$121)*VLOOKUP(AX2,'CU Composites'!$B$5:$J$45,8,)</f>
        <v>73.154777310975646</v>
      </c>
      <c r="AY121" s="741"/>
      <c r="AZ121" s="741"/>
      <c r="BA121" s="741"/>
      <c r="BB121" s="741"/>
      <c r="BC121" s="739">
        <f t="shared" si="71"/>
        <v>0</v>
      </c>
      <c r="BD121" s="741"/>
      <c r="BE121" s="741"/>
      <c r="BF121" s="741"/>
      <c r="BG121" s="741"/>
      <c r="BH121" s="741"/>
      <c r="BI121" s="741"/>
      <c r="BJ121" s="741"/>
      <c r="BK121" s="741"/>
      <c r="BL121" s="742">
        <f>BC121+I121+H121</f>
        <v>221261.20151036687</v>
      </c>
    </row>
    <row r="122" spans="1:73" s="1" customFormat="1" outlineLevel="1" x14ac:dyDescent="0.25">
      <c r="A122" s="745" t="s">
        <v>894</v>
      </c>
      <c r="B122" s="784"/>
      <c r="C122" s="785"/>
      <c r="D122" s="749">
        <f t="shared" ref="D122:J122" si="72">SUM(D119:D121)</f>
        <v>5118303</v>
      </c>
      <c r="E122" s="749">
        <f t="shared" si="72"/>
        <v>3857542.4131199932</v>
      </c>
      <c r="F122" s="749">
        <f t="shared" si="72"/>
        <v>625187.85375669831</v>
      </c>
      <c r="G122" s="749">
        <f t="shared" si="72"/>
        <v>4021722.9486821978</v>
      </c>
      <c r="H122" s="749">
        <f t="shared" si="72"/>
        <v>0</v>
      </c>
      <c r="I122" s="749">
        <f t="shared" si="72"/>
        <v>3906013.9444836178</v>
      </c>
      <c r="J122" s="749">
        <f t="shared" si="72"/>
        <v>30947.61662000568</v>
      </c>
      <c r="K122" s="749">
        <f t="shared" ref="K122:BB122" si="73">SUM(K119:K121)</f>
        <v>8574.2585627733843</v>
      </c>
      <c r="L122" s="749">
        <f t="shared" si="73"/>
        <v>8645.1015321628747</v>
      </c>
      <c r="M122" s="749">
        <f t="shared" si="73"/>
        <v>9833.9603145517176</v>
      </c>
      <c r="N122" s="749">
        <f t="shared" si="73"/>
        <v>15263.752561895479</v>
      </c>
      <c r="O122" s="749">
        <f t="shared" si="73"/>
        <v>37271.723774666141</v>
      </c>
      <c r="P122" s="749">
        <f t="shared" si="73"/>
        <v>4595.5212616871613</v>
      </c>
      <c r="Q122" s="749">
        <f t="shared" si="73"/>
        <v>12494.707393249273</v>
      </c>
      <c r="R122" s="749">
        <f t="shared" si="73"/>
        <v>10775.501409435916</v>
      </c>
      <c r="S122" s="749">
        <f t="shared" si="73"/>
        <v>11010.590133521317</v>
      </c>
      <c r="T122" s="749">
        <f t="shared" si="73"/>
        <v>40360.367950909524</v>
      </c>
      <c r="U122" s="749">
        <f t="shared" si="73"/>
        <v>32070.81205654487</v>
      </c>
      <c r="V122" s="749">
        <f t="shared" si="73"/>
        <v>24445.757366513135</v>
      </c>
      <c r="W122" s="749">
        <f t="shared" si="73"/>
        <v>39727.224732944262</v>
      </c>
      <c r="X122" s="749">
        <f t="shared" si="73"/>
        <v>940.01351537604387</v>
      </c>
      <c r="Y122" s="749">
        <f t="shared" si="73"/>
        <v>704.92605342611523</v>
      </c>
      <c r="Z122" s="749">
        <f t="shared" si="73"/>
        <v>3204.439271200833</v>
      </c>
      <c r="AA122" s="749">
        <f t="shared" si="73"/>
        <v>2881.9810549818326</v>
      </c>
      <c r="AB122" s="749">
        <f t="shared" si="73"/>
        <v>1709.7713164017528</v>
      </c>
      <c r="AC122" s="749">
        <f t="shared" si="73"/>
        <v>1905.5410974507513</v>
      </c>
      <c r="AD122" s="749">
        <f t="shared" si="73"/>
        <v>11898.076930275247</v>
      </c>
      <c r="AE122" s="749">
        <f t="shared" si="73"/>
        <v>4550.8429322320917</v>
      </c>
      <c r="AF122" s="749">
        <f t="shared" si="73"/>
        <v>12093.191829993621</v>
      </c>
      <c r="AG122" s="749">
        <f t="shared" si="73"/>
        <v>41227.701596322251</v>
      </c>
      <c r="AH122" s="749">
        <f t="shared" si="73"/>
        <v>285596.7171967827</v>
      </c>
      <c r="AI122" s="749">
        <f t="shared" si="73"/>
        <v>2250.3686957493946</v>
      </c>
      <c r="AJ122" s="749">
        <f t="shared" si="73"/>
        <v>48786.124205123429</v>
      </c>
      <c r="AK122" s="749">
        <f t="shared" si="73"/>
        <v>40884.930795048102</v>
      </c>
      <c r="AL122" s="749">
        <f t="shared" si="73"/>
        <v>0</v>
      </c>
      <c r="AM122" s="749">
        <f t="shared" si="73"/>
        <v>4220.131084363994</v>
      </c>
      <c r="AN122" s="749">
        <f t="shared" si="73"/>
        <v>7458.562636176368</v>
      </c>
      <c r="AO122" s="749">
        <f t="shared" si="73"/>
        <v>50148.61294909237</v>
      </c>
      <c r="AP122" s="749">
        <f t="shared" si="73"/>
        <v>7401.4584056108961</v>
      </c>
      <c r="AQ122" s="749">
        <f t="shared" si="73"/>
        <v>48585.579297365315</v>
      </c>
      <c r="AR122" s="749">
        <f t="shared" si="73"/>
        <v>112.76202344307407</v>
      </c>
      <c r="AS122" s="749">
        <f t="shared" si="73"/>
        <v>71106.051742589218</v>
      </c>
      <c r="AT122" s="749">
        <f t="shared" si="73"/>
        <v>60098.908962783244</v>
      </c>
      <c r="AU122" s="749">
        <f t="shared" si="73"/>
        <v>80253.288630290554</v>
      </c>
      <c r="AV122" s="749">
        <f t="shared" si="73"/>
        <v>115139.80749214182</v>
      </c>
      <c r="AW122" s="749">
        <f t="shared" si="73"/>
        <v>292535.34513508412</v>
      </c>
      <c r="AX122" s="749">
        <f t="shared" si="73"/>
        <v>2392.1167454152883</v>
      </c>
      <c r="AY122" s="749">
        <f t="shared" si="73"/>
        <v>645910.05287408305</v>
      </c>
      <c r="AZ122" s="749">
        <f t="shared" si="73"/>
        <v>21346.369006668981</v>
      </c>
      <c r="BA122" s="749">
        <f t="shared" si="73"/>
        <v>373641.44679975515</v>
      </c>
      <c r="BB122" s="749">
        <f t="shared" si="73"/>
        <v>1381011.9285375294</v>
      </c>
      <c r="BC122" s="749">
        <f t="shared" si="71"/>
        <v>0</v>
      </c>
      <c r="BD122" s="745"/>
      <c r="BE122" s="745"/>
      <c r="BF122" s="745"/>
      <c r="BG122" s="745"/>
      <c r="BH122" s="745"/>
      <c r="BI122" s="745"/>
      <c r="BJ122" s="745"/>
      <c r="BK122" s="745"/>
      <c r="BL122" s="786">
        <f>SUM(BL119:BL121)</f>
        <v>3906013.9444836178</v>
      </c>
      <c r="BM122" s="631"/>
      <c r="BP122" s="691"/>
      <c r="BQ122" s="691"/>
      <c r="BR122" s="691"/>
      <c r="BU122" s="31"/>
    </row>
    <row r="123" spans="1:73" outlineLevel="1" x14ac:dyDescent="0.25">
      <c r="H123" s="242"/>
      <c r="I123" s="241"/>
    </row>
    <row r="124" spans="1:73" outlineLevel="1" x14ac:dyDescent="0.25">
      <c r="A124" s="1"/>
      <c r="D124" s="76"/>
      <c r="E124" s="76"/>
      <c r="F124" s="76"/>
      <c r="G124" s="76"/>
      <c r="H124" s="242"/>
      <c r="I124" s="692"/>
      <c r="J124" s="692"/>
      <c r="K124" s="692"/>
      <c r="L124" s="692"/>
      <c r="M124" s="692"/>
      <c r="N124" s="692"/>
      <c r="O124" s="692"/>
      <c r="P124" s="692"/>
      <c r="Q124" s="692"/>
      <c r="R124" s="692"/>
      <c r="S124" s="692"/>
      <c r="T124" s="692"/>
      <c r="U124" s="692"/>
      <c r="V124" s="692"/>
      <c r="W124" s="692"/>
      <c r="X124" s="692"/>
      <c r="Y124" s="692"/>
      <c r="Z124" s="692"/>
      <c r="AA124" s="692"/>
      <c r="AB124" s="692"/>
      <c r="AC124" s="692"/>
      <c r="AD124" s="692"/>
      <c r="AE124" s="692"/>
      <c r="AF124" s="692"/>
      <c r="AG124" s="692"/>
      <c r="AH124" s="692"/>
      <c r="AI124" s="692"/>
      <c r="AJ124" s="692"/>
      <c r="AK124" s="692"/>
      <c r="AL124" s="692"/>
      <c r="AM124" s="692"/>
      <c r="AN124" s="692"/>
      <c r="AO124" s="692"/>
      <c r="AP124" s="692"/>
      <c r="AQ124" s="692"/>
      <c r="AR124" s="692"/>
      <c r="AS124" s="692"/>
      <c r="AT124" s="692"/>
      <c r="AU124" s="692"/>
      <c r="AV124" s="692"/>
      <c r="AW124" s="692"/>
      <c r="AX124" s="692"/>
      <c r="AY124" s="692"/>
      <c r="AZ124" s="692"/>
      <c r="BA124" s="692"/>
      <c r="BB124" s="692"/>
      <c r="BC124" s="692"/>
      <c r="BD124" s="692"/>
      <c r="BE124" s="692"/>
      <c r="BF124" s="692"/>
      <c r="BG124" s="692"/>
      <c r="BH124" s="692"/>
      <c r="BI124" s="692"/>
      <c r="BJ124" s="692"/>
      <c r="BK124" s="692"/>
      <c r="BL124" s="752"/>
    </row>
    <row r="125" spans="1:73" ht="15.75" outlineLevel="1" thickBot="1" x14ac:dyDescent="0.3">
      <c r="H125" s="242"/>
      <c r="I125" s="241"/>
      <c r="BD125" s="77"/>
      <c r="BL125" s="73"/>
    </row>
    <row r="126" spans="1:73" s="753" customFormat="1" ht="19.5" customHeight="1" thickBot="1" x14ac:dyDescent="0.3">
      <c r="A126" s="753" t="s">
        <v>895</v>
      </c>
      <c r="B126" s="754"/>
      <c r="C126" s="755"/>
      <c r="D126" s="756">
        <f>D122+D114+SUM(D109:D112)+D105+D97+D107</f>
        <v>28733638.799369998</v>
      </c>
      <c r="E126" s="756">
        <f>E122+E114+SUM(E109:E112)+E105+E97+E107</f>
        <v>21655727.461784855</v>
      </c>
      <c r="F126" s="756"/>
      <c r="G126" s="756">
        <f>G122+G114+SUM(G109:G112)+G105+G97+G107</f>
        <v>22486016.962249227</v>
      </c>
      <c r="H126" s="756">
        <f>H122+H114+SUM(H109:H112)+H105+H97+H107</f>
        <v>132835.08270087352</v>
      </c>
      <c r="I126" s="759">
        <f t="shared" ref="I126" si="74">SUM(J126:BB126)</f>
        <v>13886560.366188888</v>
      </c>
      <c r="J126" s="756">
        <f t="shared" ref="J126:BB126" si="75">J122+J114+SUM(J109:J112)+J105+J97+J107</f>
        <v>143311.82545442111</v>
      </c>
      <c r="K126" s="756">
        <f t="shared" si="75"/>
        <v>38586.360950924944</v>
      </c>
      <c r="L126" s="756">
        <f t="shared" si="75"/>
        <v>38196.962803378032</v>
      </c>
      <c r="M126" s="756">
        <f t="shared" si="75"/>
        <v>46681.139920317109</v>
      </c>
      <c r="N126" s="756">
        <f t="shared" si="75"/>
        <v>69083.979302774969</v>
      </c>
      <c r="O126" s="756">
        <f t="shared" si="75"/>
        <v>182792.38048785334</v>
      </c>
      <c r="P126" s="756">
        <f t="shared" si="75"/>
        <v>22841.583857575966</v>
      </c>
      <c r="Q126" s="756">
        <f t="shared" si="75"/>
        <v>63225.274245449262</v>
      </c>
      <c r="R126" s="756">
        <f t="shared" si="75"/>
        <v>54822.280245079404</v>
      </c>
      <c r="S126" s="756">
        <f t="shared" si="75"/>
        <v>55769.916786453789</v>
      </c>
      <c r="T126" s="756">
        <f t="shared" si="75"/>
        <v>206028.24378276043</v>
      </c>
      <c r="U126" s="756">
        <f t="shared" si="75"/>
        <v>163209.44474034282</v>
      </c>
      <c r="V126" s="756">
        <f t="shared" si="75"/>
        <v>101315.6860168104</v>
      </c>
      <c r="W126" s="756">
        <f t="shared" si="75"/>
        <v>164928.64668953491</v>
      </c>
      <c r="X126" s="756">
        <f t="shared" si="75"/>
        <v>4890.7099532380034</v>
      </c>
      <c r="Y126" s="756">
        <f t="shared" si="75"/>
        <v>3567.5922250310264</v>
      </c>
      <c r="Z126" s="756">
        <f t="shared" si="75"/>
        <v>15630.58758339642</v>
      </c>
      <c r="AA126" s="756">
        <f t="shared" si="75"/>
        <v>13913.761636149826</v>
      </c>
      <c r="AB126" s="756">
        <f t="shared" si="75"/>
        <v>8179.5621549149118</v>
      </c>
      <c r="AC126" s="756">
        <f t="shared" si="75"/>
        <v>9610.6130620072636</v>
      </c>
      <c r="AD126" s="756">
        <f t="shared" si="75"/>
        <v>63152.415022908135</v>
      </c>
      <c r="AE126" s="756">
        <f t="shared" si="75"/>
        <v>23572.879086107077</v>
      </c>
      <c r="AF126" s="756">
        <f t="shared" si="75"/>
        <v>113966.78742113811</v>
      </c>
      <c r="AG126" s="756">
        <f t="shared" si="75"/>
        <v>138499.00568428519</v>
      </c>
      <c r="AH126" s="756">
        <f t="shared" si="75"/>
        <v>1366548.9883429692</v>
      </c>
      <c r="AI126" s="756">
        <f t="shared" si="75"/>
        <v>12093.095403168611</v>
      </c>
      <c r="AJ126" s="756">
        <f t="shared" si="75"/>
        <v>442889.59884452709</v>
      </c>
      <c r="AK126" s="756">
        <f t="shared" si="75"/>
        <v>375995.46278410114</v>
      </c>
      <c r="AL126" s="756">
        <f t="shared" si="75"/>
        <v>0</v>
      </c>
      <c r="AM126" s="756">
        <f t="shared" si="75"/>
        <v>20660.035820203379</v>
      </c>
      <c r="AN126" s="756">
        <f t="shared" si="75"/>
        <v>73133.564765025454</v>
      </c>
      <c r="AO126" s="756">
        <f t="shared" si="75"/>
        <v>459151.54759858147</v>
      </c>
      <c r="AP126" s="756">
        <f t="shared" si="75"/>
        <v>68662.472390232884</v>
      </c>
      <c r="AQ126" s="756">
        <f t="shared" si="75"/>
        <v>166403.08804822149</v>
      </c>
      <c r="AR126" s="756">
        <f t="shared" si="75"/>
        <v>527.57391952383148</v>
      </c>
      <c r="AS126" s="756">
        <f t="shared" si="75"/>
        <v>245697.72975011112</v>
      </c>
      <c r="AT126" s="756">
        <f t="shared" si="75"/>
        <v>202819.327783602</v>
      </c>
      <c r="AU126" s="756">
        <f t="shared" si="75"/>
        <v>287489.95607131819</v>
      </c>
      <c r="AV126" s="756">
        <f t="shared" si="75"/>
        <v>400768.99952536618</v>
      </c>
      <c r="AW126" s="756">
        <f t="shared" si="75"/>
        <v>1029772.5716949308</v>
      </c>
      <c r="AX126" s="756">
        <f t="shared" si="75"/>
        <v>11191.874434343075</v>
      </c>
      <c r="AY126" s="756">
        <f t="shared" si="75"/>
        <v>1876020.4571122485</v>
      </c>
      <c r="AZ126" s="756">
        <f t="shared" si="75"/>
        <v>64455.489927806411</v>
      </c>
      <c r="BA126" s="756">
        <f t="shared" si="75"/>
        <v>1116776.4444178664</v>
      </c>
      <c r="BB126" s="756">
        <f t="shared" si="75"/>
        <v>3919724.4484418882</v>
      </c>
      <c r="BC126" s="756">
        <f>SUM(BD126:BK126)</f>
        <v>8113712.4617074626</v>
      </c>
      <c r="BD126" s="756">
        <f t="shared" ref="BD126:BK126" si="76">BD122+BD114+SUM(BD109:BD112)+BD105+BD97+BD107</f>
        <v>1321118.5354259224</v>
      </c>
      <c r="BE126" s="756">
        <f t="shared" si="76"/>
        <v>1204860.6973461497</v>
      </c>
      <c r="BF126" s="756">
        <f t="shared" si="76"/>
        <v>737691.93648624246</v>
      </c>
      <c r="BG126" s="756">
        <f t="shared" si="76"/>
        <v>1363362.64886473</v>
      </c>
      <c r="BH126" s="756">
        <f t="shared" si="76"/>
        <v>1067994.286316657</v>
      </c>
      <c r="BI126" s="756">
        <f t="shared" si="76"/>
        <v>777657.37519165745</v>
      </c>
      <c r="BJ126" s="756">
        <f t="shared" si="76"/>
        <v>438617.13537409093</v>
      </c>
      <c r="BK126" s="756">
        <f t="shared" si="76"/>
        <v>1202409.8467020125</v>
      </c>
      <c r="BL126" s="757">
        <f>I126+BC126+H126</f>
        <v>22133107.910597224</v>
      </c>
      <c r="BM126" s="787"/>
      <c r="BP126" s="788"/>
      <c r="BQ126" s="788"/>
      <c r="BR126" s="788"/>
      <c r="BU126" s="31"/>
    </row>
    <row r="127" spans="1:73" x14ac:dyDescent="0.25">
      <c r="A127" s="1"/>
      <c r="H127" s="692">
        <f>H126/(H126+I126+BC126)</f>
        <v>6.0016461871255202E-3</v>
      </c>
      <c r="I127" s="692">
        <f>I126/(I126+H126+BC126)</f>
        <v>0.62741122585590747</v>
      </c>
      <c r="BC127" s="692">
        <f>BC126/(BC126+I126+H126)</f>
        <v>0.36658712795696696</v>
      </c>
      <c r="BL127" s="761">
        <f>SUM(H127:BC127)</f>
        <v>1</v>
      </c>
      <c r="BU127" s="1249"/>
    </row>
    <row r="128" spans="1:73" x14ac:dyDescent="0.25">
      <c r="A128" s="1"/>
      <c r="H128" s="692"/>
      <c r="I128" s="692"/>
      <c r="BC128" s="692"/>
      <c r="BL128" s="761"/>
    </row>
    <row r="129" spans="1:73" ht="15.75" thickBot="1" x14ac:dyDescent="0.3">
      <c r="A129" s="177" t="s">
        <v>896</v>
      </c>
      <c r="D129" s="76">
        <f>D126-D62</f>
        <v>0</v>
      </c>
      <c r="E129" s="76">
        <f>E126</f>
        <v>21655727.461784855</v>
      </c>
      <c r="H129" s="637">
        <f>H62</f>
        <v>126859.85619860872</v>
      </c>
      <c r="I129" s="694">
        <f t="shared" ref="I129:I130" si="77">SUM(J129:BB129)</f>
        <v>13749252.803617489</v>
      </c>
      <c r="J129" s="76">
        <f t="shared" ref="J129:BB129" si="78">J62</f>
        <v>143189.15587127442</v>
      </c>
      <c r="K129" s="76">
        <f t="shared" si="78"/>
        <v>38550.172748927136</v>
      </c>
      <c r="L129" s="76">
        <f t="shared" si="78"/>
        <v>38159.082404249479</v>
      </c>
      <c r="M129" s="76">
        <f t="shared" si="78"/>
        <v>46644.407131184729</v>
      </c>
      <c r="N129" s="76">
        <f t="shared" si="78"/>
        <v>69020.331138197638</v>
      </c>
      <c r="O129" s="76">
        <f t="shared" si="78"/>
        <v>182645.88312786398</v>
      </c>
      <c r="P129" s="76">
        <f t="shared" si="78"/>
        <v>22823.833488050692</v>
      </c>
      <c r="Q129" s="76">
        <f t="shared" si="78"/>
        <v>63178.166842300256</v>
      </c>
      <c r="R129" s="76">
        <f t="shared" si="78"/>
        <v>54781.959580621369</v>
      </c>
      <c r="S129" s="76">
        <f t="shared" si="78"/>
        <v>55728.460875106262</v>
      </c>
      <c r="T129" s="76">
        <f t="shared" si="78"/>
        <v>205877.92750649957</v>
      </c>
      <c r="U129" s="76">
        <f t="shared" si="78"/>
        <v>163089.48425265576</v>
      </c>
      <c r="V129" s="76">
        <f t="shared" si="78"/>
        <v>101220.80124703371</v>
      </c>
      <c r="W129" s="76">
        <f t="shared" si="78"/>
        <v>164776.31171907979</v>
      </c>
      <c r="X129" s="76">
        <f t="shared" si="78"/>
        <v>4886.9583098054072</v>
      </c>
      <c r="Y129" s="76">
        <f t="shared" si="78"/>
        <v>3564.6447563319343</v>
      </c>
      <c r="Z129" s="76">
        <f t="shared" si="78"/>
        <v>15616.402186032494</v>
      </c>
      <c r="AA129" s="76">
        <f t="shared" si="78"/>
        <v>13900.810715349604</v>
      </c>
      <c r="AB129" s="76">
        <f t="shared" si="78"/>
        <v>8171.7783738185944</v>
      </c>
      <c r="AC129" s="76">
        <f t="shared" si="78"/>
        <v>9602.6009815823527</v>
      </c>
      <c r="AD129" s="76">
        <f t="shared" si="78"/>
        <v>63106.603685608774</v>
      </c>
      <c r="AE129" s="76">
        <f t="shared" si="78"/>
        <v>23554.576621584238</v>
      </c>
      <c r="AF129" s="76">
        <f t="shared" si="78"/>
        <v>113919.07381056616</v>
      </c>
      <c r="AG129" s="76">
        <f t="shared" si="78"/>
        <v>138349.54090293378</v>
      </c>
      <c r="AH129" s="76">
        <f t="shared" si="78"/>
        <v>1365342.5490327431</v>
      </c>
      <c r="AI129" s="76">
        <f t="shared" si="78"/>
        <v>12084.630035771745</v>
      </c>
      <c r="AJ129" s="76">
        <f t="shared" si="78"/>
        <v>442709.60674969247</v>
      </c>
      <c r="AK129" s="76">
        <f t="shared" si="78"/>
        <v>375841.04194136075</v>
      </c>
      <c r="AL129" s="76">
        <f t="shared" si="78"/>
        <v>0</v>
      </c>
      <c r="AM129" s="76">
        <f t="shared" si="78"/>
        <v>20641.454868115583</v>
      </c>
      <c r="AN129" s="76">
        <f t="shared" si="78"/>
        <v>73102.031479915837</v>
      </c>
      <c r="AO129" s="76">
        <f t="shared" si="78"/>
        <v>458963.64622790384</v>
      </c>
      <c r="AP129" s="76">
        <f t="shared" si="78"/>
        <v>68634.076460939992</v>
      </c>
      <c r="AQ129" s="76">
        <f t="shared" si="78"/>
        <v>166224.14916625939</v>
      </c>
      <c r="AR129" s="76">
        <f t="shared" si="78"/>
        <v>527.04463912858068</v>
      </c>
      <c r="AS129" s="76">
        <f t="shared" si="78"/>
        <v>245434.17834540908</v>
      </c>
      <c r="AT129" s="76">
        <f t="shared" si="78"/>
        <v>202600.3163150296</v>
      </c>
      <c r="AU129" s="76">
        <f t="shared" si="78"/>
        <v>287185.03044584946</v>
      </c>
      <c r="AV129" s="76">
        <f t="shared" si="78"/>
        <v>400339.64412722638</v>
      </c>
      <c r="AW129" s="76">
        <f t="shared" si="78"/>
        <v>1028673.7217653049</v>
      </c>
      <c r="AX129" s="76">
        <f t="shared" si="78"/>
        <v>11180.646358987204</v>
      </c>
      <c r="AY129" s="76">
        <f t="shared" si="78"/>
        <v>1795034.1371678491</v>
      </c>
      <c r="AZ129" s="76">
        <f t="shared" si="78"/>
        <v>61757.477364268372</v>
      </c>
      <c r="BA129" s="76">
        <f t="shared" si="78"/>
        <v>1068894.0044071905</v>
      </c>
      <c r="BB129" s="76">
        <f t="shared" si="78"/>
        <v>3919724.4484418882</v>
      </c>
      <c r="BC129" s="728">
        <f>SUM(BD129:BK129)</f>
        <v>7779614.8019687589</v>
      </c>
      <c r="BD129" s="76">
        <f t="shared" ref="BD129:BK129" si="79">BD62</f>
        <v>1267458.8286903251</v>
      </c>
      <c r="BE129" s="76">
        <f t="shared" si="79"/>
        <v>1155923.020715947</v>
      </c>
      <c r="BF129" s="76">
        <f t="shared" si="79"/>
        <v>707729.19513366243</v>
      </c>
      <c r="BG129" s="76">
        <f t="shared" si="79"/>
        <v>1307987.1182438065</v>
      </c>
      <c r="BH129" s="76">
        <f t="shared" si="79"/>
        <v>1024615.6956282982</v>
      </c>
      <c r="BI129" s="76">
        <f t="shared" si="79"/>
        <v>746071.36260111793</v>
      </c>
      <c r="BJ129" s="76">
        <f t="shared" si="79"/>
        <v>420801.87790683174</v>
      </c>
      <c r="BK129" s="76">
        <f t="shared" si="79"/>
        <v>1149027.7030487694</v>
      </c>
      <c r="BL129" s="720">
        <f>BC129+I129+H129</f>
        <v>21655727.461784855</v>
      </c>
    </row>
    <row r="130" spans="1:73" s="753" customFormat="1" ht="19.5" customHeight="1" collapsed="1" thickBot="1" x14ac:dyDescent="0.3">
      <c r="A130" s="753" t="s">
        <v>897</v>
      </c>
      <c r="B130" s="754"/>
      <c r="C130" s="755"/>
      <c r="D130" s="756"/>
      <c r="E130" s="759">
        <f>G126-E126</f>
        <v>830289.50046437234</v>
      </c>
      <c r="F130" s="756"/>
      <c r="G130" s="756"/>
      <c r="H130" s="756">
        <f>H126-H129</f>
        <v>5975.2265022648062</v>
      </c>
      <c r="I130" s="759">
        <f t="shared" si="77"/>
        <v>137307.56257139568</v>
      </c>
      <c r="J130" s="756">
        <f>J126-J129</f>
        <v>122.66958314669318</v>
      </c>
      <c r="K130" s="756">
        <f t="shared" ref="K130:BK130" si="80">K126-K129</f>
        <v>36.188201997807482</v>
      </c>
      <c r="L130" s="756">
        <f t="shared" si="80"/>
        <v>37.880399128553108</v>
      </c>
      <c r="M130" s="756">
        <f t="shared" si="80"/>
        <v>36.732789132380276</v>
      </c>
      <c r="N130" s="756">
        <f t="shared" si="80"/>
        <v>63.648164577331045</v>
      </c>
      <c r="O130" s="756">
        <f t="shared" si="80"/>
        <v>146.49735998935648</v>
      </c>
      <c r="P130" s="756">
        <f t="shared" si="80"/>
        <v>17.750369525274436</v>
      </c>
      <c r="Q130" s="756">
        <f t="shared" si="80"/>
        <v>47.107403149006132</v>
      </c>
      <c r="R130" s="756">
        <f t="shared" si="80"/>
        <v>40.320664458035026</v>
      </c>
      <c r="S130" s="756">
        <f t="shared" si="80"/>
        <v>41.455911347526126</v>
      </c>
      <c r="T130" s="756">
        <f t="shared" si="80"/>
        <v>150.31627626085537</v>
      </c>
      <c r="U130" s="756">
        <f t="shared" si="80"/>
        <v>119.96048768705805</v>
      </c>
      <c r="V130" s="756">
        <f t="shared" si="80"/>
        <v>94.884769776690518</v>
      </c>
      <c r="W130" s="756">
        <f t="shared" si="80"/>
        <v>152.33497045512195</v>
      </c>
      <c r="X130" s="756">
        <f t="shared" si="80"/>
        <v>3.7516434325962109</v>
      </c>
      <c r="Y130" s="756">
        <f t="shared" si="80"/>
        <v>2.9474686990920418</v>
      </c>
      <c r="Z130" s="756">
        <f t="shared" si="80"/>
        <v>14.185397363926313</v>
      </c>
      <c r="AA130" s="756">
        <f t="shared" si="80"/>
        <v>12.950920800221866</v>
      </c>
      <c r="AB130" s="756">
        <f t="shared" si="80"/>
        <v>7.7837810963173979</v>
      </c>
      <c r="AC130" s="756">
        <f t="shared" si="80"/>
        <v>8.0120804249108915</v>
      </c>
      <c r="AD130" s="756">
        <f t="shared" si="80"/>
        <v>45.811337299361185</v>
      </c>
      <c r="AE130" s="756">
        <f t="shared" si="80"/>
        <v>18.302464522839728</v>
      </c>
      <c r="AF130" s="756">
        <f t="shared" si="80"/>
        <v>47.713610571954632</v>
      </c>
      <c r="AG130" s="756">
        <f t="shared" si="80"/>
        <v>149.4647813514166</v>
      </c>
      <c r="AH130" s="756">
        <f t="shared" si="80"/>
        <v>1206.4393102261238</v>
      </c>
      <c r="AI130" s="756">
        <f t="shared" si="80"/>
        <v>8.4653673968659859</v>
      </c>
      <c r="AJ130" s="756">
        <f t="shared" si="80"/>
        <v>179.99209483462619</v>
      </c>
      <c r="AK130" s="756">
        <f t="shared" si="80"/>
        <v>154.42084274039371</v>
      </c>
      <c r="AL130" s="756">
        <f t="shared" si="80"/>
        <v>0</v>
      </c>
      <c r="AM130" s="756">
        <f t="shared" si="80"/>
        <v>18.580952087795595</v>
      </c>
      <c r="AN130" s="756">
        <f t="shared" si="80"/>
        <v>31.533285109617282</v>
      </c>
      <c r="AO130" s="756">
        <f t="shared" si="80"/>
        <v>187.90137067763135</v>
      </c>
      <c r="AP130" s="756">
        <f t="shared" si="80"/>
        <v>28.395929292892106</v>
      </c>
      <c r="AQ130" s="756">
        <f t="shared" si="80"/>
        <v>178.93888196209446</v>
      </c>
      <c r="AR130" s="756">
        <f t="shared" si="80"/>
        <v>0.52928039525079384</v>
      </c>
      <c r="AS130" s="756">
        <f t="shared" si="80"/>
        <v>263.5514047020406</v>
      </c>
      <c r="AT130" s="756">
        <f t="shared" si="80"/>
        <v>219.01146857239655</v>
      </c>
      <c r="AU130" s="756">
        <f t="shared" si="80"/>
        <v>304.92562546872068</v>
      </c>
      <c r="AV130" s="756">
        <f t="shared" si="80"/>
        <v>429.35539813979995</v>
      </c>
      <c r="AW130" s="756">
        <f t="shared" si="80"/>
        <v>1098.8499296258669</v>
      </c>
      <c r="AX130" s="756">
        <f t="shared" si="80"/>
        <v>11.228075355871624</v>
      </c>
      <c r="AY130" s="756">
        <f t="shared" si="80"/>
        <v>80986.319944399409</v>
      </c>
      <c r="AZ130" s="756">
        <f t="shared" si="80"/>
        <v>2698.0125635380391</v>
      </c>
      <c r="BA130" s="756">
        <f t="shared" si="80"/>
        <v>47882.440010675928</v>
      </c>
      <c r="BB130" s="756">
        <f t="shared" si="80"/>
        <v>0</v>
      </c>
      <c r="BC130" s="756">
        <f>SUM(BD130:BK130)</f>
        <v>334097.65973870398</v>
      </c>
      <c r="BD130" s="756">
        <f t="shared" si="80"/>
        <v>53659.706735597225</v>
      </c>
      <c r="BE130" s="756">
        <f t="shared" si="80"/>
        <v>48937.676630202681</v>
      </c>
      <c r="BF130" s="756">
        <f t="shared" si="80"/>
        <v>29962.741352580022</v>
      </c>
      <c r="BG130" s="756">
        <f t="shared" si="80"/>
        <v>55375.530620923499</v>
      </c>
      <c r="BH130" s="756">
        <f t="shared" si="80"/>
        <v>43378.59068835876</v>
      </c>
      <c r="BI130" s="756">
        <f t="shared" si="80"/>
        <v>31586.012590539525</v>
      </c>
      <c r="BJ130" s="756">
        <f t="shared" si="80"/>
        <v>17815.257467259187</v>
      </c>
      <c r="BK130" s="756">
        <f t="shared" si="80"/>
        <v>53382.143653243082</v>
      </c>
      <c r="BL130" s="757">
        <f>I130+BC130+H130</f>
        <v>477380.44881236443</v>
      </c>
      <c r="BM130" s="787"/>
      <c r="BP130" s="788"/>
      <c r="BQ130" s="788"/>
      <c r="BR130" s="788"/>
      <c r="BU130" s="31"/>
    </row>
    <row r="131" spans="1:73" ht="15.75" thickBot="1" x14ac:dyDescent="0.3">
      <c r="H131" s="242"/>
      <c r="I131" s="241"/>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D131" s="76"/>
      <c r="BE131" s="76"/>
      <c r="BF131" s="76"/>
      <c r="BG131" s="76"/>
      <c r="BH131" s="76"/>
      <c r="BI131" s="76"/>
      <c r="BJ131" s="76"/>
      <c r="BK131" s="76"/>
      <c r="BL131" s="76"/>
    </row>
    <row r="132" spans="1:73" s="1" customFormat="1" x14ac:dyDescent="0.25">
      <c r="B132" s="35"/>
      <c r="C132" s="686"/>
      <c r="D132" s="687"/>
      <c r="E132" s="789"/>
      <c r="F132" s="233"/>
      <c r="G132" s="233"/>
      <c r="H132" s="790"/>
      <c r="I132" s="790"/>
      <c r="J132" s="791"/>
      <c r="K132" s="791"/>
      <c r="L132" s="791"/>
      <c r="M132" s="791"/>
      <c r="N132" s="791"/>
      <c r="O132" s="791"/>
      <c r="P132" s="791"/>
      <c r="Q132" s="791"/>
      <c r="R132" s="791"/>
      <c r="S132" s="791"/>
      <c r="T132" s="791"/>
      <c r="U132" s="791"/>
      <c r="V132" s="791"/>
      <c r="W132" s="791"/>
      <c r="X132" s="791"/>
      <c r="Y132" s="791"/>
      <c r="Z132" s="791"/>
      <c r="AA132" s="791"/>
      <c r="AB132" s="791"/>
      <c r="AC132" s="791"/>
      <c r="AD132" s="791"/>
      <c r="AE132" s="791"/>
      <c r="AF132" s="791"/>
      <c r="AG132" s="791"/>
      <c r="AH132" s="791"/>
      <c r="AI132" s="791"/>
      <c r="AJ132" s="791"/>
      <c r="AK132" s="791"/>
      <c r="AL132" s="791"/>
      <c r="AM132" s="791"/>
      <c r="AN132" s="791"/>
      <c r="AO132" s="791"/>
      <c r="AP132" s="791"/>
      <c r="AQ132" s="791"/>
      <c r="AR132" s="791"/>
      <c r="AS132" s="791"/>
      <c r="AT132" s="791"/>
      <c r="AU132" s="791"/>
      <c r="AV132" s="791"/>
      <c r="AW132" s="791"/>
      <c r="AX132" s="791"/>
      <c r="AY132" s="791"/>
      <c r="AZ132" s="791"/>
      <c r="BA132" s="791"/>
      <c r="BB132" s="791"/>
      <c r="BC132" s="790"/>
      <c r="BD132" s="791"/>
      <c r="BE132" s="791"/>
      <c r="BF132" s="791"/>
      <c r="BG132" s="791"/>
      <c r="BH132" s="791"/>
      <c r="BI132" s="791"/>
      <c r="BJ132" s="791"/>
      <c r="BK132" s="791"/>
      <c r="BL132" s="791"/>
      <c r="BM132" s="792"/>
      <c r="BN132" s="793"/>
      <c r="BP132" s="691"/>
      <c r="BQ132" s="691"/>
      <c r="BR132" s="691"/>
      <c r="BU132" s="31"/>
    </row>
    <row r="133" spans="1:73" x14ac:dyDescent="0.25">
      <c r="E133" s="12"/>
      <c r="F133" s="794" t="s">
        <v>898</v>
      </c>
      <c r="G133" s="71"/>
      <c r="H133" s="636"/>
      <c r="I133" s="635"/>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635"/>
      <c r="BD133" s="71"/>
      <c r="BE133" s="71"/>
      <c r="BF133" s="71"/>
      <c r="BG133" s="71"/>
      <c r="BH133" s="71"/>
      <c r="BI133" s="71"/>
      <c r="BJ133" s="71"/>
      <c r="BK133" s="71"/>
      <c r="BL133" s="71"/>
      <c r="BM133" s="795"/>
      <c r="BN133" s="214"/>
      <c r="BU133" s="1249"/>
    </row>
    <row r="134" spans="1:73" x14ac:dyDescent="0.25">
      <c r="E134" s="796"/>
      <c r="F134" s="797" t="s">
        <v>899</v>
      </c>
      <c r="G134" s="797"/>
      <c r="H134" s="798">
        <f t="shared" ref="H134:BL134" si="81">H5+H7+H8+H9+H11+H12+H13+H15+H16+H17+H19+H20+H26+H27</f>
        <v>126859.85619860872</v>
      </c>
      <c r="I134" s="798">
        <f t="shared" si="81"/>
        <v>4468426.6453405432</v>
      </c>
      <c r="J134" s="695">
        <f t="shared" si="81"/>
        <v>28896.189421621097</v>
      </c>
      <c r="K134" s="695">
        <f t="shared" si="81"/>
        <v>8573.4502178165712</v>
      </c>
      <c r="L134" s="695">
        <f t="shared" si="81"/>
        <v>9003.4228904656502</v>
      </c>
      <c r="M134" s="695">
        <f t="shared" si="81"/>
        <v>8602.8997495935873</v>
      </c>
      <c r="N134" s="695">
        <f t="shared" si="81"/>
        <v>15062.929681308406</v>
      </c>
      <c r="O134" s="695">
        <f t="shared" si="81"/>
        <v>34484.364169428751</v>
      </c>
      <c r="P134" s="695">
        <f t="shared" si="81"/>
        <v>4171.3506221642092</v>
      </c>
      <c r="Q134" s="695">
        <f t="shared" si="81"/>
        <v>11044.15196773712</v>
      </c>
      <c r="R134" s="695">
        <f t="shared" si="81"/>
        <v>9445.9520611769094</v>
      </c>
      <c r="S134" s="695">
        <f t="shared" si="81"/>
        <v>9717.8801297905648</v>
      </c>
      <c r="T134" s="695">
        <f t="shared" si="81"/>
        <v>35198.171155509815</v>
      </c>
      <c r="U134" s="695">
        <f t="shared" si="81"/>
        <v>28102.187195565817</v>
      </c>
      <c r="V134" s="695">
        <f t="shared" si="81"/>
        <v>22302.645737652179</v>
      </c>
      <c r="W134" s="695">
        <f t="shared" si="81"/>
        <v>35763.743168906927</v>
      </c>
      <c r="X134" s="695">
        <f t="shared" si="81"/>
        <v>884.47317151295556</v>
      </c>
      <c r="Y134" s="695">
        <f t="shared" si="81"/>
        <v>697.82713209453652</v>
      </c>
      <c r="Z134" s="695">
        <f t="shared" si="81"/>
        <v>3374.9470179086679</v>
      </c>
      <c r="AA134" s="695">
        <f t="shared" si="81"/>
        <v>3085.0633670469183</v>
      </c>
      <c r="AB134" s="695">
        <f t="shared" si="81"/>
        <v>1856.1483194122616</v>
      </c>
      <c r="AC134" s="695">
        <f t="shared" si="81"/>
        <v>1897.8312590328819</v>
      </c>
      <c r="AD134" s="695">
        <f t="shared" si="81"/>
        <v>10763.547624481535</v>
      </c>
      <c r="AE134" s="695">
        <f t="shared" si="81"/>
        <v>4317.9884679688894</v>
      </c>
      <c r="AF134" s="695">
        <f t="shared" si="81"/>
        <v>11233.782731654583</v>
      </c>
      <c r="AG134" s="695">
        <f t="shared" si="81"/>
        <v>34880.588062109884</v>
      </c>
      <c r="AH134" s="695">
        <f t="shared" si="81"/>
        <v>285867.1948359824</v>
      </c>
      <c r="AI134" s="695">
        <f t="shared" si="81"/>
        <v>1984.4361880351498</v>
      </c>
      <c r="AJ134" s="695">
        <f t="shared" si="81"/>
        <v>42100.941086272011</v>
      </c>
      <c r="AK134" s="695">
        <f t="shared" si="81"/>
        <v>36204.506134542484</v>
      </c>
      <c r="AL134" s="695">
        <f t="shared" si="81"/>
        <v>0</v>
      </c>
      <c r="AM134" s="695">
        <f t="shared" si="81"/>
        <v>4418.731087834467</v>
      </c>
      <c r="AN134" s="695">
        <f t="shared" si="81"/>
        <v>7470.8969304410512</v>
      </c>
      <c r="AO134" s="695">
        <f t="shared" si="81"/>
        <v>44019.237471115986</v>
      </c>
      <c r="AP134" s="695">
        <f t="shared" si="81"/>
        <v>6667.7270086491199</v>
      </c>
      <c r="AQ134" s="695">
        <f t="shared" si="81"/>
        <v>41828.638364763494</v>
      </c>
      <c r="AR134" s="695">
        <f t="shared" si="81"/>
        <v>126.52062927965558</v>
      </c>
      <c r="AS134" s="695">
        <f t="shared" si="81"/>
        <v>61648.616647298331</v>
      </c>
      <c r="AT134" s="695">
        <f t="shared" si="81"/>
        <v>51138.766167853028</v>
      </c>
      <c r="AU134" s="695">
        <f t="shared" si="81"/>
        <v>71509.04953196703</v>
      </c>
      <c r="AV134" s="695">
        <f t="shared" si="81"/>
        <v>100495.82000125115</v>
      </c>
      <c r="AW134" s="695">
        <f t="shared" si="81"/>
        <v>257393.14346213176</v>
      </c>
      <c r="AX134" s="695">
        <f t="shared" si="81"/>
        <v>2683.9897573595126</v>
      </c>
      <c r="AY134" s="695">
        <f t="shared" si="81"/>
        <v>827999.43284037302</v>
      </c>
      <c r="AZ134" s="695">
        <f t="shared" si="81"/>
        <v>27845.752265734845</v>
      </c>
      <c r="BA134" s="695">
        <f t="shared" si="81"/>
        <v>502100.44578194892</v>
      </c>
      <c r="BB134" s="695">
        <f t="shared" si="81"/>
        <v>1761561.2638257486</v>
      </c>
      <c r="BC134" s="798">
        <f t="shared" si="81"/>
        <v>7359796.6472482281</v>
      </c>
      <c r="BD134" s="695">
        <f t="shared" si="81"/>
        <v>1200031.4810034197</v>
      </c>
      <c r="BE134" s="695">
        <f t="shared" si="81"/>
        <v>1094429.2493579856</v>
      </c>
      <c r="BF134" s="695">
        <f t="shared" si="81"/>
        <v>670078.81831017148</v>
      </c>
      <c r="BG134" s="695">
        <f t="shared" si="81"/>
        <v>1238403.7123015788</v>
      </c>
      <c r="BH134" s="695">
        <f t="shared" si="81"/>
        <v>970107.32250348572</v>
      </c>
      <c r="BI134" s="695">
        <f t="shared" si="81"/>
        <v>706381.22669561463</v>
      </c>
      <c r="BJ134" s="695">
        <f t="shared" si="81"/>
        <v>398415.70339239371</v>
      </c>
      <c r="BK134" s="695">
        <f t="shared" si="81"/>
        <v>1081949.1336835776</v>
      </c>
      <c r="BL134" s="695">
        <f t="shared" si="81"/>
        <v>11955083.148787379</v>
      </c>
      <c r="BM134" s="799"/>
      <c r="BN134" s="800"/>
    </row>
    <row r="135" spans="1:73" x14ac:dyDescent="0.25">
      <c r="E135" s="796"/>
      <c r="F135" s="801" t="s">
        <v>900</v>
      </c>
      <c r="G135" s="801"/>
      <c r="H135" s="798">
        <f t="shared" ref="H135:BL135" si="82">+H43</f>
        <v>0</v>
      </c>
      <c r="I135" s="798">
        <f t="shared" si="82"/>
        <v>134563.7681123011</v>
      </c>
      <c r="J135" s="695">
        <f t="shared" si="82"/>
        <v>3459.3256040010037</v>
      </c>
      <c r="K135" s="695">
        <f t="shared" si="82"/>
        <v>881.36505399414239</v>
      </c>
      <c r="L135" s="695">
        <f t="shared" si="82"/>
        <v>839.88149435215598</v>
      </c>
      <c r="M135" s="695">
        <f t="shared" si="82"/>
        <v>1177.8870494027142</v>
      </c>
      <c r="N135" s="695">
        <f t="shared" si="82"/>
        <v>1596.0649330545359</v>
      </c>
      <c r="O135" s="695">
        <f t="shared" si="82"/>
        <v>4643.7985306273376</v>
      </c>
      <c r="P135" s="695">
        <f t="shared" si="82"/>
        <v>590.08197959405061</v>
      </c>
      <c r="Q135" s="695">
        <f t="shared" si="82"/>
        <v>1669.0410976346957</v>
      </c>
      <c r="R135" s="695">
        <f t="shared" si="82"/>
        <v>1456.4856012862385</v>
      </c>
      <c r="S135" s="695">
        <f t="shared" si="82"/>
        <v>1473.9367929708555</v>
      </c>
      <c r="T135" s="695">
        <f t="shared" si="82"/>
        <v>5495.0203921775137</v>
      </c>
      <c r="U135" s="695">
        <f t="shared" si="82"/>
        <v>4337.4032545795608</v>
      </c>
      <c r="V135" s="695">
        <f t="shared" si="82"/>
        <v>2216.95356875369</v>
      </c>
      <c r="W135" s="695">
        <f t="shared" si="82"/>
        <v>3637.6964118533424</v>
      </c>
      <c r="X135" s="695">
        <f t="shared" si="82"/>
        <v>129.17702642725669</v>
      </c>
      <c r="Y135" s="695">
        <f t="shared" si="82"/>
        <v>90.732606658713323</v>
      </c>
      <c r="Z135" s="695">
        <f t="shared" si="82"/>
        <v>376.42376988382205</v>
      </c>
      <c r="AA135" s="695">
        <f t="shared" si="82"/>
        <v>329.70899034831012</v>
      </c>
      <c r="AB135" s="695">
        <f t="shared" si="82"/>
        <v>191.00316213431026</v>
      </c>
      <c r="AC135" s="695">
        <f t="shared" si="82"/>
        <v>243.22687593651423</v>
      </c>
      <c r="AD135" s="695">
        <f t="shared" si="82"/>
        <v>1711.707727128324</v>
      </c>
      <c r="AE135" s="695">
        <f t="shared" si="82"/>
        <v>618.97724538048567</v>
      </c>
      <c r="AF135" s="695">
        <f t="shared" si="82"/>
        <v>1239.668630106655</v>
      </c>
      <c r="AG135" s="695">
        <f t="shared" si="82"/>
        <v>2395.4741137885235</v>
      </c>
      <c r="AH135" s="695">
        <f t="shared" si="82"/>
        <v>33034.415716982548</v>
      </c>
      <c r="AI135" s="695">
        <f t="shared" si="82"/>
        <v>332.87087438153662</v>
      </c>
      <c r="AJ135" s="695">
        <f t="shared" si="82"/>
        <v>5794.9819772395585</v>
      </c>
      <c r="AK135" s="695">
        <f t="shared" si="82"/>
        <v>4628.9771404900093</v>
      </c>
      <c r="AL135" s="695">
        <f t="shared" si="82"/>
        <v>0</v>
      </c>
      <c r="AM135" s="695">
        <f t="shared" si="82"/>
        <v>500.34743542263175</v>
      </c>
      <c r="AN135" s="695">
        <f t="shared" si="82"/>
        <v>630.76716349295839</v>
      </c>
      <c r="AO135" s="695">
        <f t="shared" si="82"/>
        <v>5773.6431402580702</v>
      </c>
      <c r="AP135" s="695">
        <f t="shared" si="82"/>
        <v>809.97166851718316</v>
      </c>
      <c r="AQ135" s="695">
        <f t="shared" si="82"/>
        <v>2934.23721110112</v>
      </c>
      <c r="AR135" s="695">
        <f t="shared" si="82"/>
        <v>11.86766212253033</v>
      </c>
      <c r="AS135" s="695">
        <f t="shared" si="82"/>
        <v>4372.5882240829687</v>
      </c>
      <c r="AT135" s="695">
        <f t="shared" si="82"/>
        <v>3520.443539710082</v>
      </c>
      <c r="AU135" s="695">
        <f t="shared" si="82"/>
        <v>5308.3132174175125</v>
      </c>
      <c r="AV135" s="695">
        <f t="shared" si="82"/>
        <v>7181.916201811694</v>
      </c>
      <c r="AW135" s="695">
        <f t="shared" si="82"/>
        <v>18675.626213143063</v>
      </c>
      <c r="AX135" s="695">
        <f t="shared" si="82"/>
        <v>251.75881405291693</v>
      </c>
      <c r="AY135" s="695">
        <f t="shared" si="82"/>
        <v>0</v>
      </c>
      <c r="AZ135" s="695">
        <f t="shared" si="82"/>
        <v>0</v>
      </c>
      <c r="BA135" s="695">
        <f t="shared" si="82"/>
        <v>0</v>
      </c>
      <c r="BB135" s="695">
        <f t="shared" si="82"/>
        <v>0</v>
      </c>
      <c r="BC135" s="798">
        <f t="shared" si="82"/>
        <v>0</v>
      </c>
      <c r="BD135" s="695">
        <f t="shared" si="82"/>
        <v>0</v>
      </c>
      <c r="BE135" s="695">
        <f t="shared" si="82"/>
        <v>0</v>
      </c>
      <c r="BF135" s="695">
        <f t="shared" si="82"/>
        <v>0</v>
      </c>
      <c r="BG135" s="695">
        <f t="shared" si="82"/>
        <v>0</v>
      </c>
      <c r="BH135" s="695">
        <f t="shared" si="82"/>
        <v>0</v>
      </c>
      <c r="BI135" s="695">
        <f t="shared" si="82"/>
        <v>0</v>
      </c>
      <c r="BJ135" s="695">
        <f t="shared" si="82"/>
        <v>0</v>
      </c>
      <c r="BK135" s="695">
        <f t="shared" si="82"/>
        <v>0</v>
      </c>
      <c r="BL135" s="695">
        <f t="shared" si="82"/>
        <v>134563.7681123011</v>
      </c>
      <c r="BM135" s="795"/>
      <c r="BN135" s="214"/>
    </row>
    <row r="136" spans="1:73" x14ac:dyDescent="0.25">
      <c r="E136" s="802"/>
      <c r="F136" s="803" t="s">
        <v>901</v>
      </c>
      <c r="G136" s="803"/>
      <c r="H136" s="798">
        <f t="shared" ref="H136:BL136" si="83">H55+H56+H57</f>
        <v>0</v>
      </c>
      <c r="I136" s="798">
        <f t="shared" si="83"/>
        <v>3857542.4131199936</v>
      </c>
      <c r="J136" s="695">
        <f t="shared" si="83"/>
        <v>30947.61662000568</v>
      </c>
      <c r="K136" s="695">
        <f t="shared" si="83"/>
        <v>8574.2585627733843</v>
      </c>
      <c r="L136" s="695">
        <f t="shared" si="83"/>
        <v>8645.1015321628747</v>
      </c>
      <c r="M136" s="695">
        <f t="shared" si="83"/>
        <v>9833.9603145517176</v>
      </c>
      <c r="N136" s="695">
        <f t="shared" si="83"/>
        <v>15263.752561895479</v>
      </c>
      <c r="O136" s="695">
        <f t="shared" si="83"/>
        <v>37271.723774666141</v>
      </c>
      <c r="P136" s="695">
        <f t="shared" si="83"/>
        <v>4595.5212616871613</v>
      </c>
      <c r="Q136" s="695">
        <f t="shared" si="83"/>
        <v>12494.707393249273</v>
      </c>
      <c r="R136" s="695">
        <f t="shared" si="83"/>
        <v>10775.501409435916</v>
      </c>
      <c r="S136" s="695">
        <f t="shared" si="83"/>
        <v>11010.590133521317</v>
      </c>
      <c r="T136" s="695">
        <f t="shared" si="83"/>
        <v>40360.367950909524</v>
      </c>
      <c r="U136" s="695">
        <f t="shared" si="83"/>
        <v>32070.81205654487</v>
      </c>
      <c r="V136" s="695">
        <f t="shared" si="83"/>
        <v>24445.757366513135</v>
      </c>
      <c r="W136" s="695">
        <f t="shared" si="83"/>
        <v>39727.224732944262</v>
      </c>
      <c r="X136" s="695">
        <f t="shared" si="83"/>
        <v>940.01351537604387</v>
      </c>
      <c r="Y136" s="695">
        <f t="shared" si="83"/>
        <v>704.92605342611523</v>
      </c>
      <c r="Z136" s="695">
        <f t="shared" si="83"/>
        <v>3204.439271200833</v>
      </c>
      <c r="AA136" s="695">
        <f t="shared" si="83"/>
        <v>2881.9810549818326</v>
      </c>
      <c r="AB136" s="695">
        <f t="shared" si="83"/>
        <v>1709.7713164017528</v>
      </c>
      <c r="AC136" s="695">
        <f t="shared" si="83"/>
        <v>1905.5410974507513</v>
      </c>
      <c r="AD136" s="695">
        <f t="shared" si="83"/>
        <v>11898.076930275247</v>
      </c>
      <c r="AE136" s="695">
        <f t="shared" si="83"/>
        <v>4550.8429322320917</v>
      </c>
      <c r="AF136" s="695">
        <f t="shared" si="83"/>
        <v>12093.191829993621</v>
      </c>
      <c r="AG136" s="695">
        <f t="shared" si="83"/>
        <v>41227.701596322251</v>
      </c>
      <c r="AH136" s="695">
        <f t="shared" si="83"/>
        <v>285596.7171967827</v>
      </c>
      <c r="AI136" s="695">
        <f t="shared" si="83"/>
        <v>2250.3686957493946</v>
      </c>
      <c r="AJ136" s="695">
        <f t="shared" si="83"/>
        <v>48786.124205123429</v>
      </c>
      <c r="AK136" s="695">
        <f t="shared" si="83"/>
        <v>40884.930795048102</v>
      </c>
      <c r="AL136" s="695">
        <f t="shared" si="83"/>
        <v>0</v>
      </c>
      <c r="AM136" s="695">
        <f t="shared" si="83"/>
        <v>4220.131084363994</v>
      </c>
      <c r="AN136" s="695">
        <f t="shared" si="83"/>
        <v>7458.562636176368</v>
      </c>
      <c r="AO136" s="695">
        <f t="shared" si="83"/>
        <v>50148.61294909237</v>
      </c>
      <c r="AP136" s="695">
        <f t="shared" si="83"/>
        <v>7401.4584056108961</v>
      </c>
      <c r="AQ136" s="695">
        <f t="shared" si="83"/>
        <v>48585.579297365315</v>
      </c>
      <c r="AR136" s="695">
        <f t="shared" si="83"/>
        <v>112.76202344307407</v>
      </c>
      <c r="AS136" s="695">
        <f t="shared" si="83"/>
        <v>71106.051742589218</v>
      </c>
      <c r="AT136" s="695">
        <f t="shared" si="83"/>
        <v>60098.908962783244</v>
      </c>
      <c r="AU136" s="695">
        <f t="shared" si="83"/>
        <v>80253.288630290554</v>
      </c>
      <c r="AV136" s="695">
        <f t="shared" si="83"/>
        <v>115139.80749214182</v>
      </c>
      <c r="AW136" s="695">
        <f t="shared" si="83"/>
        <v>292535.34513508412</v>
      </c>
      <c r="AX136" s="695">
        <f t="shared" si="83"/>
        <v>2392.1167454152883</v>
      </c>
      <c r="AY136" s="695">
        <f t="shared" si="83"/>
        <v>615831.93442654109</v>
      </c>
      <c r="AZ136" s="695">
        <f t="shared" si="83"/>
        <v>20352.331814415069</v>
      </c>
      <c r="BA136" s="695">
        <f t="shared" si="83"/>
        <v>356242.07107592683</v>
      </c>
      <c r="BB136" s="695">
        <f t="shared" si="83"/>
        <v>1381011.9285375294</v>
      </c>
      <c r="BC136" s="798">
        <f t="shared" si="83"/>
        <v>0</v>
      </c>
      <c r="BD136" s="695">
        <f t="shared" si="83"/>
        <v>0</v>
      </c>
      <c r="BE136" s="695">
        <f t="shared" si="83"/>
        <v>0</v>
      </c>
      <c r="BF136" s="695">
        <f t="shared" si="83"/>
        <v>0</v>
      </c>
      <c r="BG136" s="695">
        <f t="shared" si="83"/>
        <v>0</v>
      </c>
      <c r="BH136" s="695">
        <f t="shared" si="83"/>
        <v>0</v>
      </c>
      <c r="BI136" s="695">
        <f t="shared" si="83"/>
        <v>0</v>
      </c>
      <c r="BJ136" s="695">
        <f t="shared" si="83"/>
        <v>0</v>
      </c>
      <c r="BK136" s="695">
        <f t="shared" si="83"/>
        <v>0</v>
      </c>
      <c r="BL136" s="695">
        <f t="shared" si="83"/>
        <v>3857542.4131199936</v>
      </c>
      <c r="BM136" s="795"/>
      <c r="BN136" s="214"/>
    </row>
    <row r="137" spans="1:73" ht="15.75" thickBot="1" x14ac:dyDescent="0.3">
      <c r="E137" s="802"/>
      <c r="F137" s="804" t="s">
        <v>902</v>
      </c>
      <c r="G137" s="804"/>
      <c r="H137" s="798">
        <f t="shared" ref="H137:BL137" si="84">H6+H10+H14+H18</f>
        <v>0</v>
      </c>
      <c r="I137" s="798">
        <f t="shared" si="84"/>
        <v>445562.84527946892</v>
      </c>
      <c r="J137" s="695">
        <f t="shared" si="84"/>
        <v>2044.4930524449492</v>
      </c>
      <c r="K137" s="695">
        <f t="shared" si="84"/>
        <v>603.13669996345402</v>
      </c>
      <c r="L137" s="695">
        <f t="shared" si="84"/>
        <v>631.33998547589545</v>
      </c>
      <c r="M137" s="695">
        <f t="shared" si="84"/>
        <v>612.2131522063155</v>
      </c>
      <c r="N137" s="695">
        <f t="shared" si="84"/>
        <v>1060.8027429555848</v>
      </c>
      <c r="O137" s="695">
        <f t="shared" si="84"/>
        <v>2441.6226664890669</v>
      </c>
      <c r="P137" s="695">
        <f t="shared" si="84"/>
        <v>295.83949208785737</v>
      </c>
      <c r="Q137" s="695">
        <f t="shared" si="84"/>
        <v>785.12338581675431</v>
      </c>
      <c r="R137" s="695">
        <f t="shared" si="84"/>
        <v>672.0110743005223</v>
      </c>
      <c r="S137" s="695">
        <f t="shared" si="84"/>
        <v>690.93185579222222</v>
      </c>
      <c r="T137" s="695">
        <f t="shared" si="84"/>
        <v>2505.2712710140863</v>
      </c>
      <c r="U137" s="695">
        <f t="shared" si="84"/>
        <v>1999.3414614507151</v>
      </c>
      <c r="V137" s="695">
        <f t="shared" si="84"/>
        <v>1581.412829611528</v>
      </c>
      <c r="W137" s="695">
        <f t="shared" si="84"/>
        <v>2538.9161742522356</v>
      </c>
      <c r="X137" s="695">
        <f t="shared" si="84"/>
        <v>62.527390543266222</v>
      </c>
      <c r="Y137" s="695">
        <f t="shared" si="84"/>
        <v>49.124478318203451</v>
      </c>
      <c r="Z137" s="695">
        <f t="shared" si="84"/>
        <v>236.42328939877336</v>
      </c>
      <c r="AA137" s="695">
        <f t="shared" si="84"/>
        <v>215.84868000370028</v>
      </c>
      <c r="AB137" s="695">
        <f t="shared" si="84"/>
        <v>129.72968493861785</v>
      </c>
      <c r="AC137" s="695">
        <f t="shared" si="84"/>
        <v>133.53467374850968</v>
      </c>
      <c r="AD137" s="695">
        <f t="shared" si="84"/>
        <v>763.52228832263279</v>
      </c>
      <c r="AE137" s="695">
        <f t="shared" si="84"/>
        <v>305.04107538062027</v>
      </c>
      <c r="AF137" s="695">
        <f t="shared" si="84"/>
        <v>795.22684286593426</v>
      </c>
      <c r="AG137" s="695">
        <f t="shared" si="84"/>
        <v>2491.0796891904388</v>
      </c>
      <c r="AH137" s="695">
        <f t="shared" si="84"/>
        <v>20107.321837102372</v>
      </c>
      <c r="AI137" s="695">
        <f t="shared" si="84"/>
        <v>141.08945661441896</v>
      </c>
      <c r="AJ137" s="695">
        <f t="shared" si="84"/>
        <v>2999.8682472436521</v>
      </c>
      <c r="AK137" s="695">
        <f t="shared" si="84"/>
        <v>2573.6807123399713</v>
      </c>
      <c r="AL137" s="695">
        <f t="shared" si="84"/>
        <v>0</v>
      </c>
      <c r="AM137" s="695">
        <f t="shared" si="84"/>
        <v>309.68253479660802</v>
      </c>
      <c r="AN137" s="695">
        <f t="shared" si="84"/>
        <v>525.55475182695136</v>
      </c>
      <c r="AO137" s="695">
        <f t="shared" si="84"/>
        <v>3131.6895112948837</v>
      </c>
      <c r="AP137" s="695">
        <f t="shared" si="84"/>
        <v>473.26548821502593</v>
      </c>
      <c r="AQ137" s="695">
        <f t="shared" si="84"/>
        <v>2982.3146993685505</v>
      </c>
      <c r="AR137" s="695">
        <f t="shared" si="84"/>
        <v>8.821339920845757</v>
      </c>
      <c r="AS137" s="695">
        <f t="shared" si="84"/>
        <v>4392.523411700724</v>
      </c>
      <c r="AT137" s="695">
        <f t="shared" si="84"/>
        <v>3650.1911428735957</v>
      </c>
      <c r="AU137" s="695">
        <f t="shared" si="84"/>
        <v>5082.0937578114736</v>
      </c>
      <c r="AV137" s="695">
        <f t="shared" si="84"/>
        <v>7155.9233023293618</v>
      </c>
      <c r="AW137" s="695">
        <f t="shared" si="84"/>
        <v>18314.165493763008</v>
      </c>
      <c r="AX137" s="695">
        <f t="shared" si="84"/>
        <v>187.1345892645171</v>
      </c>
      <c r="AY137" s="695">
        <f t="shared" si="84"/>
        <v>91400.337756727662</v>
      </c>
      <c r="AZ137" s="695">
        <f t="shared" si="84"/>
        <v>4752.2820451561556</v>
      </c>
      <c r="BA137" s="695">
        <f t="shared" si="84"/>
        <v>58888.710247998075</v>
      </c>
      <c r="BB137" s="695">
        <f t="shared" si="84"/>
        <v>194841.68101654918</v>
      </c>
      <c r="BC137" s="798">
        <f t="shared" si="84"/>
        <v>419818.15472053119</v>
      </c>
      <c r="BD137" s="695">
        <f t="shared" si="84"/>
        <v>67427.347686905734</v>
      </c>
      <c r="BE137" s="695">
        <f t="shared" si="84"/>
        <v>61493.771357961421</v>
      </c>
      <c r="BF137" s="695">
        <f t="shared" si="84"/>
        <v>37650.376823491104</v>
      </c>
      <c r="BG137" s="695">
        <f t="shared" si="84"/>
        <v>69583.405942227415</v>
      </c>
      <c r="BH137" s="695">
        <f t="shared" si="84"/>
        <v>54508.373124812475</v>
      </c>
      <c r="BI137" s="695">
        <f t="shared" si="84"/>
        <v>39690.135905503339</v>
      </c>
      <c r="BJ137" s="695">
        <f t="shared" si="84"/>
        <v>22386.174514437993</v>
      </c>
      <c r="BK137" s="695">
        <f t="shared" si="84"/>
        <v>67078.569365191681</v>
      </c>
      <c r="BL137" s="695">
        <f t="shared" si="84"/>
        <v>865381.00000000012</v>
      </c>
      <c r="BM137" s="795"/>
      <c r="BN137" s="214"/>
      <c r="BU137" s="1250"/>
    </row>
    <row r="138" spans="1:73" x14ac:dyDescent="0.25">
      <c r="E138" s="802"/>
      <c r="F138" s="805" t="s">
        <v>903</v>
      </c>
      <c r="G138" s="805"/>
      <c r="H138" s="798">
        <f t="shared" ref="H138:BL138" si="85">H50</f>
        <v>0</v>
      </c>
      <c r="I138" s="798">
        <f t="shared" si="85"/>
        <v>110758</v>
      </c>
      <c r="J138" s="695">
        <f t="shared" si="85"/>
        <v>0</v>
      </c>
      <c r="K138" s="695">
        <f t="shared" si="85"/>
        <v>0</v>
      </c>
      <c r="L138" s="695">
        <f t="shared" si="85"/>
        <v>0</v>
      </c>
      <c r="M138" s="695">
        <f t="shared" si="85"/>
        <v>0</v>
      </c>
      <c r="N138" s="695">
        <f t="shared" si="85"/>
        <v>0</v>
      </c>
      <c r="O138" s="695">
        <f t="shared" si="85"/>
        <v>0</v>
      </c>
      <c r="P138" s="695">
        <f t="shared" si="85"/>
        <v>0</v>
      </c>
      <c r="Q138" s="695">
        <f t="shared" si="85"/>
        <v>0</v>
      </c>
      <c r="R138" s="695">
        <f t="shared" si="85"/>
        <v>0</v>
      </c>
      <c r="S138" s="695">
        <f t="shared" si="85"/>
        <v>0</v>
      </c>
      <c r="T138" s="695">
        <f t="shared" si="85"/>
        <v>0</v>
      </c>
      <c r="U138" s="695">
        <f t="shared" si="85"/>
        <v>0</v>
      </c>
      <c r="V138" s="695">
        <f t="shared" si="85"/>
        <v>0</v>
      </c>
      <c r="W138" s="695">
        <f t="shared" si="85"/>
        <v>0</v>
      </c>
      <c r="X138" s="695">
        <f t="shared" si="85"/>
        <v>0</v>
      </c>
      <c r="Y138" s="695">
        <f t="shared" si="85"/>
        <v>0</v>
      </c>
      <c r="Z138" s="695">
        <f t="shared" si="85"/>
        <v>0</v>
      </c>
      <c r="AA138" s="695">
        <f t="shared" si="85"/>
        <v>0</v>
      </c>
      <c r="AB138" s="695">
        <f t="shared" si="85"/>
        <v>0</v>
      </c>
      <c r="AC138" s="695">
        <f t="shared" si="85"/>
        <v>0</v>
      </c>
      <c r="AD138" s="695">
        <f t="shared" si="85"/>
        <v>0</v>
      </c>
      <c r="AE138" s="695">
        <f t="shared" si="85"/>
        <v>0</v>
      </c>
      <c r="AF138" s="695">
        <f t="shared" si="85"/>
        <v>0</v>
      </c>
      <c r="AG138" s="695">
        <f t="shared" si="85"/>
        <v>0</v>
      </c>
      <c r="AH138" s="695">
        <f t="shared" si="85"/>
        <v>0</v>
      </c>
      <c r="AI138" s="695">
        <f t="shared" si="85"/>
        <v>0</v>
      </c>
      <c r="AJ138" s="695">
        <f t="shared" si="85"/>
        <v>0</v>
      </c>
      <c r="AK138" s="695">
        <f t="shared" si="85"/>
        <v>0</v>
      </c>
      <c r="AL138" s="695">
        <f t="shared" si="85"/>
        <v>0</v>
      </c>
      <c r="AM138" s="695">
        <f t="shared" si="85"/>
        <v>0</v>
      </c>
      <c r="AN138" s="695">
        <f t="shared" si="85"/>
        <v>0</v>
      </c>
      <c r="AO138" s="695">
        <f t="shared" si="85"/>
        <v>0</v>
      </c>
      <c r="AP138" s="695">
        <f t="shared" si="85"/>
        <v>0</v>
      </c>
      <c r="AQ138" s="695">
        <f t="shared" si="85"/>
        <v>0</v>
      </c>
      <c r="AR138" s="695">
        <f t="shared" si="85"/>
        <v>0</v>
      </c>
      <c r="AS138" s="695">
        <f t="shared" si="85"/>
        <v>0</v>
      </c>
      <c r="AT138" s="695">
        <f t="shared" si="85"/>
        <v>0</v>
      </c>
      <c r="AU138" s="695">
        <f t="shared" si="85"/>
        <v>0</v>
      </c>
      <c r="AV138" s="695">
        <f t="shared" si="85"/>
        <v>0</v>
      </c>
      <c r="AW138" s="695">
        <f t="shared" si="85"/>
        <v>0</v>
      </c>
      <c r="AX138" s="695">
        <f t="shared" si="85"/>
        <v>0</v>
      </c>
      <c r="AY138" s="695">
        <f t="shared" si="85"/>
        <v>28402.423647378499</v>
      </c>
      <c r="AZ138" s="695">
        <f t="shared" si="85"/>
        <v>1159.6842519688196</v>
      </c>
      <c r="BA138" s="695">
        <f t="shared" si="85"/>
        <v>17804.148565767387</v>
      </c>
      <c r="BB138" s="695">
        <f t="shared" si="85"/>
        <v>63391.743534885296</v>
      </c>
      <c r="BC138" s="798">
        <f t="shared" si="85"/>
        <v>0</v>
      </c>
      <c r="BD138" s="695">
        <f t="shared" si="85"/>
        <v>0</v>
      </c>
      <c r="BE138" s="695">
        <f t="shared" si="85"/>
        <v>0</v>
      </c>
      <c r="BF138" s="695">
        <f t="shared" si="85"/>
        <v>0</v>
      </c>
      <c r="BG138" s="695">
        <f t="shared" si="85"/>
        <v>0</v>
      </c>
      <c r="BH138" s="695">
        <f t="shared" si="85"/>
        <v>0</v>
      </c>
      <c r="BI138" s="695">
        <f t="shared" si="85"/>
        <v>0</v>
      </c>
      <c r="BJ138" s="695">
        <f t="shared" si="85"/>
        <v>0</v>
      </c>
      <c r="BK138" s="695">
        <f t="shared" si="85"/>
        <v>0</v>
      </c>
      <c r="BL138" s="695">
        <f t="shared" si="85"/>
        <v>110758</v>
      </c>
      <c r="BM138" s="795"/>
      <c r="BN138" s="214"/>
    </row>
    <row r="139" spans="1:73" x14ac:dyDescent="0.25">
      <c r="E139" s="796"/>
      <c r="F139" s="806" t="s">
        <v>904</v>
      </c>
      <c r="G139" s="806"/>
      <c r="H139" s="798">
        <f>H45+H46+H48</f>
        <v>0</v>
      </c>
      <c r="I139" s="798">
        <f t="shared" ref="I139:BL139" si="86">I38+I39+I40+I45+I46+I48</f>
        <v>4702131.1320968037</v>
      </c>
      <c r="J139" s="695">
        <f t="shared" si="86"/>
        <v>77063.410378105153</v>
      </c>
      <c r="K139" s="695">
        <f t="shared" si="86"/>
        <v>19719.713030841893</v>
      </c>
      <c r="L139" s="695">
        <f t="shared" si="86"/>
        <v>18850.418391448999</v>
      </c>
      <c r="M139" s="695">
        <f t="shared" si="86"/>
        <v>26152.499730545176</v>
      </c>
      <c r="N139" s="695">
        <f t="shared" si="86"/>
        <v>35677.771557303415</v>
      </c>
      <c r="O139" s="695">
        <f t="shared" si="86"/>
        <v>102759.82466734588</v>
      </c>
      <c r="P139" s="695">
        <f t="shared" si="86"/>
        <v>13038.310487582337</v>
      </c>
      <c r="Q139" s="695">
        <f t="shared" si="86"/>
        <v>36809.718497653979</v>
      </c>
      <c r="R139" s="695">
        <f t="shared" si="86"/>
        <v>32104.395944437285</v>
      </c>
      <c r="S139" s="695">
        <f t="shared" si="86"/>
        <v>32503.583102410015</v>
      </c>
      <c r="T139" s="695">
        <f t="shared" si="86"/>
        <v>121083.07847029719</v>
      </c>
      <c r="U139" s="695">
        <f t="shared" si="86"/>
        <v>95604.109755487938</v>
      </c>
      <c r="V139" s="695">
        <f t="shared" si="86"/>
        <v>50175.362965936773</v>
      </c>
      <c r="W139" s="695">
        <f t="shared" si="86"/>
        <v>82290.488732921251</v>
      </c>
      <c r="X139" s="695">
        <f t="shared" si="86"/>
        <v>2841.710868954789</v>
      </c>
      <c r="Y139" s="695">
        <f t="shared" si="86"/>
        <v>2001.6256154022783</v>
      </c>
      <c r="Z139" s="695">
        <f t="shared" si="86"/>
        <v>8339.4982409274235</v>
      </c>
      <c r="AA139" s="695">
        <f t="shared" si="86"/>
        <v>7314.0457799500819</v>
      </c>
      <c r="AB139" s="695">
        <f t="shared" si="86"/>
        <v>4242.1627387455701</v>
      </c>
      <c r="AC139" s="695">
        <f t="shared" si="86"/>
        <v>5367.7570215599408</v>
      </c>
      <c r="AD139" s="695">
        <f t="shared" si="86"/>
        <v>37584.727429074221</v>
      </c>
      <c r="AE139" s="695">
        <f t="shared" si="86"/>
        <v>13622.497720875363</v>
      </c>
      <c r="AF139" s="695">
        <f t="shared" si="86"/>
        <v>88278.359847811182</v>
      </c>
      <c r="AG139" s="695">
        <f t="shared" si="86"/>
        <v>56815.873278830855</v>
      </c>
      <c r="AH139" s="695">
        <f t="shared" si="86"/>
        <v>733306.32806703309</v>
      </c>
      <c r="AI139" s="695">
        <f t="shared" si="86"/>
        <v>7300.9907619727283</v>
      </c>
      <c r="AJ139" s="695">
        <f t="shared" si="86"/>
        <v>341724.20133437088</v>
      </c>
      <c r="AK139" s="695">
        <f t="shared" si="86"/>
        <v>290507.73167784297</v>
      </c>
      <c r="AL139" s="695">
        <f t="shared" si="86"/>
        <v>0</v>
      </c>
      <c r="AM139" s="695">
        <f t="shared" si="86"/>
        <v>11080.017452762231</v>
      </c>
      <c r="AN139" s="695">
        <f t="shared" si="86"/>
        <v>56874.368861895142</v>
      </c>
      <c r="AO139" s="695">
        <f t="shared" si="86"/>
        <v>354591.77309189842</v>
      </c>
      <c r="AP139" s="695">
        <f t="shared" si="86"/>
        <v>53099.463523714723</v>
      </c>
      <c r="AQ139" s="695">
        <f t="shared" si="86"/>
        <v>69233.369160106158</v>
      </c>
      <c r="AR139" s="695">
        <f t="shared" si="86"/>
        <v>264.40354073564788</v>
      </c>
      <c r="AS139" s="695">
        <f t="shared" si="86"/>
        <v>102930.85348613845</v>
      </c>
      <c r="AT139" s="695">
        <f t="shared" si="86"/>
        <v>83400.138189950405</v>
      </c>
      <c r="AU139" s="695">
        <f t="shared" si="86"/>
        <v>123838.26387927827</v>
      </c>
      <c r="AV139" s="695">
        <f t="shared" si="86"/>
        <v>168750.71822671808</v>
      </c>
      <c r="AW139" s="695">
        <f t="shared" si="86"/>
        <v>437554.65356741281</v>
      </c>
      <c r="AX139" s="695">
        <f t="shared" si="86"/>
        <v>5609.0172739773079</v>
      </c>
      <c r="AY139" s="695">
        <f t="shared" si="86"/>
        <v>231400.00849682896</v>
      </c>
      <c r="AZ139" s="695">
        <f t="shared" si="86"/>
        <v>7647.4269869934806</v>
      </c>
      <c r="BA139" s="695">
        <f t="shared" si="86"/>
        <v>133858.62873554917</v>
      </c>
      <c r="BB139" s="695">
        <f t="shared" si="86"/>
        <v>518917.83152717561</v>
      </c>
      <c r="BC139" s="798">
        <f t="shared" si="86"/>
        <v>0</v>
      </c>
      <c r="BD139" s="695">
        <f t="shared" si="86"/>
        <v>0</v>
      </c>
      <c r="BE139" s="695">
        <f t="shared" si="86"/>
        <v>0</v>
      </c>
      <c r="BF139" s="695">
        <f t="shared" si="86"/>
        <v>0</v>
      </c>
      <c r="BG139" s="695">
        <f t="shared" si="86"/>
        <v>0</v>
      </c>
      <c r="BH139" s="695">
        <f t="shared" si="86"/>
        <v>0</v>
      </c>
      <c r="BI139" s="695">
        <f t="shared" si="86"/>
        <v>0</v>
      </c>
      <c r="BJ139" s="695">
        <f t="shared" si="86"/>
        <v>0</v>
      </c>
      <c r="BK139" s="695">
        <f t="shared" si="86"/>
        <v>0</v>
      </c>
      <c r="BL139" s="695">
        <f t="shared" si="86"/>
        <v>4702131.1320968037</v>
      </c>
      <c r="BM139" s="795"/>
      <c r="BN139" s="214"/>
    </row>
    <row r="140" spans="1:73" x14ac:dyDescent="0.25">
      <c r="E140" s="802"/>
      <c r="F140" s="807" t="s">
        <v>905</v>
      </c>
      <c r="G140" s="807"/>
      <c r="H140" s="798">
        <f t="shared" ref="H140:BL140" si="87">H47</f>
        <v>0</v>
      </c>
      <c r="I140" s="798">
        <f t="shared" si="87"/>
        <v>30267.999668382545</v>
      </c>
      <c r="J140" s="695">
        <f t="shared" si="87"/>
        <v>778.12079509653563</v>
      </c>
      <c r="K140" s="695">
        <f t="shared" si="87"/>
        <v>198.24918353768936</v>
      </c>
      <c r="L140" s="695">
        <f t="shared" si="87"/>
        <v>188.9181103439075</v>
      </c>
      <c r="M140" s="695">
        <f t="shared" si="87"/>
        <v>264.94713488522092</v>
      </c>
      <c r="N140" s="695">
        <f t="shared" si="87"/>
        <v>359.00966168021171</v>
      </c>
      <c r="O140" s="695">
        <f t="shared" si="87"/>
        <v>1044.54931930681</v>
      </c>
      <c r="P140" s="695">
        <f t="shared" si="87"/>
        <v>132.72964493507305</v>
      </c>
      <c r="Q140" s="695">
        <f t="shared" si="87"/>
        <v>375.42450020843057</v>
      </c>
      <c r="R140" s="695">
        <f t="shared" si="87"/>
        <v>327.61348998449898</v>
      </c>
      <c r="S140" s="695">
        <f t="shared" si="87"/>
        <v>331.53886062128169</v>
      </c>
      <c r="T140" s="695">
        <f t="shared" si="87"/>
        <v>1236.0182665914797</v>
      </c>
      <c r="U140" s="695">
        <f t="shared" si="87"/>
        <v>975.63052902688537</v>
      </c>
      <c r="V140" s="695">
        <f t="shared" si="87"/>
        <v>498.66877856641992</v>
      </c>
      <c r="W140" s="695">
        <f t="shared" si="87"/>
        <v>818.24249820177272</v>
      </c>
      <c r="X140" s="695">
        <f t="shared" si="87"/>
        <v>29.056336991096948</v>
      </c>
      <c r="Y140" s="695">
        <f t="shared" si="87"/>
        <v>20.408870432087475</v>
      </c>
      <c r="Z140" s="695">
        <f t="shared" si="87"/>
        <v>84.670596712974231</v>
      </c>
      <c r="AA140" s="695">
        <f t="shared" si="87"/>
        <v>74.162843018759858</v>
      </c>
      <c r="AB140" s="695">
        <f t="shared" si="87"/>
        <v>42.963152186081089</v>
      </c>
      <c r="AC140" s="695">
        <f t="shared" si="87"/>
        <v>54.710053853754545</v>
      </c>
      <c r="AD140" s="695">
        <f t="shared" si="87"/>
        <v>385.02168632680952</v>
      </c>
      <c r="AE140" s="695">
        <f t="shared" si="87"/>
        <v>139.22917974678953</v>
      </c>
      <c r="AF140" s="695">
        <f t="shared" si="87"/>
        <v>278.84392813419117</v>
      </c>
      <c r="AG140" s="695">
        <f t="shared" si="87"/>
        <v>538.82416269184296</v>
      </c>
      <c r="AH140" s="695">
        <f t="shared" si="87"/>
        <v>7430.5713788601479</v>
      </c>
      <c r="AI140" s="695">
        <f t="shared" si="87"/>
        <v>74.874059018517642</v>
      </c>
      <c r="AJ140" s="695">
        <f t="shared" si="87"/>
        <v>1303.4898994429641</v>
      </c>
      <c r="AK140" s="695">
        <f t="shared" si="87"/>
        <v>1041.215481097202</v>
      </c>
      <c r="AL140" s="695">
        <f t="shared" si="87"/>
        <v>0</v>
      </c>
      <c r="AM140" s="695">
        <f t="shared" si="87"/>
        <v>112.5452729356487</v>
      </c>
      <c r="AN140" s="695">
        <f t="shared" si="87"/>
        <v>141.88113608336269</v>
      </c>
      <c r="AO140" s="695">
        <f t="shared" si="87"/>
        <v>1298.6900642440839</v>
      </c>
      <c r="AP140" s="695">
        <f t="shared" si="87"/>
        <v>182.19036623303509</v>
      </c>
      <c r="AQ140" s="695">
        <f t="shared" si="87"/>
        <v>660.01043355477748</v>
      </c>
      <c r="AR140" s="695">
        <f t="shared" si="87"/>
        <v>2.6694436268271149</v>
      </c>
      <c r="AS140" s="695">
        <f t="shared" si="87"/>
        <v>983.54483359936455</v>
      </c>
      <c r="AT140" s="695">
        <f t="shared" si="87"/>
        <v>791.86831185922574</v>
      </c>
      <c r="AU140" s="695">
        <f t="shared" si="87"/>
        <v>1194.0214290846402</v>
      </c>
      <c r="AV140" s="695">
        <f t="shared" si="87"/>
        <v>1615.4589029743106</v>
      </c>
      <c r="AW140" s="695">
        <f t="shared" si="87"/>
        <v>4200.7878937701662</v>
      </c>
      <c r="AX140" s="695">
        <f t="shared" si="87"/>
        <v>56.62917891766044</v>
      </c>
      <c r="AY140" s="695">
        <f t="shared" si="87"/>
        <v>0</v>
      </c>
      <c r="AZ140" s="695">
        <f t="shared" si="87"/>
        <v>0</v>
      </c>
      <c r="BA140" s="695">
        <f t="shared" si="87"/>
        <v>0</v>
      </c>
      <c r="BB140" s="695">
        <f t="shared" si="87"/>
        <v>0</v>
      </c>
      <c r="BC140" s="798">
        <f t="shared" si="87"/>
        <v>0</v>
      </c>
      <c r="BD140" s="695">
        <f t="shared" si="87"/>
        <v>0</v>
      </c>
      <c r="BE140" s="695">
        <f t="shared" si="87"/>
        <v>0</v>
      </c>
      <c r="BF140" s="695">
        <f t="shared" si="87"/>
        <v>0</v>
      </c>
      <c r="BG140" s="695">
        <f t="shared" si="87"/>
        <v>0</v>
      </c>
      <c r="BH140" s="695">
        <f t="shared" si="87"/>
        <v>0</v>
      </c>
      <c r="BI140" s="695">
        <f t="shared" si="87"/>
        <v>0</v>
      </c>
      <c r="BJ140" s="695">
        <f t="shared" si="87"/>
        <v>0</v>
      </c>
      <c r="BK140" s="695">
        <f t="shared" si="87"/>
        <v>0</v>
      </c>
      <c r="BL140" s="695">
        <f t="shared" si="87"/>
        <v>30267.999668382545</v>
      </c>
      <c r="BM140" s="795"/>
      <c r="BN140" s="214"/>
    </row>
    <row r="141" spans="1:73" x14ac:dyDescent="0.25">
      <c r="E141" s="802"/>
      <c r="F141" s="71" t="s">
        <v>3</v>
      </c>
      <c r="G141" s="71"/>
      <c r="H141" s="808">
        <f t="shared" ref="H141" si="88">SUM(H134:H140)</f>
        <v>126859.85619860872</v>
      </c>
      <c r="I141" s="808">
        <f t="shared" ref="I141:BL141" si="89">SUM(I134:I140)</f>
        <v>13749252.803617492</v>
      </c>
      <c r="J141" s="809">
        <f t="shared" si="89"/>
        <v>143189.15587127442</v>
      </c>
      <c r="K141" s="809">
        <f t="shared" si="89"/>
        <v>38550.172748927129</v>
      </c>
      <c r="L141" s="809">
        <f t="shared" si="89"/>
        <v>38159.082404249479</v>
      </c>
      <c r="M141" s="809">
        <f t="shared" si="89"/>
        <v>46644.407131184736</v>
      </c>
      <c r="N141" s="809">
        <f t="shared" si="89"/>
        <v>69020.331138197638</v>
      </c>
      <c r="O141" s="809">
        <f t="shared" si="89"/>
        <v>182645.88312786398</v>
      </c>
      <c r="P141" s="809">
        <f t="shared" si="89"/>
        <v>22823.833488050692</v>
      </c>
      <c r="Q141" s="809">
        <f t="shared" si="89"/>
        <v>63178.166842300248</v>
      </c>
      <c r="R141" s="809">
        <f t="shared" si="89"/>
        <v>54781.959580621369</v>
      </c>
      <c r="S141" s="809">
        <f t="shared" si="89"/>
        <v>55728.460875106255</v>
      </c>
      <c r="T141" s="809">
        <f t="shared" si="89"/>
        <v>205877.9275064996</v>
      </c>
      <c r="U141" s="809">
        <f t="shared" si="89"/>
        <v>163089.48425265579</v>
      </c>
      <c r="V141" s="809">
        <f t="shared" si="89"/>
        <v>101220.80124703374</v>
      </c>
      <c r="W141" s="809">
        <f t="shared" si="89"/>
        <v>164776.31171907979</v>
      </c>
      <c r="X141" s="809">
        <f t="shared" si="89"/>
        <v>4886.9583098054081</v>
      </c>
      <c r="Y141" s="809">
        <f t="shared" si="89"/>
        <v>3564.6447563319343</v>
      </c>
      <c r="Z141" s="809">
        <f t="shared" si="89"/>
        <v>15616.402186032494</v>
      </c>
      <c r="AA141" s="809">
        <f t="shared" si="89"/>
        <v>13900.810715349602</v>
      </c>
      <c r="AB141" s="809">
        <f t="shared" si="89"/>
        <v>8171.7783738185935</v>
      </c>
      <c r="AC141" s="809">
        <f t="shared" si="89"/>
        <v>9602.6009815823509</v>
      </c>
      <c r="AD141" s="809">
        <f t="shared" si="89"/>
        <v>63106.603685608767</v>
      </c>
      <c r="AE141" s="809">
        <f t="shared" si="89"/>
        <v>23554.576621584238</v>
      </c>
      <c r="AF141" s="809">
        <f t="shared" si="89"/>
        <v>113919.07381056616</v>
      </c>
      <c r="AG141" s="809">
        <f t="shared" si="89"/>
        <v>138349.54090293378</v>
      </c>
      <c r="AH141" s="809">
        <f t="shared" si="89"/>
        <v>1365342.5490327433</v>
      </c>
      <c r="AI141" s="809">
        <f t="shared" si="89"/>
        <v>12084.630035771746</v>
      </c>
      <c r="AJ141" s="809">
        <f t="shared" si="89"/>
        <v>442709.60674969247</v>
      </c>
      <c r="AK141" s="809">
        <f t="shared" si="89"/>
        <v>375841.04194136075</v>
      </c>
      <c r="AL141" s="809">
        <f t="shared" si="89"/>
        <v>0</v>
      </c>
      <c r="AM141" s="809">
        <f t="shared" si="89"/>
        <v>20641.454868115579</v>
      </c>
      <c r="AN141" s="809">
        <f t="shared" si="89"/>
        <v>73102.031479915837</v>
      </c>
      <c r="AO141" s="809">
        <f t="shared" si="89"/>
        <v>458963.64622790378</v>
      </c>
      <c r="AP141" s="809">
        <f t="shared" si="89"/>
        <v>68634.076460939978</v>
      </c>
      <c r="AQ141" s="809">
        <f t="shared" si="89"/>
        <v>166224.14916625939</v>
      </c>
      <c r="AR141" s="809">
        <f t="shared" si="89"/>
        <v>527.04463912858068</v>
      </c>
      <c r="AS141" s="809">
        <f t="shared" si="89"/>
        <v>245434.17834540905</v>
      </c>
      <c r="AT141" s="809">
        <f t="shared" si="89"/>
        <v>202600.3163150296</v>
      </c>
      <c r="AU141" s="809">
        <f t="shared" si="89"/>
        <v>287185.03044584946</v>
      </c>
      <c r="AV141" s="809">
        <f t="shared" si="89"/>
        <v>400339.64412722638</v>
      </c>
      <c r="AW141" s="809">
        <f t="shared" si="89"/>
        <v>1028673.721765305</v>
      </c>
      <c r="AX141" s="809">
        <f t="shared" si="89"/>
        <v>11180.646358987204</v>
      </c>
      <c r="AY141" s="809">
        <f t="shared" si="89"/>
        <v>1795034.1371678491</v>
      </c>
      <c r="AZ141" s="809">
        <f t="shared" si="89"/>
        <v>61757.477364268372</v>
      </c>
      <c r="BA141" s="809">
        <f t="shared" si="89"/>
        <v>1068894.0044071903</v>
      </c>
      <c r="BB141" s="809">
        <f t="shared" si="89"/>
        <v>3919724.4484418882</v>
      </c>
      <c r="BC141" s="808">
        <f t="shared" si="89"/>
        <v>7779614.8019687589</v>
      </c>
      <c r="BD141" s="809">
        <f t="shared" si="89"/>
        <v>1267458.8286903254</v>
      </c>
      <c r="BE141" s="809">
        <f t="shared" si="89"/>
        <v>1155923.020715947</v>
      </c>
      <c r="BF141" s="809">
        <f t="shared" si="89"/>
        <v>707729.19513366255</v>
      </c>
      <c r="BG141" s="809">
        <f t="shared" si="89"/>
        <v>1307987.1182438063</v>
      </c>
      <c r="BH141" s="809">
        <f t="shared" si="89"/>
        <v>1024615.6956282982</v>
      </c>
      <c r="BI141" s="809">
        <f t="shared" si="89"/>
        <v>746071.36260111793</v>
      </c>
      <c r="BJ141" s="809">
        <f t="shared" si="89"/>
        <v>420801.87790683168</v>
      </c>
      <c r="BK141" s="809">
        <f t="shared" si="89"/>
        <v>1149027.7030487694</v>
      </c>
      <c r="BL141" s="809">
        <f t="shared" si="89"/>
        <v>21655727.461784862</v>
      </c>
      <c r="BM141" s="799">
        <f>BL141-E62</f>
        <v>0</v>
      </c>
      <c r="BN141" s="810" t="s">
        <v>118</v>
      </c>
    </row>
    <row r="142" spans="1:73" x14ac:dyDescent="0.25">
      <c r="E142" s="802"/>
      <c r="F142" s="71"/>
      <c r="G142" s="71"/>
      <c r="H142" s="636"/>
      <c r="I142" s="635"/>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635"/>
      <c r="BD142" s="71"/>
      <c r="BE142" s="71"/>
      <c r="BF142" s="71"/>
      <c r="BG142" s="71"/>
      <c r="BH142" s="71"/>
      <c r="BI142" s="71"/>
      <c r="BJ142" s="71"/>
      <c r="BK142" s="71"/>
      <c r="BL142" s="811">
        <f>BL141-E62</f>
        <v>0</v>
      </c>
      <c r="BM142" s="795"/>
      <c r="BN142" s="214"/>
    </row>
    <row r="143" spans="1:73" x14ac:dyDescent="0.25">
      <c r="E143" s="802"/>
      <c r="F143" s="794" t="s">
        <v>906</v>
      </c>
      <c r="G143" s="71"/>
      <c r="H143" s="636"/>
      <c r="I143" s="635"/>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635"/>
      <c r="BD143" s="71"/>
      <c r="BE143" s="71"/>
      <c r="BF143" s="71"/>
      <c r="BG143" s="71"/>
      <c r="BH143" s="71"/>
      <c r="BI143" s="71"/>
      <c r="BJ143" s="71"/>
      <c r="BK143" s="71"/>
      <c r="BL143" s="71"/>
      <c r="BM143" s="795"/>
      <c r="BN143" s="214"/>
    </row>
    <row r="144" spans="1:73" x14ac:dyDescent="0.25">
      <c r="E144" s="802"/>
      <c r="F144" s="797" t="s">
        <v>899</v>
      </c>
      <c r="G144" s="797"/>
      <c r="H144" s="798">
        <f t="shared" ref="H144:BL144" si="90">H69+H71+H72+H73+H75+H76+H77+H79+H80+H81+H83+H84+H90+H91</f>
        <v>132835.08270087352</v>
      </c>
      <c r="I144" s="798">
        <f t="shared" si="90"/>
        <v>4529147.5226423694</v>
      </c>
      <c r="J144" s="695">
        <f t="shared" si="90"/>
        <v>28896.189421621097</v>
      </c>
      <c r="K144" s="695">
        <f t="shared" si="90"/>
        <v>8573.4502178165712</v>
      </c>
      <c r="L144" s="695">
        <f t="shared" si="90"/>
        <v>9003.4228904656502</v>
      </c>
      <c r="M144" s="695">
        <f t="shared" si="90"/>
        <v>8602.8997495935873</v>
      </c>
      <c r="N144" s="695">
        <f t="shared" si="90"/>
        <v>15062.929681308406</v>
      </c>
      <c r="O144" s="695">
        <f t="shared" si="90"/>
        <v>34484.364169428751</v>
      </c>
      <c r="P144" s="695">
        <f t="shared" si="90"/>
        <v>4171.3506221642092</v>
      </c>
      <c r="Q144" s="695">
        <f t="shared" si="90"/>
        <v>11044.15196773712</v>
      </c>
      <c r="R144" s="695">
        <f t="shared" si="90"/>
        <v>9445.9520611769094</v>
      </c>
      <c r="S144" s="695">
        <f t="shared" si="90"/>
        <v>9717.8801297905648</v>
      </c>
      <c r="T144" s="695">
        <f t="shared" si="90"/>
        <v>35198.171155509815</v>
      </c>
      <c r="U144" s="695">
        <f t="shared" si="90"/>
        <v>28102.187195565817</v>
      </c>
      <c r="V144" s="695">
        <f t="shared" si="90"/>
        <v>22302.645737652179</v>
      </c>
      <c r="W144" s="695">
        <f t="shared" si="90"/>
        <v>35763.743168906927</v>
      </c>
      <c r="X144" s="695">
        <f t="shared" si="90"/>
        <v>884.47317151295556</v>
      </c>
      <c r="Y144" s="695">
        <f t="shared" si="90"/>
        <v>697.82713209453652</v>
      </c>
      <c r="Z144" s="695">
        <f t="shared" si="90"/>
        <v>3374.9470179086679</v>
      </c>
      <c r="AA144" s="695">
        <f t="shared" si="90"/>
        <v>3085.0633670469183</v>
      </c>
      <c r="AB144" s="695">
        <f t="shared" si="90"/>
        <v>1856.1483194122616</v>
      </c>
      <c r="AC144" s="695">
        <f t="shared" si="90"/>
        <v>1897.8312590328819</v>
      </c>
      <c r="AD144" s="695">
        <f t="shared" si="90"/>
        <v>10763.547624481535</v>
      </c>
      <c r="AE144" s="695">
        <f t="shared" si="90"/>
        <v>4317.9884679688894</v>
      </c>
      <c r="AF144" s="695">
        <f t="shared" si="90"/>
        <v>11233.782731654583</v>
      </c>
      <c r="AG144" s="695">
        <f t="shared" si="90"/>
        <v>34880.588062109884</v>
      </c>
      <c r="AH144" s="695">
        <f t="shared" si="90"/>
        <v>285867.1948359824</v>
      </c>
      <c r="AI144" s="695">
        <f t="shared" si="90"/>
        <v>1984.4361880351498</v>
      </c>
      <c r="AJ144" s="695">
        <f t="shared" si="90"/>
        <v>42100.941086272011</v>
      </c>
      <c r="AK144" s="695">
        <f t="shared" si="90"/>
        <v>36204.506134542484</v>
      </c>
      <c r="AL144" s="695">
        <f t="shared" si="90"/>
        <v>0</v>
      </c>
      <c r="AM144" s="695">
        <f t="shared" si="90"/>
        <v>4418.731087834467</v>
      </c>
      <c r="AN144" s="695">
        <f t="shared" si="90"/>
        <v>7470.8969304410512</v>
      </c>
      <c r="AO144" s="695">
        <f t="shared" si="90"/>
        <v>44019.237471115986</v>
      </c>
      <c r="AP144" s="695">
        <f t="shared" si="90"/>
        <v>6667.7270086491199</v>
      </c>
      <c r="AQ144" s="695">
        <f t="shared" si="90"/>
        <v>41828.638364763494</v>
      </c>
      <c r="AR144" s="695">
        <f t="shared" si="90"/>
        <v>126.52062927965558</v>
      </c>
      <c r="AS144" s="695">
        <f t="shared" si="90"/>
        <v>61648.616647298331</v>
      </c>
      <c r="AT144" s="695">
        <f t="shared" si="90"/>
        <v>51138.766167853028</v>
      </c>
      <c r="AU144" s="695">
        <f t="shared" si="90"/>
        <v>71509.04953196703</v>
      </c>
      <c r="AV144" s="695">
        <f t="shared" si="90"/>
        <v>100495.82000125115</v>
      </c>
      <c r="AW144" s="695">
        <f t="shared" si="90"/>
        <v>257393.14346213176</v>
      </c>
      <c r="AX144" s="695">
        <f t="shared" si="90"/>
        <v>2683.9897573595126</v>
      </c>
      <c r="AY144" s="695">
        <f t="shared" si="90"/>
        <v>865023.63382742053</v>
      </c>
      <c r="AZ144" s="695">
        <f t="shared" si="90"/>
        <v>29090.882017799355</v>
      </c>
      <c r="BA144" s="695">
        <f t="shared" si="90"/>
        <v>524551.99234466359</v>
      </c>
      <c r="BB144" s="695">
        <f t="shared" si="90"/>
        <v>1761561.2638257486</v>
      </c>
      <c r="BC144" s="798">
        <f t="shared" si="90"/>
        <v>7693894.3069869317</v>
      </c>
      <c r="BD144" s="695">
        <f t="shared" si="90"/>
        <v>1253691.1877390167</v>
      </c>
      <c r="BE144" s="695">
        <f t="shared" si="90"/>
        <v>1143366.925988188</v>
      </c>
      <c r="BF144" s="695">
        <f t="shared" si="90"/>
        <v>700041.55966275139</v>
      </c>
      <c r="BG144" s="695">
        <f t="shared" si="90"/>
        <v>1293779.2429225026</v>
      </c>
      <c r="BH144" s="695">
        <f t="shared" si="90"/>
        <v>1013485.9131918444</v>
      </c>
      <c r="BI144" s="695">
        <f t="shared" si="90"/>
        <v>737967.23928615416</v>
      </c>
      <c r="BJ144" s="695">
        <f t="shared" si="90"/>
        <v>416230.96085965296</v>
      </c>
      <c r="BK144" s="695">
        <f t="shared" si="90"/>
        <v>1135331.277336821</v>
      </c>
      <c r="BL144" s="695">
        <f t="shared" si="90"/>
        <v>12355876.912330173</v>
      </c>
      <c r="BM144" s="799"/>
      <c r="BN144" s="800"/>
    </row>
    <row r="145" spans="5:66" x14ac:dyDescent="0.25">
      <c r="E145" s="796"/>
      <c r="F145" s="801" t="s">
        <v>900</v>
      </c>
      <c r="G145" s="801"/>
      <c r="H145" s="798">
        <f t="shared" ref="H145:I145" si="91">+H107</f>
        <v>0</v>
      </c>
      <c r="I145" s="798">
        <f t="shared" si="91"/>
        <v>134563.7681123011</v>
      </c>
      <c r="J145" s="695">
        <f>+J107</f>
        <v>3459.3256040010037</v>
      </c>
      <c r="K145" s="695">
        <f t="shared" ref="K145:BL145" si="92">+K107</f>
        <v>881.36505399414239</v>
      </c>
      <c r="L145" s="695">
        <f t="shared" si="92"/>
        <v>839.88149435215598</v>
      </c>
      <c r="M145" s="695">
        <f t="shared" si="92"/>
        <v>1177.8870494027142</v>
      </c>
      <c r="N145" s="695">
        <f t="shared" si="92"/>
        <v>1596.0649330545359</v>
      </c>
      <c r="O145" s="695">
        <f t="shared" si="92"/>
        <v>4643.7985306273376</v>
      </c>
      <c r="P145" s="695">
        <f t="shared" si="92"/>
        <v>590.08197959405061</v>
      </c>
      <c r="Q145" s="695">
        <f t="shared" si="92"/>
        <v>1669.0410976346957</v>
      </c>
      <c r="R145" s="695">
        <f t="shared" si="92"/>
        <v>1456.4856012862385</v>
      </c>
      <c r="S145" s="695">
        <f t="shared" si="92"/>
        <v>1473.9367929708555</v>
      </c>
      <c r="T145" s="695">
        <f t="shared" si="92"/>
        <v>5495.0203921775137</v>
      </c>
      <c r="U145" s="695">
        <f t="shared" si="92"/>
        <v>4337.4032545795608</v>
      </c>
      <c r="V145" s="695">
        <f t="shared" si="92"/>
        <v>2216.95356875369</v>
      </c>
      <c r="W145" s="695">
        <f t="shared" si="92"/>
        <v>3637.6964118533424</v>
      </c>
      <c r="X145" s="695">
        <f t="shared" si="92"/>
        <v>129.17702642725669</v>
      </c>
      <c r="Y145" s="695">
        <f t="shared" si="92"/>
        <v>90.732606658713323</v>
      </c>
      <c r="Z145" s="695">
        <f t="shared" si="92"/>
        <v>376.42376988382205</v>
      </c>
      <c r="AA145" s="695">
        <f t="shared" si="92"/>
        <v>329.70899034831012</v>
      </c>
      <c r="AB145" s="695">
        <f t="shared" si="92"/>
        <v>191.00316213431026</v>
      </c>
      <c r="AC145" s="695">
        <f t="shared" si="92"/>
        <v>243.22687593651423</v>
      </c>
      <c r="AD145" s="695">
        <f t="shared" si="92"/>
        <v>1711.707727128324</v>
      </c>
      <c r="AE145" s="695">
        <f t="shared" si="92"/>
        <v>618.97724538048567</v>
      </c>
      <c r="AF145" s="695">
        <f t="shared" si="92"/>
        <v>1239.668630106655</v>
      </c>
      <c r="AG145" s="695">
        <f t="shared" si="92"/>
        <v>2395.4741137885235</v>
      </c>
      <c r="AH145" s="695">
        <f t="shared" si="92"/>
        <v>33034.415716982548</v>
      </c>
      <c r="AI145" s="695">
        <f t="shared" si="92"/>
        <v>332.87087438153662</v>
      </c>
      <c r="AJ145" s="695">
        <f t="shared" si="92"/>
        <v>5794.9819772395585</v>
      </c>
      <c r="AK145" s="695">
        <f t="shared" si="92"/>
        <v>4628.9771404900093</v>
      </c>
      <c r="AL145" s="695">
        <f t="shared" si="92"/>
        <v>0</v>
      </c>
      <c r="AM145" s="695">
        <f t="shared" si="92"/>
        <v>500.34743542263175</v>
      </c>
      <c r="AN145" s="695">
        <f t="shared" si="92"/>
        <v>630.76716349295839</v>
      </c>
      <c r="AO145" s="695">
        <f t="shared" si="92"/>
        <v>5773.6431402580702</v>
      </c>
      <c r="AP145" s="695">
        <f t="shared" si="92"/>
        <v>809.97166851718316</v>
      </c>
      <c r="AQ145" s="695">
        <f t="shared" si="92"/>
        <v>2934.23721110112</v>
      </c>
      <c r="AR145" s="695">
        <f t="shared" si="92"/>
        <v>11.86766212253033</v>
      </c>
      <c r="AS145" s="695">
        <f t="shared" si="92"/>
        <v>4372.5882240829687</v>
      </c>
      <c r="AT145" s="695">
        <f t="shared" si="92"/>
        <v>3520.443539710082</v>
      </c>
      <c r="AU145" s="695">
        <f t="shared" si="92"/>
        <v>5308.3132174175125</v>
      </c>
      <c r="AV145" s="695">
        <f t="shared" si="92"/>
        <v>7181.916201811694</v>
      </c>
      <c r="AW145" s="695">
        <f t="shared" si="92"/>
        <v>18675.626213143063</v>
      </c>
      <c r="AX145" s="695">
        <f t="shared" si="92"/>
        <v>251.75881405291693</v>
      </c>
      <c r="AY145" s="695">
        <f t="shared" si="92"/>
        <v>0</v>
      </c>
      <c r="AZ145" s="695">
        <f t="shared" si="92"/>
        <v>0</v>
      </c>
      <c r="BA145" s="695">
        <f t="shared" si="92"/>
        <v>0</v>
      </c>
      <c r="BB145" s="695">
        <f t="shared" si="92"/>
        <v>0</v>
      </c>
      <c r="BC145" s="798">
        <f t="shared" si="92"/>
        <v>0</v>
      </c>
      <c r="BD145" s="695">
        <f t="shared" si="92"/>
        <v>0</v>
      </c>
      <c r="BE145" s="695">
        <f t="shared" si="92"/>
        <v>0</v>
      </c>
      <c r="BF145" s="695">
        <f t="shared" si="92"/>
        <v>0</v>
      </c>
      <c r="BG145" s="695">
        <f t="shared" si="92"/>
        <v>0</v>
      </c>
      <c r="BH145" s="695">
        <f t="shared" si="92"/>
        <v>0</v>
      </c>
      <c r="BI145" s="695">
        <f t="shared" si="92"/>
        <v>0</v>
      </c>
      <c r="BJ145" s="695">
        <f t="shared" si="92"/>
        <v>0</v>
      </c>
      <c r="BK145" s="695">
        <f t="shared" si="92"/>
        <v>0</v>
      </c>
      <c r="BL145" s="695">
        <f t="shared" si="92"/>
        <v>134563.7681123011</v>
      </c>
      <c r="BM145" s="795"/>
      <c r="BN145" s="214"/>
    </row>
    <row r="146" spans="5:66" ht="15.75" thickBot="1" x14ac:dyDescent="0.3">
      <c r="E146" s="802"/>
      <c r="F146" s="803" t="s">
        <v>901</v>
      </c>
      <c r="G146" s="803"/>
      <c r="H146" s="798">
        <f>+H119+H120+H121</f>
        <v>0</v>
      </c>
      <c r="I146" s="798">
        <f>+I119+I120+I121</f>
        <v>3906013.9444836178</v>
      </c>
      <c r="J146" s="695">
        <f>+J119+J120+J121</f>
        <v>30947.61662000568</v>
      </c>
      <c r="K146" s="695">
        <f t="shared" ref="K146:BL146" si="93">+K119+K120+K121</f>
        <v>8574.2585627733843</v>
      </c>
      <c r="L146" s="695">
        <f t="shared" si="93"/>
        <v>8645.1015321628747</v>
      </c>
      <c r="M146" s="695">
        <f t="shared" si="93"/>
        <v>9833.9603145517176</v>
      </c>
      <c r="N146" s="695">
        <f t="shared" si="93"/>
        <v>15263.752561895479</v>
      </c>
      <c r="O146" s="695">
        <f t="shared" si="93"/>
        <v>37271.723774666141</v>
      </c>
      <c r="P146" s="695">
        <f t="shared" si="93"/>
        <v>4595.5212616871613</v>
      </c>
      <c r="Q146" s="695">
        <f t="shared" si="93"/>
        <v>12494.707393249273</v>
      </c>
      <c r="R146" s="695">
        <f t="shared" si="93"/>
        <v>10775.501409435916</v>
      </c>
      <c r="S146" s="695">
        <f t="shared" si="93"/>
        <v>11010.590133521317</v>
      </c>
      <c r="T146" s="695">
        <f t="shared" si="93"/>
        <v>40360.367950909524</v>
      </c>
      <c r="U146" s="695">
        <f t="shared" si="93"/>
        <v>32070.81205654487</v>
      </c>
      <c r="V146" s="695">
        <f t="shared" si="93"/>
        <v>24445.757366513135</v>
      </c>
      <c r="W146" s="695">
        <f t="shared" si="93"/>
        <v>39727.224732944262</v>
      </c>
      <c r="X146" s="695">
        <f t="shared" si="93"/>
        <v>940.01351537604387</v>
      </c>
      <c r="Y146" s="695">
        <f t="shared" si="93"/>
        <v>704.92605342611523</v>
      </c>
      <c r="Z146" s="695">
        <f t="shared" si="93"/>
        <v>3204.439271200833</v>
      </c>
      <c r="AA146" s="695">
        <f t="shared" si="93"/>
        <v>2881.9810549818326</v>
      </c>
      <c r="AB146" s="695">
        <f t="shared" si="93"/>
        <v>1709.7713164017528</v>
      </c>
      <c r="AC146" s="695">
        <f t="shared" si="93"/>
        <v>1905.5410974507513</v>
      </c>
      <c r="AD146" s="695">
        <f t="shared" si="93"/>
        <v>11898.076930275247</v>
      </c>
      <c r="AE146" s="695">
        <f t="shared" si="93"/>
        <v>4550.8429322320917</v>
      </c>
      <c r="AF146" s="695">
        <f t="shared" si="93"/>
        <v>12093.191829993621</v>
      </c>
      <c r="AG146" s="695">
        <f t="shared" si="93"/>
        <v>41227.701596322251</v>
      </c>
      <c r="AH146" s="695">
        <f t="shared" si="93"/>
        <v>285596.7171967827</v>
      </c>
      <c r="AI146" s="695">
        <f t="shared" si="93"/>
        <v>2250.3686957493946</v>
      </c>
      <c r="AJ146" s="695">
        <f t="shared" si="93"/>
        <v>48786.124205123429</v>
      </c>
      <c r="AK146" s="695">
        <f t="shared" si="93"/>
        <v>40884.930795048102</v>
      </c>
      <c r="AL146" s="695">
        <f t="shared" si="93"/>
        <v>0</v>
      </c>
      <c r="AM146" s="695">
        <f t="shared" si="93"/>
        <v>4220.131084363994</v>
      </c>
      <c r="AN146" s="695">
        <f t="shared" si="93"/>
        <v>7458.562636176368</v>
      </c>
      <c r="AO146" s="695">
        <f t="shared" si="93"/>
        <v>50148.61294909237</v>
      </c>
      <c r="AP146" s="695">
        <f t="shared" si="93"/>
        <v>7401.4584056108961</v>
      </c>
      <c r="AQ146" s="695">
        <f t="shared" si="93"/>
        <v>48585.579297365315</v>
      </c>
      <c r="AR146" s="695">
        <f t="shared" si="93"/>
        <v>112.76202344307407</v>
      </c>
      <c r="AS146" s="695">
        <f t="shared" si="93"/>
        <v>71106.051742589218</v>
      </c>
      <c r="AT146" s="695">
        <f t="shared" si="93"/>
        <v>60098.908962783244</v>
      </c>
      <c r="AU146" s="695">
        <f t="shared" si="93"/>
        <v>80253.288630290554</v>
      </c>
      <c r="AV146" s="695">
        <f t="shared" si="93"/>
        <v>115139.80749214182</v>
      </c>
      <c r="AW146" s="695">
        <f t="shared" si="93"/>
        <v>292535.34513508412</v>
      </c>
      <c r="AX146" s="695">
        <f t="shared" si="93"/>
        <v>2392.1167454152883</v>
      </c>
      <c r="AY146" s="695">
        <f t="shared" si="93"/>
        <v>645910.05287408305</v>
      </c>
      <c r="AZ146" s="695">
        <f t="shared" si="93"/>
        <v>21346.369006668981</v>
      </c>
      <c r="BA146" s="695">
        <f t="shared" si="93"/>
        <v>373641.44679975515</v>
      </c>
      <c r="BB146" s="695">
        <f t="shared" si="93"/>
        <v>1381011.9285375294</v>
      </c>
      <c r="BC146" s="798">
        <f t="shared" si="93"/>
        <v>0</v>
      </c>
      <c r="BD146" s="695">
        <f t="shared" si="93"/>
        <v>0</v>
      </c>
      <c r="BE146" s="695">
        <f t="shared" si="93"/>
        <v>0</v>
      </c>
      <c r="BF146" s="695">
        <f t="shared" si="93"/>
        <v>0</v>
      </c>
      <c r="BG146" s="695">
        <f t="shared" si="93"/>
        <v>0</v>
      </c>
      <c r="BH146" s="695">
        <f t="shared" si="93"/>
        <v>0</v>
      </c>
      <c r="BI146" s="695">
        <f t="shared" si="93"/>
        <v>0</v>
      </c>
      <c r="BJ146" s="695">
        <f t="shared" si="93"/>
        <v>0</v>
      </c>
      <c r="BK146" s="695">
        <f t="shared" si="93"/>
        <v>0</v>
      </c>
      <c r="BL146" s="695">
        <f t="shared" si="93"/>
        <v>3906013.9444836178</v>
      </c>
      <c r="BM146" s="795"/>
      <c r="BN146" s="214"/>
    </row>
    <row r="147" spans="5:66" x14ac:dyDescent="0.25">
      <c r="E147" s="802"/>
      <c r="F147" s="804" t="s">
        <v>902</v>
      </c>
      <c r="G147" s="804"/>
      <c r="H147" s="798">
        <f t="shared" ref="H147:BL147" si="94">H70+H74+H78+H82</f>
        <v>0</v>
      </c>
      <c r="I147" s="798">
        <f t="shared" si="94"/>
        <v>451303.6353322512</v>
      </c>
      <c r="J147" s="695">
        <f t="shared" si="94"/>
        <v>2167.1626355916464</v>
      </c>
      <c r="K147" s="695">
        <f t="shared" si="94"/>
        <v>639.32490196126128</v>
      </c>
      <c r="L147" s="695">
        <f t="shared" si="94"/>
        <v>669.22038460444924</v>
      </c>
      <c r="M147" s="695">
        <f t="shared" si="94"/>
        <v>648.94594133869441</v>
      </c>
      <c r="N147" s="695">
        <f t="shared" si="94"/>
        <v>1124.4509075329202</v>
      </c>
      <c r="O147" s="695">
        <f t="shared" si="94"/>
        <v>2588.1200264784111</v>
      </c>
      <c r="P147" s="695">
        <f t="shared" si="94"/>
        <v>313.58986161312879</v>
      </c>
      <c r="Q147" s="695">
        <f t="shared" si="94"/>
        <v>832.23078896575953</v>
      </c>
      <c r="R147" s="695">
        <f t="shared" si="94"/>
        <v>712.33173875855357</v>
      </c>
      <c r="S147" s="695">
        <f t="shared" si="94"/>
        <v>732.38776713975562</v>
      </c>
      <c r="T147" s="695">
        <f t="shared" si="94"/>
        <v>2655.5875472749312</v>
      </c>
      <c r="U147" s="695">
        <f t="shared" si="94"/>
        <v>2119.3019491377581</v>
      </c>
      <c r="V147" s="695">
        <f t="shared" si="94"/>
        <v>1676.2975993882196</v>
      </c>
      <c r="W147" s="695">
        <f t="shared" si="94"/>
        <v>2691.2511447073698</v>
      </c>
      <c r="X147" s="695">
        <f t="shared" si="94"/>
        <v>66.279033975862191</v>
      </c>
      <c r="Y147" s="695">
        <f t="shared" si="94"/>
        <v>52.071947017295656</v>
      </c>
      <c r="Z147" s="695">
        <f t="shared" si="94"/>
        <v>250.60868676269979</v>
      </c>
      <c r="AA147" s="695">
        <f t="shared" si="94"/>
        <v>228.79960080392232</v>
      </c>
      <c r="AB147" s="695">
        <f t="shared" si="94"/>
        <v>137.51346603493494</v>
      </c>
      <c r="AC147" s="695">
        <f t="shared" si="94"/>
        <v>141.54675417342025</v>
      </c>
      <c r="AD147" s="695">
        <f t="shared" si="94"/>
        <v>809.33362562199068</v>
      </c>
      <c r="AE147" s="695">
        <f t="shared" si="94"/>
        <v>323.34353990345744</v>
      </c>
      <c r="AF147" s="695">
        <f t="shared" si="94"/>
        <v>842.94045343789037</v>
      </c>
      <c r="AG147" s="695">
        <f t="shared" si="94"/>
        <v>2640.5444705418654</v>
      </c>
      <c r="AH147" s="695">
        <f t="shared" si="94"/>
        <v>21313.761147328514</v>
      </c>
      <c r="AI147" s="695">
        <f t="shared" si="94"/>
        <v>149.5548240112841</v>
      </c>
      <c r="AJ147" s="695">
        <f t="shared" si="94"/>
        <v>3179.8603420782706</v>
      </c>
      <c r="AK147" s="695">
        <f t="shared" si="94"/>
        <v>2728.10155508037</v>
      </c>
      <c r="AL147" s="695">
        <f t="shared" si="94"/>
        <v>0</v>
      </c>
      <c r="AM147" s="695">
        <f t="shared" si="94"/>
        <v>328.26348688440447</v>
      </c>
      <c r="AN147" s="695">
        <f t="shared" si="94"/>
        <v>557.08803693656841</v>
      </c>
      <c r="AO147" s="695">
        <f t="shared" si="94"/>
        <v>3319.5908819725764</v>
      </c>
      <c r="AP147" s="695">
        <f t="shared" si="94"/>
        <v>501.66141750792741</v>
      </c>
      <c r="AQ147" s="695">
        <f t="shared" si="94"/>
        <v>3161.2535813306627</v>
      </c>
      <c r="AR147" s="695">
        <f t="shared" si="94"/>
        <v>9.3506203160965029</v>
      </c>
      <c r="AS147" s="695">
        <f t="shared" si="94"/>
        <v>4656.0748164027673</v>
      </c>
      <c r="AT147" s="695">
        <f t="shared" si="94"/>
        <v>3869.2026114460109</v>
      </c>
      <c r="AU147" s="695">
        <f t="shared" si="94"/>
        <v>5387.0193832801633</v>
      </c>
      <c r="AV147" s="695">
        <f t="shared" si="94"/>
        <v>7585.2787004691245</v>
      </c>
      <c r="AW147" s="695">
        <f t="shared" si="94"/>
        <v>19413.015423388788</v>
      </c>
      <c r="AX147" s="695">
        <f t="shared" si="94"/>
        <v>198.3626646203881</v>
      </c>
      <c r="AY147" s="695">
        <f t="shared" si="94"/>
        <v>91400.337756727662</v>
      </c>
      <c r="AZ147" s="695">
        <f t="shared" si="94"/>
        <v>4752.2820451561556</v>
      </c>
      <c r="BA147" s="695">
        <f t="shared" si="94"/>
        <v>58888.710247998075</v>
      </c>
      <c r="BB147" s="695">
        <f t="shared" si="94"/>
        <v>194841.68101654918</v>
      </c>
      <c r="BC147" s="798">
        <f t="shared" si="94"/>
        <v>419818.15472053119</v>
      </c>
      <c r="BD147" s="695">
        <f t="shared" si="94"/>
        <v>67427.347686905734</v>
      </c>
      <c r="BE147" s="695">
        <f t="shared" si="94"/>
        <v>61493.771357961421</v>
      </c>
      <c r="BF147" s="695">
        <f t="shared" si="94"/>
        <v>37650.376823491104</v>
      </c>
      <c r="BG147" s="695">
        <f t="shared" si="94"/>
        <v>69583.405942227415</v>
      </c>
      <c r="BH147" s="695">
        <f t="shared" si="94"/>
        <v>54508.373124812475</v>
      </c>
      <c r="BI147" s="695">
        <f t="shared" si="94"/>
        <v>39690.135905503339</v>
      </c>
      <c r="BJ147" s="695">
        <f t="shared" si="94"/>
        <v>22386.174514437993</v>
      </c>
      <c r="BK147" s="695">
        <f t="shared" si="94"/>
        <v>67078.569365191681</v>
      </c>
      <c r="BL147" s="812">
        <f t="shared" si="94"/>
        <v>871121.79005278228</v>
      </c>
      <c r="BM147" s="795"/>
      <c r="BN147" s="214"/>
    </row>
    <row r="148" spans="5:66" x14ac:dyDescent="0.25">
      <c r="E148" s="802"/>
      <c r="F148" s="805" t="s">
        <v>903</v>
      </c>
      <c r="G148" s="805"/>
      <c r="H148" s="798">
        <f>H114</f>
        <v>0</v>
      </c>
      <c r="I148" s="798">
        <f>I114</f>
        <v>110758</v>
      </c>
      <c r="J148" s="695">
        <f t="shared" ref="J148:BL148" si="95">J114</f>
        <v>0</v>
      </c>
      <c r="K148" s="695">
        <f t="shared" si="95"/>
        <v>0</v>
      </c>
      <c r="L148" s="695">
        <f t="shared" si="95"/>
        <v>0</v>
      </c>
      <c r="M148" s="695">
        <f t="shared" si="95"/>
        <v>0</v>
      </c>
      <c r="N148" s="695">
        <f t="shared" si="95"/>
        <v>0</v>
      </c>
      <c r="O148" s="695">
        <f t="shared" si="95"/>
        <v>0</v>
      </c>
      <c r="P148" s="695">
        <f t="shared" si="95"/>
        <v>0</v>
      </c>
      <c r="Q148" s="695">
        <f t="shared" si="95"/>
        <v>0</v>
      </c>
      <c r="R148" s="695">
        <f t="shared" si="95"/>
        <v>0</v>
      </c>
      <c r="S148" s="695">
        <f t="shared" si="95"/>
        <v>0</v>
      </c>
      <c r="T148" s="695">
        <f t="shared" si="95"/>
        <v>0</v>
      </c>
      <c r="U148" s="695">
        <f t="shared" si="95"/>
        <v>0</v>
      </c>
      <c r="V148" s="695">
        <f t="shared" si="95"/>
        <v>0</v>
      </c>
      <c r="W148" s="695">
        <f t="shared" si="95"/>
        <v>0</v>
      </c>
      <c r="X148" s="695">
        <f t="shared" si="95"/>
        <v>0</v>
      </c>
      <c r="Y148" s="695">
        <f t="shared" si="95"/>
        <v>0</v>
      </c>
      <c r="Z148" s="695">
        <f t="shared" si="95"/>
        <v>0</v>
      </c>
      <c r="AA148" s="695">
        <f t="shared" si="95"/>
        <v>0</v>
      </c>
      <c r="AB148" s="695">
        <f t="shared" si="95"/>
        <v>0</v>
      </c>
      <c r="AC148" s="695">
        <f t="shared" si="95"/>
        <v>0</v>
      </c>
      <c r="AD148" s="695">
        <f t="shared" si="95"/>
        <v>0</v>
      </c>
      <c r="AE148" s="695">
        <f t="shared" si="95"/>
        <v>0</v>
      </c>
      <c r="AF148" s="695">
        <f t="shared" si="95"/>
        <v>0</v>
      </c>
      <c r="AG148" s="695">
        <f t="shared" si="95"/>
        <v>0</v>
      </c>
      <c r="AH148" s="695">
        <f t="shared" si="95"/>
        <v>0</v>
      </c>
      <c r="AI148" s="695">
        <f t="shared" si="95"/>
        <v>0</v>
      </c>
      <c r="AJ148" s="695">
        <f t="shared" si="95"/>
        <v>0</v>
      </c>
      <c r="AK148" s="695">
        <f t="shared" si="95"/>
        <v>0</v>
      </c>
      <c r="AL148" s="695">
        <f t="shared" si="95"/>
        <v>0</v>
      </c>
      <c r="AM148" s="695">
        <f t="shared" si="95"/>
        <v>0</v>
      </c>
      <c r="AN148" s="695">
        <f t="shared" si="95"/>
        <v>0</v>
      </c>
      <c r="AO148" s="695">
        <f t="shared" si="95"/>
        <v>0</v>
      </c>
      <c r="AP148" s="695">
        <f t="shared" si="95"/>
        <v>0</v>
      </c>
      <c r="AQ148" s="695">
        <f t="shared" si="95"/>
        <v>0</v>
      </c>
      <c r="AR148" s="695">
        <f t="shared" si="95"/>
        <v>0</v>
      </c>
      <c r="AS148" s="695">
        <f t="shared" si="95"/>
        <v>0</v>
      </c>
      <c r="AT148" s="695">
        <f t="shared" si="95"/>
        <v>0</v>
      </c>
      <c r="AU148" s="695">
        <f t="shared" si="95"/>
        <v>0</v>
      </c>
      <c r="AV148" s="695">
        <f t="shared" si="95"/>
        <v>0</v>
      </c>
      <c r="AW148" s="695">
        <f t="shared" si="95"/>
        <v>0</v>
      </c>
      <c r="AX148" s="695">
        <f t="shared" si="95"/>
        <v>0</v>
      </c>
      <c r="AY148" s="695">
        <f>AY114</f>
        <v>28402.423647378499</v>
      </c>
      <c r="AZ148" s="695">
        <f t="shared" si="95"/>
        <v>1159.6842519688196</v>
      </c>
      <c r="BA148" s="695">
        <f t="shared" si="95"/>
        <v>17804.148565767387</v>
      </c>
      <c r="BB148" s="695">
        <f t="shared" si="95"/>
        <v>63391.743534885296</v>
      </c>
      <c r="BC148" s="798">
        <f t="shared" si="95"/>
        <v>0</v>
      </c>
      <c r="BD148" s="695">
        <f t="shared" si="95"/>
        <v>0</v>
      </c>
      <c r="BE148" s="695">
        <f t="shared" si="95"/>
        <v>0</v>
      </c>
      <c r="BF148" s="695">
        <f t="shared" si="95"/>
        <v>0</v>
      </c>
      <c r="BG148" s="695">
        <f t="shared" si="95"/>
        <v>0</v>
      </c>
      <c r="BH148" s="695">
        <f t="shared" si="95"/>
        <v>0</v>
      </c>
      <c r="BI148" s="695">
        <f t="shared" si="95"/>
        <v>0</v>
      </c>
      <c r="BJ148" s="695">
        <f t="shared" si="95"/>
        <v>0</v>
      </c>
      <c r="BK148" s="695">
        <f t="shared" si="95"/>
        <v>0</v>
      </c>
      <c r="BL148" s="813">
        <f t="shared" si="95"/>
        <v>110758</v>
      </c>
      <c r="BM148" s="795"/>
      <c r="BN148" s="214"/>
    </row>
    <row r="149" spans="5:66" x14ac:dyDescent="0.25">
      <c r="E149" s="796"/>
      <c r="F149" s="806" t="s">
        <v>904</v>
      </c>
      <c r="G149" s="806"/>
      <c r="H149" s="798">
        <f t="shared" ref="H149" si="96">H109+H110+H112</f>
        <v>0</v>
      </c>
      <c r="I149" s="798">
        <f>+I102+I103+I104+I109+I110+I112</f>
        <v>4724505.4959499659</v>
      </c>
      <c r="J149" s="695">
        <f>+J102+J103+J104+J109+J110+J112</f>
        <v>77063.410378105153</v>
      </c>
      <c r="K149" s="695">
        <f t="shared" ref="K149:BL149" si="97">+K102+K103+K104+K109+K110+K112</f>
        <v>19719.713030841893</v>
      </c>
      <c r="L149" s="695">
        <f t="shared" si="97"/>
        <v>18850.418391448999</v>
      </c>
      <c r="M149" s="695">
        <f t="shared" si="97"/>
        <v>26152.499730545176</v>
      </c>
      <c r="N149" s="695">
        <f t="shared" si="97"/>
        <v>35677.771557303415</v>
      </c>
      <c r="O149" s="695">
        <f t="shared" si="97"/>
        <v>102759.82466734588</v>
      </c>
      <c r="P149" s="695">
        <f t="shared" si="97"/>
        <v>13038.310487582337</v>
      </c>
      <c r="Q149" s="695">
        <f t="shared" si="97"/>
        <v>36809.718497653979</v>
      </c>
      <c r="R149" s="695">
        <f t="shared" si="97"/>
        <v>32104.395944437285</v>
      </c>
      <c r="S149" s="695">
        <f t="shared" si="97"/>
        <v>32503.583102410015</v>
      </c>
      <c r="T149" s="695">
        <f t="shared" si="97"/>
        <v>121083.07847029719</v>
      </c>
      <c r="U149" s="695">
        <f t="shared" si="97"/>
        <v>95604.109755487938</v>
      </c>
      <c r="V149" s="695">
        <f t="shared" si="97"/>
        <v>50175.362965936773</v>
      </c>
      <c r="W149" s="695">
        <f t="shared" si="97"/>
        <v>82290.488732921251</v>
      </c>
      <c r="X149" s="695">
        <f t="shared" si="97"/>
        <v>2841.710868954789</v>
      </c>
      <c r="Y149" s="695">
        <f t="shared" si="97"/>
        <v>2001.6256154022783</v>
      </c>
      <c r="Z149" s="695">
        <f t="shared" si="97"/>
        <v>8339.4982409274235</v>
      </c>
      <c r="AA149" s="695">
        <f t="shared" si="97"/>
        <v>7314.0457799500819</v>
      </c>
      <c r="AB149" s="695">
        <f t="shared" si="97"/>
        <v>4242.1627387455701</v>
      </c>
      <c r="AC149" s="695">
        <f t="shared" si="97"/>
        <v>5367.7570215599408</v>
      </c>
      <c r="AD149" s="695">
        <f t="shared" si="97"/>
        <v>37584.727429074221</v>
      </c>
      <c r="AE149" s="695">
        <f t="shared" si="97"/>
        <v>13622.497720875363</v>
      </c>
      <c r="AF149" s="695">
        <f t="shared" si="97"/>
        <v>88278.359847811182</v>
      </c>
      <c r="AG149" s="695">
        <f t="shared" si="97"/>
        <v>56815.873278830855</v>
      </c>
      <c r="AH149" s="695">
        <f t="shared" si="97"/>
        <v>733306.32806703309</v>
      </c>
      <c r="AI149" s="695">
        <f t="shared" si="97"/>
        <v>7300.9907619727283</v>
      </c>
      <c r="AJ149" s="695">
        <f t="shared" si="97"/>
        <v>341724.20133437088</v>
      </c>
      <c r="AK149" s="695">
        <f t="shared" si="97"/>
        <v>290507.73167784297</v>
      </c>
      <c r="AL149" s="695">
        <f t="shared" si="97"/>
        <v>0</v>
      </c>
      <c r="AM149" s="695">
        <f t="shared" si="97"/>
        <v>11080.017452762231</v>
      </c>
      <c r="AN149" s="695">
        <f t="shared" si="97"/>
        <v>56874.368861895142</v>
      </c>
      <c r="AO149" s="695">
        <f t="shared" si="97"/>
        <v>354591.77309189842</v>
      </c>
      <c r="AP149" s="695">
        <f t="shared" si="97"/>
        <v>53099.463523714723</v>
      </c>
      <c r="AQ149" s="695">
        <f t="shared" si="97"/>
        <v>69233.369160106158</v>
      </c>
      <c r="AR149" s="695">
        <f t="shared" si="97"/>
        <v>264.40354073564788</v>
      </c>
      <c r="AS149" s="695">
        <f t="shared" si="97"/>
        <v>102930.85348613845</v>
      </c>
      <c r="AT149" s="695">
        <f t="shared" si="97"/>
        <v>83400.138189950405</v>
      </c>
      <c r="AU149" s="695">
        <f t="shared" si="97"/>
        <v>123838.26387927827</v>
      </c>
      <c r="AV149" s="695">
        <f t="shared" si="97"/>
        <v>168750.71822671808</v>
      </c>
      <c r="AW149" s="695">
        <f t="shared" si="97"/>
        <v>437554.65356741281</v>
      </c>
      <c r="AX149" s="695">
        <f t="shared" si="97"/>
        <v>5609.0172739773079</v>
      </c>
      <c r="AY149" s="695">
        <f t="shared" si="97"/>
        <v>245284.00900663872</v>
      </c>
      <c r="AZ149" s="695">
        <f t="shared" si="97"/>
        <v>8106.2726062130905</v>
      </c>
      <c r="BA149" s="695">
        <f t="shared" si="97"/>
        <v>141890.14645968212</v>
      </c>
      <c r="BB149" s="695">
        <f t="shared" si="97"/>
        <v>518917.83152717561</v>
      </c>
      <c r="BC149" s="798">
        <f t="shared" si="97"/>
        <v>0</v>
      </c>
      <c r="BD149" s="695">
        <f t="shared" si="97"/>
        <v>0</v>
      </c>
      <c r="BE149" s="695">
        <f t="shared" si="97"/>
        <v>0</v>
      </c>
      <c r="BF149" s="695">
        <f t="shared" si="97"/>
        <v>0</v>
      </c>
      <c r="BG149" s="695">
        <f t="shared" si="97"/>
        <v>0</v>
      </c>
      <c r="BH149" s="695">
        <f t="shared" si="97"/>
        <v>0</v>
      </c>
      <c r="BI149" s="695">
        <f t="shared" si="97"/>
        <v>0</v>
      </c>
      <c r="BJ149" s="695">
        <f t="shared" si="97"/>
        <v>0</v>
      </c>
      <c r="BK149" s="695">
        <f t="shared" si="97"/>
        <v>0</v>
      </c>
      <c r="BL149" s="813">
        <f t="shared" si="97"/>
        <v>4724505.4959499659</v>
      </c>
      <c r="BM149" s="795"/>
      <c r="BN149" s="214"/>
    </row>
    <row r="150" spans="5:66" ht="15.75" thickBot="1" x14ac:dyDescent="0.3">
      <c r="E150" s="802"/>
      <c r="F150" s="807" t="s">
        <v>905</v>
      </c>
      <c r="G150" s="807"/>
      <c r="H150" s="798">
        <f t="shared" ref="H150:BL150" si="98">H111</f>
        <v>0</v>
      </c>
      <c r="I150" s="798">
        <f t="shared" si="98"/>
        <v>30267.999668382545</v>
      </c>
      <c r="J150" s="695">
        <f t="shared" si="98"/>
        <v>778.12079509653563</v>
      </c>
      <c r="K150" s="695">
        <f t="shared" si="98"/>
        <v>198.24918353768936</v>
      </c>
      <c r="L150" s="695">
        <f t="shared" si="98"/>
        <v>188.9181103439075</v>
      </c>
      <c r="M150" s="695">
        <f t="shared" si="98"/>
        <v>264.94713488522092</v>
      </c>
      <c r="N150" s="695">
        <f t="shared" si="98"/>
        <v>359.00966168021171</v>
      </c>
      <c r="O150" s="695">
        <f t="shared" si="98"/>
        <v>1044.54931930681</v>
      </c>
      <c r="P150" s="695">
        <f t="shared" si="98"/>
        <v>132.72964493507305</v>
      </c>
      <c r="Q150" s="695">
        <f t="shared" si="98"/>
        <v>375.42450020843057</v>
      </c>
      <c r="R150" s="695">
        <f t="shared" si="98"/>
        <v>327.61348998449898</v>
      </c>
      <c r="S150" s="695">
        <f t="shared" si="98"/>
        <v>331.53886062128169</v>
      </c>
      <c r="T150" s="695">
        <f t="shared" si="98"/>
        <v>1236.0182665914797</v>
      </c>
      <c r="U150" s="695">
        <f t="shared" si="98"/>
        <v>975.63052902688537</v>
      </c>
      <c r="V150" s="695">
        <f t="shared" si="98"/>
        <v>498.66877856641992</v>
      </c>
      <c r="W150" s="695">
        <f t="shared" si="98"/>
        <v>818.24249820177272</v>
      </c>
      <c r="X150" s="695">
        <f t="shared" si="98"/>
        <v>29.056336991096948</v>
      </c>
      <c r="Y150" s="695">
        <f t="shared" si="98"/>
        <v>20.408870432087475</v>
      </c>
      <c r="Z150" s="695">
        <f t="shared" si="98"/>
        <v>84.670596712974231</v>
      </c>
      <c r="AA150" s="695">
        <f t="shared" si="98"/>
        <v>74.162843018759858</v>
      </c>
      <c r="AB150" s="695">
        <f t="shared" si="98"/>
        <v>42.963152186081089</v>
      </c>
      <c r="AC150" s="695">
        <f t="shared" si="98"/>
        <v>54.710053853754545</v>
      </c>
      <c r="AD150" s="695">
        <f t="shared" si="98"/>
        <v>385.02168632680952</v>
      </c>
      <c r="AE150" s="695">
        <f t="shared" si="98"/>
        <v>139.22917974678953</v>
      </c>
      <c r="AF150" s="695">
        <f t="shared" si="98"/>
        <v>278.84392813419117</v>
      </c>
      <c r="AG150" s="695">
        <f t="shared" si="98"/>
        <v>538.82416269184296</v>
      </c>
      <c r="AH150" s="695">
        <f t="shared" si="98"/>
        <v>7430.5713788601479</v>
      </c>
      <c r="AI150" s="695">
        <f t="shared" si="98"/>
        <v>74.874059018517642</v>
      </c>
      <c r="AJ150" s="695">
        <f t="shared" si="98"/>
        <v>1303.4898994429641</v>
      </c>
      <c r="AK150" s="695">
        <f t="shared" si="98"/>
        <v>1041.215481097202</v>
      </c>
      <c r="AL150" s="695">
        <f t="shared" si="98"/>
        <v>0</v>
      </c>
      <c r="AM150" s="695">
        <f t="shared" si="98"/>
        <v>112.5452729356487</v>
      </c>
      <c r="AN150" s="695">
        <f t="shared" si="98"/>
        <v>141.88113608336269</v>
      </c>
      <c r="AO150" s="695">
        <f t="shared" si="98"/>
        <v>1298.6900642440839</v>
      </c>
      <c r="AP150" s="695">
        <f t="shared" si="98"/>
        <v>182.19036623303509</v>
      </c>
      <c r="AQ150" s="695">
        <f t="shared" si="98"/>
        <v>660.01043355477748</v>
      </c>
      <c r="AR150" s="695">
        <f t="shared" si="98"/>
        <v>2.6694436268271149</v>
      </c>
      <c r="AS150" s="695">
        <f t="shared" si="98"/>
        <v>983.54483359936455</v>
      </c>
      <c r="AT150" s="695">
        <f t="shared" si="98"/>
        <v>791.86831185922574</v>
      </c>
      <c r="AU150" s="695">
        <f t="shared" si="98"/>
        <v>1194.0214290846402</v>
      </c>
      <c r="AV150" s="695">
        <f t="shared" si="98"/>
        <v>1615.4589029743106</v>
      </c>
      <c r="AW150" s="695">
        <f t="shared" si="98"/>
        <v>4200.7878937701662</v>
      </c>
      <c r="AX150" s="695">
        <f t="shared" si="98"/>
        <v>56.62917891766044</v>
      </c>
      <c r="AY150" s="695">
        <f t="shared" si="98"/>
        <v>0</v>
      </c>
      <c r="AZ150" s="695">
        <f t="shared" si="98"/>
        <v>0</v>
      </c>
      <c r="BA150" s="695">
        <f t="shared" si="98"/>
        <v>0</v>
      </c>
      <c r="BB150" s="695">
        <f t="shared" si="98"/>
        <v>0</v>
      </c>
      <c r="BC150" s="798">
        <f t="shared" si="98"/>
        <v>0</v>
      </c>
      <c r="BD150" s="695">
        <f t="shared" si="98"/>
        <v>0</v>
      </c>
      <c r="BE150" s="695">
        <f t="shared" si="98"/>
        <v>0</v>
      </c>
      <c r="BF150" s="695">
        <f t="shared" si="98"/>
        <v>0</v>
      </c>
      <c r="BG150" s="695">
        <f t="shared" si="98"/>
        <v>0</v>
      </c>
      <c r="BH150" s="695">
        <f t="shared" si="98"/>
        <v>0</v>
      </c>
      <c r="BI150" s="695">
        <f t="shared" si="98"/>
        <v>0</v>
      </c>
      <c r="BJ150" s="695">
        <f t="shared" si="98"/>
        <v>0</v>
      </c>
      <c r="BK150" s="695">
        <f t="shared" si="98"/>
        <v>0</v>
      </c>
      <c r="BL150" s="814">
        <f t="shared" si="98"/>
        <v>30267.999668382545</v>
      </c>
      <c r="BM150" s="795"/>
      <c r="BN150" s="214"/>
    </row>
    <row r="151" spans="5:66" x14ac:dyDescent="0.25">
      <c r="E151" s="802"/>
      <c r="F151" s="71" t="s">
        <v>3</v>
      </c>
      <c r="G151" s="71"/>
      <c r="H151" s="808">
        <f t="shared" ref="H151:AM151" si="99">SUM(H144:H150)</f>
        <v>132835.08270087352</v>
      </c>
      <c r="I151" s="808">
        <f t="shared" si="99"/>
        <v>13886560.366188888</v>
      </c>
      <c r="J151" s="809">
        <f t="shared" si="99"/>
        <v>143311.82545442111</v>
      </c>
      <c r="K151" s="809">
        <f t="shared" si="99"/>
        <v>38586.360950924936</v>
      </c>
      <c r="L151" s="809">
        <f t="shared" si="99"/>
        <v>38196.962803378032</v>
      </c>
      <c r="M151" s="809">
        <f t="shared" si="99"/>
        <v>46681.139920317117</v>
      </c>
      <c r="N151" s="809">
        <f t="shared" si="99"/>
        <v>69083.979302774984</v>
      </c>
      <c r="O151" s="809">
        <f t="shared" si="99"/>
        <v>182792.38048785331</v>
      </c>
      <c r="P151" s="809">
        <f t="shared" si="99"/>
        <v>22841.583857575959</v>
      </c>
      <c r="Q151" s="809">
        <f t="shared" si="99"/>
        <v>63225.274245449255</v>
      </c>
      <c r="R151" s="809">
        <f t="shared" si="99"/>
        <v>54822.280245079397</v>
      </c>
      <c r="S151" s="809">
        <f t="shared" si="99"/>
        <v>55769.916786453789</v>
      </c>
      <c r="T151" s="809">
        <f t="shared" si="99"/>
        <v>206028.24378276046</v>
      </c>
      <c r="U151" s="809">
        <f t="shared" si="99"/>
        <v>163209.44474034282</v>
      </c>
      <c r="V151" s="809">
        <f t="shared" si="99"/>
        <v>101315.68601681043</v>
      </c>
      <c r="W151" s="809">
        <f t="shared" si="99"/>
        <v>164928.64668953494</v>
      </c>
      <c r="X151" s="809">
        <f t="shared" si="99"/>
        <v>4890.7099532380043</v>
      </c>
      <c r="Y151" s="809">
        <f t="shared" si="99"/>
        <v>3567.5922250310268</v>
      </c>
      <c r="Z151" s="809">
        <f t="shared" si="99"/>
        <v>15630.58758339642</v>
      </c>
      <c r="AA151" s="809">
        <f t="shared" si="99"/>
        <v>13913.761636149826</v>
      </c>
      <c r="AB151" s="809">
        <f t="shared" si="99"/>
        <v>8179.5621549149109</v>
      </c>
      <c r="AC151" s="809">
        <f t="shared" si="99"/>
        <v>9610.6130620072636</v>
      </c>
      <c r="AD151" s="809">
        <f t="shared" si="99"/>
        <v>63152.415022908121</v>
      </c>
      <c r="AE151" s="809">
        <f t="shared" si="99"/>
        <v>23572.879086107074</v>
      </c>
      <c r="AF151" s="809">
        <f t="shared" si="99"/>
        <v>113966.78742113811</v>
      </c>
      <c r="AG151" s="809">
        <f t="shared" si="99"/>
        <v>138499.00568428519</v>
      </c>
      <c r="AH151" s="809">
        <f t="shared" si="99"/>
        <v>1366548.9883429694</v>
      </c>
      <c r="AI151" s="809">
        <f t="shared" si="99"/>
        <v>12093.095403168611</v>
      </c>
      <c r="AJ151" s="809">
        <f t="shared" si="99"/>
        <v>442889.59884452709</v>
      </c>
      <c r="AK151" s="809">
        <f t="shared" si="99"/>
        <v>375995.46278410114</v>
      </c>
      <c r="AL151" s="809">
        <f t="shared" si="99"/>
        <v>0</v>
      </c>
      <c r="AM151" s="809">
        <f t="shared" si="99"/>
        <v>20660.035820203375</v>
      </c>
      <c r="AN151" s="809">
        <f t="shared" ref="AN151:BK151" si="100">SUM(AN144:AN150)</f>
        <v>73133.564765025454</v>
      </c>
      <c r="AO151" s="809">
        <f t="shared" si="100"/>
        <v>459151.54759858153</v>
      </c>
      <c r="AP151" s="809">
        <f t="shared" si="100"/>
        <v>68662.472390232884</v>
      </c>
      <c r="AQ151" s="809">
        <f t="shared" si="100"/>
        <v>166403.08804822151</v>
      </c>
      <c r="AR151" s="809">
        <f t="shared" si="100"/>
        <v>527.57391952383159</v>
      </c>
      <c r="AS151" s="809">
        <f t="shared" si="100"/>
        <v>245697.72975011109</v>
      </c>
      <c r="AT151" s="809">
        <f t="shared" si="100"/>
        <v>202819.32778360203</v>
      </c>
      <c r="AU151" s="809">
        <f t="shared" si="100"/>
        <v>287489.95607131819</v>
      </c>
      <c r="AV151" s="809">
        <f t="shared" si="100"/>
        <v>400768.99952536618</v>
      </c>
      <c r="AW151" s="809">
        <f t="shared" si="100"/>
        <v>1029772.5716949307</v>
      </c>
      <c r="AX151" s="809">
        <f t="shared" si="100"/>
        <v>11191.874434343075</v>
      </c>
      <c r="AY151" s="809">
        <f t="shared" si="100"/>
        <v>1876020.4571122485</v>
      </c>
      <c r="AZ151" s="809">
        <f t="shared" si="100"/>
        <v>64455.489927806404</v>
      </c>
      <c r="BA151" s="809">
        <f t="shared" si="100"/>
        <v>1116776.4444178664</v>
      </c>
      <c r="BB151" s="809">
        <f t="shared" si="100"/>
        <v>3919724.4484418882</v>
      </c>
      <c r="BC151" s="808">
        <f t="shared" si="100"/>
        <v>8113712.4617074626</v>
      </c>
      <c r="BD151" s="809">
        <f t="shared" si="100"/>
        <v>1321118.5354259224</v>
      </c>
      <c r="BE151" s="809">
        <f t="shared" si="100"/>
        <v>1204860.6973461495</v>
      </c>
      <c r="BF151" s="809">
        <f t="shared" si="100"/>
        <v>737691.93648624246</v>
      </c>
      <c r="BG151" s="809">
        <f t="shared" si="100"/>
        <v>1363362.64886473</v>
      </c>
      <c r="BH151" s="809">
        <f t="shared" si="100"/>
        <v>1067994.2863166567</v>
      </c>
      <c r="BI151" s="809">
        <f t="shared" si="100"/>
        <v>777657.37519165745</v>
      </c>
      <c r="BJ151" s="809">
        <f t="shared" si="100"/>
        <v>438617.13537409093</v>
      </c>
      <c r="BK151" s="809">
        <f t="shared" si="100"/>
        <v>1202409.8467020127</v>
      </c>
      <c r="BL151" s="815">
        <f>SUM(BL144:BL150)</f>
        <v>22133107.91059722</v>
      </c>
      <c r="BM151" s="799"/>
      <c r="BN151" s="810"/>
    </row>
    <row r="152" spans="5:66" x14ac:dyDescent="0.25">
      <c r="E152" s="12"/>
      <c r="F152" s="71"/>
      <c r="G152" s="71"/>
      <c r="H152" s="798">
        <f t="shared" ref="H152:BL152" si="101">H151-H126</f>
        <v>0</v>
      </c>
      <c r="I152" s="635"/>
      <c r="J152" s="695">
        <f t="shared" si="101"/>
        <v>0</v>
      </c>
      <c r="K152" s="695">
        <f t="shared" si="101"/>
        <v>0</v>
      </c>
      <c r="L152" s="695">
        <f t="shared" si="101"/>
        <v>0</v>
      </c>
      <c r="M152" s="695">
        <f t="shared" si="101"/>
        <v>0</v>
      </c>
      <c r="N152" s="695">
        <f t="shared" si="101"/>
        <v>0</v>
      </c>
      <c r="O152" s="695">
        <f t="shared" si="101"/>
        <v>0</v>
      </c>
      <c r="P152" s="695">
        <f t="shared" si="101"/>
        <v>0</v>
      </c>
      <c r="Q152" s="695">
        <f t="shared" si="101"/>
        <v>0</v>
      </c>
      <c r="R152" s="695">
        <f t="shared" si="101"/>
        <v>0</v>
      </c>
      <c r="S152" s="695">
        <f t="shared" si="101"/>
        <v>0</v>
      </c>
      <c r="T152" s="695">
        <f t="shared" si="101"/>
        <v>0</v>
      </c>
      <c r="U152" s="695">
        <f t="shared" si="101"/>
        <v>0</v>
      </c>
      <c r="V152" s="695">
        <f t="shared" si="101"/>
        <v>0</v>
      </c>
      <c r="W152" s="695">
        <f t="shared" si="101"/>
        <v>0</v>
      </c>
      <c r="X152" s="695">
        <f t="shared" si="101"/>
        <v>0</v>
      </c>
      <c r="Y152" s="695">
        <f t="shared" si="101"/>
        <v>0</v>
      </c>
      <c r="Z152" s="695">
        <f t="shared" si="101"/>
        <v>0</v>
      </c>
      <c r="AA152" s="695">
        <f t="shared" si="101"/>
        <v>0</v>
      </c>
      <c r="AB152" s="695">
        <f t="shared" si="101"/>
        <v>0</v>
      </c>
      <c r="AC152" s="695">
        <f t="shared" si="101"/>
        <v>0</v>
      </c>
      <c r="AD152" s="695">
        <f t="shared" si="101"/>
        <v>0</v>
      </c>
      <c r="AE152" s="695">
        <f t="shared" si="101"/>
        <v>0</v>
      </c>
      <c r="AF152" s="695">
        <f t="shared" si="101"/>
        <v>0</v>
      </c>
      <c r="AG152" s="695">
        <f t="shared" si="101"/>
        <v>0</v>
      </c>
      <c r="AH152" s="695">
        <f t="shared" si="101"/>
        <v>0</v>
      </c>
      <c r="AI152" s="695">
        <f t="shared" si="101"/>
        <v>0</v>
      </c>
      <c r="AJ152" s="695">
        <f t="shared" si="101"/>
        <v>0</v>
      </c>
      <c r="AK152" s="695">
        <f t="shared" si="101"/>
        <v>0</v>
      </c>
      <c r="AL152" s="695">
        <f t="shared" si="101"/>
        <v>0</v>
      </c>
      <c r="AM152" s="695">
        <f t="shared" si="101"/>
        <v>0</v>
      </c>
      <c r="AN152" s="695">
        <f t="shared" si="101"/>
        <v>0</v>
      </c>
      <c r="AO152" s="695">
        <f t="shared" si="101"/>
        <v>0</v>
      </c>
      <c r="AP152" s="695">
        <f t="shared" si="101"/>
        <v>0</v>
      </c>
      <c r="AQ152" s="695">
        <f t="shared" si="101"/>
        <v>0</v>
      </c>
      <c r="AR152" s="695">
        <f t="shared" si="101"/>
        <v>0</v>
      </c>
      <c r="AS152" s="695">
        <f t="shared" si="101"/>
        <v>0</v>
      </c>
      <c r="AT152" s="695">
        <f t="shared" si="101"/>
        <v>0</v>
      </c>
      <c r="AU152" s="695">
        <f t="shared" si="101"/>
        <v>0</v>
      </c>
      <c r="AV152" s="695">
        <f t="shared" si="101"/>
        <v>0</v>
      </c>
      <c r="AW152" s="695">
        <f t="shared" si="101"/>
        <v>0</v>
      </c>
      <c r="AX152" s="695">
        <f t="shared" si="101"/>
        <v>0</v>
      </c>
      <c r="AY152" s="695">
        <f t="shared" si="101"/>
        <v>0</v>
      </c>
      <c r="AZ152" s="695">
        <f t="shared" si="101"/>
        <v>0</v>
      </c>
      <c r="BA152" s="695">
        <f t="shared" si="101"/>
        <v>0</v>
      </c>
      <c r="BB152" s="695">
        <f t="shared" si="101"/>
        <v>0</v>
      </c>
      <c r="BC152" s="635">
        <f t="shared" si="101"/>
        <v>0</v>
      </c>
      <c r="BD152" s="695">
        <f t="shared" si="101"/>
        <v>0</v>
      </c>
      <c r="BE152" s="695">
        <f t="shared" si="101"/>
        <v>0</v>
      </c>
      <c r="BF152" s="695">
        <f t="shared" si="101"/>
        <v>0</v>
      </c>
      <c r="BG152" s="695">
        <f t="shared" si="101"/>
        <v>0</v>
      </c>
      <c r="BH152" s="695">
        <f t="shared" si="101"/>
        <v>0</v>
      </c>
      <c r="BI152" s="695">
        <f t="shared" si="101"/>
        <v>0</v>
      </c>
      <c r="BJ152" s="695">
        <f t="shared" si="101"/>
        <v>0</v>
      </c>
      <c r="BK152" s="695">
        <f t="shared" si="101"/>
        <v>0</v>
      </c>
      <c r="BL152" s="695">
        <f t="shared" si="101"/>
        <v>0</v>
      </c>
      <c r="BM152" s="795"/>
      <c r="BN152" s="214"/>
    </row>
    <row r="153" spans="5:66" x14ac:dyDescent="0.25">
      <c r="E153" s="12"/>
      <c r="F153" s="816" t="s">
        <v>392</v>
      </c>
      <c r="G153" s="71"/>
      <c r="H153" s="636"/>
      <c r="I153" s="635"/>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635"/>
      <c r="BD153" s="71"/>
      <c r="BE153" s="71"/>
      <c r="BF153" s="71"/>
      <c r="BG153" s="71"/>
      <c r="BH153" s="71"/>
      <c r="BI153" s="71"/>
      <c r="BJ153" s="71"/>
      <c r="BK153" s="71"/>
      <c r="BL153" s="71"/>
      <c r="BM153" s="795"/>
      <c r="BN153" s="214"/>
    </row>
    <row r="154" spans="5:66" x14ac:dyDescent="0.25">
      <c r="E154" s="12"/>
      <c r="F154" s="797" t="s">
        <v>899</v>
      </c>
      <c r="G154" s="797"/>
      <c r="H154" s="798">
        <f t="shared" ref="H154:W160" si="102">H144-H134</f>
        <v>5975.2265022648062</v>
      </c>
      <c r="I154" s="798">
        <f t="shared" si="102"/>
        <v>60720.877301826142</v>
      </c>
      <c r="J154" s="695">
        <f>J144-J134</f>
        <v>0</v>
      </c>
      <c r="K154" s="695">
        <f t="shared" ref="K154:BL158" si="103">K144-K134</f>
        <v>0</v>
      </c>
      <c r="L154" s="695">
        <f t="shared" si="103"/>
        <v>0</v>
      </c>
      <c r="M154" s="695">
        <f t="shared" si="103"/>
        <v>0</v>
      </c>
      <c r="N154" s="695">
        <f t="shared" si="103"/>
        <v>0</v>
      </c>
      <c r="O154" s="695">
        <f t="shared" si="103"/>
        <v>0</v>
      </c>
      <c r="P154" s="695">
        <f t="shared" si="103"/>
        <v>0</v>
      </c>
      <c r="Q154" s="695">
        <f t="shared" si="103"/>
        <v>0</v>
      </c>
      <c r="R154" s="695">
        <f t="shared" si="103"/>
        <v>0</v>
      </c>
      <c r="S154" s="695">
        <f t="shared" si="103"/>
        <v>0</v>
      </c>
      <c r="T154" s="695">
        <f t="shared" si="103"/>
        <v>0</v>
      </c>
      <c r="U154" s="695">
        <f t="shared" si="103"/>
        <v>0</v>
      </c>
      <c r="V154" s="695">
        <f t="shared" si="103"/>
        <v>0</v>
      </c>
      <c r="W154" s="695">
        <f t="shared" si="103"/>
        <v>0</v>
      </c>
      <c r="X154" s="695">
        <f t="shared" si="103"/>
        <v>0</v>
      </c>
      <c r="Y154" s="695">
        <f t="shared" si="103"/>
        <v>0</v>
      </c>
      <c r="Z154" s="695">
        <f t="shared" si="103"/>
        <v>0</v>
      </c>
      <c r="AA154" s="695">
        <f t="shared" si="103"/>
        <v>0</v>
      </c>
      <c r="AB154" s="695">
        <f t="shared" si="103"/>
        <v>0</v>
      </c>
      <c r="AC154" s="695">
        <f t="shared" si="103"/>
        <v>0</v>
      </c>
      <c r="AD154" s="695">
        <f t="shared" si="103"/>
        <v>0</v>
      </c>
      <c r="AE154" s="695">
        <f t="shared" si="103"/>
        <v>0</v>
      </c>
      <c r="AF154" s="695">
        <f t="shared" si="103"/>
        <v>0</v>
      </c>
      <c r="AG154" s="695">
        <f t="shared" si="103"/>
        <v>0</v>
      </c>
      <c r="AH154" s="695">
        <f t="shared" si="103"/>
        <v>0</v>
      </c>
      <c r="AI154" s="695">
        <f t="shared" si="103"/>
        <v>0</v>
      </c>
      <c r="AJ154" s="695">
        <f t="shared" si="103"/>
        <v>0</v>
      </c>
      <c r="AK154" s="695">
        <f t="shared" si="103"/>
        <v>0</v>
      </c>
      <c r="AL154" s="695">
        <f t="shared" si="103"/>
        <v>0</v>
      </c>
      <c r="AM154" s="695">
        <f t="shared" si="103"/>
        <v>0</v>
      </c>
      <c r="AN154" s="695">
        <f t="shared" si="103"/>
        <v>0</v>
      </c>
      <c r="AO154" s="695">
        <f t="shared" si="103"/>
        <v>0</v>
      </c>
      <c r="AP154" s="695">
        <f t="shared" si="103"/>
        <v>0</v>
      </c>
      <c r="AQ154" s="695">
        <f t="shared" si="103"/>
        <v>0</v>
      </c>
      <c r="AR154" s="695">
        <f t="shared" si="103"/>
        <v>0</v>
      </c>
      <c r="AS154" s="695">
        <f t="shared" si="103"/>
        <v>0</v>
      </c>
      <c r="AT154" s="695">
        <f t="shared" si="103"/>
        <v>0</v>
      </c>
      <c r="AU154" s="695">
        <f t="shared" si="103"/>
        <v>0</v>
      </c>
      <c r="AV154" s="695">
        <f t="shared" si="103"/>
        <v>0</v>
      </c>
      <c r="AW154" s="695">
        <f t="shared" si="103"/>
        <v>0</v>
      </c>
      <c r="AX154" s="695">
        <f t="shared" si="103"/>
        <v>0</v>
      </c>
      <c r="AY154" s="695">
        <f t="shared" si="103"/>
        <v>37024.200987047516</v>
      </c>
      <c r="AZ154" s="695">
        <f t="shared" si="103"/>
        <v>1245.1297520645094</v>
      </c>
      <c r="BA154" s="695">
        <f t="shared" si="103"/>
        <v>22451.546562714677</v>
      </c>
      <c r="BB154" s="695">
        <f t="shared" si="103"/>
        <v>0</v>
      </c>
      <c r="BC154" s="798">
        <f t="shared" si="103"/>
        <v>334097.65973870363</v>
      </c>
      <c r="BD154" s="695">
        <f t="shared" si="103"/>
        <v>53659.706735596992</v>
      </c>
      <c r="BE154" s="695">
        <f t="shared" si="103"/>
        <v>48937.676630202448</v>
      </c>
      <c r="BF154" s="695">
        <f t="shared" si="103"/>
        <v>29962.741352579906</v>
      </c>
      <c r="BG154" s="695">
        <f t="shared" si="103"/>
        <v>55375.530620923731</v>
      </c>
      <c r="BH154" s="695">
        <f t="shared" si="103"/>
        <v>43378.590688358643</v>
      </c>
      <c r="BI154" s="695">
        <f t="shared" si="103"/>
        <v>31586.012590539525</v>
      </c>
      <c r="BJ154" s="695">
        <f t="shared" si="103"/>
        <v>17815.257467259245</v>
      </c>
      <c r="BK154" s="695">
        <f t="shared" si="103"/>
        <v>53382.143653243314</v>
      </c>
      <c r="BL154" s="695">
        <f t="shared" si="103"/>
        <v>400793.76354279369</v>
      </c>
      <c r="BM154" s="799"/>
      <c r="BN154" s="800"/>
    </row>
    <row r="155" spans="5:66" x14ac:dyDescent="0.25">
      <c r="E155" s="12"/>
      <c r="F155" s="801" t="s">
        <v>900</v>
      </c>
      <c r="G155" s="801"/>
      <c r="H155" s="798">
        <f t="shared" si="102"/>
        <v>0</v>
      </c>
      <c r="I155" s="798">
        <f t="shared" si="102"/>
        <v>0</v>
      </c>
      <c r="J155" s="695">
        <f>J145-J135</f>
        <v>0</v>
      </c>
      <c r="K155" s="695">
        <f t="shared" si="103"/>
        <v>0</v>
      </c>
      <c r="L155" s="695">
        <f t="shared" si="103"/>
        <v>0</v>
      </c>
      <c r="M155" s="695">
        <f t="shared" si="103"/>
        <v>0</v>
      </c>
      <c r="N155" s="695">
        <f t="shared" si="103"/>
        <v>0</v>
      </c>
      <c r="O155" s="695">
        <f t="shared" si="103"/>
        <v>0</v>
      </c>
      <c r="P155" s="695">
        <f t="shared" si="103"/>
        <v>0</v>
      </c>
      <c r="Q155" s="695">
        <f t="shared" si="103"/>
        <v>0</v>
      </c>
      <c r="R155" s="695">
        <f t="shared" si="103"/>
        <v>0</v>
      </c>
      <c r="S155" s="695">
        <f t="shared" si="103"/>
        <v>0</v>
      </c>
      <c r="T155" s="695">
        <f t="shared" si="103"/>
        <v>0</v>
      </c>
      <c r="U155" s="695">
        <f t="shared" si="103"/>
        <v>0</v>
      </c>
      <c r="V155" s="695">
        <f t="shared" si="103"/>
        <v>0</v>
      </c>
      <c r="W155" s="695">
        <f t="shared" si="103"/>
        <v>0</v>
      </c>
      <c r="X155" s="695">
        <f t="shared" si="103"/>
        <v>0</v>
      </c>
      <c r="Y155" s="695">
        <f t="shared" si="103"/>
        <v>0</v>
      </c>
      <c r="Z155" s="695">
        <f t="shared" si="103"/>
        <v>0</v>
      </c>
      <c r="AA155" s="695">
        <f t="shared" si="103"/>
        <v>0</v>
      </c>
      <c r="AB155" s="695">
        <f t="shared" si="103"/>
        <v>0</v>
      </c>
      <c r="AC155" s="695">
        <f t="shared" si="103"/>
        <v>0</v>
      </c>
      <c r="AD155" s="695">
        <f t="shared" si="103"/>
        <v>0</v>
      </c>
      <c r="AE155" s="695">
        <f t="shared" si="103"/>
        <v>0</v>
      </c>
      <c r="AF155" s="695">
        <f t="shared" si="103"/>
        <v>0</v>
      </c>
      <c r="AG155" s="695">
        <f t="shared" si="103"/>
        <v>0</v>
      </c>
      <c r="AH155" s="695">
        <f t="shared" si="103"/>
        <v>0</v>
      </c>
      <c r="AI155" s="695">
        <f t="shared" si="103"/>
        <v>0</v>
      </c>
      <c r="AJ155" s="695">
        <f t="shared" si="103"/>
        <v>0</v>
      </c>
      <c r="AK155" s="695">
        <f t="shared" si="103"/>
        <v>0</v>
      </c>
      <c r="AL155" s="695">
        <f t="shared" si="103"/>
        <v>0</v>
      </c>
      <c r="AM155" s="695">
        <f t="shared" si="103"/>
        <v>0</v>
      </c>
      <c r="AN155" s="695">
        <f t="shared" si="103"/>
        <v>0</v>
      </c>
      <c r="AO155" s="695">
        <f t="shared" si="103"/>
        <v>0</v>
      </c>
      <c r="AP155" s="695">
        <f t="shared" si="103"/>
        <v>0</v>
      </c>
      <c r="AQ155" s="695">
        <f t="shared" si="103"/>
        <v>0</v>
      </c>
      <c r="AR155" s="695">
        <f t="shared" si="103"/>
        <v>0</v>
      </c>
      <c r="AS155" s="695">
        <f t="shared" si="103"/>
        <v>0</v>
      </c>
      <c r="AT155" s="695">
        <f t="shared" si="103"/>
        <v>0</v>
      </c>
      <c r="AU155" s="695">
        <f t="shared" si="103"/>
        <v>0</v>
      </c>
      <c r="AV155" s="695">
        <f t="shared" si="103"/>
        <v>0</v>
      </c>
      <c r="AW155" s="695">
        <f t="shared" si="103"/>
        <v>0</v>
      </c>
      <c r="AX155" s="695">
        <f t="shared" si="103"/>
        <v>0</v>
      </c>
      <c r="AY155" s="695">
        <f t="shared" si="103"/>
        <v>0</v>
      </c>
      <c r="AZ155" s="695">
        <f t="shared" si="103"/>
        <v>0</v>
      </c>
      <c r="BA155" s="695">
        <f t="shared" si="103"/>
        <v>0</v>
      </c>
      <c r="BB155" s="695">
        <f t="shared" si="103"/>
        <v>0</v>
      </c>
      <c r="BC155" s="798">
        <f t="shared" si="103"/>
        <v>0</v>
      </c>
      <c r="BD155" s="695">
        <f t="shared" si="103"/>
        <v>0</v>
      </c>
      <c r="BE155" s="695">
        <f t="shared" si="103"/>
        <v>0</v>
      </c>
      <c r="BF155" s="695">
        <f t="shared" si="103"/>
        <v>0</v>
      </c>
      <c r="BG155" s="695">
        <f t="shared" si="103"/>
        <v>0</v>
      </c>
      <c r="BH155" s="695">
        <f t="shared" si="103"/>
        <v>0</v>
      </c>
      <c r="BI155" s="695">
        <f t="shared" si="103"/>
        <v>0</v>
      </c>
      <c r="BJ155" s="695">
        <f t="shared" si="103"/>
        <v>0</v>
      </c>
      <c r="BK155" s="695">
        <f t="shared" si="103"/>
        <v>0</v>
      </c>
      <c r="BL155" s="695">
        <f t="shared" si="103"/>
        <v>0</v>
      </c>
      <c r="BM155" s="795"/>
      <c r="BN155" s="214"/>
    </row>
    <row r="156" spans="5:66" x14ac:dyDescent="0.25">
      <c r="E156" s="12"/>
      <c r="F156" s="803" t="s">
        <v>901</v>
      </c>
      <c r="G156" s="803"/>
      <c r="H156" s="798">
        <f t="shared" si="102"/>
        <v>0</v>
      </c>
      <c r="I156" s="798">
        <f t="shared" si="102"/>
        <v>48471.531363624148</v>
      </c>
      <c r="J156" s="695">
        <f t="shared" si="102"/>
        <v>0</v>
      </c>
      <c r="K156" s="695">
        <f t="shared" si="103"/>
        <v>0</v>
      </c>
      <c r="L156" s="695">
        <f t="shared" si="103"/>
        <v>0</v>
      </c>
      <c r="M156" s="695">
        <f t="shared" si="103"/>
        <v>0</v>
      </c>
      <c r="N156" s="695">
        <f t="shared" si="103"/>
        <v>0</v>
      </c>
      <c r="O156" s="695">
        <f t="shared" si="103"/>
        <v>0</v>
      </c>
      <c r="P156" s="695">
        <f t="shared" si="103"/>
        <v>0</v>
      </c>
      <c r="Q156" s="695">
        <f t="shared" si="103"/>
        <v>0</v>
      </c>
      <c r="R156" s="695">
        <f t="shared" si="103"/>
        <v>0</v>
      </c>
      <c r="S156" s="695">
        <f t="shared" si="103"/>
        <v>0</v>
      </c>
      <c r="T156" s="695">
        <f t="shared" si="103"/>
        <v>0</v>
      </c>
      <c r="U156" s="695">
        <f t="shared" si="103"/>
        <v>0</v>
      </c>
      <c r="V156" s="695">
        <f t="shared" si="103"/>
        <v>0</v>
      </c>
      <c r="W156" s="695">
        <f t="shared" si="103"/>
        <v>0</v>
      </c>
      <c r="X156" s="695">
        <f t="shared" si="103"/>
        <v>0</v>
      </c>
      <c r="Y156" s="695">
        <f t="shared" si="103"/>
        <v>0</v>
      </c>
      <c r="Z156" s="695">
        <f t="shared" si="103"/>
        <v>0</v>
      </c>
      <c r="AA156" s="695">
        <f t="shared" si="103"/>
        <v>0</v>
      </c>
      <c r="AB156" s="695">
        <f t="shared" si="103"/>
        <v>0</v>
      </c>
      <c r="AC156" s="695">
        <f t="shared" si="103"/>
        <v>0</v>
      </c>
      <c r="AD156" s="695">
        <f t="shared" si="103"/>
        <v>0</v>
      </c>
      <c r="AE156" s="695">
        <f t="shared" si="103"/>
        <v>0</v>
      </c>
      <c r="AF156" s="695">
        <f t="shared" si="103"/>
        <v>0</v>
      </c>
      <c r="AG156" s="695">
        <f t="shared" si="103"/>
        <v>0</v>
      </c>
      <c r="AH156" s="695">
        <f t="shared" si="103"/>
        <v>0</v>
      </c>
      <c r="AI156" s="695">
        <f t="shared" si="103"/>
        <v>0</v>
      </c>
      <c r="AJ156" s="695">
        <f t="shared" si="103"/>
        <v>0</v>
      </c>
      <c r="AK156" s="695">
        <f t="shared" si="103"/>
        <v>0</v>
      </c>
      <c r="AL156" s="695">
        <f t="shared" si="103"/>
        <v>0</v>
      </c>
      <c r="AM156" s="695">
        <f t="shared" si="103"/>
        <v>0</v>
      </c>
      <c r="AN156" s="695">
        <f t="shared" si="103"/>
        <v>0</v>
      </c>
      <c r="AO156" s="695">
        <f t="shared" si="103"/>
        <v>0</v>
      </c>
      <c r="AP156" s="695">
        <f t="shared" si="103"/>
        <v>0</v>
      </c>
      <c r="AQ156" s="695">
        <f t="shared" si="103"/>
        <v>0</v>
      </c>
      <c r="AR156" s="695">
        <f t="shared" si="103"/>
        <v>0</v>
      </c>
      <c r="AS156" s="695">
        <f t="shared" si="103"/>
        <v>0</v>
      </c>
      <c r="AT156" s="695">
        <f t="shared" si="103"/>
        <v>0</v>
      </c>
      <c r="AU156" s="695">
        <f t="shared" si="103"/>
        <v>0</v>
      </c>
      <c r="AV156" s="695">
        <f t="shared" si="103"/>
        <v>0</v>
      </c>
      <c r="AW156" s="695">
        <f t="shared" si="103"/>
        <v>0</v>
      </c>
      <c r="AX156" s="695">
        <f t="shared" si="103"/>
        <v>0</v>
      </c>
      <c r="AY156" s="695">
        <f t="shared" si="103"/>
        <v>30078.118447541958</v>
      </c>
      <c r="AZ156" s="695">
        <f t="shared" si="103"/>
        <v>994.03719225391251</v>
      </c>
      <c r="BA156" s="695">
        <f t="shared" si="103"/>
        <v>17399.375723828329</v>
      </c>
      <c r="BB156" s="695">
        <f t="shared" si="103"/>
        <v>0</v>
      </c>
      <c r="BC156" s="798">
        <f t="shared" si="103"/>
        <v>0</v>
      </c>
      <c r="BD156" s="695">
        <f t="shared" si="103"/>
        <v>0</v>
      </c>
      <c r="BE156" s="695">
        <f t="shared" si="103"/>
        <v>0</v>
      </c>
      <c r="BF156" s="695">
        <f t="shared" si="103"/>
        <v>0</v>
      </c>
      <c r="BG156" s="695">
        <f t="shared" si="103"/>
        <v>0</v>
      </c>
      <c r="BH156" s="695">
        <f t="shared" si="103"/>
        <v>0</v>
      </c>
      <c r="BI156" s="695">
        <f t="shared" si="103"/>
        <v>0</v>
      </c>
      <c r="BJ156" s="695">
        <f t="shared" si="103"/>
        <v>0</v>
      </c>
      <c r="BK156" s="695">
        <f t="shared" si="103"/>
        <v>0</v>
      </c>
      <c r="BL156" s="695">
        <f t="shared" si="103"/>
        <v>48471.531363624148</v>
      </c>
      <c r="BM156" s="795"/>
      <c r="BN156" s="214"/>
    </row>
    <row r="157" spans="5:66" x14ac:dyDescent="0.25">
      <c r="E157" s="12"/>
      <c r="F157" s="804" t="s">
        <v>902</v>
      </c>
      <c r="G157" s="804"/>
      <c r="H157" s="798">
        <f t="shared" si="102"/>
        <v>0</v>
      </c>
      <c r="I157" s="798">
        <f t="shared" si="102"/>
        <v>5740.7900527822785</v>
      </c>
      <c r="J157" s="695">
        <f t="shared" si="102"/>
        <v>122.66958314669728</v>
      </c>
      <c r="K157" s="695">
        <f t="shared" si="103"/>
        <v>36.188201997807255</v>
      </c>
      <c r="L157" s="695">
        <f t="shared" si="103"/>
        <v>37.88039912855379</v>
      </c>
      <c r="M157" s="695">
        <f t="shared" si="103"/>
        <v>36.732789132378912</v>
      </c>
      <c r="N157" s="695">
        <f t="shared" si="103"/>
        <v>63.648164577335365</v>
      </c>
      <c r="O157" s="695">
        <f t="shared" si="103"/>
        <v>146.4973599893442</v>
      </c>
      <c r="P157" s="695">
        <f t="shared" si="103"/>
        <v>17.750369525271424</v>
      </c>
      <c r="Q157" s="695">
        <f t="shared" si="103"/>
        <v>47.107403149005222</v>
      </c>
      <c r="R157" s="695">
        <f t="shared" si="103"/>
        <v>40.320664458031274</v>
      </c>
      <c r="S157" s="695">
        <f t="shared" si="103"/>
        <v>41.455911347533402</v>
      </c>
      <c r="T157" s="695">
        <f t="shared" si="103"/>
        <v>150.31627626084492</v>
      </c>
      <c r="U157" s="695">
        <f t="shared" si="103"/>
        <v>119.96048768704304</v>
      </c>
      <c r="V157" s="695">
        <f t="shared" si="103"/>
        <v>94.884769776691655</v>
      </c>
      <c r="W157" s="695">
        <f t="shared" si="103"/>
        <v>152.33497045513423</v>
      </c>
      <c r="X157" s="695">
        <f t="shared" si="103"/>
        <v>3.7516434325959693</v>
      </c>
      <c r="Y157" s="695">
        <f t="shared" si="103"/>
        <v>2.9474686990922052</v>
      </c>
      <c r="Z157" s="695">
        <f t="shared" si="103"/>
        <v>14.185397363926427</v>
      </c>
      <c r="AA157" s="695">
        <f t="shared" si="103"/>
        <v>12.950920800222036</v>
      </c>
      <c r="AB157" s="695">
        <f t="shared" si="103"/>
        <v>7.7837810963170853</v>
      </c>
      <c r="AC157" s="695">
        <f t="shared" si="103"/>
        <v>8.0120804249105788</v>
      </c>
      <c r="AD157" s="695">
        <f t="shared" si="103"/>
        <v>45.811337299357888</v>
      </c>
      <c r="AE157" s="695">
        <f t="shared" si="103"/>
        <v>18.30246452283717</v>
      </c>
      <c r="AF157" s="695">
        <f t="shared" si="103"/>
        <v>47.71361057195611</v>
      </c>
      <c r="AG157" s="695">
        <f t="shared" si="103"/>
        <v>149.46478135142661</v>
      </c>
      <c r="AH157" s="695">
        <f t="shared" si="103"/>
        <v>1206.439310226142</v>
      </c>
      <c r="AI157" s="695">
        <f t="shared" si="103"/>
        <v>8.4653673968651333</v>
      </c>
      <c r="AJ157" s="695">
        <f t="shared" si="103"/>
        <v>179.99209483461846</v>
      </c>
      <c r="AK157" s="695">
        <f t="shared" si="103"/>
        <v>154.42084274039871</v>
      </c>
      <c r="AL157" s="695">
        <f t="shared" si="103"/>
        <v>0</v>
      </c>
      <c r="AM157" s="695">
        <f t="shared" si="103"/>
        <v>18.580952087796447</v>
      </c>
      <c r="AN157" s="695">
        <f t="shared" si="103"/>
        <v>31.533285109617054</v>
      </c>
      <c r="AO157" s="695">
        <f t="shared" si="103"/>
        <v>187.90137067769274</v>
      </c>
      <c r="AP157" s="695">
        <f t="shared" si="103"/>
        <v>28.395929292901485</v>
      </c>
      <c r="AQ157" s="695">
        <f t="shared" si="103"/>
        <v>178.93888196211219</v>
      </c>
      <c r="AR157" s="695">
        <f t="shared" si="103"/>
        <v>0.52928039525074588</v>
      </c>
      <c r="AS157" s="695">
        <f t="shared" si="103"/>
        <v>263.55140470204333</v>
      </c>
      <c r="AT157" s="695">
        <f t="shared" si="103"/>
        <v>219.0114685724152</v>
      </c>
      <c r="AU157" s="695">
        <f t="shared" si="103"/>
        <v>304.92562546868976</v>
      </c>
      <c r="AV157" s="695">
        <f t="shared" si="103"/>
        <v>429.35539813976266</v>
      </c>
      <c r="AW157" s="695">
        <f t="shared" si="103"/>
        <v>1098.8499296257796</v>
      </c>
      <c r="AX157" s="695">
        <f t="shared" si="103"/>
        <v>11.228075355870999</v>
      </c>
      <c r="AY157" s="695">
        <f t="shared" si="103"/>
        <v>0</v>
      </c>
      <c r="AZ157" s="695">
        <f t="shared" si="103"/>
        <v>0</v>
      </c>
      <c r="BA157" s="695">
        <f t="shared" si="103"/>
        <v>0</v>
      </c>
      <c r="BB157" s="695">
        <f t="shared" si="103"/>
        <v>0</v>
      </c>
      <c r="BC157" s="798">
        <f t="shared" si="103"/>
        <v>0</v>
      </c>
      <c r="BD157" s="695">
        <f t="shared" si="103"/>
        <v>0</v>
      </c>
      <c r="BE157" s="695">
        <f t="shared" si="103"/>
        <v>0</v>
      </c>
      <c r="BF157" s="695">
        <f t="shared" si="103"/>
        <v>0</v>
      </c>
      <c r="BG157" s="695">
        <f t="shared" si="103"/>
        <v>0</v>
      </c>
      <c r="BH157" s="695">
        <f t="shared" si="103"/>
        <v>0</v>
      </c>
      <c r="BI157" s="695">
        <f t="shared" si="103"/>
        <v>0</v>
      </c>
      <c r="BJ157" s="695">
        <f t="shared" si="103"/>
        <v>0</v>
      </c>
      <c r="BK157" s="695">
        <f t="shared" si="103"/>
        <v>0</v>
      </c>
      <c r="BL157" s="695">
        <f t="shared" si="103"/>
        <v>5740.7900527821621</v>
      </c>
      <c r="BM157" s="795"/>
      <c r="BN157" s="214"/>
    </row>
    <row r="158" spans="5:66" x14ac:dyDescent="0.25">
      <c r="E158" s="12"/>
      <c r="F158" s="805" t="s">
        <v>903</v>
      </c>
      <c r="G158" s="805"/>
      <c r="H158" s="798">
        <f t="shared" si="102"/>
        <v>0</v>
      </c>
      <c r="I158" s="798">
        <f t="shared" si="102"/>
        <v>0</v>
      </c>
      <c r="J158" s="695">
        <f t="shared" si="102"/>
        <v>0</v>
      </c>
      <c r="K158" s="695">
        <f t="shared" si="103"/>
        <v>0</v>
      </c>
      <c r="L158" s="695">
        <f t="shared" si="103"/>
        <v>0</v>
      </c>
      <c r="M158" s="695">
        <f t="shared" si="103"/>
        <v>0</v>
      </c>
      <c r="N158" s="695">
        <f t="shared" si="103"/>
        <v>0</v>
      </c>
      <c r="O158" s="695">
        <f t="shared" si="103"/>
        <v>0</v>
      </c>
      <c r="P158" s="695">
        <f t="shared" si="103"/>
        <v>0</v>
      </c>
      <c r="Q158" s="695">
        <f t="shared" si="103"/>
        <v>0</v>
      </c>
      <c r="R158" s="695">
        <f t="shared" si="103"/>
        <v>0</v>
      </c>
      <c r="S158" s="695">
        <f t="shared" si="103"/>
        <v>0</v>
      </c>
      <c r="T158" s="695">
        <f t="shared" si="103"/>
        <v>0</v>
      </c>
      <c r="U158" s="695">
        <f t="shared" si="103"/>
        <v>0</v>
      </c>
      <c r="V158" s="695">
        <f t="shared" si="103"/>
        <v>0</v>
      </c>
      <c r="W158" s="695">
        <f t="shared" si="103"/>
        <v>0</v>
      </c>
      <c r="X158" s="695">
        <f t="shared" si="103"/>
        <v>0</v>
      </c>
      <c r="Y158" s="695">
        <f t="shared" si="103"/>
        <v>0</v>
      </c>
      <c r="Z158" s="695">
        <f t="shared" si="103"/>
        <v>0</v>
      </c>
      <c r="AA158" s="695">
        <f t="shared" si="103"/>
        <v>0</v>
      </c>
      <c r="AB158" s="695">
        <f t="shared" si="103"/>
        <v>0</v>
      </c>
      <c r="AC158" s="695">
        <f t="shared" si="103"/>
        <v>0</v>
      </c>
      <c r="AD158" s="695">
        <f t="shared" si="103"/>
        <v>0</v>
      </c>
      <c r="AE158" s="695">
        <f t="shared" si="103"/>
        <v>0</v>
      </c>
      <c r="AF158" s="695">
        <f t="shared" si="103"/>
        <v>0</v>
      </c>
      <c r="AG158" s="695">
        <f t="shared" si="103"/>
        <v>0</v>
      </c>
      <c r="AH158" s="695">
        <f t="shared" si="103"/>
        <v>0</v>
      </c>
      <c r="AI158" s="695">
        <f t="shared" si="103"/>
        <v>0</v>
      </c>
      <c r="AJ158" s="695">
        <f t="shared" si="103"/>
        <v>0</v>
      </c>
      <c r="AK158" s="695">
        <f t="shared" si="103"/>
        <v>0</v>
      </c>
      <c r="AL158" s="695">
        <f t="shared" si="103"/>
        <v>0</v>
      </c>
      <c r="AM158" s="695">
        <f t="shared" si="103"/>
        <v>0</v>
      </c>
      <c r="AN158" s="695">
        <f t="shared" si="103"/>
        <v>0</v>
      </c>
      <c r="AO158" s="695">
        <f t="shared" si="103"/>
        <v>0</v>
      </c>
      <c r="AP158" s="695">
        <f t="shared" si="103"/>
        <v>0</v>
      </c>
      <c r="AQ158" s="695">
        <f t="shared" si="103"/>
        <v>0</v>
      </c>
      <c r="AR158" s="695">
        <f t="shared" si="103"/>
        <v>0</v>
      </c>
      <c r="AS158" s="695">
        <f t="shared" si="103"/>
        <v>0</v>
      </c>
      <c r="AT158" s="695">
        <f t="shared" si="103"/>
        <v>0</v>
      </c>
      <c r="AU158" s="695">
        <f t="shared" si="103"/>
        <v>0</v>
      </c>
      <c r="AV158" s="695">
        <f t="shared" si="103"/>
        <v>0</v>
      </c>
      <c r="AW158" s="695">
        <f t="shared" si="103"/>
        <v>0</v>
      </c>
      <c r="AX158" s="695">
        <f t="shared" ref="AX158:BL158" si="104">AX148-AX138</f>
        <v>0</v>
      </c>
      <c r="AY158" s="695">
        <f t="shared" si="104"/>
        <v>0</v>
      </c>
      <c r="AZ158" s="695">
        <f t="shared" si="104"/>
        <v>0</v>
      </c>
      <c r="BA158" s="695">
        <f t="shared" si="104"/>
        <v>0</v>
      </c>
      <c r="BB158" s="695">
        <f t="shared" si="104"/>
        <v>0</v>
      </c>
      <c r="BC158" s="798">
        <f t="shared" si="104"/>
        <v>0</v>
      </c>
      <c r="BD158" s="695">
        <f t="shared" si="104"/>
        <v>0</v>
      </c>
      <c r="BE158" s="695">
        <f t="shared" si="104"/>
        <v>0</v>
      </c>
      <c r="BF158" s="695">
        <f t="shared" si="104"/>
        <v>0</v>
      </c>
      <c r="BG158" s="695">
        <f t="shared" si="104"/>
        <v>0</v>
      </c>
      <c r="BH158" s="695">
        <f t="shared" si="104"/>
        <v>0</v>
      </c>
      <c r="BI158" s="695">
        <f t="shared" si="104"/>
        <v>0</v>
      </c>
      <c r="BJ158" s="695">
        <f t="shared" si="104"/>
        <v>0</v>
      </c>
      <c r="BK158" s="695">
        <f t="shared" si="104"/>
        <v>0</v>
      </c>
      <c r="BL158" s="695">
        <f t="shared" si="104"/>
        <v>0</v>
      </c>
      <c r="BM158" s="795"/>
      <c r="BN158" s="214"/>
    </row>
    <row r="159" spans="5:66" x14ac:dyDescent="0.25">
      <c r="E159" s="12"/>
      <c r="F159" s="806" t="s">
        <v>904</v>
      </c>
      <c r="G159" s="806"/>
      <c r="H159" s="798">
        <f t="shared" si="102"/>
        <v>0</v>
      </c>
      <c r="I159" s="798">
        <f t="shared" si="102"/>
        <v>22374.363853162155</v>
      </c>
      <c r="J159" s="695">
        <f t="shared" si="102"/>
        <v>0</v>
      </c>
      <c r="K159" s="695">
        <f t="shared" si="102"/>
        <v>0</v>
      </c>
      <c r="L159" s="695">
        <f t="shared" si="102"/>
        <v>0</v>
      </c>
      <c r="M159" s="695">
        <f t="shared" si="102"/>
        <v>0</v>
      </c>
      <c r="N159" s="695">
        <f t="shared" si="102"/>
        <v>0</v>
      </c>
      <c r="O159" s="695">
        <f t="shared" si="102"/>
        <v>0</v>
      </c>
      <c r="P159" s="695">
        <f t="shared" si="102"/>
        <v>0</v>
      </c>
      <c r="Q159" s="695">
        <f t="shared" si="102"/>
        <v>0</v>
      </c>
      <c r="R159" s="695">
        <f t="shared" si="102"/>
        <v>0</v>
      </c>
      <c r="S159" s="695">
        <f t="shared" si="102"/>
        <v>0</v>
      </c>
      <c r="T159" s="695">
        <f t="shared" si="102"/>
        <v>0</v>
      </c>
      <c r="U159" s="695">
        <f t="shared" si="102"/>
        <v>0</v>
      </c>
      <c r="V159" s="695">
        <f t="shared" si="102"/>
        <v>0</v>
      </c>
      <c r="W159" s="695">
        <f t="shared" si="102"/>
        <v>0</v>
      </c>
      <c r="X159" s="695">
        <f t="shared" ref="X159:BL160" si="105">X149-X139</f>
        <v>0</v>
      </c>
      <c r="Y159" s="695">
        <f t="shared" si="105"/>
        <v>0</v>
      </c>
      <c r="Z159" s="695">
        <f t="shared" si="105"/>
        <v>0</v>
      </c>
      <c r="AA159" s="695">
        <f t="shared" si="105"/>
        <v>0</v>
      </c>
      <c r="AB159" s="695">
        <f t="shared" si="105"/>
        <v>0</v>
      </c>
      <c r="AC159" s="695">
        <f t="shared" si="105"/>
        <v>0</v>
      </c>
      <c r="AD159" s="695">
        <f t="shared" si="105"/>
        <v>0</v>
      </c>
      <c r="AE159" s="695">
        <f t="shared" si="105"/>
        <v>0</v>
      </c>
      <c r="AF159" s="695">
        <f t="shared" si="105"/>
        <v>0</v>
      </c>
      <c r="AG159" s="695">
        <f t="shared" si="105"/>
        <v>0</v>
      </c>
      <c r="AH159" s="695">
        <f t="shared" si="105"/>
        <v>0</v>
      </c>
      <c r="AI159" s="695">
        <f t="shared" si="105"/>
        <v>0</v>
      </c>
      <c r="AJ159" s="695">
        <f t="shared" si="105"/>
        <v>0</v>
      </c>
      <c r="AK159" s="695">
        <f t="shared" si="105"/>
        <v>0</v>
      </c>
      <c r="AL159" s="695">
        <f t="shared" si="105"/>
        <v>0</v>
      </c>
      <c r="AM159" s="695">
        <f t="shared" si="105"/>
        <v>0</v>
      </c>
      <c r="AN159" s="695">
        <f t="shared" si="105"/>
        <v>0</v>
      </c>
      <c r="AO159" s="695">
        <f t="shared" si="105"/>
        <v>0</v>
      </c>
      <c r="AP159" s="695">
        <f t="shared" si="105"/>
        <v>0</v>
      </c>
      <c r="AQ159" s="695">
        <f t="shared" si="105"/>
        <v>0</v>
      </c>
      <c r="AR159" s="695">
        <f t="shared" si="105"/>
        <v>0</v>
      </c>
      <c r="AS159" s="695">
        <f t="shared" si="105"/>
        <v>0</v>
      </c>
      <c r="AT159" s="695">
        <f t="shared" si="105"/>
        <v>0</v>
      </c>
      <c r="AU159" s="695">
        <f t="shared" si="105"/>
        <v>0</v>
      </c>
      <c r="AV159" s="695">
        <f t="shared" si="105"/>
        <v>0</v>
      </c>
      <c r="AW159" s="695">
        <f t="shared" si="105"/>
        <v>0</v>
      </c>
      <c r="AX159" s="695">
        <f t="shared" si="105"/>
        <v>0</v>
      </c>
      <c r="AY159" s="695">
        <f t="shared" si="105"/>
        <v>13884.000509809761</v>
      </c>
      <c r="AZ159" s="695">
        <f t="shared" si="105"/>
        <v>458.84561921960994</v>
      </c>
      <c r="BA159" s="695">
        <f t="shared" si="105"/>
        <v>8031.5177241329511</v>
      </c>
      <c r="BB159" s="695">
        <f t="shared" si="105"/>
        <v>0</v>
      </c>
      <c r="BC159" s="798">
        <f t="shared" si="105"/>
        <v>0</v>
      </c>
      <c r="BD159" s="695">
        <f t="shared" si="105"/>
        <v>0</v>
      </c>
      <c r="BE159" s="695">
        <f t="shared" si="105"/>
        <v>0</v>
      </c>
      <c r="BF159" s="695">
        <f t="shared" si="105"/>
        <v>0</v>
      </c>
      <c r="BG159" s="695">
        <f t="shared" si="105"/>
        <v>0</v>
      </c>
      <c r="BH159" s="695">
        <f t="shared" si="105"/>
        <v>0</v>
      </c>
      <c r="BI159" s="695">
        <f t="shared" si="105"/>
        <v>0</v>
      </c>
      <c r="BJ159" s="695">
        <f t="shared" si="105"/>
        <v>0</v>
      </c>
      <c r="BK159" s="695">
        <f t="shared" si="105"/>
        <v>0</v>
      </c>
      <c r="BL159" s="695">
        <f t="shared" si="105"/>
        <v>22374.363853162155</v>
      </c>
      <c r="BM159" s="795"/>
      <c r="BN159" s="214"/>
    </row>
    <row r="160" spans="5:66" x14ac:dyDescent="0.25">
      <c r="E160" s="12"/>
      <c r="F160" s="807" t="s">
        <v>905</v>
      </c>
      <c r="G160" s="807"/>
      <c r="H160" s="798">
        <f t="shared" si="102"/>
        <v>0</v>
      </c>
      <c r="I160" s="798">
        <f t="shared" si="102"/>
        <v>0</v>
      </c>
      <c r="J160" s="695">
        <f t="shared" si="102"/>
        <v>0</v>
      </c>
      <c r="K160" s="695">
        <f t="shared" si="102"/>
        <v>0</v>
      </c>
      <c r="L160" s="695">
        <f t="shared" si="102"/>
        <v>0</v>
      </c>
      <c r="M160" s="695">
        <f t="shared" si="102"/>
        <v>0</v>
      </c>
      <c r="N160" s="695">
        <f t="shared" si="102"/>
        <v>0</v>
      </c>
      <c r="O160" s="695">
        <f t="shared" si="102"/>
        <v>0</v>
      </c>
      <c r="P160" s="695">
        <f t="shared" si="102"/>
        <v>0</v>
      </c>
      <c r="Q160" s="695">
        <f t="shared" si="102"/>
        <v>0</v>
      </c>
      <c r="R160" s="695">
        <f t="shared" si="102"/>
        <v>0</v>
      </c>
      <c r="S160" s="695">
        <f t="shared" si="102"/>
        <v>0</v>
      </c>
      <c r="T160" s="695">
        <f t="shared" si="102"/>
        <v>0</v>
      </c>
      <c r="U160" s="695">
        <f t="shared" si="102"/>
        <v>0</v>
      </c>
      <c r="V160" s="695">
        <f t="shared" si="102"/>
        <v>0</v>
      </c>
      <c r="W160" s="695">
        <f t="shared" si="102"/>
        <v>0</v>
      </c>
      <c r="X160" s="695">
        <f t="shared" si="105"/>
        <v>0</v>
      </c>
      <c r="Y160" s="695">
        <f t="shared" si="105"/>
        <v>0</v>
      </c>
      <c r="Z160" s="695">
        <f t="shared" si="105"/>
        <v>0</v>
      </c>
      <c r="AA160" s="695">
        <f t="shared" si="105"/>
        <v>0</v>
      </c>
      <c r="AB160" s="695">
        <f t="shared" si="105"/>
        <v>0</v>
      </c>
      <c r="AC160" s="695">
        <f t="shared" si="105"/>
        <v>0</v>
      </c>
      <c r="AD160" s="695">
        <f t="shared" si="105"/>
        <v>0</v>
      </c>
      <c r="AE160" s="695">
        <f t="shared" si="105"/>
        <v>0</v>
      </c>
      <c r="AF160" s="695">
        <f t="shared" si="105"/>
        <v>0</v>
      </c>
      <c r="AG160" s="695">
        <f t="shared" si="105"/>
        <v>0</v>
      </c>
      <c r="AH160" s="695">
        <f t="shared" si="105"/>
        <v>0</v>
      </c>
      <c r="AI160" s="695">
        <f t="shared" si="105"/>
        <v>0</v>
      </c>
      <c r="AJ160" s="695">
        <f t="shared" si="105"/>
        <v>0</v>
      </c>
      <c r="AK160" s="695">
        <f t="shared" si="105"/>
        <v>0</v>
      </c>
      <c r="AL160" s="695">
        <f t="shared" si="105"/>
        <v>0</v>
      </c>
      <c r="AM160" s="695">
        <f t="shared" si="105"/>
        <v>0</v>
      </c>
      <c r="AN160" s="695">
        <f t="shared" si="105"/>
        <v>0</v>
      </c>
      <c r="AO160" s="695">
        <f t="shared" si="105"/>
        <v>0</v>
      </c>
      <c r="AP160" s="695">
        <f t="shared" si="105"/>
        <v>0</v>
      </c>
      <c r="AQ160" s="695">
        <f t="shared" si="105"/>
        <v>0</v>
      </c>
      <c r="AR160" s="695">
        <f t="shared" si="105"/>
        <v>0</v>
      </c>
      <c r="AS160" s="695">
        <f t="shared" si="105"/>
        <v>0</v>
      </c>
      <c r="AT160" s="695">
        <f t="shared" si="105"/>
        <v>0</v>
      </c>
      <c r="AU160" s="695">
        <f t="shared" si="105"/>
        <v>0</v>
      </c>
      <c r="AV160" s="695">
        <f t="shared" si="105"/>
        <v>0</v>
      </c>
      <c r="AW160" s="695">
        <f t="shared" si="105"/>
        <v>0</v>
      </c>
      <c r="AX160" s="695">
        <f t="shared" si="105"/>
        <v>0</v>
      </c>
      <c r="AY160" s="695">
        <f t="shared" si="105"/>
        <v>0</v>
      </c>
      <c r="AZ160" s="695">
        <f t="shared" si="105"/>
        <v>0</v>
      </c>
      <c r="BA160" s="695">
        <f t="shared" si="105"/>
        <v>0</v>
      </c>
      <c r="BB160" s="695">
        <f t="shared" si="105"/>
        <v>0</v>
      </c>
      <c r="BC160" s="798">
        <f t="shared" si="105"/>
        <v>0</v>
      </c>
      <c r="BD160" s="695">
        <f t="shared" si="105"/>
        <v>0</v>
      </c>
      <c r="BE160" s="695">
        <f t="shared" si="105"/>
        <v>0</v>
      </c>
      <c r="BF160" s="695">
        <f t="shared" si="105"/>
        <v>0</v>
      </c>
      <c r="BG160" s="695">
        <f t="shared" si="105"/>
        <v>0</v>
      </c>
      <c r="BH160" s="695">
        <f t="shared" si="105"/>
        <v>0</v>
      </c>
      <c r="BI160" s="695">
        <f t="shared" si="105"/>
        <v>0</v>
      </c>
      <c r="BJ160" s="695">
        <f t="shared" si="105"/>
        <v>0</v>
      </c>
      <c r="BK160" s="695">
        <f t="shared" si="105"/>
        <v>0</v>
      </c>
      <c r="BL160" s="695">
        <f t="shared" si="105"/>
        <v>0</v>
      </c>
      <c r="BM160" s="795"/>
      <c r="BN160" s="214"/>
    </row>
    <row r="161" spans="1:73" x14ac:dyDescent="0.25">
      <c r="E161" s="12"/>
      <c r="F161" s="71" t="s">
        <v>3</v>
      </c>
      <c r="G161" s="71"/>
      <c r="H161" s="808">
        <f t="shared" ref="H161:BK161" si="106">SUM(H154:H160)</f>
        <v>5975.2265022648062</v>
      </c>
      <c r="I161" s="808">
        <f t="shared" si="106"/>
        <v>137307.56257139472</v>
      </c>
      <c r="J161" s="809">
        <f t="shared" si="106"/>
        <v>122.66958314669728</v>
      </c>
      <c r="K161" s="809">
        <f t="shared" si="106"/>
        <v>36.188201997807255</v>
      </c>
      <c r="L161" s="809">
        <f t="shared" si="106"/>
        <v>37.88039912855379</v>
      </c>
      <c r="M161" s="809">
        <f t="shared" si="106"/>
        <v>36.732789132378912</v>
      </c>
      <c r="N161" s="809">
        <f t="shared" si="106"/>
        <v>63.648164577335365</v>
      </c>
      <c r="O161" s="809">
        <f t="shared" si="106"/>
        <v>146.4973599893442</v>
      </c>
      <c r="P161" s="809">
        <f t="shared" si="106"/>
        <v>17.750369525271424</v>
      </c>
      <c r="Q161" s="809">
        <f t="shared" si="106"/>
        <v>47.107403149005222</v>
      </c>
      <c r="R161" s="809">
        <f t="shared" si="106"/>
        <v>40.320664458031274</v>
      </c>
      <c r="S161" s="809">
        <f t="shared" si="106"/>
        <v>41.455911347533402</v>
      </c>
      <c r="T161" s="809">
        <f t="shared" si="106"/>
        <v>150.31627626084492</v>
      </c>
      <c r="U161" s="809">
        <f t="shared" si="106"/>
        <v>119.96048768704304</v>
      </c>
      <c r="V161" s="809">
        <f t="shared" si="106"/>
        <v>94.884769776691655</v>
      </c>
      <c r="W161" s="809">
        <f t="shared" si="106"/>
        <v>152.33497045513423</v>
      </c>
      <c r="X161" s="809">
        <f t="shared" si="106"/>
        <v>3.7516434325959693</v>
      </c>
      <c r="Y161" s="809">
        <f t="shared" si="106"/>
        <v>2.9474686990922052</v>
      </c>
      <c r="Z161" s="809">
        <f t="shared" si="106"/>
        <v>14.185397363926427</v>
      </c>
      <c r="AA161" s="809">
        <f t="shared" si="106"/>
        <v>12.950920800222036</v>
      </c>
      <c r="AB161" s="809">
        <f t="shared" si="106"/>
        <v>7.7837810963170853</v>
      </c>
      <c r="AC161" s="809">
        <f t="shared" si="106"/>
        <v>8.0120804249105788</v>
      </c>
      <c r="AD161" s="809">
        <f t="shared" si="106"/>
        <v>45.811337299357888</v>
      </c>
      <c r="AE161" s="809">
        <f t="shared" si="106"/>
        <v>18.30246452283717</v>
      </c>
      <c r="AF161" s="809">
        <f t="shared" si="106"/>
        <v>47.71361057195611</v>
      </c>
      <c r="AG161" s="809">
        <f t="shared" si="106"/>
        <v>149.46478135142661</v>
      </c>
      <c r="AH161" s="809">
        <f t="shared" si="106"/>
        <v>1206.439310226142</v>
      </c>
      <c r="AI161" s="809">
        <f t="shared" si="106"/>
        <v>8.4653673968651333</v>
      </c>
      <c r="AJ161" s="809">
        <f t="shared" si="106"/>
        <v>179.99209483461846</v>
      </c>
      <c r="AK161" s="809">
        <f t="shared" si="106"/>
        <v>154.42084274039871</v>
      </c>
      <c r="AL161" s="809">
        <f t="shared" si="106"/>
        <v>0</v>
      </c>
      <c r="AM161" s="809">
        <f t="shared" si="106"/>
        <v>18.580952087796447</v>
      </c>
      <c r="AN161" s="809">
        <f t="shared" si="106"/>
        <v>31.533285109617054</v>
      </c>
      <c r="AO161" s="809">
        <f t="shared" si="106"/>
        <v>187.90137067769274</v>
      </c>
      <c r="AP161" s="809">
        <f t="shared" si="106"/>
        <v>28.395929292901485</v>
      </c>
      <c r="AQ161" s="809">
        <f t="shared" si="106"/>
        <v>178.93888196211219</v>
      </c>
      <c r="AR161" s="809">
        <f t="shared" si="106"/>
        <v>0.52928039525074588</v>
      </c>
      <c r="AS161" s="809">
        <f t="shared" si="106"/>
        <v>263.55140470204333</v>
      </c>
      <c r="AT161" s="809">
        <f t="shared" si="106"/>
        <v>219.0114685724152</v>
      </c>
      <c r="AU161" s="809">
        <f t="shared" si="106"/>
        <v>304.92562546868976</v>
      </c>
      <c r="AV161" s="809">
        <f t="shared" si="106"/>
        <v>429.35539813976266</v>
      </c>
      <c r="AW161" s="809">
        <f t="shared" si="106"/>
        <v>1098.8499296257796</v>
      </c>
      <c r="AX161" s="809">
        <f t="shared" si="106"/>
        <v>11.228075355870999</v>
      </c>
      <c r="AY161" s="809">
        <f t="shared" si="106"/>
        <v>80986.319944399234</v>
      </c>
      <c r="AZ161" s="809">
        <f t="shared" si="106"/>
        <v>2698.0125635380318</v>
      </c>
      <c r="BA161" s="809">
        <f t="shared" si="106"/>
        <v>47882.440010675957</v>
      </c>
      <c r="BB161" s="809">
        <f t="shared" si="106"/>
        <v>0</v>
      </c>
      <c r="BC161" s="808">
        <f t="shared" si="106"/>
        <v>334097.65973870363</v>
      </c>
      <c r="BD161" s="809">
        <f t="shared" si="106"/>
        <v>53659.706735596992</v>
      </c>
      <c r="BE161" s="809">
        <f t="shared" si="106"/>
        <v>48937.676630202448</v>
      </c>
      <c r="BF161" s="809">
        <f t="shared" si="106"/>
        <v>29962.741352579906</v>
      </c>
      <c r="BG161" s="809">
        <f t="shared" si="106"/>
        <v>55375.530620923731</v>
      </c>
      <c r="BH161" s="809">
        <f t="shared" si="106"/>
        <v>43378.590688358643</v>
      </c>
      <c r="BI161" s="809">
        <f t="shared" si="106"/>
        <v>31586.012590539525</v>
      </c>
      <c r="BJ161" s="809">
        <f t="shared" si="106"/>
        <v>17815.257467259245</v>
      </c>
      <c r="BK161" s="809">
        <f t="shared" si="106"/>
        <v>53382.143653243314</v>
      </c>
      <c r="BL161" s="809">
        <f>SUM(BL154:BL160)</f>
        <v>477380.44881236216</v>
      </c>
      <c r="BM161" s="799"/>
      <c r="BN161" s="810"/>
    </row>
    <row r="162" spans="1:73" s="73" customFormat="1" ht="15.75" thickBot="1" x14ac:dyDescent="0.3">
      <c r="B162" s="817"/>
      <c r="C162" s="676"/>
      <c r="E162" s="818"/>
      <c r="F162" s="625"/>
      <c r="G162" s="625"/>
      <c r="H162" s="819">
        <f>H161-H130</f>
        <v>0</v>
      </c>
      <c r="I162" s="820"/>
      <c r="J162" s="821">
        <f>J161-J130</f>
        <v>4.0927261579781771E-12</v>
      </c>
      <c r="K162" s="821">
        <f t="shared" ref="K162:BL162" si="107">K161-K130</f>
        <v>-2.2737367544323206E-13</v>
      </c>
      <c r="L162" s="821">
        <f t="shared" si="107"/>
        <v>6.8212102632969618E-13</v>
      </c>
      <c r="M162" s="821">
        <f t="shared" si="107"/>
        <v>-1.3642420526593924E-12</v>
      </c>
      <c r="N162" s="821">
        <f t="shared" si="107"/>
        <v>4.3200998334214091E-12</v>
      </c>
      <c r="O162" s="821">
        <f t="shared" si="107"/>
        <v>-1.2278178473934531E-11</v>
      </c>
      <c r="P162" s="821">
        <f t="shared" si="107"/>
        <v>-3.0127011996228248E-12</v>
      </c>
      <c r="Q162" s="821">
        <f t="shared" si="107"/>
        <v>-9.0949470177292824E-13</v>
      </c>
      <c r="R162" s="821">
        <f t="shared" si="107"/>
        <v>-3.751665644813329E-12</v>
      </c>
      <c r="S162" s="821">
        <f t="shared" si="107"/>
        <v>7.2759576141834259E-12</v>
      </c>
      <c r="T162" s="821">
        <f t="shared" si="107"/>
        <v>-1.0459189070388675E-11</v>
      </c>
      <c r="U162" s="821">
        <f t="shared" si="107"/>
        <v>-1.5006662579253316E-11</v>
      </c>
      <c r="V162" s="821">
        <f t="shared" si="107"/>
        <v>1.1368683772161603E-12</v>
      </c>
      <c r="W162" s="821">
        <f t="shared" si="107"/>
        <v>1.2278178473934531E-11</v>
      </c>
      <c r="X162" s="821">
        <f t="shared" si="107"/>
        <v>-2.4158453015843406E-13</v>
      </c>
      <c r="Y162" s="821">
        <f t="shared" si="107"/>
        <v>1.6342482922482304E-13</v>
      </c>
      <c r="Z162" s="821">
        <f t="shared" si="107"/>
        <v>1.1368683772161603E-13</v>
      </c>
      <c r="AA162" s="821">
        <f t="shared" si="107"/>
        <v>1.7053025658242404E-13</v>
      </c>
      <c r="AB162" s="821">
        <f t="shared" si="107"/>
        <v>-3.1263880373444408E-13</v>
      </c>
      <c r="AC162" s="821">
        <f t="shared" si="107"/>
        <v>-3.1263880373444408E-13</v>
      </c>
      <c r="AD162" s="821">
        <f t="shared" si="107"/>
        <v>-3.2969182939268649E-12</v>
      </c>
      <c r="AE162" s="821">
        <f t="shared" si="107"/>
        <v>-2.5579538487363607E-12</v>
      </c>
      <c r="AF162" s="821">
        <f t="shared" si="107"/>
        <v>1.4779288903810084E-12</v>
      </c>
      <c r="AG162" s="821">
        <f t="shared" si="107"/>
        <v>1.0004441719502211E-11</v>
      </c>
      <c r="AH162" s="821">
        <f t="shared" si="107"/>
        <v>1.8189894035458565E-11</v>
      </c>
      <c r="AI162" s="821">
        <f t="shared" si="107"/>
        <v>-8.5265128291212022E-13</v>
      </c>
      <c r="AJ162" s="821">
        <f t="shared" si="107"/>
        <v>-7.73070496506989E-12</v>
      </c>
      <c r="AK162" s="821">
        <f t="shared" si="107"/>
        <v>5.0022208597511053E-12</v>
      </c>
      <c r="AL162" s="821">
        <f t="shared" si="107"/>
        <v>0</v>
      </c>
      <c r="AM162" s="821">
        <f t="shared" si="107"/>
        <v>8.5265128291212022E-13</v>
      </c>
      <c r="AN162" s="821">
        <f t="shared" si="107"/>
        <v>-2.2737367544323206E-13</v>
      </c>
      <c r="AO162" s="821">
        <f t="shared" si="107"/>
        <v>6.1390892369672656E-11</v>
      </c>
      <c r="AP162" s="821">
        <f t="shared" si="107"/>
        <v>9.3791641120333225E-12</v>
      </c>
      <c r="AQ162" s="821">
        <f t="shared" si="107"/>
        <v>1.7735146684572101E-11</v>
      </c>
      <c r="AR162" s="821">
        <f t="shared" si="107"/>
        <v>-4.7961634663806763E-14</v>
      </c>
      <c r="AS162" s="821">
        <f t="shared" si="107"/>
        <v>2.7284841053187847E-12</v>
      </c>
      <c r="AT162" s="821">
        <f t="shared" si="107"/>
        <v>1.8644641386345029E-11</v>
      </c>
      <c r="AU162" s="821">
        <f t="shared" si="107"/>
        <v>-3.092281986027956E-11</v>
      </c>
      <c r="AV162" s="821">
        <f t="shared" si="107"/>
        <v>-3.7289282772690058E-11</v>
      </c>
      <c r="AW162" s="821">
        <f t="shared" si="107"/>
        <v>-8.7311491370201111E-11</v>
      </c>
      <c r="AX162" s="821">
        <f t="shared" si="107"/>
        <v>-6.2527760746888816E-13</v>
      </c>
      <c r="AY162" s="821">
        <f t="shared" si="107"/>
        <v>-1.7462298274040222E-10</v>
      </c>
      <c r="AZ162" s="821">
        <f t="shared" si="107"/>
        <v>-7.2759576141834259E-12</v>
      </c>
      <c r="BA162" s="821">
        <f t="shared" si="107"/>
        <v>0</v>
      </c>
      <c r="BB162" s="821">
        <f t="shared" si="107"/>
        <v>0</v>
      </c>
      <c r="BC162" s="820">
        <f t="shared" si="107"/>
        <v>0</v>
      </c>
      <c r="BD162" s="821">
        <f t="shared" si="107"/>
        <v>-2.3283064365386963E-10</v>
      </c>
      <c r="BE162" s="821">
        <f t="shared" si="107"/>
        <v>-2.3283064365386963E-10</v>
      </c>
      <c r="BF162" s="821">
        <f t="shared" si="107"/>
        <v>-1.1641532182693481E-10</v>
      </c>
      <c r="BG162" s="821">
        <f t="shared" si="107"/>
        <v>2.3283064365386963E-10</v>
      </c>
      <c r="BH162" s="821">
        <f t="shared" si="107"/>
        <v>-1.1641532182693481E-10</v>
      </c>
      <c r="BI162" s="821">
        <f t="shared" si="107"/>
        <v>0</v>
      </c>
      <c r="BJ162" s="821">
        <f t="shared" si="107"/>
        <v>5.8207660913467407E-11</v>
      </c>
      <c r="BK162" s="821">
        <f t="shared" si="107"/>
        <v>2.3283064365386963E-10</v>
      </c>
      <c r="BL162" s="821">
        <f t="shared" si="107"/>
        <v>-2.2700987756252289E-9</v>
      </c>
      <c r="BM162" s="822"/>
      <c r="BN162" s="626"/>
      <c r="BU162" s="31"/>
    </row>
    <row r="163" spans="1:73" s="139" customFormat="1" x14ac:dyDescent="0.25">
      <c r="A163" s="139" t="s">
        <v>96</v>
      </c>
      <c r="B163" s="631"/>
      <c r="C163" s="651"/>
      <c r="H163" s="330">
        <f t="shared" ref="H163:BL163" si="108">H151-H141-H130</f>
        <v>0</v>
      </c>
      <c r="I163" s="330">
        <f t="shared" si="108"/>
        <v>-4.9476511776447296E-10</v>
      </c>
      <c r="J163" s="330">
        <f t="shared" si="108"/>
        <v>0</v>
      </c>
      <c r="K163" s="330">
        <f t="shared" si="108"/>
        <v>0</v>
      </c>
      <c r="L163" s="330">
        <f t="shared" si="108"/>
        <v>0</v>
      </c>
      <c r="M163" s="330">
        <f t="shared" si="108"/>
        <v>0</v>
      </c>
      <c r="N163" s="330">
        <f t="shared" si="108"/>
        <v>1.4551915228366852E-11</v>
      </c>
      <c r="O163" s="330">
        <f t="shared" si="108"/>
        <v>-2.9103830456733704E-11</v>
      </c>
      <c r="P163" s="330">
        <f t="shared" si="108"/>
        <v>-7.2759576141834259E-12</v>
      </c>
      <c r="Q163" s="330">
        <f t="shared" si="108"/>
        <v>0</v>
      </c>
      <c r="R163" s="330">
        <f t="shared" si="108"/>
        <v>-7.2759576141834259E-12</v>
      </c>
      <c r="S163" s="330">
        <f t="shared" si="108"/>
        <v>7.2759576141834259E-12</v>
      </c>
      <c r="T163" s="330">
        <f t="shared" si="108"/>
        <v>0</v>
      </c>
      <c r="U163" s="330">
        <f t="shared" si="108"/>
        <v>-2.9103830456733704E-11</v>
      </c>
      <c r="V163" s="330">
        <f t="shared" si="108"/>
        <v>0</v>
      </c>
      <c r="W163" s="330">
        <f t="shared" si="108"/>
        <v>2.9103830456733704E-11</v>
      </c>
      <c r="X163" s="330">
        <f t="shared" si="108"/>
        <v>0</v>
      </c>
      <c r="Y163" s="330">
        <f t="shared" si="108"/>
        <v>4.5474735088646412E-13</v>
      </c>
      <c r="Z163" s="330">
        <f t="shared" si="108"/>
        <v>0</v>
      </c>
      <c r="AA163" s="330">
        <f t="shared" si="108"/>
        <v>1.8189894035458565E-12</v>
      </c>
      <c r="AB163" s="330">
        <f t="shared" si="108"/>
        <v>0</v>
      </c>
      <c r="AC163" s="330">
        <f t="shared" si="108"/>
        <v>1.8189894035458565E-12</v>
      </c>
      <c r="AD163" s="330">
        <f t="shared" si="108"/>
        <v>-7.2759576141834259E-12</v>
      </c>
      <c r="AE163" s="330">
        <f t="shared" si="108"/>
        <v>-3.637978807091713E-12</v>
      </c>
      <c r="AF163" s="330">
        <f t="shared" si="108"/>
        <v>0</v>
      </c>
      <c r="AG163" s="330">
        <f t="shared" si="108"/>
        <v>0</v>
      </c>
      <c r="AH163" s="330">
        <f t="shared" si="108"/>
        <v>0</v>
      </c>
      <c r="AI163" s="330">
        <f t="shared" si="108"/>
        <v>-1.8189894035458565E-12</v>
      </c>
      <c r="AJ163" s="330">
        <f t="shared" si="108"/>
        <v>0</v>
      </c>
      <c r="AK163" s="330">
        <f t="shared" si="108"/>
        <v>0</v>
      </c>
      <c r="AL163" s="330">
        <f t="shared" si="108"/>
        <v>0</v>
      </c>
      <c r="AM163" s="330">
        <f t="shared" si="108"/>
        <v>0</v>
      </c>
      <c r="AN163" s="330">
        <f t="shared" si="108"/>
        <v>0</v>
      </c>
      <c r="AO163" s="330">
        <f t="shared" si="108"/>
        <v>1.1641532182693481E-10</v>
      </c>
      <c r="AP163" s="330">
        <f t="shared" si="108"/>
        <v>1.4551915228366852E-11</v>
      </c>
      <c r="AQ163" s="330">
        <f t="shared" si="108"/>
        <v>2.9103830456733704E-11</v>
      </c>
      <c r="AR163" s="330">
        <f t="shared" si="108"/>
        <v>1.1368683772161603E-13</v>
      </c>
      <c r="AS163" s="330">
        <f t="shared" si="108"/>
        <v>0</v>
      </c>
      <c r="AT163" s="330">
        <f t="shared" si="108"/>
        <v>2.9103830456733704E-11</v>
      </c>
      <c r="AU163" s="330">
        <f t="shared" si="108"/>
        <v>0</v>
      </c>
      <c r="AV163" s="330">
        <f t="shared" si="108"/>
        <v>0</v>
      </c>
      <c r="AW163" s="330">
        <f t="shared" si="108"/>
        <v>-2.3283064365386963E-10</v>
      </c>
      <c r="AX163" s="330">
        <f t="shared" si="108"/>
        <v>0</v>
      </c>
      <c r="AY163" s="330">
        <f t="shared" si="108"/>
        <v>0</v>
      </c>
      <c r="AZ163" s="330">
        <f t="shared" si="108"/>
        <v>-7.2759576141834259E-12</v>
      </c>
      <c r="BA163" s="330">
        <f t="shared" si="108"/>
        <v>2.3283064365386963E-10</v>
      </c>
      <c r="BB163" s="330">
        <f t="shared" si="108"/>
        <v>0</v>
      </c>
      <c r="BC163" s="330">
        <f t="shared" si="108"/>
        <v>0</v>
      </c>
      <c r="BD163" s="330">
        <f t="shared" si="108"/>
        <v>-2.3283064365386963E-10</v>
      </c>
      <c r="BE163" s="330">
        <f t="shared" si="108"/>
        <v>-2.3283064365386963E-10</v>
      </c>
      <c r="BF163" s="330">
        <f t="shared" si="108"/>
        <v>-1.1641532182693481E-10</v>
      </c>
      <c r="BG163" s="330">
        <f t="shared" si="108"/>
        <v>2.3283064365386963E-10</v>
      </c>
      <c r="BH163" s="330">
        <f t="shared" si="108"/>
        <v>-2.3283064365386963E-10</v>
      </c>
      <c r="BI163" s="330">
        <f t="shared" si="108"/>
        <v>0</v>
      </c>
      <c r="BJ163" s="330">
        <f t="shared" si="108"/>
        <v>5.8207660913467407E-11</v>
      </c>
      <c r="BK163" s="330">
        <f t="shared" si="108"/>
        <v>2.3283064365386963E-10</v>
      </c>
      <c r="BL163" s="330">
        <f t="shared" si="108"/>
        <v>-6.3446350395679474E-9</v>
      </c>
      <c r="BM163" s="631"/>
      <c r="BP163" s="224"/>
      <c r="BQ163" s="224"/>
      <c r="BR163" s="224"/>
      <c r="BU163" s="31"/>
    </row>
    <row r="164" spans="1:73" ht="15.75" thickBot="1" x14ac:dyDescent="0.3">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row>
    <row r="165" spans="1:73" x14ac:dyDescent="0.25">
      <c r="E165" s="18"/>
      <c r="F165" s="16"/>
      <c r="G165" s="823"/>
      <c r="H165" s="823"/>
      <c r="I165" s="823"/>
      <c r="J165" s="823"/>
      <c r="K165" s="823"/>
      <c r="L165" s="823"/>
      <c r="M165" s="823"/>
      <c r="N165" s="823"/>
      <c r="O165" s="823"/>
      <c r="P165" s="823"/>
      <c r="Q165" s="823"/>
      <c r="R165" s="823"/>
      <c r="S165" s="823"/>
      <c r="T165" s="823"/>
      <c r="U165" s="823"/>
      <c r="V165" s="823"/>
      <c r="W165" s="823"/>
      <c r="X165" s="824"/>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351"/>
      <c r="BC165" s="351"/>
      <c r="BD165" s="351"/>
      <c r="BE165" s="76"/>
      <c r="BF165" s="76"/>
      <c r="BG165" s="76"/>
      <c r="BH165" s="76"/>
      <c r="BI165" s="76"/>
      <c r="BJ165" s="76"/>
      <c r="BK165" s="76"/>
      <c r="BL165" s="631"/>
      <c r="BM165" s="177"/>
      <c r="BO165" s="204"/>
      <c r="BR165" s="177"/>
    </row>
    <row r="166" spans="1:73" x14ac:dyDescent="0.25">
      <c r="E166" s="825" t="s">
        <v>907</v>
      </c>
      <c r="F166" s="71"/>
      <c r="G166" s="71"/>
      <c r="H166" s="1346" t="s">
        <v>908</v>
      </c>
      <c r="I166" s="1346"/>
      <c r="J166" s="1346"/>
      <c r="K166" s="1346"/>
      <c r="L166" s="1346"/>
      <c r="M166" s="1346"/>
      <c r="N166" s="1346"/>
      <c r="O166" s="1346"/>
      <c r="P166" s="1346"/>
      <c r="Q166" s="1346"/>
      <c r="R166" s="1346"/>
      <c r="S166" s="1346"/>
      <c r="T166" s="1346"/>
      <c r="U166" s="1346"/>
      <c r="V166" s="1346"/>
      <c r="W166" s="1346"/>
      <c r="X166" s="800"/>
      <c r="Y166" s="76"/>
      <c r="Z166" s="76"/>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351"/>
      <c r="BC166" s="351"/>
      <c r="BD166" s="351"/>
      <c r="BE166" s="76"/>
      <c r="BF166" s="76"/>
      <c r="BG166" s="76"/>
      <c r="BH166" s="76"/>
      <c r="BI166" s="76"/>
      <c r="BJ166" s="76"/>
      <c r="BK166" s="76"/>
      <c r="BL166" s="667"/>
      <c r="BM166" s="76"/>
      <c r="BO166" s="204"/>
      <c r="BR166" s="177"/>
    </row>
    <row r="167" spans="1:73" ht="45" x14ac:dyDescent="0.25">
      <c r="E167" s="12"/>
      <c r="F167" s="794" t="s">
        <v>906</v>
      </c>
      <c r="G167" s="826" t="s">
        <v>909</v>
      </c>
      <c r="H167" s="827" t="str">
        <f>H2</f>
        <v>Tribus</v>
      </c>
      <c r="I167" s="827" t="s">
        <v>12</v>
      </c>
      <c r="J167" s="827" t="s">
        <v>8</v>
      </c>
      <c r="K167" s="827" t="s">
        <v>164</v>
      </c>
      <c r="L167" s="827" t="s">
        <v>165</v>
      </c>
      <c r="M167" s="827" t="str">
        <f>AH1</f>
        <v>WSES</v>
      </c>
      <c r="N167" s="827" t="s">
        <v>18</v>
      </c>
      <c r="O167" s="827" t="s">
        <v>16</v>
      </c>
      <c r="P167" s="827" t="s">
        <v>109</v>
      </c>
      <c r="Q167" s="828" t="s">
        <v>114</v>
      </c>
      <c r="R167" s="828" t="s">
        <v>110</v>
      </c>
      <c r="S167" s="828" t="s">
        <v>910</v>
      </c>
      <c r="T167" s="828" t="s">
        <v>911</v>
      </c>
      <c r="U167" s="828" t="s">
        <v>334</v>
      </c>
      <c r="V167" s="828" t="s">
        <v>3</v>
      </c>
      <c r="W167" s="829" t="s">
        <v>96</v>
      </c>
      <c r="X167" s="214"/>
      <c r="Y167" s="76"/>
      <c r="Z167" s="76"/>
      <c r="BB167" s="69"/>
      <c r="BC167" s="69"/>
      <c r="BD167" s="343"/>
      <c r="BL167" s="631"/>
      <c r="BM167" s="177"/>
      <c r="BO167" s="204"/>
      <c r="BR167" s="177"/>
    </row>
    <row r="168" spans="1:73" x14ac:dyDescent="0.25">
      <c r="D168" s="76"/>
      <c r="E168" s="12"/>
      <c r="F168" s="71"/>
      <c r="G168" s="830" t="s">
        <v>899</v>
      </c>
      <c r="H168" s="695">
        <f t="shared" ref="H168:H174" si="109">H144</f>
        <v>132835.08270087352</v>
      </c>
      <c r="I168" s="695">
        <f t="shared" ref="I168:I174" si="110">SUM(J144,K144,X144,Y144,AG144,AI144,AM144+AN144+AO144+AP144+AQ144+AR144+AS144+AT144+AU144+AV144)</f>
        <v>465240.96803364356</v>
      </c>
      <c r="J168" s="695">
        <f t="shared" ref="J168:J174" si="111">SUM(L144:U144,Z144:AF144,AJ144:AL144)</f>
        <v>279668.06563106104</v>
      </c>
      <c r="K168" s="695">
        <f t="shared" ref="K168:L174" si="112">V144</f>
        <v>22302.645737652179</v>
      </c>
      <c r="L168" s="695">
        <f t="shared" si="112"/>
        <v>35763.743168906927</v>
      </c>
      <c r="M168" s="695">
        <f t="shared" ref="M168:M174" si="113">AH144</f>
        <v>285867.1948359824</v>
      </c>
      <c r="N168" s="695">
        <f t="shared" ref="N168:R174" si="114">AW144</f>
        <v>257393.14346213176</v>
      </c>
      <c r="O168" s="695">
        <f t="shared" si="114"/>
        <v>2683.9897573595126</v>
      </c>
      <c r="P168" s="695">
        <f t="shared" si="114"/>
        <v>865023.63382742053</v>
      </c>
      <c r="Q168" s="695">
        <f t="shared" si="114"/>
        <v>29090.882017799355</v>
      </c>
      <c r="R168" s="695">
        <f t="shared" si="114"/>
        <v>524551.99234466359</v>
      </c>
      <c r="S168" s="831">
        <f t="shared" ref="S168:S174" si="115">BB144*0</f>
        <v>0</v>
      </c>
      <c r="T168" s="695">
        <f t="shared" ref="T168:T174" si="116">SUM(BD144:BJ144)</f>
        <v>6558563.0296501098</v>
      </c>
      <c r="U168" s="695">
        <f t="shared" ref="U168:U174" si="117">BK144</f>
        <v>1135331.277336821</v>
      </c>
      <c r="V168" s="832">
        <f t="shared" ref="V168:V174" si="118">SUM(H168:U168)</f>
        <v>10594315.648504425</v>
      </c>
      <c r="W168" s="833">
        <f>V168-BL144+BB144</f>
        <v>0</v>
      </c>
      <c r="X168" s="214"/>
      <c r="Y168" s="76"/>
      <c r="Z168" s="76"/>
      <c r="BB168" s="69"/>
      <c r="BC168" s="69"/>
      <c r="BD168" s="343"/>
      <c r="BL168" s="631"/>
      <c r="BM168" s="177"/>
      <c r="BO168" s="204"/>
      <c r="BR168" s="177"/>
    </row>
    <row r="169" spans="1:73" x14ac:dyDescent="0.25">
      <c r="D169" s="76"/>
      <c r="E169" s="12"/>
      <c r="F169" s="71"/>
      <c r="G169" s="834" t="s">
        <v>900</v>
      </c>
      <c r="H169" s="695">
        <f t="shared" si="109"/>
        <v>0</v>
      </c>
      <c r="I169" s="695">
        <f t="shared" si="110"/>
        <v>38333.040743187928</v>
      </c>
      <c r="J169" s="695">
        <f t="shared" si="111"/>
        <v>38414.276644327649</v>
      </c>
      <c r="K169" s="695">
        <f t="shared" si="112"/>
        <v>2216.95356875369</v>
      </c>
      <c r="L169" s="695">
        <f t="shared" si="112"/>
        <v>3637.6964118533424</v>
      </c>
      <c r="M169" s="695">
        <f t="shared" si="113"/>
        <v>33034.415716982548</v>
      </c>
      <c r="N169" s="695">
        <f t="shared" si="114"/>
        <v>18675.626213143063</v>
      </c>
      <c r="O169" s="695">
        <f t="shared" si="114"/>
        <v>251.75881405291693</v>
      </c>
      <c r="P169" s="695">
        <f t="shared" si="114"/>
        <v>0</v>
      </c>
      <c r="Q169" s="695">
        <f t="shared" si="114"/>
        <v>0</v>
      </c>
      <c r="R169" s="695">
        <f t="shared" si="114"/>
        <v>0</v>
      </c>
      <c r="S169" s="831">
        <f t="shared" si="115"/>
        <v>0</v>
      </c>
      <c r="T169" s="695">
        <f t="shared" si="116"/>
        <v>0</v>
      </c>
      <c r="U169" s="695">
        <f t="shared" si="117"/>
        <v>0</v>
      </c>
      <c r="V169" s="833">
        <f t="shared" si="118"/>
        <v>134563.76811230113</v>
      </c>
      <c r="W169" s="833">
        <f t="shared" ref="W169:W175" si="119">V169-BL145+BB145</f>
        <v>2.9103830456733704E-11</v>
      </c>
      <c r="X169" s="214"/>
      <c r="Y169" s="76"/>
      <c r="Z169" s="76"/>
      <c r="BB169" s="69"/>
      <c r="BC169" s="69"/>
      <c r="BD169" s="343"/>
      <c r="BL169" s="631"/>
      <c r="BM169" s="177"/>
      <c r="BO169" s="204"/>
      <c r="BR169" s="177"/>
    </row>
    <row r="170" spans="1:73" x14ac:dyDescent="0.25">
      <c r="D170" s="76"/>
      <c r="E170" s="12"/>
      <c r="F170" s="71"/>
      <c r="G170" s="835" t="s">
        <v>901</v>
      </c>
      <c r="H170" s="695">
        <f t="shared" si="109"/>
        <v>0</v>
      </c>
      <c r="I170" s="695">
        <f t="shared" si="110"/>
        <v>529170.04826750967</v>
      </c>
      <c r="J170" s="695">
        <f t="shared" si="111"/>
        <v>310236.9378213319</v>
      </c>
      <c r="K170" s="695">
        <f t="shared" si="112"/>
        <v>24445.757366513135</v>
      </c>
      <c r="L170" s="695">
        <f t="shared" si="112"/>
        <v>39727.224732944262</v>
      </c>
      <c r="M170" s="695">
        <f t="shared" si="113"/>
        <v>285596.7171967827</v>
      </c>
      <c r="N170" s="695">
        <f t="shared" si="114"/>
        <v>292535.34513508412</v>
      </c>
      <c r="O170" s="695">
        <f t="shared" si="114"/>
        <v>2392.1167454152883</v>
      </c>
      <c r="P170" s="695">
        <f t="shared" si="114"/>
        <v>645910.05287408305</v>
      </c>
      <c r="Q170" s="695">
        <f t="shared" si="114"/>
        <v>21346.369006668981</v>
      </c>
      <c r="R170" s="695">
        <f t="shared" si="114"/>
        <v>373641.44679975515</v>
      </c>
      <c r="S170" s="831">
        <f t="shared" si="115"/>
        <v>0</v>
      </c>
      <c r="T170" s="695">
        <f t="shared" si="116"/>
        <v>0</v>
      </c>
      <c r="U170" s="695">
        <f t="shared" si="117"/>
        <v>0</v>
      </c>
      <c r="V170" s="833">
        <f t="shared" si="118"/>
        <v>2525002.0159460884</v>
      </c>
      <c r="W170" s="833">
        <f t="shared" si="119"/>
        <v>0</v>
      </c>
      <c r="X170" s="214"/>
      <c r="Y170" s="76"/>
      <c r="Z170" s="76"/>
      <c r="BB170" s="69"/>
      <c r="BC170" s="69"/>
      <c r="BD170" s="343"/>
      <c r="BL170" s="631"/>
      <c r="BM170" s="177"/>
      <c r="BO170" s="204"/>
      <c r="BR170" s="177"/>
    </row>
    <row r="171" spans="1:73" x14ac:dyDescent="0.25">
      <c r="D171" s="76"/>
      <c r="E171" s="12"/>
      <c r="F171" s="71"/>
      <c r="G171" s="836" t="s">
        <v>902</v>
      </c>
      <c r="H171" s="695">
        <f t="shared" si="109"/>
        <v>0</v>
      </c>
      <c r="I171" s="695">
        <f t="shared" si="110"/>
        <v>35089.721349645515</v>
      </c>
      <c r="J171" s="695">
        <f t="shared" si="111"/>
        <v>21038.214936741319</v>
      </c>
      <c r="K171" s="695">
        <f t="shared" si="112"/>
        <v>1676.2975993882196</v>
      </c>
      <c r="L171" s="695">
        <f t="shared" si="112"/>
        <v>2691.2511447073698</v>
      </c>
      <c r="M171" s="695">
        <f t="shared" si="113"/>
        <v>21313.761147328514</v>
      </c>
      <c r="N171" s="695">
        <f t="shared" si="114"/>
        <v>19413.015423388788</v>
      </c>
      <c r="O171" s="695">
        <f t="shared" si="114"/>
        <v>198.3626646203881</v>
      </c>
      <c r="P171" s="695">
        <f t="shared" si="114"/>
        <v>91400.337756727662</v>
      </c>
      <c r="Q171" s="695">
        <f t="shared" si="114"/>
        <v>4752.2820451561556</v>
      </c>
      <c r="R171" s="695">
        <f t="shared" si="114"/>
        <v>58888.710247998075</v>
      </c>
      <c r="S171" s="831">
        <f t="shared" si="115"/>
        <v>0</v>
      </c>
      <c r="T171" s="695">
        <f t="shared" si="116"/>
        <v>352739.58535533951</v>
      </c>
      <c r="U171" s="695">
        <f t="shared" si="117"/>
        <v>67078.569365191681</v>
      </c>
      <c r="V171" s="837">
        <f t="shared" si="118"/>
        <v>676280.10903623328</v>
      </c>
      <c r="W171" s="838">
        <f t="shared" si="119"/>
        <v>0</v>
      </c>
      <c r="X171" s="214"/>
      <c r="Y171" s="76"/>
      <c r="Z171" s="76"/>
      <c r="BB171" s="69"/>
      <c r="BC171" s="69"/>
      <c r="BD171" s="343"/>
      <c r="BL171" s="631"/>
      <c r="BM171" s="177"/>
      <c r="BO171" s="204"/>
      <c r="BR171" s="177"/>
    </row>
    <row r="172" spans="1:73" x14ac:dyDescent="0.25">
      <c r="D172" s="76"/>
      <c r="E172" s="12"/>
      <c r="F172" s="71"/>
      <c r="G172" s="839" t="s">
        <v>903</v>
      </c>
      <c r="H172" s="695">
        <f t="shared" si="109"/>
        <v>0</v>
      </c>
      <c r="I172" s="695">
        <f t="shared" si="110"/>
        <v>0</v>
      </c>
      <c r="J172" s="695">
        <f t="shared" si="111"/>
        <v>0</v>
      </c>
      <c r="K172" s="695">
        <f t="shared" si="112"/>
        <v>0</v>
      </c>
      <c r="L172" s="695">
        <f t="shared" si="112"/>
        <v>0</v>
      </c>
      <c r="M172" s="695">
        <f t="shared" si="113"/>
        <v>0</v>
      </c>
      <c r="N172" s="695">
        <f t="shared" si="114"/>
        <v>0</v>
      </c>
      <c r="O172" s="695">
        <f t="shared" si="114"/>
        <v>0</v>
      </c>
      <c r="P172" s="695">
        <f t="shared" si="114"/>
        <v>28402.423647378499</v>
      </c>
      <c r="Q172" s="695">
        <f t="shared" si="114"/>
        <v>1159.6842519688196</v>
      </c>
      <c r="R172" s="695">
        <f t="shared" si="114"/>
        <v>17804.148565767387</v>
      </c>
      <c r="S172" s="831">
        <f t="shared" si="115"/>
        <v>0</v>
      </c>
      <c r="T172" s="695">
        <f t="shared" si="116"/>
        <v>0</v>
      </c>
      <c r="U172" s="695">
        <f t="shared" si="117"/>
        <v>0</v>
      </c>
      <c r="V172" s="837">
        <f t="shared" si="118"/>
        <v>47366.256465114704</v>
      </c>
      <c r="W172" s="833">
        <f t="shared" si="119"/>
        <v>0</v>
      </c>
      <c r="X172" s="214"/>
      <c r="Y172" s="76"/>
      <c r="Z172" s="76"/>
      <c r="BB172" s="69"/>
      <c r="BC172" s="69"/>
      <c r="BD172" s="343"/>
      <c r="BL172" s="631"/>
      <c r="BM172" s="177"/>
      <c r="BO172" s="204"/>
      <c r="BR172" s="177"/>
    </row>
    <row r="173" spans="1:73" x14ac:dyDescent="0.25">
      <c r="D173" s="76"/>
      <c r="E173" s="12"/>
      <c r="F173" s="71"/>
      <c r="G173" s="840" t="s">
        <v>904</v>
      </c>
      <c r="H173" s="695">
        <f t="shared" si="109"/>
        <v>0</v>
      </c>
      <c r="I173" s="695">
        <f t="shared" si="110"/>
        <v>1189806.6933473053</v>
      </c>
      <c r="J173" s="695">
        <f t="shared" si="111"/>
        <v>1311564.6923956699</v>
      </c>
      <c r="K173" s="695">
        <f t="shared" si="112"/>
        <v>50175.362965936773</v>
      </c>
      <c r="L173" s="695">
        <f t="shared" si="112"/>
        <v>82290.488732921251</v>
      </c>
      <c r="M173" s="695">
        <f t="shared" si="113"/>
        <v>733306.32806703309</v>
      </c>
      <c r="N173" s="695">
        <f t="shared" si="114"/>
        <v>437554.65356741281</v>
      </c>
      <c r="O173" s="695">
        <f t="shared" si="114"/>
        <v>5609.0172739773079</v>
      </c>
      <c r="P173" s="695">
        <f t="shared" si="114"/>
        <v>245284.00900663872</v>
      </c>
      <c r="Q173" s="695">
        <f t="shared" si="114"/>
        <v>8106.2726062130905</v>
      </c>
      <c r="R173" s="695">
        <f t="shared" si="114"/>
        <v>141890.14645968212</v>
      </c>
      <c r="S173" s="831">
        <f t="shared" si="115"/>
        <v>0</v>
      </c>
      <c r="T173" s="695">
        <f t="shared" si="116"/>
        <v>0</v>
      </c>
      <c r="U173" s="695">
        <f t="shared" si="117"/>
        <v>0</v>
      </c>
      <c r="V173" s="837">
        <f t="shared" si="118"/>
        <v>4205587.6644227905</v>
      </c>
      <c r="W173" s="838">
        <f t="shared" si="119"/>
        <v>0</v>
      </c>
      <c r="X173" s="214"/>
      <c r="Y173" s="76"/>
      <c r="Z173" s="76"/>
      <c r="BB173" s="69"/>
      <c r="BC173" s="69"/>
      <c r="BD173" s="343"/>
      <c r="BL173" s="631"/>
      <c r="BM173" s="177"/>
      <c r="BO173" s="204"/>
      <c r="BR173" s="177"/>
    </row>
    <row r="174" spans="1:73" x14ac:dyDescent="0.25">
      <c r="D174" s="76"/>
      <c r="E174" s="12"/>
      <c r="F174" s="71"/>
      <c r="G174" s="841" t="s">
        <v>905</v>
      </c>
      <c r="H174" s="695">
        <f t="shared" si="109"/>
        <v>0</v>
      </c>
      <c r="I174" s="695">
        <f t="shared" si="110"/>
        <v>8622.4136019630459</v>
      </c>
      <c r="J174" s="695">
        <f t="shared" si="111"/>
        <v>8640.6863381033272</v>
      </c>
      <c r="K174" s="695">
        <f t="shared" si="112"/>
        <v>498.66877856641992</v>
      </c>
      <c r="L174" s="695">
        <f t="shared" si="112"/>
        <v>818.24249820177272</v>
      </c>
      <c r="M174" s="695">
        <f t="shared" si="113"/>
        <v>7430.5713788601479</v>
      </c>
      <c r="N174" s="695">
        <f t="shared" si="114"/>
        <v>4200.7878937701662</v>
      </c>
      <c r="O174" s="695">
        <f t="shared" si="114"/>
        <v>56.62917891766044</v>
      </c>
      <c r="P174" s="695">
        <f t="shared" si="114"/>
        <v>0</v>
      </c>
      <c r="Q174" s="695">
        <f t="shared" si="114"/>
        <v>0</v>
      </c>
      <c r="R174" s="695">
        <f t="shared" si="114"/>
        <v>0</v>
      </c>
      <c r="S174" s="831">
        <f t="shared" si="115"/>
        <v>0</v>
      </c>
      <c r="T174" s="695">
        <f t="shared" si="116"/>
        <v>0</v>
      </c>
      <c r="U174" s="695">
        <f t="shared" si="117"/>
        <v>0</v>
      </c>
      <c r="V174" s="837">
        <f t="shared" si="118"/>
        <v>30267.999668382545</v>
      </c>
      <c r="W174" s="838">
        <f t="shared" si="119"/>
        <v>0</v>
      </c>
      <c r="X174" s="214"/>
      <c r="Y174" s="76"/>
      <c r="Z174" s="76"/>
      <c r="BB174" s="69"/>
      <c r="BC174" s="69"/>
      <c r="BD174" s="343"/>
      <c r="BL174" s="631"/>
      <c r="BM174" s="177"/>
      <c r="BO174" s="204"/>
      <c r="BR174" s="177"/>
    </row>
    <row r="175" spans="1:73" x14ac:dyDescent="0.25">
      <c r="D175" s="76"/>
      <c r="E175" s="12"/>
      <c r="F175" s="71"/>
      <c r="G175" s="842" t="s">
        <v>3</v>
      </c>
      <c r="H175" s="809">
        <f>SUM(H168:H174)</f>
        <v>132835.08270087352</v>
      </c>
      <c r="I175" s="809">
        <f t="shared" ref="I175:V175" si="120">SUM(I168:I174)</f>
        <v>2266262.8853432545</v>
      </c>
      <c r="J175" s="809">
        <f t="shared" si="120"/>
        <v>1969562.8737672351</v>
      </c>
      <c r="K175" s="809">
        <f t="shared" si="120"/>
        <v>101315.68601681043</v>
      </c>
      <c r="L175" s="809">
        <f t="shared" si="120"/>
        <v>164928.64668953494</v>
      </c>
      <c r="M175" s="809">
        <f t="shared" si="120"/>
        <v>1366548.9883429694</v>
      </c>
      <c r="N175" s="809">
        <f t="shared" si="120"/>
        <v>1029772.5716949307</v>
      </c>
      <c r="O175" s="809">
        <f t="shared" si="120"/>
        <v>11191.874434343075</v>
      </c>
      <c r="P175" s="809">
        <f t="shared" si="120"/>
        <v>1876020.4571122485</v>
      </c>
      <c r="Q175" s="809">
        <f t="shared" si="120"/>
        <v>64455.489927806404</v>
      </c>
      <c r="R175" s="809">
        <f t="shared" si="120"/>
        <v>1116776.4444178664</v>
      </c>
      <c r="S175" s="843">
        <f t="shared" si="120"/>
        <v>0</v>
      </c>
      <c r="T175" s="809">
        <f t="shared" si="120"/>
        <v>6911302.6150054494</v>
      </c>
      <c r="U175" s="809">
        <f t="shared" si="120"/>
        <v>1202409.8467020127</v>
      </c>
      <c r="V175" s="809">
        <f t="shared" si="120"/>
        <v>18213383.462155335</v>
      </c>
      <c r="W175" s="844">
        <f t="shared" si="119"/>
        <v>0</v>
      </c>
      <c r="X175" s="845"/>
      <c r="Y175" s="76"/>
      <c r="Z175" s="76"/>
      <c r="BB175" s="69"/>
      <c r="BC175" s="69"/>
      <c r="BD175" s="343"/>
      <c r="BL175" s="631"/>
      <c r="BM175" s="177"/>
      <c r="BO175" s="204"/>
      <c r="BR175" s="177"/>
    </row>
    <row r="176" spans="1:73" x14ac:dyDescent="0.25">
      <c r="E176" s="12"/>
      <c r="F176" s="71"/>
      <c r="G176" s="846"/>
      <c r="H176" s="71"/>
      <c r="I176" s="71"/>
      <c r="J176" s="71"/>
      <c r="K176" s="71"/>
      <c r="L176" s="71"/>
      <c r="M176" s="71"/>
      <c r="N176" s="71"/>
      <c r="O176" s="71"/>
      <c r="P176" s="71"/>
      <c r="Q176" s="71"/>
      <c r="R176" s="71"/>
      <c r="S176" s="811">
        <f>BB141</f>
        <v>3919724.4484418882</v>
      </c>
      <c r="T176" s="71" t="s">
        <v>912</v>
      </c>
      <c r="U176" s="71"/>
      <c r="V176" s="811">
        <f>-V175+BL151</f>
        <v>3919724.4484418854</v>
      </c>
      <c r="W176" s="71"/>
      <c r="X176" s="214"/>
      <c r="Y176" s="76"/>
      <c r="Z176" s="76"/>
      <c r="BB176" s="69"/>
      <c r="BC176" s="69"/>
      <c r="BD176" s="343"/>
      <c r="BL176" s="631"/>
      <c r="BM176" s="177"/>
      <c r="BO176" s="204"/>
      <c r="BR176" s="177"/>
    </row>
    <row r="177" spans="5:70" x14ac:dyDescent="0.25">
      <c r="E177" s="12"/>
      <c r="F177" s="71"/>
      <c r="G177" s="846"/>
      <c r="H177" s="71"/>
      <c r="I177" s="71"/>
      <c r="J177" s="71"/>
      <c r="K177" s="71"/>
      <c r="L177" s="71"/>
      <c r="M177" s="71"/>
      <c r="N177" s="71"/>
      <c r="O177" s="71"/>
      <c r="P177" s="71"/>
      <c r="Q177" s="71"/>
      <c r="R177" s="71"/>
      <c r="S177" s="71"/>
      <c r="T177" s="71"/>
      <c r="U177" s="71"/>
      <c r="V177" s="71"/>
      <c r="W177" s="71"/>
      <c r="X177" s="214"/>
      <c r="Y177" s="76"/>
      <c r="Z177" s="76"/>
      <c r="BB177" s="69"/>
      <c r="BC177" s="69"/>
      <c r="BD177" s="343"/>
      <c r="BL177" s="631"/>
      <c r="BM177" s="177"/>
      <c r="BO177" s="204"/>
      <c r="BR177" s="177"/>
    </row>
    <row r="178" spans="5:70" x14ac:dyDescent="0.25">
      <c r="E178" s="12"/>
      <c r="F178" s="71"/>
      <c r="G178" s="847"/>
      <c r="H178" s="1346" t="s">
        <v>908</v>
      </c>
      <c r="I178" s="1346"/>
      <c r="J178" s="1346"/>
      <c r="K178" s="1346"/>
      <c r="L178" s="1346"/>
      <c r="M178" s="1346"/>
      <c r="N178" s="1346"/>
      <c r="O178" s="1346"/>
      <c r="P178" s="1346"/>
      <c r="Q178" s="1346"/>
      <c r="R178" s="1346"/>
      <c r="S178" s="1346"/>
      <c r="T178" s="1346"/>
      <c r="U178" s="1346"/>
      <c r="V178" s="1346"/>
      <c r="W178" s="1346"/>
      <c r="X178" s="214"/>
      <c r="Y178" s="76"/>
      <c r="Z178" s="76"/>
      <c r="BB178" s="69"/>
      <c r="BC178" s="69"/>
      <c r="BD178" s="343"/>
      <c r="BL178" s="631"/>
      <c r="BM178" s="177"/>
      <c r="BO178" s="204"/>
      <c r="BR178" s="177"/>
    </row>
    <row r="179" spans="5:70" x14ac:dyDescent="0.25">
      <c r="E179" s="12"/>
      <c r="F179" s="794" t="s">
        <v>913</v>
      </c>
      <c r="G179" s="848" t="s">
        <v>909</v>
      </c>
      <c r="H179" s="827" t="str">
        <f>H167</f>
        <v>Tribus</v>
      </c>
      <c r="I179" s="827" t="str">
        <f t="shared" ref="I179:U179" si="121">I167</f>
        <v>CUI</v>
      </c>
      <c r="J179" s="827" t="str">
        <f t="shared" si="121"/>
        <v>CMUS</v>
      </c>
      <c r="K179" s="827" t="s">
        <v>164</v>
      </c>
      <c r="L179" s="827" t="s">
        <v>165</v>
      </c>
      <c r="M179" s="827" t="str">
        <f t="shared" si="121"/>
        <v>WSES</v>
      </c>
      <c r="N179" s="827" t="str">
        <f t="shared" si="121"/>
        <v>CWSI</v>
      </c>
      <c r="O179" s="827" t="str">
        <f t="shared" si="121"/>
        <v>CEI</v>
      </c>
      <c r="P179" s="827" t="str">
        <f t="shared" si="121"/>
        <v>Oklahoma</v>
      </c>
      <c r="Q179" s="827" t="str">
        <f t="shared" si="121"/>
        <v>Gillem Enclave</v>
      </c>
      <c r="R179" s="827" t="str">
        <f t="shared" si="121"/>
        <v>Cleveland Thermal</v>
      </c>
      <c r="S179" s="827" t="str">
        <f t="shared" si="121"/>
        <v>Shareholder Bucket (CII)</v>
      </c>
      <c r="T179" s="827" t="str">
        <f t="shared" si="121"/>
        <v>Lower 48</v>
      </c>
      <c r="U179" s="827" t="str">
        <f t="shared" si="121"/>
        <v>FSW</v>
      </c>
      <c r="V179" s="849" t="s">
        <v>3</v>
      </c>
      <c r="W179" s="829" t="s">
        <v>96</v>
      </c>
      <c r="X179" s="214"/>
      <c r="Y179" s="76"/>
      <c r="Z179" s="76"/>
      <c r="BB179" s="69"/>
      <c r="BC179" s="69"/>
      <c r="BD179" s="343"/>
      <c r="BL179" s="631"/>
      <c r="BM179" s="177"/>
      <c r="BO179" s="204"/>
      <c r="BR179" s="177"/>
    </row>
    <row r="180" spans="5:70" x14ac:dyDescent="0.25">
      <c r="E180" s="12"/>
      <c r="F180" s="71"/>
      <c r="G180" s="830" t="s">
        <v>899</v>
      </c>
      <c r="H180" s="695"/>
      <c r="I180" s="695"/>
      <c r="J180" s="695"/>
      <c r="K180" s="695"/>
      <c r="L180" s="695"/>
      <c r="M180" s="695"/>
      <c r="N180" s="695"/>
      <c r="O180" s="695"/>
      <c r="P180" s="695"/>
      <c r="Q180" s="695"/>
      <c r="R180" s="695"/>
      <c r="S180" s="831"/>
      <c r="T180" s="695"/>
      <c r="U180" s="695"/>
      <c r="V180" s="850">
        <f t="shared" ref="V180:V186" si="122">SUM(H180:U180)</f>
        <v>0</v>
      </c>
      <c r="W180" s="833"/>
      <c r="X180" s="214"/>
      <c r="Y180" s="76"/>
      <c r="Z180" s="76"/>
      <c r="BB180" s="69"/>
      <c r="BC180" s="69"/>
      <c r="BD180" s="343"/>
      <c r="BL180" s="631"/>
      <c r="BM180" s="177"/>
      <c r="BO180" s="204"/>
      <c r="BR180" s="177"/>
    </row>
    <row r="181" spans="5:70" x14ac:dyDescent="0.25">
      <c r="E181" s="12"/>
      <c r="F181" s="71"/>
      <c r="G181" s="834" t="s">
        <v>900</v>
      </c>
      <c r="H181" s="695"/>
      <c r="I181" s="695"/>
      <c r="J181" s="695"/>
      <c r="K181" s="695"/>
      <c r="L181" s="695"/>
      <c r="M181" s="695"/>
      <c r="N181" s="695"/>
      <c r="O181" s="695"/>
      <c r="P181" s="695"/>
      <c r="Q181" s="695"/>
      <c r="R181" s="695"/>
      <c r="S181" s="831"/>
      <c r="T181" s="695"/>
      <c r="U181" s="695"/>
      <c r="V181" s="851">
        <f t="shared" si="122"/>
        <v>0</v>
      </c>
      <c r="W181" s="833"/>
      <c r="X181" s="214"/>
      <c r="Y181" s="76"/>
      <c r="Z181" s="76"/>
      <c r="BB181" s="69"/>
      <c r="BC181" s="69"/>
      <c r="BD181" s="343"/>
      <c r="BL181" s="631"/>
      <c r="BM181" s="177"/>
      <c r="BO181" s="204"/>
      <c r="BR181" s="177"/>
    </row>
    <row r="182" spans="5:70" x14ac:dyDescent="0.25">
      <c r="E182" s="12"/>
      <c r="F182" s="71"/>
      <c r="G182" s="835" t="s">
        <v>901</v>
      </c>
      <c r="H182" s="695"/>
      <c r="I182" s="695"/>
      <c r="J182" s="695"/>
      <c r="K182" s="695"/>
      <c r="L182" s="695"/>
      <c r="M182" s="695"/>
      <c r="N182" s="695"/>
      <c r="O182" s="695"/>
      <c r="P182" s="695"/>
      <c r="Q182" s="695"/>
      <c r="R182" s="695"/>
      <c r="S182" s="831"/>
      <c r="T182" s="695"/>
      <c r="U182" s="695"/>
      <c r="V182" s="851">
        <f t="shared" si="122"/>
        <v>0</v>
      </c>
      <c r="W182" s="833"/>
      <c r="X182" s="214"/>
      <c r="Y182" s="76"/>
      <c r="Z182" s="76"/>
      <c r="BB182" s="69"/>
      <c r="BC182" s="69"/>
      <c r="BD182" s="343"/>
      <c r="BL182" s="631"/>
      <c r="BM182" s="177"/>
      <c r="BO182" s="204"/>
      <c r="BR182" s="177"/>
    </row>
    <row r="183" spans="5:70" x14ac:dyDescent="0.25">
      <c r="E183" s="12"/>
      <c r="F183" s="852" t="s">
        <v>914</v>
      </c>
      <c r="G183" s="836" t="s">
        <v>902</v>
      </c>
      <c r="H183" s="695">
        <f t="shared" ref="H183:U186" si="123">H171</f>
        <v>0</v>
      </c>
      <c r="I183" s="695">
        <f t="shared" si="123"/>
        <v>35089.721349645515</v>
      </c>
      <c r="J183" s="695">
        <f t="shared" si="123"/>
        <v>21038.214936741319</v>
      </c>
      <c r="K183" s="695">
        <f t="shared" si="123"/>
        <v>1676.2975993882196</v>
      </c>
      <c r="L183" s="695">
        <f t="shared" si="123"/>
        <v>2691.2511447073698</v>
      </c>
      <c r="M183" s="695">
        <f t="shared" si="123"/>
        <v>21313.761147328514</v>
      </c>
      <c r="N183" s="695">
        <f t="shared" si="123"/>
        <v>19413.015423388788</v>
      </c>
      <c r="O183" s="695">
        <f t="shared" si="123"/>
        <v>198.3626646203881</v>
      </c>
      <c r="P183" s="695">
        <f t="shared" si="123"/>
        <v>91400.337756727662</v>
      </c>
      <c r="Q183" s="695">
        <f t="shared" si="123"/>
        <v>4752.2820451561556</v>
      </c>
      <c r="R183" s="695">
        <f t="shared" si="123"/>
        <v>58888.710247998075</v>
      </c>
      <c r="S183" s="831">
        <f>S171*0</f>
        <v>0</v>
      </c>
      <c r="T183" s="695">
        <f t="shared" si="123"/>
        <v>352739.58535533951</v>
      </c>
      <c r="U183" s="695">
        <f t="shared" si="123"/>
        <v>67078.569365191681</v>
      </c>
      <c r="V183" s="853">
        <f t="shared" si="122"/>
        <v>676280.10903623328</v>
      </c>
      <c r="W183" s="838">
        <f>V183-V171</f>
        <v>0</v>
      </c>
      <c r="X183" s="854"/>
      <c r="Y183" s="76"/>
      <c r="Z183" s="76"/>
      <c r="BB183" s="69"/>
      <c r="BC183" s="69"/>
      <c r="BD183" s="343"/>
      <c r="BL183" s="631"/>
      <c r="BM183" s="177"/>
      <c r="BO183" s="204"/>
      <c r="BR183" s="177"/>
    </row>
    <row r="184" spans="5:70" x14ac:dyDescent="0.25">
      <c r="E184" s="12"/>
      <c r="F184" s="852" t="s">
        <v>914</v>
      </c>
      <c r="G184" s="839" t="s">
        <v>903</v>
      </c>
      <c r="H184" s="695">
        <f t="shared" si="123"/>
        <v>0</v>
      </c>
      <c r="I184" s="695">
        <f t="shared" si="123"/>
        <v>0</v>
      </c>
      <c r="J184" s="695">
        <f t="shared" si="123"/>
        <v>0</v>
      </c>
      <c r="K184" s="695">
        <f t="shared" si="123"/>
        <v>0</v>
      </c>
      <c r="L184" s="695">
        <f t="shared" si="123"/>
        <v>0</v>
      </c>
      <c r="M184" s="695">
        <f t="shared" si="123"/>
        <v>0</v>
      </c>
      <c r="N184" s="695">
        <f t="shared" si="123"/>
        <v>0</v>
      </c>
      <c r="O184" s="695">
        <f t="shared" si="123"/>
        <v>0</v>
      </c>
      <c r="P184" s="695">
        <f t="shared" si="123"/>
        <v>28402.423647378499</v>
      </c>
      <c r="Q184" s="695">
        <f t="shared" si="123"/>
        <v>1159.6842519688196</v>
      </c>
      <c r="R184" s="695">
        <f t="shared" si="123"/>
        <v>17804.148565767387</v>
      </c>
      <c r="S184" s="831">
        <f>S172*0</f>
        <v>0</v>
      </c>
      <c r="T184" s="695">
        <f t="shared" si="123"/>
        <v>0</v>
      </c>
      <c r="U184" s="695">
        <f t="shared" si="123"/>
        <v>0</v>
      </c>
      <c r="V184" s="853">
        <f t="shared" si="122"/>
        <v>47366.256465114704</v>
      </c>
      <c r="W184" s="833"/>
      <c r="X184" s="854"/>
      <c r="Y184" s="76"/>
      <c r="Z184" s="76"/>
      <c r="BB184" s="69"/>
      <c r="BC184" s="69"/>
      <c r="BD184" s="343"/>
      <c r="BL184" s="631"/>
      <c r="BM184" s="177"/>
      <c r="BO184" s="204"/>
      <c r="BR184" s="177"/>
    </row>
    <row r="185" spans="5:70" x14ac:dyDescent="0.25">
      <c r="E185" s="12"/>
      <c r="F185" s="852" t="s">
        <v>915</v>
      </c>
      <c r="G185" s="840" t="s">
        <v>904</v>
      </c>
      <c r="H185" s="695">
        <f t="shared" si="123"/>
        <v>0</v>
      </c>
      <c r="I185" s="695">
        <f>I173</f>
        <v>1189806.6933473053</v>
      </c>
      <c r="J185" s="695">
        <f t="shared" si="123"/>
        <v>1311564.6923956699</v>
      </c>
      <c r="K185" s="695">
        <f t="shared" si="123"/>
        <v>50175.362965936773</v>
      </c>
      <c r="L185" s="695">
        <f t="shared" si="123"/>
        <v>82290.488732921251</v>
      </c>
      <c r="M185" s="695">
        <f t="shared" si="123"/>
        <v>733306.32806703309</v>
      </c>
      <c r="N185" s="695">
        <f t="shared" si="123"/>
        <v>437554.65356741281</v>
      </c>
      <c r="O185" s="695">
        <f t="shared" si="123"/>
        <v>5609.0172739773079</v>
      </c>
      <c r="P185" s="695">
        <f t="shared" si="123"/>
        <v>245284.00900663872</v>
      </c>
      <c r="Q185" s="695">
        <f t="shared" si="123"/>
        <v>8106.2726062130905</v>
      </c>
      <c r="R185" s="695">
        <f t="shared" si="123"/>
        <v>141890.14645968212</v>
      </c>
      <c r="S185" s="831">
        <f>S173*0</f>
        <v>0</v>
      </c>
      <c r="T185" s="695">
        <f t="shared" si="123"/>
        <v>0</v>
      </c>
      <c r="U185" s="695">
        <f t="shared" si="123"/>
        <v>0</v>
      </c>
      <c r="V185" s="853">
        <f t="shared" si="122"/>
        <v>4205587.6644227905</v>
      </c>
      <c r="W185" s="838">
        <f>V185-V173</f>
        <v>0</v>
      </c>
      <c r="X185" s="854"/>
      <c r="Y185" s="76"/>
      <c r="Z185" s="76"/>
      <c r="BB185" s="69"/>
      <c r="BC185" s="69"/>
      <c r="BD185" s="343"/>
      <c r="BL185" s="631"/>
      <c r="BM185" s="177"/>
      <c r="BO185" s="204"/>
      <c r="BR185" s="177"/>
    </row>
    <row r="186" spans="5:70" x14ac:dyDescent="0.25">
      <c r="E186" s="12"/>
      <c r="F186" s="852" t="s">
        <v>916</v>
      </c>
      <c r="G186" s="841" t="s">
        <v>905</v>
      </c>
      <c r="H186" s="695">
        <f t="shared" si="123"/>
        <v>0</v>
      </c>
      <c r="I186" s="695">
        <f t="shared" si="123"/>
        <v>8622.4136019630459</v>
      </c>
      <c r="J186" s="695">
        <f t="shared" si="123"/>
        <v>8640.6863381033272</v>
      </c>
      <c r="K186" s="695">
        <f t="shared" si="123"/>
        <v>498.66877856641992</v>
      </c>
      <c r="L186" s="695">
        <f t="shared" si="123"/>
        <v>818.24249820177272</v>
      </c>
      <c r="M186" s="695">
        <f t="shared" si="123"/>
        <v>7430.5713788601479</v>
      </c>
      <c r="N186" s="695">
        <f t="shared" si="123"/>
        <v>4200.7878937701662</v>
      </c>
      <c r="O186" s="695">
        <f t="shared" si="123"/>
        <v>56.62917891766044</v>
      </c>
      <c r="P186" s="695">
        <f t="shared" si="123"/>
        <v>0</v>
      </c>
      <c r="Q186" s="695">
        <f t="shared" si="123"/>
        <v>0</v>
      </c>
      <c r="R186" s="695">
        <f t="shared" si="123"/>
        <v>0</v>
      </c>
      <c r="S186" s="831">
        <f>S174*0</f>
        <v>0</v>
      </c>
      <c r="T186" s="695">
        <f t="shared" si="123"/>
        <v>0</v>
      </c>
      <c r="U186" s="695">
        <f t="shared" si="123"/>
        <v>0</v>
      </c>
      <c r="V186" s="853">
        <f t="shared" si="122"/>
        <v>30267.999668382545</v>
      </c>
      <c r="W186" s="838">
        <f>V186-V174</f>
        <v>0</v>
      </c>
      <c r="X186" s="854"/>
      <c r="Y186" s="76"/>
      <c r="Z186" s="76"/>
      <c r="BB186" s="69"/>
      <c r="BC186" s="69"/>
      <c r="BD186" s="343"/>
      <c r="BL186" s="631"/>
      <c r="BM186" s="177"/>
      <c r="BO186" s="204"/>
      <c r="BR186" s="177"/>
    </row>
    <row r="187" spans="5:70" x14ac:dyDescent="0.25">
      <c r="E187" s="12"/>
      <c r="F187" s="71"/>
      <c r="G187" s="855" t="s">
        <v>3</v>
      </c>
      <c r="H187" s="809">
        <f>SUM(H180:H186)</f>
        <v>0</v>
      </c>
      <c r="I187" s="809">
        <f t="shared" ref="I187:V187" si="124">SUM(I180:I186)</f>
        <v>1233518.8282989138</v>
      </c>
      <c r="J187" s="809">
        <f t="shared" si="124"/>
        <v>1341243.5936705146</v>
      </c>
      <c r="K187" s="809">
        <f t="shared" si="124"/>
        <v>52350.329343891412</v>
      </c>
      <c r="L187" s="809">
        <f t="shared" si="124"/>
        <v>85799.982375830383</v>
      </c>
      <c r="M187" s="809">
        <f t="shared" si="124"/>
        <v>762050.66059322178</v>
      </c>
      <c r="N187" s="809">
        <f t="shared" si="124"/>
        <v>461168.45688457176</v>
      </c>
      <c r="O187" s="809">
        <f t="shared" si="124"/>
        <v>5864.0091175153566</v>
      </c>
      <c r="P187" s="809">
        <f t="shared" si="124"/>
        <v>365086.77041074488</v>
      </c>
      <c r="Q187" s="809">
        <f t="shared" si="124"/>
        <v>14018.238903338066</v>
      </c>
      <c r="R187" s="809">
        <f t="shared" si="124"/>
        <v>218583.00527344758</v>
      </c>
      <c r="S187" s="843">
        <f t="shared" si="124"/>
        <v>0</v>
      </c>
      <c r="T187" s="809">
        <f t="shared" si="124"/>
        <v>352739.58535533951</v>
      </c>
      <c r="U187" s="809">
        <f t="shared" si="124"/>
        <v>67078.569365191681</v>
      </c>
      <c r="V187" s="856">
        <f t="shared" si="124"/>
        <v>4959502.0295925206</v>
      </c>
      <c r="W187" s="844">
        <v>0</v>
      </c>
      <c r="X187" s="214"/>
      <c r="Y187" s="76"/>
      <c r="Z187" s="76"/>
      <c r="BB187" s="69"/>
      <c r="BC187" s="69"/>
      <c r="BD187" s="343"/>
      <c r="BL187" s="631"/>
      <c r="BM187" s="177"/>
      <c r="BO187" s="204"/>
      <c r="BR187" s="177"/>
    </row>
    <row r="188" spans="5:70" x14ac:dyDescent="0.25">
      <c r="E188" s="12"/>
      <c r="F188" s="71"/>
      <c r="G188" s="71"/>
      <c r="H188" s="71"/>
      <c r="I188" s="71"/>
      <c r="J188" s="71"/>
      <c r="K188" s="71"/>
      <c r="L188" s="71"/>
      <c r="M188" s="71"/>
      <c r="N188" s="71"/>
      <c r="O188" s="71"/>
      <c r="P188" s="71"/>
      <c r="Q188" s="71"/>
      <c r="R188" s="71"/>
      <c r="S188" s="71"/>
      <c r="T188" s="71"/>
      <c r="U188" s="71"/>
      <c r="V188" s="71"/>
      <c r="W188" s="71"/>
      <c r="X188" s="214"/>
      <c r="Y188" s="76"/>
      <c r="Z188" s="76"/>
      <c r="BB188" s="69"/>
      <c r="BC188" s="69"/>
      <c r="BD188" s="343"/>
      <c r="BL188" s="631"/>
      <c r="BM188" s="177"/>
      <c r="BO188" s="204"/>
      <c r="BR188" s="177"/>
    </row>
    <row r="189" spans="5:70" x14ac:dyDescent="0.25">
      <c r="E189" s="12"/>
      <c r="F189" s="71"/>
      <c r="G189" s="857"/>
      <c r="H189" s="1346" t="s">
        <v>908</v>
      </c>
      <c r="I189" s="1346"/>
      <c r="J189" s="1346"/>
      <c r="K189" s="1346"/>
      <c r="L189" s="1346"/>
      <c r="M189" s="1346"/>
      <c r="N189" s="1346"/>
      <c r="O189" s="1346"/>
      <c r="P189" s="1346"/>
      <c r="Q189" s="1346"/>
      <c r="R189" s="1346"/>
      <c r="S189" s="1346"/>
      <c r="T189" s="1346"/>
      <c r="U189" s="1346"/>
      <c r="V189" s="1346"/>
      <c r="W189" s="1346"/>
      <c r="X189" s="214"/>
      <c r="Y189" s="76"/>
      <c r="Z189" s="76"/>
      <c r="BB189" s="69"/>
      <c r="BC189" s="69"/>
      <c r="BD189" s="343"/>
      <c r="BL189" s="631"/>
      <c r="BM189" s="177"/>
      <c r="BO189" s="204"/>
      <c r="BR189" s="177"/>
    </row>
    <row r="190" spans="5:70" x14ac:dyDescent="0.25">
      <c r="E190" s="12"/>
      <c r="F190" s="71"/>
      <c r="G190" s="827" t="s">
        <v>909</v>
      </c>
      <c r="H190" s="827" t="str">
        <f>H179</f>
        <v>Tribus</v>
      </c>
      <c r="I190" s="827" t="str">
        <f>I179</f>
        <v>CUI</v>
      </c>
      <c r="J190" s="827" t="str">
        <f t="shared" ref="J190:V190" si="125">J179</f>
        <v>CMUS</v>
      </c>
      <c r="K190" s="827" t="s">
        <v>164</v>
      </c>
      <c r="L190" s="827" t="s">
        <v>165</v>
      </c>
      <c r="M190" s="827" t="str">
        <f t="shared" si="125"/>
        <v>WSES</v>
      </c>
      <c r="N190" s="827" t="str">
        <f t="shared" si="125"/>
        <v>CWSI</v>
      </c>
      <c r="O190" s="827" t="str">
        <f t="shared" si="125"/>
        <v>CEI</v>
      </c>
      <c r="P190" s="827" t="str">
        <f t="shared" si="125"/>
        <v>Oklahoma</v>
      </c>
      <c r="Q190" s="827" t="str">
        <f t="shared" si="125"/>
        <v>Gillem Enclave</v>
      </c>
      <c r="R190" s="827" t="str">
        <f t="shared" si="125"/>
        <v>Cleveland Thermal</v>
      </c>
      <c r="S190" s="827" t="str">
        <f t="shared" si="125"/>
        <v>Shareholder Bucket (CII)</v>
      </c>
      <c r="T190" s="827" t="str">
        <f t="shared" si="125"/>
        <v>Lower 48</v>
      </c>
      <c r="U190" s="858" t="str">
        <f t="shared" si="125"/>
        <v>FSW</v>
      </c>
      <c r="V190" s="859" t="str">
        <f t="shared" si="125"/>
        <v>Total</v>
      </c>
      <c r="W190" s="828" t="s">
        <v>96</v>
      </c>
      <c r="X190" s="214"/>
      <c r="Y190" s="76"/>
      <c r="Z190" s="76"/>
      <c r="BB190" s="69"/>
      <c r="BC190" s="69"/>
      <c r="BD190" s="343"/>
      <c r="BL190" s="631"/>
      <c r="BM190" s="177"/>
      <c r="BO190" s="204"/>
      <c r="BR190" s="177"/>
    </row>
    <row r="191" spans="5:70" x14ac:dyDescent="0.25">
      <c r="E191" s="12"/>
      <c r="F191" s="794" t="s">
        <v>917</v>
      </c>
      <c r="G191" s="797" t="s">
        <v>899</v>
      </c>
      <c r="H191" s="695">
        <f>H168+H180</f>
        <v>132835.08270087352</v>
      </c>
      <c r="I191" s="695">
        <f>I168+I183</f>
        <v>500330.68938328908</v>
      </c>
      <c r="J191" s="695">
        <f t="shared" ref="J191:U191" si="126">J168+J183</f>
        <v>300706.28056780237</v>
      </c>
      <c r="K191" s="695">
        <f t="shared" si="126"/>
        <v>23978.9433370404</v>
      </c>
      <c r="L191" s="695">
        <f t="shared" si="126"/>
        <v>38454.994313614297</v>
      </c>
      <c r="M191" s="695">
        <f t="shared" si="126"/>
        <v>307180.95598331094</v>
      </c>
      <c r="N191" s="695">
        <f t="shared" si="126"/>
        <v>276806.15888552053</v>
      </c>
      <c r="O191" s="695">
        <f t="shared" si="126"/>
        <v>2882.3524219799006</v>
      </c>
      <c r="P191" s="695">
        <f t="shared" si="126"/>
        <v>956423.97158414824</v>
      </c>
      <c r="Q191" s="695">
        <f t="shared" si="126"/>
        <v>33843.164062955511</v>
      </c>
      <c r="R191" s="695">
        <f t="shared" si="126"/>
        <v>583440.70259266172</v>
      </c>
      <c r="S191" s="831">
        <f t="shared" si="126"/>
        <v>0</v>
      </c>
      <c r="T191" s="695">
        <f t="shared" si="126"/>
        <v>6911302.6150054494</v>
      </c>
      <c r="U191" s="695">
        <f t="shared" si="126"/>
        <v>1202409.8467020127</v>
      </c>
      <c r="V191" s="850">
        <f t="shared" ref="V191:V197" si="127">SUM(H191:U191)</f>
        <v>11270595.757540658</v>
      </c>
      <c r="W191" s="838">
        <f>V191-V168-V171</f>
        <v>0</v>
      </c>
      <c r="X191" s="800"/>
      <c r="Y191" s="76"/>
      <c r="Z191" s="76"/>
      <c r="BB191" s="69"/>
      <c r="BC191" s="69"/>
      <c r="BD191" s="343"/>
      <c r="BL191" s="631"/>
      <c r="BM191" s="177"/>
      <c r="BO191" s="204"/>
      <c r="BR191" s="177"/>
    </row>
    <row r="192" spans="5:70" x14ac:dyDescent="0.25">
      <c r="E192" s="12"/>
      <c r="F192" s="71"/>
      <c r="G192" s="801" t="s">
        <v>900</v>
      </c>
      <c r="H192" s="695">
        <v>0</v>
      </c>
      <c r="I192" s="695">
        <f>I169+I184+I185+I186</f>
        <v>1236762.1476924564</v>
      </c>
      <c r="J192" s="695">
        <f t="shared" ref="J192:U192" si="128">J169+J184+J185+J186</f>
        <v>1358619.6553781009</v>
      </c>
      <c r="K192" s="695">
        <f t="shared" si="128"/>
        <v>52890.985313256882</v>
      </c>
      <c r="L192" s="695">
        <f t="shared" si="128"/>
        <v>86746.427642976356</v>
      </c>
      <c r="M192" s="695">
        <f t="shared" si="128"/>
        <v>773771.31516287581</v>
      </c>
      <c r="N192" s="695">
        <f t="shared" si="128"/>
        <v>460431.06767432601</v>
      </c>
      <c r="O192" s="695">
        <f t="shared" si="128"/>
        <v>5917.4052669478851</v>
      </c>
      <c r="P192" s="695">
        <f t="shared" si="128"/>
        <v>273686.43265401723</v>
      </c>
      <c r="Q192" s="695">
        <f t="shared" si="128"/>
        <v>9265.9568581819094</v>
      </c>
      <c r="R192" s="695">
        <f t="shared" si="128"/>
        <v>159694.29502544951</v>
      </c>
      <c r="S192" s="831">
        <f t="shared" si="128"/>
        <v>0</v>
      </c>
      <c r="T192" s="695">
        <f t="shared" si="128"/>
        <v>0</v>
      </c>
      <c r="U192" s="695">
        <f t="shared" si="128"/>
        <v>0</v>
      </c>
      <c r="V192" s="851">
        <f>SUM(H192:U192)</f>
        <v>4417785.6886685891</v>
      </c>
      <c r="W192" s="838">
        <f>V192-V169-V173-V174-V172</f>
        <v>4.4383341446518898E-10</v>
      </c>
      <c r="X192" s="800"/>
      <c r="Y192" s="76"/>
      <c r="Z192" s="76"/>
      <c r="BB192" s="69"/>
      <c r="BC192" s="69"/>
      <c r="BD192" s="343"/>
      <c r="BL192" s="631"/>
      <c r="BM192" s="177"/>
      <c r="BO192" s="204"/>
      <c r="BR192" s="177"/>
    </row>
    <row r="193" spans="2:73" x14ac:dyDescent="0.25">
      <c r="E193" s="12"/>
      <c r="F193" s="71"/>
      <c r="G193" s="803" t="s">
        <v>901</v>
      </c>
      <c r="H193" s="695">
        <v>0</v>
      </c>
      <c r="I193" s="695">
        <f>I170</f>
        <v>529170.04826750967</v>
      </c>
      <c r="J193" s="695">
        <f t="shared" ref="J193:U193" si="129">J170</f>
        <v>310236.9378213319</v>
      </c>
      <c r="K193" s="695">
        <f t="shared" si="129"/>
        <v>24445.757366513135</v>
      </c>
      <c r="L193" s="695">
        <f t="shared" si="129"/>
        <v>39727.224732944262</v>
      </c>
      <c r="M193" s="695">
        <f t="shared" si="129"/>
        <v>285596.7171967827</v>
      </c>
      <c r="N193" s="695">
        <f t="shared" si="129"/>
        <v>292535.34513508412</v>
      </c>
      <c r="O193" s="695">
        <f t="shared" si="129"/>
        <v>2392.1167454152883</v>
      </c>
      <c r="P193" s="695">
        <f t="shared" si="129"/>
        <v>645910.05287408305</v>
      </c>
      <c r="Q193" s="695">
        <f t="shared" si="129"/>
        <v>21346.369006668981</v>
      </c>
      <c r="R193" s="695">
        <f t="shared" si="129"/>
        <v>373641.44679975515</v>
      </c>
      <c r="S193" s="831">
        <f t="shared" si="129"/>
        <v>0</v>
      </c>
      <c r="T193" s="695">
        <f t="shared" si="129"/>
        <v>0</v>
      </c>
      <c r="U193" s="695">
        <f t="shared" si="129"/>
        <v>0</v>
      </c>
      <c r="V193" s="851">
        <f t="shared" si="127"/>
        <v>2525002.0159460884</v>
      </c>
      <c r="W193" s="860">
        <f>V193-V170</f>
        <v>0</v>
      </c>
      <c r="X193" s="800"/>
      <c r="Y193" s="76"/>
      <c r="Z193" s="76"/>
      <c r="BB193" s="69"/>
      <c r="BC193" s="69"/>
      <c r="BD193" s="343"/>
      <c r="BL193" s="631"/>
      <c r="BM193" s="177"/>
      <c r="BO193" s="204"/>
      <c r="BR193" s="177"/>
    </row>
    <row r="194" spans="2:73" x14ac:dyDescent="0.25">
      <c r="E194" s="12"/>
      <c r="F194" s="71"/>
      <c r="G194" s="804" t="s">
        <v>902</v>
      </c>
      <c r="H194" s="695">
        <v>0</v>
      </c>
      <c r="I194" s="695"/>
      <c r="J194" s="695"/>
      <c r="K194" s="695"/>
      <c r="L194" s="695"/>
      <c r="M194" s="695"/>
      <c r="N194" s="695"/>
      <c r="O194" s="695"/>
      <c r="P194" s="695"/>
      <c r="Q194" s="695"/>
      <c r="R194" s="695"/>
      <c r="S194" s="831"/>
      <c r="T194" s="695"/>
      <c r="U194" s="695"/>
      <c r="V194" s="851">
        <f t="shared" si="127"/>
        <v>0</v>
      </c>
      <c r="W194" s="838">
        <f>V194-BM183</f>
        <v>0</v>
      </c>
      <c r="X194" s="214"/>
      <c r="Y194" s="76"/>
      <c r="Z194" s="76"/>
      <c r="BB194" s="69"/>
      <c r="BC194" s="69"/>
      <c r="BD194" s="343"/>
      <c r="BL194" s="631"/>
      <c r="BM194" s="177"/>
      <c r="BO194" s="204"/>
      <c r="BR194" s="177"/>
    </row>
    <row r="195" spans="2:73" x14ac:dyDescent="0.25">
      <c r="E195" s="12"/>
      <c r="F195" s="71"/>
      <c r="G195" s="805" t="s">
        <v>903</v>
      </c>
      <c r="H195" s="695"/>
      <c r="I195" s="695"/>
      <c r="J195" s="695"/>
      <c r="K195" s="695"/>
      <c r="L195" s="695"/>
      <c r="M195" s="695"/>
      <c r="N195" s="695"/>
      <c r="O195" s="695"/>
      <c r="P195" s="695"/>
      <c r="Q195" s="695"/>
      <c r="R195" s="695"/>
      <c r="S195" s="831"/>
      <c r="T195" s="695"/>
      <c r="U195" s="695"/>
      <c r="V195" s="851">
        <f t="shared" si="127"/>
        <v>0</v>
      </c>
      <c r="W195" s="838"/>
      <c r="X195" s="214"/>
      <c r="Y195" s="76"/>
      <c r="Z195" s="76"/>
      <c r="BB195" s="69"/>
      <c r="BC195" s="69"/>
      <c r="BD195" s="343"/>
      <c r="BL195" s="631"/>
      <c r="BM195" s="177"/>
      <c r="BO195" s="204"/>
      <c r="BR195" s="177"/>
    </row>
    <row r="196" spans="2:73" x14ac:dyDescent="0.25">
      <c r="E196" s="12"/>
      <c r="F196" s="71"/>
      <c r="G196" s="806" t="s">
        <v>904</v>
      </c>
      <c r="H196" s="695">
        <v>0</v>
      </c>
      <c r="I196" s="695"/>
      <c r="J196" s="695"/>
      <c r="K196" s="695"/>
      <c r="L196" s="695"/>
      <c r="M196" s="695"/>
      <c r="N196" s="695"/>
      <c r="O196" s="695"/>
      <c r="P196" s="695"/>
      <c r="Q196" s="695"/>
      <c r="R196" s="695"/>
      <c r="S196" s="831"/>
      <c r="T196" s="695"/>
      <c r="U196" s="695"/>
      <c r="V196" s="851">
        <f t="shared" si="127"/>
        <v>0</v>
      </c>
      <c r="W196" s="838">
        <f>V196-BM185</f>
        <v>0</v>
      </c>
      <c r="X196" s="214"/>
      <c r="Y196" s="76"/>
      <c r="Z196" s="76"/>
      <c r="BB196" s="69"/>
      <c r="BC196" s="69"/>
      <c r="BD196" s="343"/>
      <c r="BL196" s="631"/>
      <c r="BM196" s="177"/>
      <c r="BO196" s="204"/>
      <c r="BR196" s="177"/>
    </row>
    <row r="197" spans="2:73" x14ac:dyDescent="0.25">
      <c r="E197" s="12"/>
      <c r="F197" s="71"/>
      <c r="G197" s="807" t="s">
        <v>905</v>
      </c>
      <c r="H197" s="695">
        <v>0</v>
      </c>
      <c r="I197" s="695"/>
      <c r="J197" s="695"/>
      <c r="K197" s="695"/>
      <c r="L197" s="695"/>
      <c r="M197" s="695"/>
      <c r="N197" s="695"/>
      <c r="O197" s="695"/>
      <c r="P197" s="695"/>
      <c r="Q197" s="695"/>
      <c r="R197" s="695"/>
      <c r="S197" s="831"/>
      <c r="T197" s="695"/>
      <c r="U197" s="695"/>
      <c r="V197" s="851">
        <f t="shared" si="127"/>
        <v>0</v>
      </c>
      <c r="W197" s="838">
        <f>V197-BM186</f>
        <v>0</v>
      </c>
      <c r="X197" s="214"/>
      <c r="Y197" s="76"/>
      <c r="Z197" s="76"/>
      <c r="BB197" s="69"/>
      <c r="BC197" s="69"/>
      <c r="BD197" s="343"/>
      <c r="BL197" s="631"/>
      <c r="BM197" s="177"/>
      <c r="BO197" s="204"/>
      <c r="BR197" s="177"/>
    </row>
    <row r="198" spans="2:73" x14ac:dyDescent="0.25">
      <c r="E198" s="12"/>
      <c r="F198" s="71"/>
      <c r="G198" s="855" t="s">
        <v>3</v>
      </c>
      <c r="H198" s="809">
        <f>SUM(H191:H197)</f>
        <v>132835.08270087352</v>
      </c>
      <c r="I198" s="809">
        <f t="shared" ref="I198:V198" si="130">SUM(I191:I197)</f>
        <v>2266262.885343255</v>
      </c>
      <c r="J198" s="809">
        <f t="shared" si="130"/>
        <v>1969562.8737672353</v>
      </c>
      <c r="K198" s="809">
        <f t="shared" si="130"/>
        <v>101315.68601681042</v>
      </c>
      <c r="L198" s="809">
        <f t="shared" si="130"/>
        <v>164928.64668953491</v>
      </c>
      <c r="M198" s="809">
        <f t="shared" si="130"/>
        <v>1366548.9883429692</v>
      </c>
      <c r="N198" s="809">
        <f t="shared" si="130"/>
        <v>1029772.5716949307</v>
      </c>
      <c r="O198" s="809">
        <f t="shared" si="130"/>
        <v>11191.874434343074</v>
      </c>
      <c r="P198" s="809">
        <f t="shared" si="130"/>
        <v>1876020.4571122485</v>
      </c>
      <c r="Q198" s="809">
        <f t="shared" si="130"/>
        <v>64455.489927806404</v>
      </c>
      <c r="R198" s="809">
        <f t="shared" si="130"/>
        <v>1116776.4444178664</v>
      </c>
      <c r="S198" s="843">
        <f t="shared" si="130"/>
        <v>0</v>
      </c>
      <c r="T198" s="809">
        <f t="shared" si="130"/>
        <v>6911302.6150054494</v>
      </c>
      <c r="U198" s="809">
        <f t="shared" si="130"/>
        <v>1202409.8467020127</v>
      </c>
      <c r="V198" s="809">
        <f t="shared" si="130"/>
        <v>18213383.462155335</v>
      </c>
      <c r="W198" s="844">
        <f>V198-V175</f>
        <v>0</v>
      </c>
      <c r="X198" s="800"/>
      <c r="Y198" s="76"/>
      <c r="Z198" s="76"/>
      <c r="BB198" s="69"/>
      <c r="BC198" s="69"/>
      <c r="BD198" s="343"/>
      <c r="BL198" s="631"/>
      <c r="BM198" s="177"/>
      <c r="BO198" s="204"/>
      <c r="BR198" s="177"/>
    </row>
    <row r="199" spans="2:73" s="69" customFormat="1" x14ac:dyDescent="0.25">
      <c r="B199" s="27"/>
      <c r="C199" s="639"/>
      <c r="E199" s="21"/>
      <c r="F199" s="20"/>
      <c r="G199" s="861" t="s">
        <v>96</v>
      </c>
      <c r="H199" s="862">
        <f>H198-H175</f>
        <v>0</v>
      </c>
      <c r="I199" s="862">
        <f t="shared" ref="I199:V199" si="131">I198-I175</f>
        <v>0</v>
      </c>
      <c r="J199" s="862">
        <f t="shared" si="131"/>
        <v>0</v>
      </c>
      <c r="K199" s="862">
        <f t="shared" si="131"/>
        <v>0</v>
      </c>
      <c r="L199" s="862">
        <f t="shared" si="131"/>
        <v>0</v>
      </c>
      <c r="M199" s="862">
        <f t="shared" si="131"/>
        <v>0</v>
      </c>
      <c r="N199" s="862">
        <f t="shared" si="131"/>
        <v>0</v>
      </c>
      <c r="O199" s="862">
        <f t="shared" si="131"/>
        <v>0</v>
      </c>
      <c r="P199" s="862">
        <f t="shared" si="131"/>
        <v>0</v>
      </c>
      <c r="Q199" s="862">
        <f t="shared" si="131"/>
        <v>0</v>
      </c>
      <c r="R199" s="862">
        <f t="shared" si="131"/>
        <v>0</v>
      </c>
      <c r="S199" s="862">
        <f t="shared" si="131"/>
        <v>0</v>
      </c>
      <c r="T199" s="862">
        <f t="shared" si="131"/>
        <v>0</v>
      </c>
      <c r="U199" s="862">
        <f t="shared" si="131"/>
        <v>0</v>
      </c>
      <c r="V199" s="862">
        <f t="shared" si="131"/>
        <v>0</v>
      </c>
      <c r="W199" s="20"/>
      <c r="X199" s="335"/>
      <c r="Y199" s="76"/>
      <c r="Z199" s="76"/>
      <c r="BD199" s="343"/>
      <c r="BL199" s="863"/>
      <c r="BO199" s="280"/>
      <c r="BP199" s="280"/>
      <c r="BQ199" s="280"/>
      <c r="BU199" s="31"/>
    </row>
    <row r="200" spans="2:73" ht="15.75" thickBot="1" x14ac:dyDescent="0.3">
      <c r="E200" s="9"/>
      <c r="F200" s="7"/>
      <c r="G200" s="7"/>
      <c r="H200" s="864"/>
      <c r="I200" s="7"/>
      <c r="J200" s="7"/>
      <c r="K200" s="7"/>
      <c r="L200" s="7"/>
      <c r="M200" s="7"/>
      <c r="N200" s="7"/>
      <c r="O200" s="7"/>
      <c r="P200" s="7"/>
      <c r="Q200" s="7"/>
      <c r="R200" s="7"/>
      <c r="S200" s="7"/>
      <c r="T200" s="239"/>
      <c r="U200" s="7"/>
      <c r="V200" s="7"/>
      <c r="W200" s="7"/>
      <c r="X200" s="230"/>
      <c r="Y200" s="76"/>
      <c r="Z200" s="76"/>
      <c r="BB200" s="343"/>
      <c r="BC200" s="69"/>
      <c r="BD200" s="69"/>
      <c r="BL200" s="631"/>
      <c r="BM200" s="177"/>
      <c r="BO200" s="204"/>
      <c r="BR200" s="177"/>
    </row>
    <row r="201" spans="2:73" x14ac:dyDescent="0.25">
      <c r="H201" s="343"/>
      <c r="I201" s="177"/>
      <c r="V201" s="76"/>
      <c r="BB201" s="343"/>
      <c r="BC201" s="69"/>
      <c r="BD201" s="69"/>
      <c r="BL201" s="631"/>
      <c r="BM201" s="177"/>
      <c r="BO201" s="204"/>
      <c r="BR201" s="177"/>
    </row>
    <row r="202" spans="2:73" x14ac:dyDescent="0.25">
      <c r="H202" s="343"/>
      <c r="I202" s="177"/>
      <c r="BB202" s="343"/>
      <c r="BC202" s="69"/>
      <c r="BD202" s="69"/>
      <c r="BL202" s="631"/>
      <c r="BM202" s="177"/>
      <c r="BO202" s="204"/>
      <c r="BR202" s="177"/>
    </row>
    <row r="203" spans="2:73" ht="15.75" thickBot="1" x14ac:dyDescent="0.3">
      <c r="H203" s="343"/>
      <c r="I203" s="177"/>
      <c r="BB203" s="343"/>
      <c r="BC203" s="69"/>
      <c r="BD203" s="69"/>
      <c r="BL203" s="631"/>
      <c r="BM203" s="177"/>
      <c r="BO203" s="204"/>
      <c r="BR203" s="177"/>
    </row>
    <row r="204" spans="2:73" x14ac:dyDescent="0.25">
      <c r="E204" s="18"/>
      <c r="F204" s="16"/>
      <c r="G204" s="16"/>
      <c r="H204" s="865"/>
      <c r="I204" s="16"/>
      <c r="J204" s="16"/>
      <c r="K204" s="16"/>
      <c r="L204" s="16"/>
      <c r="M204" s="16"/>
      <c r="N204" s="16"/>
      <c r="O204" s="16"/>
      <c r="P204" s="16"/>
      <c r="Q204" s="16"/>
      <c r="R204" s="16"/>
      <c r="S204" s="16"/>
      <c r="T204" s="16"/>
      <c r="U204" s="16"/>
      <c r="V204" s="16"/>
      <c r="W204" s="16"/>
      <c r="X204" s="209"/>
      <c r="BB204" s="343"/>
      <c r="BC204" s="69"/>
      <c r="BD204" s="69"/>
      <c r="BL204" s="631"/>
      <c r="BM204" s="177"/>
      <c r="BO204" s="204"/>
      <c r="BR204" s="177"/>
    </row>
    <row r="205" spans="2:73" x14ac:dyDescent="0.25">
      <c r="E205" s="825" t="s">
        <v>918</v>
      </c>
      <c r="F205" s="630"/>
      <c r="G205" s="857"/>
      <c r="H205" s="1346"/>
      <c r="I205" s="1346"/>
      <c r="J205" s="1346"/>
      <c r="K205" s="1346"/>
      <c r="L205" s="1346"/>
      <c r="M205" s="1346"/>
      <c r="N205" s="1346"/>
      <c r="O205" s="1346"/>
      <c r="P205" s="1346"/>
      <c r="Q205" s="1346"/>
      <c r="R205" s="1346"/>
      <c r="S205" s="1346"/>
      <c r="T205" s="1346"/>
      <c r="U205" s="1346"/>
      <c r="V205" s="1346"/>
      <c r="W205" s="1346"/>
      <c r="X205" s="214"/>
      <c r="BB205" s="343"/>
      <c r="BC205" s="69"/>
      <c r="BD205" s="69"/>
      <c r="BL205" s="631"/>
      <c r="BM205" s="177"/>
      <c r="BO205" s="204"/>
      <c r="BR205" s="177"/>
    </row>
    <row r="206" spans="2:73" ht="45" x14ac:dyDescent="0.25">
      <c r="E206" s="12"/>
      <c r="F206" s="794" t="s">
        <v>906</v>
      </c>
      <c r="G206" s="866" t="s">
        <v>909</v>
      </c>
      <c r="H206" s="827" t="s">
        <v>2</v>
      </c>
      <c r="I206" s="827" t="s">
        <v>12</v>
      </c>
      <c r="J206" s="827" t="s">
        <v>8</v>
      </c>
      <c r="K206" s="827" t="s">
        <v>164</v>
      </c>
      <c r="L206" s="827" t="s">
        <v>165</v>
      </c>
      <c r="M206" s="827" t="s">
        <v>214</v>
      </c>
      <c r="N206" s="827" t="s">
        <v>18</v>
      </c>
      <c r="O206" s="827" t="s">
        <v>16</v>
      </c>
      <c r="P206" s="827" t="s">
        <v>109</v>
      </c>
      <c r="Q206" s="828" t="s">
        <v>114</v>
      </c>
      <c r="R206" s="828" t="s">
        <v>110</v>
      </c>
      <c r="S206" s="828" t="s">
        <v>910</v>
      </c>
      <c r="T206" s="828" t="s">
        <v>911</v>
      </c>
      <c r="U206" s="828" t="s">
        <v>334</v>
      </c>
      <c r="V206" s="828" t="s">
        <v>3</v>
      </c>
      <c r="W206" s="828" t="s">
        <v>96</v>
      </c>
      <c r="X206" s="214"/>
      <c r="BB206" s="343"/>
      <c r="BC206" s="69"/>
      <c r="BD206" s="69"/>
      <c r="BL206" s="631"/>
      <c r="BM206" s="177"/>
      <c r="BO206" s="204"/>
      <c r="BR206" s="177"/>
    </row>
    <row r="207" spans="2:73" x14ac:dyDescent="0.25">
      <c r="E207" s="12"/>
      <c r="F207" s="71"/>
      <c r="G207" s="797" t="s">
        <v>899</v>
      </c>
      <c r="H207" s="695">
        <f t="shared" ref="H207:H213" si="132">H134</f>
        <v>126859.85619860872</v>
      </c>
      <c r="I207" s="695">
        <f t="shared" ref="I207:I213" si="133">SUM(J134,K134,X134,Y134,AG134,AI134,AM134+AN134+AO134+AP134+AQ134+AR134+AS134+AT134+AU134+AV134)</f>
        <v>465240.96803364356</v>
      </c>
      <c r="J207" s="695">
        <f t="shared" ref="J207:J213" si="134">SUM(L134:U134,Z134:AF134,AJ134:AL134)</f>
        <v>279668.06563106104</v>
      </c>
      <c r="K207" s="695">
        <f t="shared" ref="K207:L213" si="135">V134</f>
        <v>22302.645737652179</v>
      </c>
      <c r="L207" s="695">
        <f t="shared" si="135"/>
        <v>35763.743168906927</v>
      </c>
      <c r="M207" s="695">
        <f t="shared" ref="M207:M213" si="136">AH134</f>
        <v>285867.1948359824</v>
      </c>
      <c r="N207" s="695">
        <f t="shared" ref="N207:R213" si="137">AW134</f>
        <v>257393.14346213176</v>
      </c>
      <c r="O207" s="695">
        <f t="shared" si="137"/>
        <v>2683.9897573595126</v>
      </c>
      <c r="P207" s="695">
        <f t="shared" si="137"/>
        <v>827999.43284037302</v>
      </c>
      <c r="Q207" s="695">
        <f t="shared" si="137"/>
        <v>27845.752265734845</v>
      </c>
      <c r="R207" s="695">
        <f t="shared" si="137"/>
        <v>502100.44578194892</v>
      </c>
      <c r="S207" s="831">
        <f t="shared" ref="S207:S213" si="138">BB134*0</f>
        <v>0</v>
      </c>
      <c r="T207" s="695">
        <f t="shared" ref="T207:T213" si="139">SUM(BD134:BJ134)</f>
        <v>6277847.51356465</v>
      </c>
      <c r="U207" s="695">
        <f t="shared" ref="U207:U213" si="140">BK134</f>
        <v>1081949.1336835776</v>
      </c>
      <c r="V207" s="850">
        <f t="shared" ref="V207:V213" si="141">SUM(H207:U207)</f>
        <v>10193521.884961631</v>
      </c>
      <c r="W207" s="867">
        <v>0</v>
      </c>
      <c r="X207" s="214"/>
      <c r="BB207" s="343"/>
      <c r="BC207" s="69"/>
      <c r="BD207" s="69"/>
      <c r="BL207" s="631"/>
      <c r="BM207" s="177"/>
      <c r="BO207" s="204"/>
      <c r="BR207" s="177"/>
    </row>
    <row r="208" spans="2:73" x14ac:dyDescent="0.25">
      <c r="E208" s="12"/>
      <c r="F208" s="71"/>
      <c r="G208" s="801" t="s">
        <v>900</v>
      </c>
      <c r="H208" s="695">
        <f t="shared" si="132"/>
        <v>0</v>
      </c>
      <c r="I208" s="695">
        <f t="shared" si="133"/>
        <v>38333.040743187928</v>
      </c>
      <c r="J208" s="695">
        <f t="shared" si="134"/>
        <v>38414.276644327649</v>
      </c>
      <c r="K208" s="695">
        <f t="shared" si="135"/>
        <v>2216.95356875369</v>
      </c>
      <c r="L208" s="695">
        <f t="shared" si="135"/>
        <v>3637.6964118533424</v>
      </c>
      <c r="M208" s="695">
        <f t="shared" si="136"/>
        <v>33034.415716982548</v>
      </c>
      <c r="N208" s="695">
        <f t="shared" si="137"/>
        <v>18675.626213143063</v>
      </c>
      <c r="O208" s="695">
        <f t="shared" si="137"/>
        <v>251.75881405291693</v>
      </c>
      <c r="P208" s="695">
        <f t="shared" si="137"/>
        <v>0</v>
      </c>
      <c r="Q208" s="695">
        <f t="shared" si="137"/>
        <v>0</v>
      </c>
      <c r="R208" s="695">
        <f t="shared" si="137"/>
        <v>0</v>
      </c>
      <c r="S208" s="831">
        <f t="shared" si="138"/>
        <v>0</v>
      </c>
      <c r="T208" s="695">
        <f t="shared" si="139"/>
        <v>0</v>
      </c>
      <c r="U208" s="695">
        <f t="shared" si="140"/>
        <v>0</v>
      </c>
      <c r="V208" s="851">
        <f t="shared" si="141"/>
        <v>134563.76811230113</v>
      </c>
      <c r="W208" s="868">
        <v>0</v>
      </c>
      <c r="X208" s="214"/>
      <c r="BB208" s="343"/>
      <c r="BC208" s="69"/>
      <c r="BD208" s="69"/>
      <c r="BL208" s="631"/>
      <c r="BM208" s="177"/>
      <c r="BO208" s="204"/>
      <c r="BR208" s="177"/>
    </row>
    <row r="209" spans="5:70" x14ac:dyDescent="0.25">
      <c r="E209" s="12"/>
      <c r="F209" s="71"/>
      <c r="G209" s="803" t="s">
        <v>901</v>
      </c>
      <c r="H209" s="695">
        <f t="shared" si="132"/>
        <v>0</v>
      </c>
      <c r="I209" s="695">
        <f t="shared" si="133"/>
        <v>529170.04826750967</v>
      </c>
      <c r="J209" s="695">
        <f t="shared" si="134"/>
        <v>310236.9378213319</v>
      </c>
      <c r="K209" s="695">
        <f t="shared" si="135"/>
        <v>24445.757366513135</v>
      </c>
      <c r="L209" s="695">
        <f t="shared" si="135"/>
        <v>39727.224732944262</v>
      </c>
      <c r="M209" s="695">
        <f t="shared" si="136"/>
        <v>285596.7171967827</v>
      </c>
      <c r="N209" s="695">
        <f t="shared" si="137"/>
        <v>292535.34513508412</v>
      </c>
      <c r="O209" s="695">
        <f t="shared" si="137"/>
        <v>2392.1167454152883</v>
      </c>
      <c r="P209" s="695">
        <f t="shared" si="137"/>
        <v>615831.93442654109</v>
      </c>
      <c r="Q209" s="695">
        <f t="shared" si="137"/>
        <v>20352.331814415069</v>
      </c>
      <c r="R209" s="695">
        <f t="shared" si="137"/>
        <v>356242.07107592683</v>
      </c>
      <c r="S209" s="831">
        <f t="shared" si="138"/>
        <v>0</v>
      </c>
      <c r="T209" s="695">
        <f t="shared" si="139"/>
        <v>0</v>
      </c>
      <c r="U209" s="695">
        <f t="shared" si="140"/>
        <v>0</v>
      </c>
      <c r="V209" s="851">
        <f t="shared" si="141"/>
        <v>2476530.4845824647</v>
      </c>
      <c r="W209" s="868">
        <v>0</v>
      </c>
      <c r="X209" s="214"/>
      <c r="BB209" s="343"/>
      <c r="BC209" s="69"/>
      <c r="BD209" s="69"/>
      <c r="BL209" s="631"/>
      <c r="BM209" s="177"/>
      <c r="BO209" s="204"/>
      <c r="BR209" s="177"/>
    </row>
    <row r="210" spans="5:70" x14ac:dyDescent="0.25">
      <c r="E210" s="12"/>
      <c r="F210" s="71"/>
      <c r="G210" s="804" t="s">
        <v>902</v>
      </c>
      <c r="H210" s="695">
        <f t="shared" si="132"/>
        <v>0</v>
      </c>
      <c r="I210" s="695">
        <f t="shared" si="133"/>
        <v>33103.510707212758</v>
      </c>
      <c r="J210" s="695">
        <f t="shared" si="134"/>
        <v>19847.372581831431</v>
      </c>
      <c r="K210" s="695">
        <f t="shared" si="135"/>
        <v>1581.412829611528</v>
      </c>
      <c r="L210" s="695">
        <f t="shared" si="135"/>
        <v>2538.9161742522356</v>
      </c>
      <c r="M210" s="695">
        <f t="shared" si="136"/>
        <v>20107.321837102372</v>
      </c>
      <c r="N210" s="695">
        <f t="shared" si="137"/>
        <v>18314.165493763008</v>
      </c>
      <c r="O210" s="695">
        <f t="shared" si="137"/>
        <v>187.1345892645171</v>
      </c>
      <c r="P210" s="695">
        <f t="shared" si="137"/>
        <v>91400.337756727662</v>
      </c>
      <c r="Q210" s="695">
        <f t="shared" si="137"/>
        <v>4752.2820451561556</v>
      </c>
      <c r="R210" s="695">
        <f t="shared" si="137"/>
        <v>58888.710247998075</v>
      </c>
      <c r="S210" s="831">
        <f t="shared" si="138"/>
        <v>0</v>
      </c>
      <c r="T210" s="695">
        <f t="shared" si="139"/>
        <v>352739.58535533951</v>
      </c>
      <c r="U210" s="695">
        <f t="shared" si="140"/>
        <v>67078.569365191681</v>
      </c>
      <c r="V210" s="851">
        <f t="shared" si="141"/>
        <v>670539.318983451</v>
      </c>
      <c r="W210" s="868">
        <v>0</v>
      </c>
      <c r="X210" s="214"/>
      <c r="BB210" s="343"/>
      <c r="BC210" s="69"/>
      <c r="BD210" s="69"/>
      <c r="BL210" s="631"/>
      <c r="BM210" s="177"/>
      <c r="BO210" s="204"/>
      <c r="BR210" s="177"/>
    </row>
    <row r="211" spans="5:70" x14ac:dyDescent="0.25">
      <c r="E211" s="12"/>
      <c r="F211" s="71"/>
      <c r="G211" s="805" t="s">
        <v>903</v>
      </c>
      <c r="H211" s="695">
        <f t="shared" si="132"/>
        <v>0</v>
      </c>
      <c r="I211" s="695">
        <f t="shared" si="133"/>
        <v>0</v>
      </c>
      <c r="J211" s="695">
        <f t="shared" si="134"/>
        <v>0</v>
      </c>
      <c r="K211" s="695">
        <f t="shared" si="135"/>
        <v>0</v>
      </c>
      <c r="L211" s="695">
        <f t="shared" si="135"/>
        <v>0</v>
      </c>
      <c r="M211" s="695">
        <f t="shared" si="136"/>
        <v>0</v>
      </c>
      <c r="N211" s="695">
        <f t="shared" si="137"/>
        <v>0</v>
      </c>
      <c r="O211" s="695">
        <f t="shared" si="137"/>
        <v>0</v>
      </c>
      <c r="P211" s="695">
        <f t="shared" si="137"/>
        <v>28402.423647378499</v>
      </c>
      <c r="Q211" s="695">
        <f t="shared" si="137"/>
        <v>1159.6842519688196</v>
      </c>
      <c r="R211" s="695">
        <f t="shared" si="137"/>
        <v>17804.148565767387</v>
      </c>
      <c r="S211" s="831">
        <f t="shared" si="138"/>
        <v>0</v>
      </c>
      <c r="T211" s="695">
        <f t="shared" si="139"/>
        <v>0</v>
      </c>
      <c r="U211" s="695">
        <f t="shared" si="140"/>
        <v>0</v>
      </c>
      <c r="V211" s="851">
        <f t="shared" si="141"/>
        <v>47366.256465114704</v>
      </c>
      <c r="W211" s="868"/>
      <c r="X211" s="214"/>
      <c r="BB211" s="343"/>
      <c r="BC211" s="69"/>
      <c r="BD211" s="69"/>
      <c r="BL211" s="631"/>
      <c r="BM211" s="177"/>
      <c r="BO211" s="204"/>
      <c r="BR211" s="177"/>
    </row>
    <row r="212" spans="5:70" x14ac:dyDescent="0.25">
      <c r="E212" s="12"/>
      <c r="F212" s="71"/>
      <c r="G212" s="806" t="s">
        <v>904</v>
      </c>
      <c r="H212" s="695">
        <f t="shared" si="132"/>
        <v>0</v>
      </c>
      <c r="I212" s="695">
        <f t="shared" si="133"/>
        <v>1189806.6933473053</v>
      </c>
      <c r="J212" s="695">
        <f t="shared" si="134"/>
        <v>1311564.6923956699</v>
      </c>
      <c r="K212" s="695">
        <f t="shared" si="135"/>
        <v>50175.362965936773</v>
      </c>
      <c r="L212" s="695">
        <f t="shared" si="135"/>
        <v>82290.488732921251</v>
      </c>
      <c r="M212" s="695">
        <f t="shared" si="136"/>
        <v>733306.32806703309</v>
      </c>
      <c r="N212" s="695">
        <f t="shared" si="137"/>
        <v>437554.65356741281</v>
      </c>
      <c r="O212" s="695">
        <f t="shared" si="137"/>
        <v>5609.0172739773079</v>
      </c>
      <c r="P212" s="695">
        <f t="shared" si="137"/>
        <v>231400.00849682896</v>
      </c>
      <c r="Q212" s="695">
        <f t="shared" si="137"/>
        <v>7647.4269869934806</v>
      </c>
      <c r="R212" s="695">
        <f t="shared" si="137"/>
        <v>133858.62873554917</v>
      </c>
      <c r="S212" s="831">
        <f t="shared" si="138"/>
        <v>0</v>
      </c>
      <c r="T212" s="695">
        <f t="shared" si="139"/>
        <v>0</v>
      </c>
      <c r="U212" s="695">
        <f t="shared" si="140"/>
        <v>0</v>
      </c>
      <c r="V212" s="851">
        <f t="shared" si="141"/>
        <v>4183213.3005696284</v>
      </c>
      <c r="W212" s="868">
        <v>0</v>
      </c>
      <c r="X212" s="214"/>
      <c r="BB212" s="343"/>
      <c r="BC212" s="69"/>
      <c r="BD212" s="69"/>
      <c r="BL212" s="631"/>
      <c r="BM212" s="177"/>
      <c r="BO212" s="204"/>
      <c r="BR212" s="177"/>
    </row>
    <row r="213" spans="5:70" x14ac:dyDescent="0.25">
      <c r="E213" s="12"/>
      <c r="F213" s="71"/>
      <c r="G213" s="807" t="s">
        <v>905</v>
      </c>
      <c r="H213" s="695">
        <f t="shared" si="132"/>
        <v>0</v>
      </c>
      <c r="I213" s="695">
        <f t="shared" si="133"/>
        <v>8622.4136019630459</v>
      </c>
      <c r="J213" s="695">
        <f t="shared" si="134"/>
        <v>8640.6863381033272</v>
      </c>
      <c r="K213" s="695">
        <f t="shared" si="135"/>
        <v>498.66877856641992</v>
      </c>
      <c r="L213" s="695">
        <f t="shared" si="135"/>
        <v>818.24249820177272</v>
      </c>
      <c r="M213" s="695">
        <f t="shared" si="136"/>
        <v>7430.5713788601479</v>
      </c>
      <c r="N213" s="695">
        <f t="shared" si="137"/>
        <v>4200.7878937701662</v>
      </c>
      <c r="O213" s="695">
        <f t="shared" si="137"/>
        <v>56.62917891766044</v>
      </c>
      <c r="P213" s="695">
        <f t="shared" si="137"/>
        <v>0</v>
      </c>
      <c r="Q213" s="695">
        <f t="shared" si="137"/>
        <v>0</v>
      </c>
      <c r="R213" s="695">
        <f t="shared" si="137"/>
        <v>0</v>
      </c>
      <c r="S213" s="831">
        <f t="shared" si="138"/>
        <v>0</v>
      </c>
      <c r="T213" s="695">
        <f t="shared" si="139"/>
        <v>0</v>
      </c>
      <c r="U213" s="695">
        <f t="shared" si="140"/>
        <v>0</v>
      </c>
      <c r="V213" s="851">
        <f t="shared" si="141"/>
        <v>30267.999668382545</v>
      </c>
      <c r="W213" s="868">
        <v>0</v>
      </c>
      <c r="X213" s="214"/>
      <c r="BB213" s="343"/>
      <c r="BC213" s="69"/>
      <c r="BD213" s="69"/>
      <c r="BL213" s="631"/>
      <c r="BM213" s="177"/>
      <c r="BO213" s="204"/>
      <c r="BR213" s="177"/>
    </row>
    <row r="214" spans="5:70" x14ac:dyDescent="0.25">
      <c r="E214" s="12"/>
      <c r="F214" s="71"/>
      <c r="G214" s="855" t="s">
        <v>3</v>
      </c>
      <c r="H214" s="809">
        <f>SUM(H207:H213)</f>
        <v>126859.85619860872</v>
      </c>
      <c r="I214" s="809">
        <f t="shared" ref="I214:V214" si="142">SUM(I207:I213)</f>
        <v>2264276.6747008222</v>
      </c>
      <c r="J214" s="809">
        <f t="shared" si="142"/>
        <v>1968372.0314123253</v>
      </c>
      <c r="K214" s="809">
        <f t="shared" si="142"/>
        <v>101220.80124703374</v>
      </c>
      <c r="L214" s="809">
        <f t="shared" si="142"/>
        <v>164776.31171907979</v>
      </c>
      <c r="M214" s="809">
        <f t="shared" si="142"/>
        <v>1365342.5490327433</v>
      </c>
      <c r="N214" s="809">
        <f t="shared" si="142"/>
        <v>1028673.721765305</v>
      </c>
      <c r="O214" s="809">
        <f t="shared" si="142"/>
        <v>11180.646358987204</v>
      </c>
      <c r="P214" s="809">
        <f t="shared" si="142"/>
        <v>1795034.1371678491</v>
      </c>
      <c r="Q214" s="809">
        <f t="shared" si="142"/>
        <v>61757.477364268372</v>
      </c>
      <c r="R214" s="809">
        <f t="shared" si="142"/>
        <v>1068894.0044071903</v>
      </c>
      <c r="S214" s="843">
        <f t="shared" si="142"/>
        <v>0</v>
      </c>
      <c r="T214" s="809">
        <f t="shared" si="142"/>
        <v>6630587.0989199895</v>
      </c>
      <c r="U214" s="809">
        <f t="shared" si="142"/>
        <v>1149027.7030487694</v>
      </c>
      <c r="V214" s="809">
        <f t="shared" si="142"/>
        <v>17736003.013342973</v>
      </c>
      <c r="W214" s="869">
        <v>0</v>
      </c>
      <c r="X214" s="214"/>
      <c r="BB214" s="343"/>
      <c r="BC214" s="69"/>
      <c r="BD214" s="69"/>
      <c r="BL214" s="631"/>
      <c r="BM214" s="177"/>
      <c r="BO214" s="204"/>
      <c r="BR214" s="177"/>
    </row>
    <row r="215" spans="5:70" x14ac:dyDescent="0.25">
      <c r="E215" s="12"/>
      <c r="F215" s="71"/>
      <c r="G215" s="71"/>
      <c r="H215" s="71"/>
      <c r="I215" s="71"/>
      <c r="J215" s="71"/>
      <c r="K215" s="71"/>
      <c r="L215" s="71"/>
      <c r="M215" s="71"/>
      <c r="N215" s="71"/>
      <c r="O215" s="71"/>
      <c r="P215" s="71"/>
      <c r="Q215" s="71"/>
      <c r="R215" s="71"/>
      <c r="S215" s="71"/>
      <c r="T215" s="71"/>
      <c r="U215" s="71"/>
      <c r="V215" s="811">
        <v>0</v>
      </c>
      <c r="W215" s="71"/>
      <c r="X215" s="214"/>
      <c r="BB215" s="343"/>
      <c r="BC215" s="69"/>
      <c r="BD215" s="69"/>
      <c r="BL215" s="631"/>
      <c r="BM215" s="177"/>
      <c r="BO215" s="204"/>
      <c r="BR215" s="177"/>
    </row>
    <row r="216" spans="5:70" x14ac:dyDescent="0.25">
      <c r="E216" s="12"/>
      <c r="F216" s="71"/>
      <c r="G216" s="71"/>
      <c r="H216" s="71"/>
      <c r="I216" s="71"/>
      <c r="J216" s="71"/>
      <c r="K216" s="71"/>
      <c r="L216" s="71"/>
      <c r="M216" s="71"/>
      <c r="N216" s="71"/>
      <c r="O216" s="71"/>
      <c r="P216" s="71"/>
      <c r="Q216" s="71"/>
      <c r="R216" s="71"/>
      <c r="S216" s="71"/>
      <c r="T216" s="71"/>
      <c r="U216" s="71"/>
      <c r="V216" s="71"/>
      <c r="W216" s="71"/>
      <c r="X216" s="214"/>
      <c r="BB216" s="343"/>
      <c r="BC216" s="69"/>
      <c r="BD216" s="69"/>
      <c r="BL216" s="631"/>
      <c r="BM216" s="177"/>
      <c r="BO216" s="204"/>
      <c r="BR216" s="177"/>
    </row>
    <row r="217" spans="5:70" x14ac:dyDescent="0.25">
      <c r="E217" s="12"/>
      <c r="F217" s="71"/>
      <c r="G217" s="857"/>
      <c r="H217" s="1346" t="s">
        <v>908</v>
      </c>
      <c r="I217" s="1346"/>
      <c r="J217" s="1346"/>
      <c r="K217" s="1346"/>
      <c r="L217" s="1346"/>
      <c r="M217" s="1346"/>
      <c r="N217" s="1346"/>
      <c r="O217" s="1346"/>
      <c r="P217" s="1346"/>
      <c r="Q217" s="1346"/>
      <c r="R217" s="1346"/>
      <c r="S217" s="1346"/>
      <c r="T217" s="1346"/>
      <c r="U217" s="1346"/>
      <c r="V217" s="1346"/>
      <c r="W217" s="1346"/>
      <c r="X217" s="214"/>
      <c r="BB217" s="343"/>
      <c r="BC217" s="69"/>
      <c r="BD217" s="69"/>
      <c r="BL217" s="631"/>
      <c r="BM217" s="177"/>
      <c r="BO217" s="204"/>
      <c r="BR217" s="177"/>
    </row>
    <row r="218" spans="5:70" x14ac:dyDescent="0.25">
      <c r="E218" s="12"/>
      <c r="F218" s="794" t="s">
        <v>919</v>
      </c>
      <c r="G218" s="866" t="s">
        <v>909</v>
      </c>
      <c r="H218" s="827" t="s">
        <v>2</v>
      </c>
      <c r="I218" s="827" t="s">
        <v>12</v>
      </c>
      <c r="J218" s="827" t="s">
        <v>8</v>
      </c>
      <c r="K218" s="827" t="s">
        <v>164</v>
      </c>
      <c r="L218" s="827" t="s">
        <v>165</v>
      </c>
      <c r="M218" s="827" t="s">
        <v>214</v>
      </c>
      <c r="N218" s="827" t="s">
        <v>18</v>
      </c>
      <c r="O218" s="827" t="s">
        <v>16</v>
      </c>
      <c r="P218" s="827" t="s">
        <v>109</v>
      </c>
      <c r="Q218" s="827" t="s">
        <v>114</v>
      </c>
      <c r="R218" s="827" t="s">
        <v>110</v>
      </c>
      <c r="S218" s="827" t="s">
        <v>910</v>
      </c>
      <c r="T218" s="827" t="s">
        <v>911</v>
      </c>
      <c r="U218" s="827" t="s">
        <v>334</v>
      </c>
      <c r="V218" s="849" t="s">
        <v>3</v>
      </c>
      <c r="W218" s="829" t="s">
        <v>96</v>
      </c>
      <c r="X218" s="214"/>
      <c r="BB218" s="343"/>
      <c r="BC218" s="69"/>
      <c r="BD218" s="69"/>
      <c r="BL218" s="631"/>
      <c r="BM218" s="177"/>
      <c r="BO218" s="204"/>
      <c r="BR218" s="177"/>
    </row>
    <row r="219" spans="5:70" x14ac:dyDescent="0.25">
      <c r="E219" s="12" t="s">
        <v>920</v>
      </c>
      <c r="F219" s="71" t="s">
        <v>921</v>
      </c>
      <c r="G219" s="797" t="s">
        <v>899</v>
      </c>
      <c r="H219" s="695"/>
      <c r="I219" s="695"/>
      <c r="J219" s="695"/>
      <c r="K219" s="695"/>
      <c r="L219" s="695"/>
      <c r="M219" s="695"/>
      <c r="N219" s="695"/>
      <c r="O219" s="695"/>
      <c r="P219" s="695"/>
      <c r="Q219" s="695"/>
      <c r="R219" s="695"/>
      <c r="S219" s="831"/>
      <c r="T219" s="695"/>
      <c r="U219" s="695"/>
      <c r="V219" s="850">
        <f t="shared" ref="V219:V225" si="143">SUM(H219:U219)</f>
        <v>0</v>
      </c>
      <c r="W219" s="833"/>
      <c r="X219" s="214"/>
      <c r="BB219" s="343"/>
      <c r="BC219" s="69"/>
      <c r="BD219" s="69"/>
      <c r="BL219" s="631"/>
      <c r="BM219" s="177"/>
      <c r="BO219" s="204"/>
      <c r="BR219" s="177"/>
    </row>
    <row r="220" spans="5:70" x14ac:dyDescent="0.25">
      <c r="E220" s="12" t="s">
        <v>920</v>
      </c>
      <c r="F220" s="71" t="s">
        <v>922</v>
      </c>
      <c r="G220" s="801" t="s">
        <v>900</v>
      </c>
      <c r="H220" s="695"/>
      <c r="I220" s="695"/>
      <c r="J220" s="695"/>
      <c r="K220" s="695"/>
      <c r="L220" s="695"/>
      <c r="M220" s="695"/>
      <c r="N220" s="695"/>
      <c r="O220" s="695"/>
      <c r="P220" s="695"/>
      <c r="Q220" s="695"/>
      <c r="R220" s="695"/>
      <c r="S220" s="831"/>
      <c r="T220" s="695"/>
      <c r="U220" s="695"/>
      <c r="V220" s="851">
        <f t="shared" si="143"/>
        <v>0</v>
      </c>
      <c r="W220" s="833"/>
      <c r="X220" s="214"/>
      <c r="BB220" s="343"/>
      <c r="BC220" s="69"/>
      <c r="BD220" s="69"/>
      <c r="BL220" s="631"/>
      <c r="BM220" s="177"/>
      <c r="BO220" s="204"/>
      <c r="BR220" s="177"/>
    </row>
    <row r="221" spans="5:70" x14ac:dyDescent="0.25">
      <c r="E221" s="12" t="s">
        <v>920</v>
      </c>
      <c r="F221" s="71" t="s">
        <v>923</v>
      </c>
      <c r="G221" s="803" t="s">
        <v>901</v>
      </c>
      <c r="H221" s="695"/>
      <c r="I221" s="695"/>
      <c r="J221" s="695"/>
      <c r="K221" s="695"/>
      <c r="L221" s="695"/>
      <c r="M221" s="695"/>
      <c r="N221" s="695"/>
      <c r="O221" s="695"/>
      <c r="P221" s="695"/>
      <c r="Q221" s="695"/>
      <c r="R221" s="695"/>
      <c r="S221" s="831"/>
      <c r="T221" s="695"/>
      <c r="U221" s="695"/>
      <c r="V221" s="851">
        <f t="shared" si="143"/>
        <v>0</v>
      </c>
      <c r="W221" s="833"/>
      <c r="X221" s="214"/>
      <c r="BB221" s="343"/>
      <c r="BC221" s="69"/>
      <c r="BD221" s="69"/>
      <c r="BL221" s="631"/>
      <c r="BM221" s="177"/>
      <c r="BO221" s="204"/>
      <c r="BR221" s="177"/>
    </row>
    <row r="222" spans="5:70" x14ac:dyDescent="0.25">
      <c r="E222" s="12" t="s">
        <v>920</v>
      </c>
      <c r="F222" s="71" t="s">
        <v>924</v>
      </c>
      <c r="G222" s="804" t="s">
        <v>902</v>
      </c>
      <c r="H222" s="695">
        <v>0</v>
      </c>
      <c r="I222" s="695">
        <v>33103.510707212758</v>
      </c>
      <c r="J222" s="695">
        <v>19847.372581831431</v>
      </c>
      <c r="K222" s="695">
        <v>1581.412829611528</v>
      </c>
      <c r="L222" s="695">
        <v>2538.9161742522356</v>
      </c>
      <c r="M222" s="695">
        <v>20107.321837102372</v>
      </c>
      <c r="N222" s="695">
        <v>18314.165493763008</v>
      </c>
      <c r="O222" s="695">
        <v>187.1345892645171</v>
      </c>
      <c r="P222" s="695">
        <v>91400.337756727662</v>
      </c>
      <c r="Q222" s="695">
        <v>4752.2820451561556</v>
      </c>
      <c r="R222" s="695">
        <v>58888.710247998075</v>
      </c>
      <c r="S222" s="831">
        <v>0</v>
      </c>
      <c r="T222" s="695">
        <v>352739.58535533951</v>
      </c>
      <c r="U222" s="695">
        <v>67078.569365191681</v>
      </c>
      <c r="V222" s="851">
        <f t="shared" si="143"/>
        <v>670539.318983451</v>
      </c>
      <c r="W222" s="833">
        <v>0</v>
      </c>
      <c r="X222" s="214"/>
      <c r="BB222" s="343"/>
      <c r="BC222" s="69"/>
      <c r="BD222" s="69"/>
      <c r="BL222" s="631"/>
      <c r="BM222" s="177"/>
      <c r="BO222" s="204"/>
      <c r="BR222" s="177"/>
    </row>
    <row r="223" spans="5:70" x14ac:dyDescent="0.25">
      <c r="E223" s="12" t="s">
        <v>920</v>
      </c>
      <c r="F223" s="71" t="s">
        <v>925</v>
      </c>
      <c r="G223" s="805" t="s">
        <v>903</v>
      </c>
      <c r="H223" s="695">
        <v>0</v>
      </c>
      <c r="I223" s="695">
        <v>0</v>
      </c>
      <c r="J223" s="695">
        <v>0</v>
      </c>
      <c r="K223" s="695">
        <v>0</v>
      </c>
      <c r="L223" s="695">
        <v>0</v>
      </c>
      <c r="M223" s="695">
        <v>0</v>
      </c>
      <c r="N223" s="695">
        <v>0</v>
      </c>
      <c r="O223" s="695">
        <v>0</v>
      </c>
      <c r="P223" s="695">
        <v>28402.423647378499</v>
      </c>
      <c r="Q223" s="695">
        <v>1159.6842519688196</v>
      </c>
      <c r="R223" s="695">
        <v>17804.148565767387</v>
      </c>
      <c r="S223" s="831">
        <v>0</v>
      </c>
      <c r="T223" s="695">
        <v>0</v>
      </c>
      <c r="U223" s="695">
        <v>0</v>
      </c>
      <c r="V223" s="851">
        <f t="shared" si="143"/>
        <v>47366.256465114704</v>
      </c>
      <c r="W223" s="833"/>
      <c r="X223" s="214"/>
      <c r="BB223" s="343"/>
      <c r="BC223" s="69"/>
      <c r="BD223" s="69"/>
      <c r="BL223" s="631"/>
      <c r="BM223" s="177"/>
      <c r="BO223" s="204"/>
      <c r="BR223" s="177"/>
    </row>
    <row r="224" spans="5:70" x14ac:dyDescent="0.25">
      <c r="E224" s="12" t="s">
        <v>920</v>
      </c>
      <c r="F224" s="71" t="s">
        <v>926</v>
      </c>
      <c r="G224" s="806" t="s">
        <v>904</v>
      </c>
      <c r="H224" s="695">
        <v>0</v>
      </c>
      <c r="I224" s="695">
        <v>1189806.6933473053</v>
      </c>
      <c r="J224" s="695">
        <v>1311564.6923956699</v>
      </c>
      <c r="K224" s="695">
        <v>50175.362965936773</v>
      </c>
      <c r="L224" s="695">
        <v>82290.488732921251</v>
      </c>
      <c r="M224" s="695">
        <v>733306.32806703309</v>
      </c>
      <c r="N224" s="695">
        <v>437554.65356741281</v>
      </c>
      <c r="O224" s="695">
        <v>5609.0172739773079</v>
      </c>
      <c r="P224" s="695">
        <v>231400.00849682896</v>
      </c>
      <c r="Q224" s="695">
        <v>7647.4269869934806</v>
      </c>
      <c r="R224" s="695">
        <v>133858.62873554917</v>
      </c>
      <c r="S224" s="831">
        <v>0</v>
      </c>
      <c r="T224" s="695">
        <v>0</v>
      </c>
      <c r="U224" s="695">
        <v>0</v>
      </c>
      <c r="V224" s="851">
        <f t="shared" si="143"/>
        <v>4183213.3005696284</v>
      </c>
      <c r="W224" s="833">
        <v>0</v>
      </c>
      <c r="X224" s="214"/>
      <c r="BB224" s="343"/>
      <c r="BC224" s="69"/>
      <c r="BD224" s="69"/>
      <c r="BL224" s="631"/>
      <c r="BM224" s="177"/>
      <c r="BO224" s="204"/>
      <c r="BR224" s="177"/>
    </row>
    <row r="225" spans="5:70" x14ac:dyDescent="0.25">
      <c r="E225" s="12" t="s">
        <v>920</v>
      </c>
      <c r="F225" s="71" t="s">
        <v>927</v>
      </c>
      <c r="G225" s="807" t="s">
        <v>905</v>
      </c>
      <c r="H225" s="695">
        <v>0</v>
      </c>
      <c r="I225" s="695">
        <v>8622.4136019630459</v>
      </c>
      <c r="J225" s="695">
        <v>8640.6863381033272</v>
      </c>
      <c r="K225" s="695">
        <v>498.66877856641992</v>
      </c>
      <c r="L225" s="695">
        <v>818.24249820177272</v>
      </c>
      <c r="M225" s="695">
        <v>7430.5713788601479</v>
      </c>
      <c r="N225" s="695">
        <v>4200.7878937701662</v>
      </c>
      <c r="O225" s="695">
        <v>56.62917891766044</v>
      </c>
      <c r="P225" s="695">
        <v>0</v>
      </c>
      <c r="Q225" s="695">
        <v>0</v>
      </c>
      <c r="R225" s="695">
        <v>0</v>
      </c>
      <c r="S225" s="831">
        <v>0</v>
      </c>
      <c r="T225" s="695">
        <v>0</v>
      </c>
      <c r="U225" s="695">
        <v>0</v>
      </c>
      <c r="V225" s="851">
        <f t="shared" si="143"/>
        <v>30267.999668382545</v>
      </c>
      <c r="W225" s="833">
        <v>0</v>
      </c>
      <c r="X225" s="214"/>
      <c r="BB225" s="343"/>
      <c r="BC225" s="69"/>
      <c r="BD225" s="69"/>
      <c r="BL225" s="631"/>
      <c r="BM225" s="177"/>
      <c r="BO225" s="204"/>
      <c r="BR225" s="177"/>
    </row>
    <row r="226" spans="5:70" x14ac:dyDescent="0.25">
      <c r="E226" s="12"/>
      <c r="F226" s="71"/>
      <c r="G226" s="855" t="s">
        <v>3</v>
      </c>
      <c r="H226" s="809">
        <f>SUM(H219:H225)</f>
        <v>0</v>
      </c>
      <c r="I226" s="809">
        <f t="shared" ref="I226:V226" si="144">SUM(I219:I225)</f>
        <v>1231532.6176564812</v>
      </c>
      <c r="J226" s="809">
        <f t="shared" si="144"/>
        <v>1340052.7513156047</v>
      </c>
      <c r="K226" s="809">
        <f t="shared" si="144"/>
        <v>52255.444574114721</v>
      </c>
      <c r="L226" s="809">
        <f t="shared" si="144"/>
        <v>85647.647405375261</v>
      </c>
      <c r="M226" s="809">
        <f t="shared" si="144"/>
        <v>760844.22128299566</v>
      </c>
      <c r="N226" s="809">
        <f t="shared" si="144"/>
        <v>460069.60695494595</v>
      </c>
      <c r="O226" s="809">
        <f t="shared" si="144"/>
        <v>5852.781042159485</v>
      </c>
      <c r="P226" s="809">
        <f t="shared" si="144"/>
        <v>351202.76990093512</v>
      </c>
      <c r="Q226" s="809">
        <f t="shared" si="144"/>
        <v>13559.393284118456</v>
      </c>
      <c r="R226" s="809">
        <f t="shared" si="144"/>
        <v>210551.48754931462</v>
      </c>
      <c r="S226" s="843">
        <f t="shared" si="144"/>
        <v>0</v>
      </c>
      <c r="T226" s="809">
        <f t="shared" si="144"/>
        <v>352739.58535533951</v>
      </c>
      <c r="U226" s="809">
        <f t="shared" si="144"/>
        <v>67078.569365191681</v>
      </c>
      <c r="V226" s="809">
        <f t="shared" si="144"/>
        <v>4931386.8756865766</v>
      </c>
      <c r="W226" s="869">
        <v>0</v>
      </c>
      <c r="X226" s="214"/>
      <c r="BB226" s="343"/>
      <c r="BC226" s="69"/>
      <c r="BD226" s="69"/>
      <c r="BL226" s="631"/>
      <c r="BM226" s="177"/>
      <c r="BO226" s="204"/>
      <c r="BR226" s="177"/>
    </row>
    <row r="227" spans="5:70" x14ac:dyDescent="0.25">
      <c r="E227" s="12"/>
      <c r="F227" s="71"/>
      <c r="G227" s="71"/>
      <c r="H227" s="71"/>
      <c r="I227" s="71"/>
      <c r="J227" s="71"/>
      <c r="K227" s="71"/>
      <c r="L227" s="71"/>
      <c r="M227" s="71"/>
      <c r="N227" s="71"/>
      <c r="O227" s="71"/>
      <c r="P227" s="71"/>
      <c r="Q227" s="71"/>
      <c r="R227" s="71"/>
      <c r="S227" s="71"/>
      <c r="T227" s="71"/>
      <c r="U227" s="71"/>
      <c r="V227" s="71"/>
      <c r="W227" s="71"/>
      <c r="X227" s="214"/>
      <c r="BB227" s="343"/>
      <c r="BC227" s="69"/>
      <c r="BD227" s="69"/>
      <c r="BL227" s="631"/>
      <c r="BM227" s="177"/>
      <c r="BO227" s="204"/>
      <c r="BR227" s="177"/>
    </row>
    <row r="228" spans="5:70" x14ac:dyDescent="0.25">
      <c r="E228" s="12"/>
      <c r="F228" s="71"/>
      <c r="G228" s="71"/>
      <c r="H228" s="1346" t="s">
        <v>908</v>
      </c>
      <c r="I228" s="1346"/>
      <c r="J228" s="1346"/>
      <c r="K228" s="1346"/>
      <c r="L228" s="1346"/>
      <c r="M228" s="1346"/>
      <c r="N228" s="1346"/>
      <c r="O228" s="1346"/>
      <c r="P228" s="1346"/>
      <c r="Q228" s="1346"/>
      <c r="R228" s="1346"/>
      <c r="S228" s="1346"/>
      <c r="T228" s="1346"/>
      <c r="U228" s="1346"/>
      <c r="V228" s="1346"/>
      <c r="W228" s="1346"/>
      <c r="X228" s="214"/>
      <c r="BB228" s="343"/>
      <c r="BC228" s="69"/>
      <c r="BD228" s="69"/>
      <c r="BL228" s="631"/>
      <c r="BM228" s="177"/>
      <c r="BO228" s="204"/>
      <c r="BR228" s="177"/>
    </row>
    <row r="229" spans="5:70" x14ac:dyDescent="0.25">
      <c r="E229" s="12"/>
      <c r="F229" s="71"/>
      <c r="G229" s="870" t="s">
        <v>909</v>
      </c>
      <c r="H229" s="827" t="s">
        <v>2</v>
      </c>
      <c r="I229" s="827" t="s">
        <v>12</v>
      </c>
      <c r="J229" s="827" t="s">
        <v>8</v>
      </c>
      <c r="K229" s="827" t="s">
        <v>164</v>
      </c>
      <c r="L229" s="827" t="s">
        <v>165</v>
      </c>
      <c r="M229" s="827" t="s">
        <v>214</v>
      </c>
      <c r="N229" s="827" t="s">
        <v>18</v>
      </c>
      <c r="O229" s="827" t="s">
        <v>16</v>
      </c>
      <c r="P229" s="827" t="s">
        <v>109</v>
      </c>
      <c r="Q229" s="827" t="s">
        <v>114</v>
      </c>
      <c r="R229" s="827" t="s">
        <v>110</v>
      </c>
      <c r="S229" s="827" t="s">
        <v>910</v>
      </c>
      <c r="T229" s="827" t="s">
        <v>911</v>
      </c>
      <c r="U229" s="858" t="s">
        <v>334</v>
      </c>
      <c r="V229" s="859" t="s">
        <v>3</v>
      </c>
      <c r="W229" s="828" t="s">
        <v>96</v>
      </c>
      <c r="X229" s="214"/>
      <c r="BB229" s="343"/>
      <c r="BC229" s="69"/>
      <c r="BD229" s="69"/>
      <c r="BL229" s="631"/>
      <c r="BM229" s="177"/>
      <c r="BO229" s="204"/>
      <c r="BR229" s="177"/>
    </row>
    <row r="230" spans="5:70" x14ac:dyDescent="0.25">
      <c r="E230" s="12" t="s">
        <v>920</v>
      </c>
      <c r="F230" s="71" t="s">
        <v>928</v>
      </c>
      <c r="G230" s="797" t="s">
        <v>899</v>
      </c>
      <c r="H230" s="695">
        <v>126859.85619860872</v>
      </c>
      <c r="I230" s="695">
        <v>498344.47874085628</v>
      </c>
      <c r="J230" s="695">
        <v>299515.43821289245</v>
      </c>
      <c r="K230" s="695">
        <v>23884.058567263706</v>
      </c>
      <c r="L230" s="695">
        <v>38302.659343159161</v>
      </c>
      <c r="M230" s="695">
        <v>305974.51667308476</v>
      </c>
      <c r="N230" s="695">
        <v>275707.30895589478</v>
      </c>
      <c r="O230" s="695">
        <v>2871.1243466240298</v>
      </c>
      <c r="P230" s="695">
        <v>919399.77059710072</v>
      </c>
      <c r="Q230" s="695">
        <v>32598.034310891002</v>
      </c>
      <c r="R230" s="695">
        <v>560989.15602994699</v>
      </c>
      <c r="S230" s="831">
        <v>0</v>
      </c>
      <c r="T230" s="695">
        <v>6630587.0989199895</v>
      </c>
      <c r="U230" s="695">
        <v>1149027.7030487694</v>
      </c>
      <c r="V230" s="850">
        <f t="shared" ref="V230:V236" si="145">SUM(H230:U230)</f>
        <v>10864061.203945082</v>
      </c>
      <c r="W230" s="868"/>
      <c r="X230" s="214"/>
      <c r="BB230" s="343"/>
      <c r="BC230" s="69"/>
      <c r="BD230" s="69"/>
      <c r="BL230" s="631"/>
      <c r="BM230" s="177"/>
      <c r="BO230" s="204"/>
      <c r="BR230" s="177"/>
    </row>
    <row r="231" spans="5:70" x14ac:dyDescent="0.25">
      <c r="E231" s="12" t="s">
        <v>920</v>
      </c>
      <c r="F231" s="71" t="s">
        <v>929</v>
      </c>
      <c r="G231" s="801" t="s">
        <v>900</v>
      </c>
      <c r="H231" s="695">
        <v>0</v>
      </c>
      <c r="I231" s="695">
        <v>1236762.1476924564</v>
      </c>
      <c r="J231" s="695">
        <v>1358619.6553781009</v>
      </c>
      <c r="K231" s="695">
        <v>52890.985313256882</v>
      </c>
      <c r="L231" s="695">
        <v>86746.427642976356</v>
      </c>
      <c r="M231" s="695">
        <v>773771.31516287581</v>
      </c>
      <c r="N231" s="695">
        <v>460431.06767432601</v>
      </c>
      <c r="O231" s="695">
        <v>5917.4052669478851</v>
      </c>
      <c r="P231" s="695">
        <v>259802.43214420747</v>
      </c>
      <c r="Q231" s="695">
        <v>8807.1112389622995</v>
      </c>
      <c r="R231" s="695">
        <v>151662.77730131656</v>
      </c>
      <c r="S231" s="831">
        <v>0</v>
      </c>
      <c r="T231" s="695">
        <v>0</v>
      </c>
      <c r="U231" s="695">
        <v>0</v>
      </c>
      <c r="V231" s="851">
        <f t="shared" si="145"/>
        <v>4395411.324815426</v>
      </c>
      <c r="W231" s="868"/>
      <c r="X231" s="214"/>
      <c r="BB231" s="343"/>
      <c r="BC231" s="69"/>
      <c r="BD231" s="69"/>
      <c r="BL231" s="631"/>
      <c r="BM231" s="177"/>
      <c r="BO231" s="204"/>
      <c r="BR231" s="177"/>
    </row>
    <row r="232" spans="5:70" x14ac:dyDescent="0.25">
      <c r="E232" s="12" t="s">
        <v>920</v>
      </c>
      <c r="F232" s="71" t="s">
        <v>930</v>
      </c>
      <c r="G232" s="803" t="s">
        <v>901</v>
      </c>
      <c r="H232" s="695">
        <v>0</v>
      </c>
      <c r="I232" s="695">
        <v>529170.04826750967</v>
      </c>
      <c r="J232" s="695">
        <v>310236.9378213319</v>
      </c>
      <c r="K232" s="695">
        <v>24445.757366513135</v>
      </c>
      <c r="L232" s="695">
        <v>39727.224732944262</v>
      </c>
      <c r="M232" s="695">
        <v>285596.7171967827</v>
      </c>
      <c r="N232" s="695">
        <v>292535.34513508412</v>
      </c>
      <c r="O232" s="695">
        <v>2392.1167454152883</v>
      </c>
      <c r="P232" s="695">
        <v>615831.93442654097</v>
      </c>
      <c r="Q232" s="695">
        <v>20352.331814415069</v>
      </c>
      <c r="R232" s="695">
        <v>356242.07107592677</v>
      </c>
      <c r="S232" s="831">
        <v>0</v>
      </c>
      <c r="T232" s="695">
        <v>0</v>
      </c>
      <c r="U232" s="695">
        <v>0</v>
      </c>
      <c r="V232" s="851">
        <f t="shared" si="145"/>
        <v>2476530.4845824642</v>
      </c>
      <c r="W232" s="871"/>
      <c r="X232" s="214"/>
      <c r="BB232" s="343"/>
      <c r="BC232" s="69"/>
      <c r="BD232" s="69"/>
      <c r="BL232" s="631"/>
      <c r="BM232" s="177"/>
      <c r="BO232" s="204"/>
      <c r="BR232" s="177"/>
    </row>
    <row r="233" spans="5:70" x14ac:dyDescent="0.25">
      <c r="E233" s="12" t="s">
        <v>920</v>
      </c>
      <c r="F233" s="71" t="s">
        <v>931</v>
      </c>
      <c r="G233" s="804" t="s">
        <v>902</v>
      </c>
      <c r="H233" s="695">
        <v>0</v>
      </c>
      <c r="I233" s="695"/>
      <c r="J233" s="695"/>
      <c r="K233" s="695"/>
      <c r="L233" s="695"/>
      <c r="M233" s="695"/>
      <c r="N233" s="695"/>
      <c r="O233" s="695"/>
      <c r="P233" s="695"/>
      <c r="Q233" s="695"/>
      <c r="R233" s="695"/>
      <c r="S233" s="831"/>
      <c r="T233" s="695"/>
      <c r="U233" s="695"/>
      <c r="V233" s="851">
        <f t="shared" si="145"/>
        <v>0</v>
      </c>
      <c r="W233" s="868"/>
      <c r="X233" s="214"/>
      <c r="BB233" s="343"/>
      <c r="BC233" s="69"/>
      <c r="BD233" s="69"/>
      <c r="BL233" s="631"/>
      <c r="BM233" s="177"/>
      <c r="BO233" s="204"/>
      <c r="BR233" s="177"/>
    </row>
    <row r="234" spans="5:70" x14ac:dyDescent="0.25">
      <c r="E234" s="12" t="s">
        <v>920</v>
      </c>
      <c r="F234" s="71" t="s">
        <v>932</v>
      </c>
      <c r="G234" s="805" t="s">
        <v>903</v>
      </c>
      <c r="H234" s="695"/>
      <c r="I234" s="695"/>
      <c r="J234" s="695"/>
      <c r="K234" s="695"/>
      <c r="L234" s="695"/>
      <c r="M234" s="695"/>
      <c r="N234" s="695"/>
      <c r="O234" s="695"/>
      <c r="P234" s="695"/>
      <c r="Q234" s="695"/>
      <c r="R234" s="695"/>
      <c r="S234" s="831"/>
      <c r="T234" s="695"/>
      <c r="U234" s="695"/>
      <c r="V234" s="851">
        <f t="shared" si="145"/>
        <v>0</v>
      </c>
      <c r="W234" s="868"/>
      <c r="X234" s="214"/>
      <c r="BB234" s="343"/>
      <c r="BC234" s="69"/>
      <c r="BD234" s="69"/>
      <c r="BL234" s="631"/>
      <c r="BM234" s="177"/>
      <c r="BO234" s="204"/>
      <c r="BR234" s="177"/>
    </row>
    <row r="235" spans="5:70" x14ac:dyDescent="0.25">
      <c r="E235" s="12" t="s">
        <v>920</v>
      </c>
      <c r="F235" s="71" t="s">
        <v>933</v>
      </c>
      <c r="G235" s="806" t="s">
        <v>904</v>
      </c>
      <c r="H235" s="695">
        <v>0</v>
      </c>
      <c r="I235" s="695"/>
      <c r="J235" s="695"/>
      <c r="K235" s="695"/>
      <c r="L235" s="695"/>
      <c r="M235" s="695"/>
      <c r="N235" s="695"/>
      <c r="O235" s="695"/>
      <c r="P235" s="695"/>
      <c r="Q235" s="695"/>
      <c r="R235" s="695"/>
      <c r="S235" s="831"/>
      <c r="T235" s="695"/>
      <c r="U235" s="695"/>
      <c r="V235" s="851">
        <f t="shared" si="145"/>
        <v>0</v>
      </c>
      <c r="W235" s="868"/>
      <c r="X235" s="214"/>
      <c r="BB235" s="343"/>
      <c r="BC235" s="69"/>
      <c r="BD235" s="69"/>
      <c r="BL235" s="631"/>
      <c r="BM235" s="177"/>
      <c r="BO235" s="204"/>
      <c r="BR235" s="177"/>
    </row>
    <row r="236" spans="5:70" x14ac:dyDescent="0.25">
      <c r="E236" s="12" t="s">
        <v>920</v>
      </c>
      <c r="F236" s="71" t="s">
        <v>934</v>
      </c>
      <c r="G236" s="807" t="s">
        <v>905</v>
      </c>
      <c r="H236" s="695">
        <v>0</v>
      </c>
      <c r="I236" s="695"/>
      <c r="J236" s="695"/>
      <c r="K236" s="695"/>
      <c r="L236" s="695"/>
      <c r="M236" s="695"/>
      <c r="N236" s="695"/>
      <c r="O236" s="695"/>
      <c r="P236" s="695"/>
      <c r="Q236" s="695"/>
      <c r="R236" s="695"/>
      <c r="S236" s="831"/>
      <c r="T236" s="695"/>
      <c r="U236" s="695"/>
      <c r="V236" s="851">
        <f t="shared" si="145"/>
        <v>0</v>
      </c>
      <c r="W236" s="833"/>
      <c r="X236" s="214"/>
      <c r="BB236" s="343"/>
      <c r="BC236" s="69"/>
      <c r="BD236" s="69"/>
      <c r="BL236" s="631"/>
      <c r="BM236" s="177"/>
      <c r="BO236" s="204"/>
      <c r="BR236" s="177"/>
    </row>
    <row r="237" spans="5:70" x14ac:dyDescent="0.25">
      <c r="E237" s="12"/>
      <c r="F237" s="71"/>
      <c r="G237" s="855" t="s">
        <v>3</v>
      </c>
      <c r="H237" s="809">
        <f>SUM(H230:H236)</f>
        <v>126859.85619860872</v>
      </c>
      <c r="I237" s="809">
        <f t="shared" ref="I237:V237" si="146">SUM(I230:I236)</f>
        <v>2264276.6747008222</v>
      </c>
      <c r="J237" s="809">
        <f t="shared" si="146"/>
        <v>1968372.0314123253</v>
      </c>
      <c r="K237" s="809">
        <f t="shared" si="146"/>
        <v>101220.80124703373</v>
      </c>
      <c r="L237" s="809">
        <f t="shared" si="146"/>
        <v>164776.31171907979</v>
      </c>
      <c r="M237" s="809">
        <f t="shared" si="146"/>
        <v>1365342.5490327431</v>
      </c>
      <c r="N237" s="809">
        <f t="shared" si="146"/>
        <v>1028673.7217653049</v>
      </c>
      <c r="O237" s="809">
        <f t="shared" si="146"/>
        <v>11180.646358987204</v>
      </c>
      <c r="P237" s="809">
        <f t="shared" si="146"/>
        <v>1795034.1371678491</v>
      </c>
      <c r="Q237" s="809">
        <f t="shared" si="146"/>
        <v>61757.477364268372</v>
      </c>
      <c r="R237" s="809">
        <f t="shared" si="146"/>
        <v>1068894.0044071903</v>
      </c>
      <c r="S237" s="843">
        <f t="shared" si="146"/>
        <v>0</v>
      </c>
      <c r="T237" s="809">
        <f t="shared" si="146"/>
        <v>6630587.0989199895</v>
      </c>
      <c r="U237" s="809">
        <f t="shared" si="146"/>
        <v>1149027.7030487694</v>
      </c>
      <c r="V237" s="809">
        <f t="shared" si="146"/>
        <v>17736003.013342973</v>
      </c>
      <c r="W237" s="869"/>
      <c r="X237" s="214"/>
      <c r="BB237" s="343"/>
      <c r="BC237" s="69"/>
      <c r="BD237" s="69"/>
      <c r="BL237" s="631"/>
      <c r="BM237" s="177"/>
      <c r="BO237" s="204"/>
      <c r="BR237" s="177"/>
    </row>
    <row r="238" spans="5:70" ht="15.75" thickBot="1" x14ac:dyDescent="0.3">
      <c r="E238" s="9"/>
      <c r="F238" s="7"/>
      <c r="G238" s="7"/>
      <c r="H238" s="864"/>
      <c r="I238" s="7"/>
      <c r="J238" s="7"/>
      <c r="K238" s="7"/>
      <c r="L238" s="7"/>
      <c r="M238" s="7"/>
      <c r="N238" s="7"/>
      <c r="O238" s="7"/>
      <c r="P238" s="7"/>
      <c r="Q238" s="7"/>
      <c r="R238" s="7"/>
      <c r="S238" s="7"/>
      <c r="T238" s="7"/>
      <c r="U238" s="7"/>
      <c r="V238" s="7"/>
      <c r="W238" s="7"/>
      <c r="X238" s="230"/>
      <c r="BB238" s="343"/>
      <c r="BC238" s="69"/>
      <c r="BD238" s="69"/>
      <c r="BL238" s="631"/>
      <c r="BM238" s="177"/>
      <c r="BO238" s="204"/>
      <c r="BR238" s="177"/>
    </row>
    <row r="239" spans="5:70" x14ac:dyDescent="0.25">
      <c r="F239" s="71"/>
      <c r="G239" s="71"/>
      <c r="H239" s="629"/>
      <c r="I239" s="71"/>
      <c r="J239" s="71"/>
      <c r="K239" s="71"/>
      <c r="L239" s="71"/>
      <c r="M239" s="71"/>
      <c r="N239" s="71"/>
      <c r="O239" s="71"/>
      <c r="P239" s="71"/>
      <c r="Q239" s="71"/>
      <c r="R239" s="71"/>
      <c r="S239" s="71"/>
      <c r="T239" s="71"/>
      <c r="U239" s="71"/>
      <c r="V239" s="71"/>
      <c r="W239" s="71"/>
      <c r="X239" s="71"/>
      <c r="BB239" s="343"/>
      <c r="BC239" s="69"/>
      <c r="BD239" s="69"/>
      <c r="BL239" s="631"/>
      <c r="BM239" s="177"/>
      <c r="BO239" s="204"/>
      <c r="BR239" s="177"/>
    </row>
    <row r="240" spans="5:70" ht="15.75" thickBot="1" x14ac:dyDescent="0.3">
      <c r="F240" s="71"/>
      <c r="G240" s="71"/>
      <c r="H240" s="629"/>
      <c r="I240" s="71"/>
      <c r="J240" s="71"/>
      <c r="K240" s="71"/>
      <c r="L240" s="71"/>
      <c r="M240" s="71"/>
      <c r="N240" s="71"/>
      <c r="O240" s="71"/>
      <c r="P240" s="71"/>
      <c r="Q240" s="71"/>
      <c r="R240" s="71"/>
      <c r="S240" s="71"/>
      <c r="T240" s="71"/>
      <c r="U240" s="71"/>
      <c r="V240" s="71"/>
      <c r="W240" s="71"/>
      <c r="X240" s="71"/>
      <c r="BB240" s="343"/>
      <c r="BC240" s="69"/>
      <c r="BD240" s="69"/>
      <c r="BL240" s="631"/>
      <c r="BM240" s="177"/>
      <c r="BO240" s="204"/>
      <c r="BR240" s="177"/>
    </row>
    <row r="241" spans="5:70" x14ac:dyDescent="0.25">
      <c r="E241" s="18"/>
      <c r="F241" s="16"/>
      <c r="G241" s="16"/>
      <c r="H241" s="865"/>
      <c r="I241" s="16"/>
      <c r="J241" s="16"/>
      <c r="K241" s="16"/>
      <c r="L241" s="16"/>
      <c r="M241" s="16"/>
      <c r="N241" s="16"/>
      <c r="O241" s="16"/>
      <c r="P241" s="16"/>
      <c r="Q241" s="16"/>
      <c r="R241" s="16"/>
      <c r="S241" s="16"/>
      <c r="T241" s="16"/>
      <c r="U241" s="16"/>
      <c r="V241" s="16"/>
      <c r="W241" s="16"/>
      <c r="X241" s="209"/>
      <c r="BB241" s="343"/>
      <c r="BC241" s="69"/>
      <c r="BD241" s="69"/>
      <c r="BL241" s="631"/>
      <c r="BM241" s="177"/>
      <c r="BO241" s="204"/>
      <c r="BR241" s="177"/>
    </row>
    <row r="242" spans="5:70" x14ac:dyDescent="0.25">
      <c r="E242" s="825" t="s">
        <v>935</v>
      </c>
      <c r="F242" s="71" t="s">
        <v>906</v>
      </c>
      <c r="G242" s="71" t="s">
        <v>909</v>
      </c>
      <c r="H242" s="872" t="s">
        <v>2</v>
      </c>
      <c r="I242" s="873" t="s">
        <v>12</v>
      </c>
      <c r="J242" s="873" t="s">
        <v>8</v>
      </c>
      <c r="K242" s="873" t="s">
        <v>164</v>
      </c>
      <c r="L242" s="873" t="s">
        <v>165</v>
      </c>
      <c r="M242" s="873" t="s">
        <v>214</v>
      </c>
      <c r="N242" s="873" t="s">
        <v>18</v>
      </c>
      <c r="O242" s="873" t="s">
        <v>16</v>
      </c>
      <c r="P242" s="873" t="s">
        <v>109</v>
      </c>
      <c r="Q242" s="873" t="s">
        <v>156</v>
      </c>
      <c r="R242" s="873" t="s">
        <v>846</v>
      </c>
      <c r="S242" s="874" t="s">
        <v>910</v>
      </c>
      <c r="T242" s="873" t="s">
        <v>911</v>
      </c>
      <c r="U242" s="873" t="s">
        <v>334</v>
      </c>
      <c r="V242" s="873" t="s">
        <v>3</v>
      </c>
      <c r="W242" s="71"/>
      <c r="X242" s="214"/>
      <c r="BB242" s="343"/>
      <c r="BC242" s="69"/>
      <c r="BD242" s="69"/>
      <c r="BL242" s="631"/>
      <c r="BM242" s="177"/>
      <c r="BO242" s="204"/>
      <c r="BR242" s="177"/>
    </row>
    <row r="243" spans="5:70" x14ac:dyDescent="0.25">
      <c r="E243" s="12"/>
      <c r="F243" s="71"/>
      <c r="G243" s="797" t="s">
        <v>899</v>
      </c>
      <c r="H243" s="875">
        <f>H168-H207</f>
        <v>5975.2265022648062</v>
      </c>
      <c r="I243" s="875">
        <f t="shared" ref="I243:V243" si="147">I168-I207</f>
        <v>0</v>
      </c>
      <c r="J243" s="875">
        <f t="shared" si="147"/>
        <v>0</v>
      </c>
      <c r="K243" s="875">
        <f t="shared" si="147"/>
        <v>0</v>
      </c>
      <c r="L243" s="875">
        <f t="shared" si="147"/>
        <v>0</v>
      </c>
      <c r="M243" s="875">
        <f t="shared" si="147"/>
        <v>0</v>
      </c>
      <c r="N243" s="875">
        <f t="shared" si="147"/>
        <v>0</v>
      </c>
      <c r="O243" s="875">
        <f t="shared" si="147"/>
        <v>0</v>
      </c>
      <c r="P243" s="875">
        <f>P168-P207</f>
        <v>37024.200987047516</v>
      </c>
      <c r="Q243" s="875">
        <f t="shared" si="147"/>
        <v>1245.1297520645094</v>
      </c>
      <c r="R243" s="875">
        <f t="shared" si="147"/>
        <v>22451.546562714677</v>
      </c>
      <c r="S243" s="875">
        <f t="shared" si="147"/>
        <v>0</v>
      </c>
      <c r="T243" s="875">
        <f t="shared" si="147"/>
        <v>280715.51608545985</v>
      </c>
      <c r="U243" s="875">
        <f t="shared" si="147"/>
        <v>53382.143653243314</v>
      </c>
      <c r="V243" s="875">
        <f t="shared" si="147"/>
        <v>400793.76354279369</v>
      </c>
      <c r="W243" s="71"/>
      <c r="X243" s="214"/>
      <c r="BB243" s="343"/>
      <c r="BC243" s="69"/>
      <c r="BD243" s="69"/>
      <c r="BL243" s="631"/>
      <c r="BM243" s="177"/>
      <c r="BO243" s="204"/>
      <c r="BR243" s="177"/>
    </row>
    <row r="244" spans="5:70" x14ac:dyDescent="0.25">
      <c r="E244" s="12"/>
      <c r="F244" s="71"/>
      <c r="G244" s="801" t="s">
        <v>900</v>
      </c>
      <c r="H244" s="875">
        <f t="shared" ref="H244:V250" si="148">H169-H208</f>
        <v>0</v>
      </c>
      <c r="I244" s="875">
        <f t="shared" si="148"/>
        <v>0</v>
      </c>
      <c r="J244" s="875">
        <f t="shared" si="148"/>
        <v>0</v>
      </c>
      <c r="K244" s="875">
        <f t="shared" si="148"/>
        <v>0</v>
      </c>
      <c r="L244" s="875">
        <f t="shared" si="148"/>
        <v>0</v>
      </c>
      <c r="M244" s="875">
        <f t="shared" si="148"/>
        <v>0</v>
      </c>
      <c r="N244" s="875">
        <f t="shared" si="148"/>
        <v>0</v>
      </c>
      <c r="O244" s="875">
        <f t="shared" si="148"/>
        <v>0</v>
      </c>
      <c r="P244" s="875">
        <f t="shared" si="148"/>
        <v>0</v>
      </c>
      <c r="Q244" s="875">
        <f t="shared" si="148"/>
        <v>0</v>
      </c>
      <c r="R244" s="875">
        <f t="shared" si="148"/>
        <v>0</v>
      </c>
      <c r="S244" s="875">
        <f t="shared" si="148"/>
        <v>0</v>
      </c>
      <c r="T244" s="875">
        <f t="shared" si="148"/>
        <v>0</v>
      </c>
      <c r="U244" s="875">
        <f t="shared" si="148"/>
        <v>0</v>
      </c>
      <c r="V244" s="875">
        <f t="shared" si="148"/>
        <v>0</v>
      </c>
      <c r="W244" s="71"/>
      <c r="X244" s="214"/>
      <c r="BB244" s="343"/>
      <c r="BC244" s="69"/>
      <c r="BD244" s="69"/>
      <c r="BL244" s="631"/>
      <c r="BM244" s="177"/>
      <c r="BO244" s="204"/>
      <c r="BR244" s="177"/>
    </row>
    <row r="245" spans="5:70" x14ac:dyDescent="0.25">
      <c r="E245" s="12"/>
      <c r="F245" s="71"/>
      <c r="G245" s="803" t="s">
        <v>901</v>
      </c>
      <c r="H245" s="875">
        <f t="shared" si="148"/>
        <v>0</v>
      </c>
      <c r="I245" s="875">
        <f t="shared" si="148"/>
        <v>0</v>
      </c>
      <c r="J245" s="875">
        <f t="shared" si="148"/>
        <v>0</v>
      </c>
      <c r="K245" s="875">
        <f t="shared" si="148"/>
        <v>0</v>
      </c>
      <c r="L245" s="875">
        <f t="shared" si="148"/>
        <v>0</v>
      </c>
      <c r="M245" s="875">
        <f t="shared" si="148"/>
        <v>0</v>
      </c>
      <c r="N245" s="875">
        <f t="shared" si="148"/>
        <v>0</v>
      </c>
      <c r="O245" s="875">
        <f t="shared" si="148"/>
        <v>0</v>
      </c>
      <c r="P245" s="875">
        <f t="shared" si="148"/>
        <v>30078.118447541958</v>
      </c>
      <c r="Q245" s="875">
        <f t="shared" si="148"/>
        <v>994.03719225391251</v>
      </c>
      <c r="R245" s="875">
        <f t="shared" si="148"/>
        <v>17399.375723828329</v>
      </c>
      <c r="S245" s="875">
        <f t="shared" si="148"/>
        <v>0</v>
      </c>
      <c r="T245" s="875">
        <f t="shared" si="148"/>
        <v>0</v>
      </c>
      <c r="U245" s="875">
        <f t="shared" si="148"/>
        <v>0</v>
      </c>
      <c r="V245" s="875">
        <f t="shared" si="148"/>
        <v>48471.531363623682</v>
      </c>
      <c r="W245" s="71"/>
      <c r="X245" s="214"/>
      <c r="BB245" s="343"/>
      <c r="BC245" s="69"/>
      <c r="BD245" s="69"/>
      <c r="BL245" s="631"/>
      <c r="BM245" s="177"/>
      <c r="BO245" s="204"/>
      <c r="BR245" s="177"/>
    </row>
    <row r="246" spans="5:70" x14ac:dyDescent="0.25">
      <c r="E246" s="12"/>
      <c r="F246" s="71"/>
      <c r="G246" s="804" t="s">
        <v>902</v>
      </c>
      <c r="H246" s="875">
        <f t="shared" si="148"/>
        <v>0</v>
      </c>
      <c r="I246" s="875">
        <f t="shared" si="148"/>
        <v>1986.2106424327576</v>
      </c>
      <c r="J246" s="875">
        <f t="shared" si="148"/>
        <v>1190.8423549098879</v>
      </c>
      <c r="K246" s="875">
        <f t="shared" si="148"/>
        <v>94.884769776691655</v>
      </c>
      <c r="L246" s="875">
        <f t="shared" si="148"/>
        <v>152.33497045513423</v>
      </c>
      <c r="M246" s="875">
        <f t="shared" si="148"/>
        <v>1206.439310226142</v>
      </c>
      <c r="N246" s="875">
        <f t="shared" si="148"/>
        <v>1098.8499296257796</v>
      </c>
      <c r="O246" s="875">
        <f t="shared" si="148"/>
        <v>11.228075355870999</v>
      </c>
      <c r="P246" s="875">
        <f t="shared" si="148"/>
        <v>0</v>
      </c>
      <c r="Q246" s="875">
        <f t="shared" si="148"/>
        <v>0</v>
      </c>
      <c r="R246" s="875">
        <f t="shared" si="148"/>
        <v>0</v>
      </c>
      <c r="S246" s="875">
        <f t="shared" si="148"/>
        <v>0</v>
      </c>
      <c r="T246" s="875">
        <f t="shared" si="148"/>
        <v>0</v>
      </c>
      <c r="U246" s="875">
        <f t="shared" si="148"/>
        <v>0</v>
      </c>
      <c r="V246" s="875">
        <f t="shared" si="148"/>
        <v>5740.7900527822785</v>
      </c>
      <c r="W246" s="71"/>
      <c r="X246" s="214"/>
      <c r="BB246" s="343"/>
      <c r="BC246" s="69"/>
      <c r="BD246" s="69"/>
      <c r="BL246" s="631"/>
      <c r="BM246" s="177"/>
      <c r="BO246" s="204"/>
      <c r="BR246" s="177"/>
    </row>
    <row r="247" spans="5:70" x14ac:dyDescent="0.25">
      <c r="E247" s="12"/>
      <c r="F247" s="71"/>
      <c r="G247" s="805" t="s">
        <v>903</v>
      </c>
      <c r="H247" s="875">
        <f t="shared" si="148"/>
        <v>0</v>
      </c>
      <c r="I247" s="875">
        <f t="shared" si="148"/>
        <v>0</v>
      </c>
      <c r="J247" s="875">
        <f t="shared" si="148"/>
        <v>0</v>
      </c>
      <c r="K247" s="875">
        <f t="shared" si="148"/>
        <v>0</v>
      </c>
      <c r="L247" s="875">
        <f t="shared" si="148"/>
        <v>0</v>
      </c>
      <c r="M247" s="875">
        <f t="shared" si="148"/>
        <v>0</v>
      </c>
      <c r="N247" s="875">
        <f t="shared" si="148"/>
        <v>0</v>
      </c>
      <c r="O247" s="875">
        <f t="shared" si="148"/>
        <v>0</v>
      </c>
      <c r="P247" s="875">
        <f t="shared" si="148"/>
        <v>0</v>
      </c>
      <c r="Q247" s="875">
        <f t="shared" si="148"/>
        <v>0</v>
      </c>
      <c r="R247" s="875">
        <f t="shared" si="148"/>
        <v>0</v>
      </c>
      <c r="S247" s="875">
        <f t="shared" si="148"/>
        <v>0</v>
      </c>
      <c r="T247" s="875">
        <f t="shared" si="148"/>
        <v>0</v>
      </c>
      <c r="U247" s="875">
        <f t="shared" si="148"/>
        <v>0</v>
      </c>
      <c r="V247" s="875">
        <f t="shared" si="148"/>
        <v>0</v>
      </c>
      <c r="W247" s="71"/>
      <c r="X247" s="214"/>
      <c r="BB247" s="343"/>
      <c r="BC247" s="69"/>
      <c r="BD247" s="69"/>
      <c r="BL247" s="631"/>
      <c r="BM247" s="177"/>
      <c r="BO247" s="204"/>
      <c r="BR247" s="177"/>
    </row>
    <row r="248" spans="5:70" x14ac:dyDescent="0.25">
      <c r="E248" s="12"/>
      <c r="F248" s="71"/>
      <c r="G248" s="806" t="s">
        <v>904</v>
      </c>
      <c r="H248" s="875">
        <f t="shared" si="148"/>
        <v>0</v>
      </c>
      <c r="I248" s="875">
        <f t="shared" si="148"/>
        <v>0</v>
      </c>
      <c r="J248" s="875">
        <f t="shared" si="148"/>
        <v>0</v>
      </c>
      <c r="K248" s="875">
        <f t="shared" si="148"/>
        <v>0</v>
      </c>
      <c r="L248" s="875">
        <f t="shared" si="148"/>
        <v>0</v>
      </c>
      <c r="M248" s="875">
        <f t="shared" si="148"/>
        <v>0</v>
      </c>
      <c r="N248" s="875">
        <f t="shared" si="148"/>
        <v>0</v>
      </c>
      <c r="O248" s="875">
        <f t="shared" si="148"/>
        <v>0</v>
      </c>
      <c r="P248" s="875">
        <f t="shared" si="148"/>
        <v>13884.000509809761</v>
      </c>
      <c r="Q248" s="875">
        <f t="shared" si="148"/>
        <v>458.84561921960994</v>
      </c>
      <c r="R248" s="875">
        <f t="shared" si="148"/>
        <v>8031.5177241329511</v>
      </c>
      <c r="S248" s="875">
        <f t="shared" si="148"/>
        <v>0</v>
      </c>
      <c r="T248" s="875">
        <f t="shared" si="148"/>
        <v>0</v>
      </c>
      <c r="U248" s="875">
        <f t="shared" si="148"/>
        <v>0</v>
      </c>
      <c r="V248" s="875">
        <f t="shared" si="148"/>
        <v>22374.363853162155</v>
      </c>
      <c r="W248" s="71"/>
      <c r="X248" s="214"/>
      <c r="BB248" s="343"/>
      <c r="BC248" s="69"/>
      <c r="BD248" s="69"/>
      <c r="BL248" s="631"/>
      <c r="BM248" s="177"/>
      <c r="BO248" s="204"/>
      <c r="BR248" s="177"/>
    </row>
    <row r="249" spans="5:70" x14ac:dyDescent="0.25">
      <c r="E249" s="12"/>
      <c r="F249" s="71"/>
      <c r="G249" s="807" t="s">
        <v>905</v>
      </c>
      <c r="H249" s="875">
        <f t="shared" si="148"/>
        <v>0</v>
      </c>
      <c r="I249" s="875">
        <f t="shared" si="148"/>
        <v>0</v>
      </c>
      <c r="J249" s="875">
        <f t="shared" si="148"/>
        <v>0</v>
      </c>
      <c r="K249" s="875">
        <f t="shared" si="148"/>
        <v>0</v>
      </c>
      <c r="L249" s="875">
        <f t="shared" si="148"/>
        <v>0</v>
      </c>
      <c r="M249" s="875">
        <f t="shared" si="148"/>
        <v>0</v>
      </c>
      <c r="N249" s="875">
        <f t="shared" si="148"/>
        <v>0</v>
      </c>
      <c r="O249" s="875">
        <f t="shared" si="148"/>
        <v>0</v>
      </c>
      <c r="P249" s="875">
        <f t="shared" si="148"/>
        <v>0</v>
      </c>
      <c r="Q249" s="875">
        <f t="shared" si="148"/>
        <v>0</v>
      </c>
      <c r="R249" s="875">
        <f t="shared" si="148"/>
        <v>0</v>
      </c>
      <c r="S249" s="875">
        <f t="shared" si="148"/>
        <v>0</v>
      </c>
      <c r="T249" s="875">
        <f t="shared" si="148"/>
        <v>0</v>
      </c>
      <c r="U249" s="875">
        <f t="shared" si="148"/>
        <v>0</v>
      </c>
      <c r="V249" s="875">
        <f t="shared" si="148"/>
        <v>0</v>
      </c>
      <c r="W249" s="71"/>
      <c r="X249" s="214"/>
      <c r="BB249" s="343"/>
      <c r="BC249" s="69"/>
      <c r="BD249" s="69"/>
      <c r="BL249" s="631"/>
      <c r="BM249" s="177"/>
      <c r="BO249" s="204"/>
      <c r="BR249" s="177"/>
    </row>
    <row r="250" spans="5:70" ht="15.75" thickBot="1" x14ac:dyDescent="0.3">
      <c r="E250" s="12"/>
      <c r="F250" s="71"/>
      <c r="G250" s="71" t="s">
        <v>3</v>
      </c>
      <c r="H250" s="876">
        <f t="shared" si="148"/>
        <v>5975.2265022648062</v>
      </c>
      <c r="I250" s="876">
        <f t="shared" si="148"/>
        <v>1986.2106424323283</v>
      </c>
      <c r="J250" s="876">
        <f t="shared" si="148"/>
        <v>1190.8423549097497</v>
      </c>
      <c r="K250" s="876">
        <f t="shared" si="148"/>
        <v>94.884769776690518</v>
      </c>
      <c r="L250" s="876">
        <f t="shared" si="148"/>
        <v>152.33497045515105</v>
      </c>
      <c r="M250" s="876">
        <f t="shared" si="148"/>
        <v>1206.4393102261238</v>
      </c>
      <c r="N250" s="876">
        <f t="shared" si="148"/>
        <v>1098.8499296256341</v>
      </c>
      <c r="O250" s="876">
        <f t="shared" si="148"/>
        <v>11.228075355871624</v>
      </c>
      <c r="P250" s="876">
        <f t="shared" si="148"/>
        <v>80986.319944399409</v>
      </c>
      <c r="Q250" s="876">
        <f t="shared" si="148"/>
        <v>2698.0125635380318</v>
      </c>
      <c r="R250" s="876">
        <f t="shared" si="148"/>
        <v>47882.44001067616</v>
      </c>
      <c r="S250" s="876">
        <f t="shared" si="148"/>
        <v>0</v>
      </c>
      <c r="T250" s="876">
        <f t="shared" si="148"/>
        <v>280715.51608545985</v>
      </c>
      <c r="U250" s="876">
        <f t="shared" si="148"/>
        <v>53382.143653243314</v>
      </c>
      <c r="V250" s="876">
        <f t="shared" si="148"/>
        <v>477380.44881236181</v>
      </c>
      <c r="W250" s="71"/>
      <c r="X250" s="214"/>
      <c r="BB250" s="343"/>
      <c r="BC250" s="69"/>
      <c r="BD250" s="69"/>
      <c r="BL250" s="631"/>
      <c r="BM250" s="177"/>
      <c r="BO250" s="204"/>
      <c r="BR250" s="177"/>
    </row>
    <row r="251" spans="5:70" x14ac:dyDescent="0.25">
      <c r="E251" s="12"/>
      <c r="F251" s="71"/>
      <c r="G251" s="71"/>
      <c r="H251" s="877"/>
      <c r="I251" s="878"/>
      <c r="J251" s="878"/>
      <c r="K251" s="878"/>
      <c r="L251" s="878"/>
      <c r="M251" s="878"/>
      <c r="N251" s="878"/>
      <c r="O251" s="878"/>
      <c r="P251" s="878"/>
      <c r="Q251" s="878"/>
      <c r="R251" s="878"/>
      <c r="S251" s="878"/>
      <c r="T251" s="878"/>
      <c r="U251" s="878"/>
      <c r="V251" s="878"/>
      <c r="W251" s="71"/>
      <c r="X251" s="214"/>
      <c r="BB251" s="343"/>
      <c r="BC251" s="69"/>
      <c r="BD251" s="69"/>
      <c r="BL251" s="631"/>
      <c r="BM251" s="177"/>
      <c r="BO251" s="204"/>
      <c r="BR251" s="177"/>
    </row>
    <row r="252" spans="5:70" x14ac:dyDescent="0.25">
      <c r="E252" s="12"/>
      <c r="F252" s="71"/>
      <c r="G252" s="71"/>
      <c r="H252" s="877"/>
      <c r="I252" s="878"/>
      <c r="J252" s="878"/>
      <c r="K252" s="878"/>
      <c r="L252" s="878"/>
      <c r="M252" s="878"/>
      <c r="N252" s="878"/>
      <c r="O252" s="878"/>
      <c r="P252" s="878"/>
      <c r="Q252" s="878"/>
      <c r="R252" s="878"/>
      <c r="S252" s="878"/>
      <c r="T252" s="878"/>
      <c r="U252" s="878"/>
      <c r="V252" s="878"/>
      <c r="W252" s="71"/>
      <c r="X252" s="214"/>
      <c r="BB252" s="343"/>
      <c r="BC252" s="69"/>
      <c r="BD252" s="69"/>
      <c r="BL252" s="631"/>
      <c r="BM252" s="177"/>
      <c r="BO252" s="204"/>
      <c r="BR252" s="177"/>
    </row>
    <row r="253" spans="5:70" x14ac:dyDescent="0.25">
      <c r="E253" s="12"/>
      <c r="F253" s="71"/>
      <c r="G253" s="71"/>
      <c r="H253" s="877"/>
      <c r="I253" s="878"/>
      <c r="J253" s="878"/>
      <c r="K253" s="878"/>
      <c r="L253" s="878"/>
      <c r="M253" s="878"/>
      <c r="N253" s="878"/>
      <c r="O253" s="878"/>
      <c r="P253" s="878"/>
      <c r="Q253" s="878"/>
      <c r="R253" s="878"/>
      <c r="S253" s="878"/>
      <c r="T253" s="878"/>
      <c r="U253" s="878"/>
      <c r="V253" s="878"/>
      <c r="W253" s="71"/>
      <c r="X253" s="214"/>
      <c r="BB253" s="343"/>
      <c r="BC253" s="69"/>
      <c r="BD253" s="69"/>
      <c r="BL253" s="631"/>
      <c r="BM253" s="177"/>
      <c r="BO253" s="204"/>
      <c r="BR253" s="177"/>
    </row>
    <row r="254" spans="5:70" x14ac:dyDescent="0.25">
      <c r="E254" s="12"/>
      <c r="F254" s="879" t="s">
        <v>919</v>
      </c>
      <c r="G254" s="71" t="s">
        <v>909</v>
      </c>
      <c r="H254" s="872" t="s">
        <v>2</v>
      </c>
      <c r="I254" s="873" t="s">
        <v>12</v>
      </c>
      <c r="J254" s="873" t="s">
        <v>8</v>
      </c>
      <c r="K254" s="873" t="s">
        <v>164</v>
      </c>
      <c r="L254" s="873" t="s">
        <v>165</v>
      </c>
      <c r="M254" s="873" t="s">
        <v>214</v>
      </c>
      <c r="N254" s="873" t="s">
        <v>18</v>
      </c>
      <c r="O254" s="873" t="s">
        <v>16</v>
      </c>
      <c r="P254" s="873" t="s">
        <v>109</v>
      </c>
      <c r="Q254" s="873" t="s">
        <v>156</v>
      </c>
      <c r="R254" s="873" t="s">
        <v>846</v>
      </c>
      <c r="S254" s="874" t="s">
        <v>910</v>
      </c>
      <c r="T254" s="873" t="s">
        <v>911</v>
      </c>
      <c r="U254" s="873" t="s">
        <v>334</v>
      </c>
      <c r="V254" s="873" t="s">
        <v>3</v>
      </c>
      <c r="W254" s="71"/>
      <c r="X254" s="214"/>
      <c r="BB254" s="343"/>
      <c r="BC254" s="69"/>
      <c r="BD254" s="69"/>
      <c r="BL254" s="631"/>
      <c r="BM254" s="177"/>
      <c r="BO254" s="204"/>
      <c r="BR254" s="177"/>
    </row>
    <row r="255" spans="5:70" x14ac:dyDescent="0.25">
      <c r="E255" s="12"/>
      <c r="F255" s="71"/>
      <c r="G255" s="797" t="s">
        <v>899</v>
      </c>
      <c r="H255" s="875">
        <f t="shared" ref="H255:V262" si="149">H180-H219</f>
        <v>0</v>
      </c>
      <c r="I255" s="875">
        <f>I180-I219</f>
        <v>0</v>
      </c>
      <c r="J255" s="875">
        <f t="shared" si="149"/>
        <v>0</v>
      </c>
      <c r="K255" s="875">
        <f t="shared" si="149"/>
        <v>0</v>
      </c>
      <c r="L255" s="875">
        <f t="shared" si="149"/>
        <v>0</v>
      </c>
      <c r="M255" s="875">
        <f t="shared" si="149"/>
        <v>0</v>
      </c>
      <c r="N255" s="875">
        <f t="shared" si="149"/>
        <v>0</v>
      </c>
      <c r="O255" s="875">
        <f t="shared" si="149"/>
        <v>0</v>
      </c>
      <c r="P255" s="875">
        <f t="shared" si="149"/>
        <v>0</v>
      </c>
      <c r="Q255" s="875">
        <f t="shared" si="149"/>
        <v>0</v>
      </c>
      <c r="R255" s="875">
        <f t="shared" si="149"/>
        <v>0</v>
      </c>
      <c r="S255" s="875">
        <f t="shared" si="149"/>
        <v>0</v>
      </c>
      <c r="T255" s="875">
        <f t="shared" si="149"/>
        <v>0</v>
      </c>
      <c r="U255" s="875">
        <f t="shared" si="149"/>
        <v>0</v>
      </c>
      <c r="V255" s="875">
        <f t="shared" si="149"/>
        <v>0</v>
      </c>
      <c r="W255" s="71"/>
      <c r="X255" s="214"/>
      <c r="BB255" s="343"/>
      <c r="BC255" s="69"/>
      <c r="BD255" s="69"/>
      <c r="BL255" s="631"/>
      <c r="BM255" s="177"/>
      <c r="BO255" s="204"/>
      <c r="BR255" s="177"/>
    </row>
    <row r="256" spans="5:70" x14ac:dyDescent="0.25">
      <c r="E256" s="12"/>
      <c r="F256" s="71"/>
      <c r="G256" s="801" t="s">
        <v>900</v>
      </c>
      <c r="H256" s="875">
        <f t="shared" si="149"/>
        <v>0</v>
      </c>
      <c r="I256" s="875">
        <f t="shared" si="149"/>
        <v>0</v>
      </c>
      <c r="J256" s="875">
        <f t="shared" si="149"/>
        <v>0</v>
      </c>
      <c r="K256" s="875">
        <f t="shared" si="149"/>
        <v>0</v>
      </c>
      <c r="L256" s="875">
        <f t="shared" si="149"/>
        <v>0</v>
      </c>
      <c r="M256" s="875">
        <f t="shared" si="149"/>
        <v>0</v>
      </c>
      <c r="N256" s="875">
        <f t="shared" si="149"/>
        <v>0</v>
      </c>
      <c r="O256" s="875">
        <f t="shared" si="149"/>
        <v>0</v>
      </c>
      <c r="P256" s="875">
        <f t="shared" si="149"/>
        <v>0</v>
      </c>
      <c r="Q256" s="875">
        <f t="shared" si="149"/>
        <v>0</v>
      </c>
      <c r="R256" s="875">
        <f t="shared" si="149"/>
        <v>0</v>
      </c>
      <c r="S256" s="875">
        <f t="shared" si="149"/>
        <v>0</v>
      </c>
      <c r="T256" s="875">
        <f t="shared" si="149"/>
        <v>0</v>
      </c>
      <c r="U256" s="875">
        <f t="shared" si="149"/>
        <v>0</v>
      </c>
      <c r="V256" s="875">
        <f t="shared" si="149"/>
        <v>0</v>
      </c>
      <c r="W256" s="71"/>
      <c r="X256" s="214"/>
      <c r="BB256" s="343"/>
      <c r="BC256" s="69"/>
      <c r="BD256" s="69"/>
      <c r="BL256" s="631"/>
      <c r="BM256" s="177"/>
      <c r="BO256" s="204"/>
      <c r="BR256" s="177"/>
    </row>
    <row r="257" spans="5:70" x14ac:dyDescent="0.25">
      <c r="E257" s="12"/>
      <c r="F257" s="71"/>
      <c r="G257" s="803" t="s">
        <v>901</v>
      </c>
      <c r="H257" s="875">
        <f t="shared" si="149"/>
        <v>0</v>
      </c>
      <c r="I257" s="875">
        <f t="shared" si="149"/>
        <v>0</v>
      </c>
      <c r="J257" s="875">
        <f t="shared" si="149"/>
        <v>0</v>
      </c>
      <c r="K257" s="875">
        <f t="shared" si="149"/>
        <v>0</v>
      </c>
      <c r="L257" s="875">
        <f t="shared" si="149"/>
        <v>0</v>
      </c>
      <c r="M257" s="875">
        <f t="shared" si="149"/>
        <v>0</v>
      </c>
      <c r="N257" s="875">
        <f t="shared" si="149"/>
        <v>0</v>
      </c>
      <c r="O257" s="875">
        <f t="shared" si="149"/>
        <v>0</v>
      </c>
      <c r="P257" s="875">
        <f t="shared" si="149"/>
        <v>0</v>
      </c>
      <c r="Q257" s="875">
        <f t="shared" si="149"/>
        <v>0</v>
      </c>
      <c r="R257" s="875">
        <f t="shared" si="149"/>
        <v>0</v>
      </c>
      <c r="S257" s="875">
        <f t="shared" si="149"/>
        <v>0</v>
      </c>
      <c r="T257" s="875">
        <f t="shared" si="149"/>
        <v>0</v>
      </c>
      <c r="U257" s="875">
        <f t="shared" si="149"/>
        <v>0</v>
      </c>
      <c r="V257" s="875">
        <f t="shared" si="149"/>
        <v>0</v>
      </c>
      <c r="W257" s="71"/>
      <c r="X257" s="214"/>
      <c r="BB257" s="343"/>
      <c r="BC257" s="69"/>
      <c r="BD257" s="69"/>
      <c r="BL257" s="631"/>
      <c r="BM257" s="177"/>
      <c r="BO257" s="204"/>
      <c r="BR257" s="177"/>
    </row>
    <row r="258" spans="5:70" x14ac:dyDescent="0.25">
      <c r="E258" s="12"/>
      <c r="F258" s="71"/>
      <c r="G258" s="804" t="s">
        <v>902</v>
      </c>
      <c r="H258" s="875">
        <f t="shared" si="149"/>
        <v>0</v>
      </c>
      <c r="I258" s="875">
        <f>I183-I222</f>
        <v>1986.2106424327576</v>
      </c>
      <c r="J258" s="875">
        <f t="shared" si="149"/>
        <v>1190.8423549098879</v>
      </c>
      <c r="K258" s="875">
        <f t="shared" si="149"/>
        <v>94.884769776691655</v>
      </c>
      <c r="L258" s="875">
        <f t="shared" si="149"/>
        <v>152.33497045513423</v>
      </c>
      <c r="M258" s="875">
        <f t="shared" si="149"/>
        <v>1206.439310226142</v>
      </c>
      <c r="N258" s="875">
        <f t="shared" si="149"/>
        <v>1098.8499296257796</v>
      </c>
      <c r="O258" s="875">
        <f t="shared" si="149"/>
        <v>11.228075355870999</v>
      </c>
      <c r="P258" s="875">
        <f t="shared" si="149"/>
        <v>0</v>
      </c>
      <c r="Q258" s="875">
        <f t="shared" si="149"/>
        <v>0</v>
      </c>
      <c r="R258" s="875">
        <f t="shared" si="149"/>
        <v>0</v>
      </c>
      <c r="S258" s="875">
        <f t="shared" si="149"/>
        <v>0</v>
      </c>
      <c r="T258" s="875">
        <f t="shared" si="149"/>
        <v>0</v>
      </c>
      <c r="U258" s="875">
        <f t="shared" si="149"/>
        <v>0</v>
      </c>
      <c r="V258" s="875">
        <f t="shared" si="149"/>
        <v>5740.7900527822785</v>
      </c>
      <c r="W258" s="71"/>
      <c r="X258" s="214"/>
      <c r="BB258" s="343"/>
      <c r="BC258" s="69"/>
      <c r="BD258" s="69"/>
      <c r="BL258" s="631"/>
      <c r="BM258" s="177"/>
      <c r="BO258" s="204"/>
      <c r="BR258" s="177"/>
    </row>
    <row r="259" spans="5:70" x14ac:dyDescent="0.25">
      <c r="E259" s="12"/>
      <c r="F259" s="71"/>
      <c r="G259" s="805" t="s">
        <v>903</v>
      </c>
      <c r="H259" s="875">
        <f t="shared" si="149"/>
        <v>0</v>
      </c>
      <c r="I259" s="875">
        <f t="shared" si="149"/>
        <v>0</v>
      </c>
      <c r="J259" s="875">
        <f t="shared" si="149"/>
        <v>0</v>
      </c>
      <c r="K259" s="875">
        <f t="shared" si="149"/>
        <v>0</v>
      </c>
      <c r="L259" s="875">
        <f t="shared" si="149"/>
        <v>0</v>
      </c>
      <c r="M259" s="875">
        <f t="shared" si="149"/>
        <v>0</v>
      </c>
      <c r="N259" s="875">
        <f t="shared" si="149"/>
        <v>0</v>
      </c>
      <c r="O259" s="875">
        <f t="shared" si="149"/>
        <v>0</v>
      </c>
      <c r="P259" s="875">
        <f t="shared" si="149"/>
        <v>0</v>
      </c>
      <c r="Q259" s="875">
        <f t="shared" si="149"/>
        <v>0</v>
      </c>
      <c r="R259" s="875">
        <f t="shared" si="149"/>
        <v>0</v>
      </c>
      <c r="S259" s="875">
        <f t="shared" si="149"/>
        <v>0</v>
      </c>
      <c r="T259" s="875">
        <f t="shared" si="149"/>
        <v>0</v>
      </c>
      <c r="U259" s="875">
        <f t="shared" si="149"/>
        <v>0</v>
      </c>
      <c r="V259" s="875">
        <f t="shared" si="149"/>
        <v>0</v>
      </c>
      <c r="W259" s="71"/>
      <c r="X259" s="214"/>
      <c r="BB259" s="343"/>
      <c r="BC259" s="69"/>
      <c r="BD259" s="69"/>
      <c r="BL259" s="631"/>
      <c r="BM259" s="177"/>
      <c r="BO259" s="204"/>
      <c r="BR259" s="177"/>
    </row>
    <row r="260" spans="5:70" x14ac:dyDescent="0.25">
      <c r="E260" s="12"/>
      <c r="F260" s="71"/>
      <c r="G260" s="806" t="s">
        <v>904</v>
      </c>
      <c r="H260" s="875">
        <f t="shared" si="149"/>
        <v>0</v>
      </c>
      <c r="I260" s="875">
        <f>I185-I224</f>
        <v>0</v>
      </c>
      <c r="J260" s="875">
        <f t="shared" si="149"/>
        <v>0</v>
      </c>
      <c r="K260" s="875">
        <f t="shared" si="149"/>
        <v>0</v>
      </c>
      <c r="L260" s="875">
        <f t="shared" si="149"/>
        <v>0</v>
      </c>
      <c r="M260" s="875">
        <f t="shared" si="149"/>
        <v>0</v>
      </c>
      <c r="N260" s="875">
        <f t="shared" si="149"/>
        <v>0</v>
      </c>
      <c r="O260" s="875">
        <f t="shared" si="149"/>
        <v>0</v>
      </c>
      <c r="P260" s="875">
        <f t="shared" si="149"/>
        <v>13884.000509809761</v>
      </c>
      <c r="Q260" s="875">
        <f t="shared" si="149"/>
        <v>458.84561921960994</v>
      </c>
      <c r="R260" s="875">
        <f t="shared" si="149"/>
        <v>8031.5177241329511</v>
      </c>
      <c r="S260" s="875">
        <f t="shared" si="149"/>
        <v>0</v>
      </c>
      <c r="T260" s="875">
        <f t="shared" si="149"/>
        <v>0</v>
      </c>
      <c r="U260" s="875">
        <f t="shared" si="149"/>
        <v>0</v>
      </c>
      <c r="V260" s="875">
        <f t="shared" si="149"/>
        <v>22374.363853162155</v>
      </c>
      <c r="W260" s="71"/>
      <c r="X260" s="214"/>
      <c r="BB260" s="343"/>
      <c r="BC260" s="69"/>
      <c r="BD260" s="69"/>
      <c r="BL260" s="631"/>
      <c r="BM260" s="177"/>
      <c r="BO260" s="204"/>
      <c r="BR260" s="177"/>
    </row>
    <row r="261" spans="5:70" x14ac:dyDescent="0.25">
      <c r="E261" s="12"/>
      <c r="F261" s="71"/>
      <c r="G261" s="807" t="s">
        <v>905</v>
      </c>
      <c r="H261" s="875">
        <f t="shared" si="149"/>
        <v>0</v>
      </c>
      <c r="I261" s="875">
        <f t="shared" si="149"/>
        <v>0</v>
      </c>
      <c r="J261" s="875">
        <f t="shared" si="149"/>
        <v>0</v>
      </c>
      <c r="K261" s="875">
        <f t="shared" si="149"/>
        <v>0</v>
      </c>
      <c r="L261" s="875">
        <f t="shared" si="149"/>
        <v>0</v>
      </c>
      <c r="M261" s="875">
        <f t="shared" si="149"/>
        <v>0</v>
      </c>
      <c r="N261" s="875">
        <f t="shared" si="149"/>
        <v>0</v>
      </c>
      <c r="O261" s="875">
        <f t="shared" si="149"/>
        <v>0</v>
      </c>
      <c r="P261" s="875">
        <f t="shared" si="149"/>
        <v>0</v>
      </c>
      <c r="Q261" s="875">
        <f t="shared" si="149"/>
        <v>0</v>
      </c>
      <c r="R261" s="875">
        <f t="shared" si="149"/>
        <v>0</v>
      </c>
      <c r="S261" s="875">
        <f t="shared" si="149"/>
        <v>0</v>
      </c>
      <c r="T261" s="875">
        <f t="shared" si="149"/>
        <v>0</v>
      </c>
      <c r="U261" s="875">
        <f t="shared" si="149"/>
        <v>0</v>
      </c>
      <c r="V261" s="875">
        <f t="shared" si="149"/>
        <v>0</v>
      </c>
      <c r="W261" s="71"/>
      <c r="X261" s="214"/>
      <c r="BB261" s="343"/>
      <c r="BC261" s="69"/>
      <c r="BD261" s="69"/>
      <c r="BL261" s="631"/>
      <c r="BM261" s="177"/>
      <c r="BO261" s="204"/>
      <c r="BR261" s="177"/>
    </row>
    <row r="262" spans="5:70" ht="15.75" thickBot="1" x14ac:dyDescent="0.3">
      <c r="E262" s="12"/>
      <c r="F262" s="71"/>
      <c r="G262" s="71" t="s">
        <v>3</v>
      </c>
      <c r="H262" s="876">
        <f t="shared" si="149"/>
        <v>0</v>
      </c>
      <c r="I262" s="876">
        <f t="shared" si="149"/>
        <v>1986.2106424325611</v>
      </c>
      <c r="J262" s="876">
        <f t="shared" si="149"/>
        <v>1190.8423549099825</v>
      </c>
      <c r="K262" s="876">
        <f t="shared" si="149"/>
        <v>94.884769776690518</v>
      </c>
      <c r="L262" s="876">
        <f t="shared" si="149"/>
        <v>152.33497045512195</v>
      </c>
      <c r="M262" s="876">
        <f t="shared" si="149"/>
        <v>1206.4393102261238</v>
      </c>
      <c r="N262" s="876">
        <f t="shared" si="149"/>
        <v>1098.8499296258087</v>
      </c>
      <c r="O262" s="876">
        <f t="shared" si="149"/>
        <v>11.228075355871624</v>
      </c>
      <c r="P262" s="876">
        <f t="shared" si="149"/>
        <v>13884.000509809761</v>
      </c>
      <c r="Q262" s="876">
        <f t="shared" si="149"/>
        <v>458.84561921960994</v>
      </c>
      <c r="R262" s="876">
        <f t="shared" si="149"/>
        <v>8031.5177241329511</v>
      </c>
      <c r="S262" s="876">
        <f t="shared" si="149"/>
        <v>0</v>
      </c>
      <c r="T262" s="876">
        <f t="shared" si="149"/>
        <v>0</v>
      </c>
      <c r="U262" s="876">
        <f t="shared" si="149"/>
        <v>0</v>
      </c>
      <c r="V262" s="876">
        <f t="shared" si="149"/>
        <v>28115.153905943967</v>
      </c>
      <c r="W262" s="71"/>
      <c r="X262" s="214"/>
      <c r="BB262" s="343"/>
      <c r="BC262" s="69"/>
      <c r="BD262" s="69"/>
      <c r="BL262" s="631"/>
      <c r="BM262" s="177"/>
      <c r="BO262" s="204"/>
      <c r="BR262" s="177"/>
    </row>
    <row r="263" spans="5:70" x14ac:dyDescent="0.25">
      <c r="E263" s="12"/>
      <c r="F263" s="71"/>
      <c r="G263" s="71"/>
      <c r="H263" s="877"/>
      <c r="I263" s="878"/>
      <c r="J263" s="878"/>
      <c r="K263" s="878"/>
      <c r="L263" s="878"/>
      <c r="M263" s="878"/>
      <c r="N263" s="878"/>
      <c r="O263" s="878"/>
      <c r="P263" s="878"/>
      <c r="Q263" s="878"/>
      <c r="R263" s="878"/>
      <c r="S263" s="878"/>
      <c r="T263" s="878"/>
      <c r="U263" s="878"/>
      <c r="V263" s="878"/>
      <c r="W263" s="71"/>
      <c r="X263" s="214"/>
      <c r="BB263" s="343"/>
      <c r="BC263" s="69"/>
      <c r="BD263" s="69"/>
      <c r="BL263" s="631"/>
      <c r="BM263" s="177"/>
      <c r="BO263" s="204"/>
      <c r="BR263" s="177"/>
    </row>
    <row r="264" spans="5:70" x14ac:dyDescent="0.25">
      <c r="E264" s="12"/>
      <c r="F264" s="71"/>
      <c r="G264" s="71"/>
      <c r="H264" s="877"/>
      <c r="I264" s="878"/>
      <c r="J264" s="878"/>
      <c r="K264" s="878"/>
      <c r="L264" s="878"/>
      <c r="M264" s="878"/>
      <c r="N264" s="878"/>
      <c r="O264" s="878"/>
      <c r="P264" s="878"/>
      <c r="Q264" s="878"/>
      <c r="R264" s="878"/>
      <c r="S264" s="878"/>
      <c r="T264" s="878"/>
      <c r="U264" s="878"/>
      <c r="V264" s="878"/>
      <c r="W264" s="71"/>
      <c r="X264" s="214"/>
      <c r="BB264" s="343"/>
      <c r="BC264" s="69"/>
      <c r="BD264" s="69"/>
      <c r="BL264" s="631"/>
      <c r="BM264" s="177"/>
      <c r="BO264" s="204"/>
      <c r="BR264" s="177"/>
    </row>
    <row r="265" spans="5:70" x14ac:dyDescent="0.25">
      <c r="E265" s="12"/>
      <c r="F265" s="71"/>
      <c r="G265" s="71" t="s">
        <v>909</v>
      </c>
      <c r="H265" s="872" t="s">
        <v>2</v>
      </c>
      <c r="I265" s="873" t="s">
        <v>12</v>
      </c>
      <c r="J265" s="873" t="s">
        <v>8</v>
      </c>
      <c r="K265" s="873" t="s">
        <v>164</v>
      </c>
      <c r="L265" s="873" t="s">
        <v>165</v>
      </c>
      <c r="M265" s="873" t="s">
        <v>214</v>
      </c>
      <c r="N265" s="873" t="s">
        <v>18</v>
      </c>
      <c r="O265" s="873" t="s">
        <v>16</v>
      </c>
      <c r="P265" s="873" t="s">
        <v>109</v>
      </c>
      <c r="Q265" s="873" t="s">
        <v>156</v>
      </c>
      <c r="R265" s="873" t="s">
        <v>846</v>
      </c>
      <c r="S265" s="874" t="s">
        <v>910</v>
      </c>
      <c r="T265" s="873" t="s">
        <v>911</v>
      </c>
      <c r="U265" s="873" t="s">
        <v>334</v>
      </c>
      <c r="V265" s="873" t="s">
        <v>3</v>
      </c>
      <c r="W265" s="71"/>
      <c r="X265" s="214"/>
      <c r="BB265" s="343"/>
      <c r="BC265" s="69"/>
      <c r="BD265" s="69"/>
      <c r="BL265" s="631"/>
      <c r="BM265" s="177"/>
      <c r="BO265" s="204"/>
      <c r="BR265" s="177"/>
    </row>
    <row r="266" spans="5:70" x14ac:dyDescent="0.25">
      <c r="E266" s="12"/>
      <c r="F266" s="71"/>
      <c r="G266" s="797" t="s">
        <v>899</v>
      </c>
      <c r="H266" s="875">
        <f t="shared" ref="H266:U272" si="150">ROUND(H191-H230,0)</f>
        <v>5975</v>
      </c>
      <c r="I266" s="875">
        <f t="shared" si="150"/>
        <v>1986</v>
      </c>
      <c r="J266" s="875">
        <f t="shared" si="150"/>
        <v>1191</v>
      </c>
      <c r="K266" s="875">
        <f t="shared" si="150"/>
        <v>95</v>
      </c>
      <c r="L266" s="875">
        <f t="shared" si="150"/>
        <v>152</v>
      </c>
      <c r="M266" s="875">
        <f t="shared" si="150"/>
        <v>1206</v>
      </c>
      <c r="N266" s="875">
        <f t="shared" si="150"/>
        <v>1099</v>
      </c>
      <c r="O266" s="875">
        <f t="shared" si="150"/>
        <v>11</v>
      </c>
      <c r="P266" s="875">
        <f t="shared" si="150"/>
        <v>37024</v>
      </c>
      <c r="Q266" s="875">
        <f t="shared" si="150"/>
        <v>1245</v>
      </c>
      <c r="R266" s="875">
        <f t="shared" si="150"/>
        <v>22452</v>
      </c>
      <c r="S266" s="875">
        <f t="shared" si="150"/>
        <v>0</v>
      </c>
      <c r="T266" s="875">
        <f t="shared" si="150"/>
        <v>280716</v>
      </c>
      <c r="U266" s="875">
        <f t="shared" si="150"/>
        <v>53382</v>
      </c>
      <c r="V266" s="875">
        <f>SUM(H266:U266)</f>
        <v>406534</v>
      </c>
      <c r="W266" s="71"/>
      <c r="X266" s="214"/>
      <c r="BB266" s="343"/>
      <c r="BC266" s="69"/>
      <c r="BD266" s="69"/>
      <c r="BL266" s="631"/>
      <c r="BM266" s="177"/>
      <c r="BO266" s="204"/>
      <c r="BR266" s="177"/>
    </row>
    <row r="267" spans="5:70" x14ac:dyDescent="0.25">
      <c r="E267" s="12"/>
      <c r="F267" s="71"/>
      <c r="G267" s="801" t="s">
        <v>900</v>
      </c>
      <c r="H267" s="875">
        <f t="shared" si="150"/>
        <v>0</v>
      </c>
      <c r="I267" s="875">
        <f t="shared" si="150"/>
        <v>0</v>
      </c>
      <c r="J267" s="875">
        <f t="shared" si="150"/>
        <v>0</v>
      </c>
      <c r="K267" s="875">
        <f t="shared" si="150"/>
        <v>0</v>
      </c>
      <c r="L267" s="875">
        <f t="shared" si="150"/>
        <v>0</v>
      </c>
      <c r="M267" s="875">
        <f t="shared" si="150"/>
        <v>0</v>
      </c>
      <c r="N267" s="875">
        <f t="shared" si="150"/>
        <v>0</v>
      </c>
      <c r="O267" s="875">
        <f t="shared" si="150"/>
        <v>0</v>
      </c>
      <c r="P267" s="875">
        <f t="shared" si="150"/>
        <v>13884</v>
      </c>
      <c r="Q267" s="875">
        <f t="shared" si="150"/>
        <v>459</v>
      </c>
      <c r="R267" s="875">
        <f t="shared" si="150"/>
        <v>8032</v>
      </c>
      <c r="S267" s="875">
        <f t="shared" si="150"/>
        <v>0</v>
      </c>
      <c r="T267" s="875">
        <f t="shared" si="150"/>
        <v>0</v>
      </c>
      <c r="U267" s="875">
        <f t="shared" si="150"/>
        <v>0</v>
      </c>
      <c r="V267" s="875">
        <f t="shared" ref="V267:V272" si="151">SUM(H267:U267)</f>
        <v>22375</v>
      </c>
      <c r="W267" s="71"/>
      <c r="X267" s="214"/>
      <c r="BB267" s="343"/>
      <c r="BC267" s="69"/>
      <c r="BD267" s="69"/>
      <c r="BL267" s="631"/>
      <c r="BM267" s="177"/>
      <c r="BO267" s="204"/>
      <c r="BR267" s="177"/>
    </row>
    <row r="268" spans="5:70" x14ac:dyDescent="0.25">
      <c r="E268" s="12"/>
      <c r="F268" s="71"/>
      <c r="G268" s="803" t="s">
        <v>901</v>
      </c>
      <c r="H268" s="875">
        <f t="shared" si="150"/>
        <v>0</v>
      </c>
      <c r="I268" s="875">
        <f t="shared" si="150"/>
        <v>0</v>
      </c>
      <c r="J268" s="875">
        <f t="shared" si="150"/>
        <v>0</v>
      </c>
      <c r="K268" s="875">
        <f t="shared" si="150"/>
        <v>0</v>
      </c>
      <c r="L268" s="875">
        <f t="shared" si="150"/>
        <v>0</v>
      </c>
      <c r="M268" s="875">
        <f t="shared" si="150"/>
        <v>0</v>
      </c>
      <c r="N268" s="875">
        <f t="shared" si="150"/>
        <v>0</v>
      </c>
      <c r="O268" s="875">
        <f t="shared" si="150"/>
        <v>0</v>
      </c>
      <c r="P268" s="875">
        <f t="shared" si="150"/>
        <v>30078</v>
      </c>
      <c r="Q268" s="875">
        <f t="shared" si="150"/>
        <v>994</v>
      </c>
      <c r="R268" s="875">
        <f t="shared" si="150"/>
        <v>17399</v>
      </c>
      <c r="S268" s="875">
        <f t="shared" si="150"/>
        <v>0</v>
      </c>
      <c r="T268" s="875">
        <f t="shared" si="150"/>
        <v>0</v>
      </c>
      <c r="U268" s="875">
        <f t="shared" si="150"/>
        <v>0</v>
      </c>
      <c r="V268" s="875">
        <f t="shared" si="151"/>
        <v>48471</v>
      </c>
      <c r="W268" s="71"/>
      <c r="X268" s="214"/>
      <c r="BB268" s="343"/>
      <c r="BC268" s="69"/>
      <c r="BD268" s="69"/>
      <c r="BL268" s="631"/>
      <c r="BM268" s="177"/>
      <c r="BO268" s="204"/>
      <c r="BR268" s="177"/>
    </row>
    <row r="269" spans="5:70" x14ac:dyDescent="0.25">
      <c r="E269" s="12"/>
      <c r="F269" s="71"/>
      <c r="G269" s="804" t="s">
        <v>902</v>
      </c>
      <c r="H269" s="875">
        <f t="shared" si="150"/>
        <v>0</v>
      </c>
      <c r="I269" s="875">
        <f t="shared" si="150"/>
        <v>0</v>
      </c>
      <c r="J269" s="875">
        <f t="shared" si="150"/>
        <v>0</v>
      </c>
      <c r="K269" s="875">
        <f t="shared" si="150"/>
        <v>0</v>
      </c>
      <c r="L269" s="875">
        <f t="shared" si="150"/>
        <v>0</v>
      </c>
      <c r="M269" s="875">
        <f t="shared" si="150"/>
        <v>0</v>
      </c>
      <c r="N269" s="875">
        <f t="shared" si="150"/>
        <v>0</v>
      </c>
      <c r="O269" s="875">
        <f t="shared" si="150"/>
        <v>0</v>
      </c>
      <c r="P269" s="875">
        <f t="shared" si="150"/>
        <v>0</v>
      </c>
      <c r="Q269" s="875">
        <f t="shared" si="150"/>
        <v>0</v>
      </c>
      <c r="R269" s="875">
        <f t="shared" si="150"/>
        <v>0</v>
      </c>
      <c r="S269" s="875">
        <f t="shared" si="150"/>
        <v>0</v>
      </c>
      <c r="T269" s="875">
        <f t="shared" si="150"/>
        <v>0</v>
      </c>
      <c r="U269" s="875">
        <f t="shared" si="150"/>
        <v>0</v>
      </c>
      <c r="V269" s="875">
        <f t="shared" si="151"/>
        <v>0</v>
      </c>
      <c r="W269" s="71"/>
      <c r="X269" s="214"/>
      <c r="BB269" s="343"/>
      <c r="BC269" s="69"/>
      <c r="BD269" s="69"/>
      <c r="BL269" s="631"/>
      <c r="BM269" s="177"/>
      <c r="BO269" s="204"/>
      <c r="BR269" s="177"/>
    </row>
    <row r="270" spans="5:70" x14ac:dyDescent="0.25">
      <c r="E270" s="12"/>
      <c r="F270" s="71"/>
      <c r="G270" s="805" t="s">
        <v>903</v>
      </c>
      <c r="H270" s="875">
        <f t="shared" si="150"/>
        <v>0</v>
      </c>
      <c r="I270" s="875">
        <f t="shared" si="150"/>
        <v>0</v>
      </c>
      <c r="J270" s="875">
        <f t="shared" si="150"/>
        <v>0</v>
      </c>
      <c r="K270" s="875">
        <f t="shared" si="150"/>
        <v>0</v>
      </c>
      <c r="L270" s="875">
        <f t="shared" si="150"/>
        <v>0</v>
      </c>
      <c r="M270" s="875">
        <f t="shared" si="150"/>
        <v>0</v>
      </c>
      <c r="N270" s="875">
        <f t="shared" si="150"/>
        <v>0</v>
      </c>
      <c r="O270" s="875">
        <f t="shared" si="150"/>
        <v>0</v>
      </c>
      <c r="P270" s="875">
        <f t="shared" si="150"/>
        <v>0</v>
      </c>
      <c r="Q270" s="875">
        <f t="shared" si="150"/>
        <v>0</v>
      </c>
      <c r="R270" s="875">
        <f t="shared" si="150"/>
        <v>0</v>
      </c>
      <c r="S270" s="875">
        <f t="shared" si="150"/>
        <v>0</v>
      </c>
      <c r="T270" s="875">
        <f t="shared" si="150"/>
        <v>0</v>
      </c>
      <c r="U270" s="875">
        <f t="shared" si="150"/>
        <v>0</v>
      </c>
      <c r="V270" s="875">
        <f t="shared" si="151"/>
        <v>0</v>
      </c>
      <c r="W270" s="71"/>
      <c r="X270" s="214"/>
      <c r="BB270" s="343"/>
      <c r="BC270" s="69"/>
      <c r="BD270" s="69"/>
      <c r="BL270" s="631"/>
      <c r="BM270" s="177"/>
      <c r="BO270" s="204"/>
      <c r="BR270" s="177"/>
    </row>
    <row r="271" spans="5:70" x14ac:dyDescent="0.25">
      <c r="E271" s="12"/>
      <c r="F271" s="71"/>
      <c r="G271" s="806" t="s">
        <v>904</v>
      </c>
      <c r="H271" s="875">
        <f t="shared" si="150"/>
        <v>0</v>
      </c>
      <c r="I271" s="875">
        <f t="shared" si="150"/>
        <v>0</v>
      </c>
      <c r="J271" s="875">
        <f t="shared" si="150"/>
        <v>0</v>
      </c>
      <c r="K271" s="875">
        <f t="shared" si="150"/>
        <v>0</v>
      </c>
      <c r="L271" s="875">
        <f t="shared" si="150"/>
        <v>0</v>
      </c>
      <c r="M271" s="875">
        <f t="shared" si="150"/>
        <v>0</v>
      </c>
      <c r="N271" s="875">
        <f t="shared" si="150"/>
        <v>0</v>
      </c>
      <c r="O271" s="875">
        <f t="shared" si="150"/>
        <v>0</v>
      </c>
      <c r="P271" s="875">
        <f t="shared" si="150"/>
        <v>0</v>
      </c>
      <c r="Q271" s="875">
        <f t="shared" si="150"/>
        <v>0</v>
      </c>
      <c r="R271" s="875">
        <f t="shared" si="150"/>
        <v>0</v>
      </c>
      <c r="S271" s="875">
        <f t="shared" si="150"/>
        <v>0</v>
      </c>
      <c r="T271" s="875">
        <f t="shared" si="150"/>
        <v>0</v>
      </c>
      <c r="U271" s="875">
        <f t="shared" si="150"/>
        <v>0</v>
      </c>
      <c r="V271" s="875">
        <f t="shared" si="151"/>
        <v>0</v>
      </c>
      <c r="W271" s="71"/>
      <c r="X271" s="214"/>
      <c r="BB271" s="343"/>
      <c r="BC271" s="69"/>
      <c r="BD271" s="69"/>
      <c r="BL271" s="631"/>
      <c r="BM271" s="177"/>
      <c r="BO271" s="204"/>
      <c r="BR271" s="177"/>
    </row>
    <row r="272" spans="5:70" x14ac:dyDescent="0.25">
      <c r="E272" s="12"/>
      <c r="F272" s="71"/>
      <c r="G272" s="807" t="s">
        <v>905</v>
      </c>
      <c r="H272" s="875">
        <f t="shared" si="150"/>
        <v>0</v>
      </c>
      <c r="I272" s="875">
        <f t="shared" si="150"/>
        <v>0</v>
      </c>
      <c r="J272" s="875">
        <f t="shared" si="150"/>
        <v>0</v>
      </c>
      <c r="K272" s="875">
        <f t="shared" si="150"/>
        <v>0</v>
      </c>
      <c r="L272" s="875">
        <f t="shared" si="150"/>
        <v>0</v>
      </c>
      <c r="M272" s="875">
        <f t="shared" si="150"/>
        <v>0</v>
      </c>
      <c r="N272" s="875">
        <f t="shared" si="150"/>
        <v>0</v>
      </c>
      <c r="O272" s="875">
        <f t="shared" si="150"/>
        <v>0</v>
      </c>
      <c r="P272" s="875">
        <f t="shared" si="150"/>
        <v>0</v>
      </c>
      <c r="Q272" s="875">
        <f t="shared" si="150"/>
        <v>0</v>
      </c>
      <c r="R272" s="875">
        <f t="shared" si="150"/>
        <v>0</v>
      </c>
      <c r="S272" s="875">
        <f t="shared" si="150"/>
        <v>0</v>
      </c>
      <c r="T272" s="875">
        <f t="shared" si="150"/>
        <v>0</v>
      </c>
      <c r="U272" s="875">
        <f t="shared" si="150"/>
        <v>0</v>
      </c>
      <c r="V272" s="875">
        <f t="shared" si="151"/>
        <v>0</v>
      </c>
      <c r="W272" s="71"/>
      <c r="X272" s="214"/>
      <c r="BB272" s="343"/>
      <c r="BC272" s="69"/>
      <c r="BD272" s="69"/>
      <c r="BL272" s="631"/>
      <c r="BM272" s="177"/>
      <c r="BO272" s="204"/>
      <c r="BR272" s="177"/>
    </row>
    <row r="273" spans="5:70" ht="15.75" thickBot="1" x14ac:dyDescent="0.3">
      <c r="E273" s="12"/>
      <c r="F273" s="71"/>
      <c r="G273" s="71" t="s">
        <v>3</v>
      </c>
      <c r="H273" s="876">
        <f>SUM(H266:H272)</f>
        <v>5975</v>
      </c>
      <c r="I273" s="876">
        <f t="shared" ref="I273:V273" si="152">SUM(I266:I272)</f>
        <v>1986</v>
      </c>
      <c r="J273" s="876">
        <f t="shared" si="152"/>
        <v>1191</v>
      </c>
      <c r="K273" s="876">
        <f t="shared" si="152"/>
        <v>95</v>
      </c>
      <c r="L273" s="876">
        <f t="shared" si="152"/>
        <v>152</v>
      </c>
      <c r="M273" s="876">
        <f t="shared" si="152"/>
        <v>1206</v>
      </c>
      <c r="N273" s="876">
        <f t="shared" si="152"/>
        <v>1099</v>
      </c>
      <c r="O273" s="876">
        <f t="shared" si="152"/>
        <v>11</v>
      </c>
      <c r="P273" s="876">
        <f t="shared" si="152"/>
        <v>80986</v>
      </c>
      <c r="Q273" s="876">
        <f t="shared" si="152"/>
        <v>2698</v>
      </c>
      <c r="R273" s="876">
        <f t="shared" si="152"/>
        <v>47883</v>
      </c>
      <c r="S273" s="876">
        <f t="shared" si="152"/>
        <v>0</v>
      </c>
      <c r="T273" s="876">
        <f t="shared" si="152"/>
        <v>280716</v>
      </c>
      <c r="U273" s="876">
        <f t="shared" si="152"/>
        <v>53382</v>
      </c>
      <c r="V273" s="876">
        <f t="shared" si="152"/>
        <v>477380</v>
      </c>
      <c r="W273" s="811">
        <f>$BL$161-$V$273</f>
        <v>0.44881236215587705</v>
      </c>
      <c r="X273" s="214"/>
      <c r="BB273" s="343"/>
      <c r="BC273" s="69"/>
      <c r="BD273" s="69"/>
      <c r="BL273" s="631"/>
      <c r="BM273" s="177"/>
      <c r="BO273" s="204"/>
      <c r="BR273" s="177"/>
    </row>
    <row r="274" spans="5:70" ht="15.75" thickBot="1" x14ac:dyDescent="0.3">
      <c r="E274" s="9"/>
      <c r="F274" s="7"/>
      <c r="G274" s="7"/>
      <c r="H274" s="864"/>
      <c r="I274" s="7"/>
      <c r="J274" s="7"/>
      <c r="K274" s="7"/>
      <c r="L274" s="7"/>
      <c r="M274" s="7"/>
      <c r="N274" s="7"/>
      <c r="O274" s="7"/>
      <c r="P274" s="7"/>
      <c r="Q274" s="7"/>
      <c r="R274" s="7"/>
      <c r="S274" s="7"/>
      <c r="T274" s="7"/>
      <c r="U274" s="7"/>
      <c r="V274" s="880"/>
      <c r="W274" s="7"/>
      <c r="X274" s="230"/>
      <c r="BB274" s="343"/>
      <c r="BC274" s="69"/>
      <c r="BD274" s="69"/>
      <c r="BL274" s="631"/>
      <c r="BM274" s="177"/>
      <c r="BO274" s="204"/>
      <c r="BR274" s="177"/>
    </row>
    <row r="275" spans="5:70" x14ac:dyDescent="0.25">
      <c r="H275" s="343"/>
      <c r="I275" s="69"/>
      <c r="BB275" s="241"/>
      <c r="BC275" s="177"/>
      <c r="BL275" s="631"/>
      <c r="BM275" s="177"/>
      <c r="BO275" s="204"/>
      <c r="BR275" s="177"/>
    </row>
    <row r="276" spans="5:70" x14ac:dyDescent="0.25">
      <c r="H276" s="343"/>
      <c r="I276" s="69"/>
      <c r="BB276" s="241"/>
      <c r="BC276" s="177"/>
      <c r="BL276" s="631"/>
      <c r="BM276" s="177"/>
      <c r="BO276" s="204"/>
      <c r="BR276" s="177"/>
    </row>
    <row r="277" spans="5:70" x14ac:dyDescent="0.25">
      <c r="H277" s="343"/>
      <c r="I277" s="69"/>
      <c r="BB277" s="241"/>
      <c r="BC277" s="177"/>
      <c r="BL277" s="631"/>
      <c r="BM277" s="177"/>
      <c r="BO277" s="204"/>
      <c r="BR277" s="177"/>
    </row>
    <row r="278" spans="5:70" x14ac:dyDescent="0.25">
      <c r="H278" s="343"/>
      <c r="I278" s="69"/>
    </row>
    <row r="279" spans="5:70" x14ac:dyDescent="0.25">
      <c r="H279" s="343"/>
      <c r="I279" s="69"/>
    </row>
    <row r="280" spans="5:70" x14ac:dyDescent="0.25">
      <c r="H280" s="343"/>
      <c r="I280" s="69"/>
    </row>
    <row r="281" spans="5:70" x14ac:dyDescent="0.25">
      <c r="H281" s="343"/>
      <c r="I281" s="69"/>
    </row>
    <row r="282" spans="5:70" x14ac:dyDescent="0.25">
      <c r="H282" s="343"/>
      <c r="I282" s="69"/>
    </row>
    <row r="283" spans="5:70" x14ac:dyDescent="0.25">
      <c r="H283" s="343"/>
      <c r="I283" s="69"/>
    </row>
    <row r="284" spans="5:70" x14ac:dyDescent="0.25">
      <c r="H284" s="343"/>
      <c r="I284" s="69"/>
    </row>
    <row r="285" spans="5:70" x14ac:dyDescent="0.25">
      <c r="H285" s="343"/>
      <c r="I285" s="69"/>
    </row>
    <row r="286" spans="5:70" x14ac:dyDescent="0.25">
      <c r="H286" s="343"/>
      <c r="I286" s="69"/>
    </row>
    <row r="287" spans="5:70" x14ac:dyDescent="0.25">
      <c r="H287" s="343"/>
      <c r="I287" s="69"/>
    </row>
    <row r="288" spans="5:70" x14ac:dyDescent="0.25">
      <c r="H288" s="343"/>
      <c r="I288" s="69"/>
    </row>
    <row r="289" spans="8:9" x14ac:dyDescent="0.25">
      <c r="H289" s="343"/>
      <c r="I289" s="69"/>
    </row>
    <row r="290" spans="8:9" x14ac:dyDescent="0.25">
      <c r="H290" s="343"/>
      <c r="I290" s="69"/>
    </row>
    <row r="291" spans="8:9" x14ac:dyDescent="0.25">
      <c r="H291" s="343"/>
      <c r="I291" s="69"/>
    </row>
    <row r="292" spans="8:9" x14ac:dyDescent="0.25">
      <c r="H292" s="343"/>
      <c r="I292" s="69"/>
    </row>
    <row r="293" spans="8:9" x14ac:dyDescent="0.25">
      <c r="H293" s="343"/>
      <c r="I293" s="69"/>
    </row>
    <row r="294" spans="8:9" x14ac:dyDescent="0.25">
      <c r="H294" s="343"/>
      <c r="I294" s="69"/>
    </row>
    <row r="295" spans="8:9" x14ac:dyDescent="0.25">
      <c r="H295" s="343"/>
      <c r="I295" s="69"/>
    </row>
    <row r="296" spans="8:9" x14ac:dyDescent="0.25">
      <c r="H296" s="343"/>
      <c r="I296" s="69"/>
    </row>
    <row r="297" spans="8:9" x14ac:dyDescent="0.25">
      <c r="H297" s="343"/>
      <c r="I297" s="69"/>
    </row>
    <row r="298" spans="8:9" x14ac:dyDescent="0.25">
      <c r="H298" s="343"/>
      <c r="I298" s="69"/>
    </row>
    <row r="299" spans="8:9" x14ac:dyDescent="0.25">
      <c r="H299" s="343"/>
      <c r="I299" s="69"/>
    </row>
    <row r="300" spans="8:9" x14ac:dyDescent="0.25">
      <c r="H300" s="343"/>
      <c r="I300" s="69"/>
    </row>
    <row r="301" spans="8:9" x14ac:dyDescent="0.25">
      <c r="H301" s="343"/>
      <c r="I301" s="69"/>
    </row>
    <row r="302" spans="8:9" x14ac:dyDescent="0.25">
      <c r="H302" s="343"/>
      <c r="I302" s="69"/>
    </row>
    <row r="303" spans="8:9" x14ac:dyDescent="0.25">
      <c r="H303" s="343"/>
      <c r="I303" s="69"/>
    </row>
    <row r="304" spans="8:9" x14ac:dyDescent="0.25">
      <c r="H304" s="343"/>
      <c r="I304" s="69"/>
    </row>
    <row r="305" spans="8:9" x14ac:dyDescent="0.25">
      <c r="H305" s="343"/>
      <c r="I305" s="69"/>
    </row>
    <row r="306" spans="8:9" x14ac:dyDescent="0.25">
      <c r="H306" s="343"/>
      <c r="I306" s="69"/>
    </row>
    <row r="307" spans="8:9" x14ac:dyDescent="0.25">
      <c r="H307" s="343"/>
      <c r="I307" s="69"/>
    </row>
    <row r="308" spans="8:9" x14ac:dyDescent="0.25">
      <c r="H308" s="343"/>
      <c r="I308" s="69"/>
    </row>
    <row r="309" spans="8:9" x14ac:dyDescent="0.25">
      <c r="H309" s="343"/>
      <c r="I309" s="69"/>
    </row>
    <row r="310" spans="8:9" x14ac:dyDescent="0.25">
      <c r="H310" s="343"/>
      <c r="I310" s="69"/>
    </row>
    <row r="311" spans="8:9" x14ac:dyDescent="0.25">
      <c r="H311" s="343"/>
      <c r="I311" s="69"/>
    </row>
    <row r="312" spans="8:9" x14ac:dyDescent="0.25">
      <c r="H312" s="343"/>
      <c r="I312" s="69"/>
    </row>
    <row r="313" spans="8:9" x14ac:dyDescent="0.25">
      <c r="H313" s="343"/>
      <c r="I313" s="69"/>
    </row>
    <row r="314" spans="8:9" x14ac:dyDescent="0.25">
      <c r="H314" s="343"/>
      <c r="I314" s="69"/>
    </row>
    <row r="315" spans="8:9" x14ac:dyDescent="0.25">
      <c r="H315" s="343"/>
      <c r="I315" s="69"/>
    </row>
    <row r="316" spans="8:9" x14ac:dyDescent="0.25">
      <c r="H316" s="343"/>
      <c r="I316" s="69"/>
    </row>
    <row r="317" spans="8:9" x14ac:dyDescent="0.25">
      <c r="H317" s="343"/>
      <c r="I317" s="69"/>
    </row>
    <row r="318" spans="8:9" x14ac:dyDescent="0.25">
      <c r="H318" s="343"/>
      <c r="I318" s="69"/>
    </row>
    <row r="319" spans="8:9" x14ac:dyDescent="0.25">
      <c r="H319" s="343"/>
      <c r="I319" s="69"/>
    </row>
    <row r="320" spans="8:9" x14ac:dyDescent="0.25">
      <c r="H320" s="343"/>
      <c r="I320" s="69"/>
    </row>
    <row r="321" spans="8:9" x14ac:dyDescent="0.25">
      <c r="H321" s="343"/>
      <c r="I321" s="69"/>
    </row>
    <row r="322" spans="8:9" x14ac:dyDescent="0.25">
      <c r="H322" s="343"/>
      <c r="I322" s="69"/>
    </row>
    <row r="323" spans="8:9" x14ac:dyDescent="0.25">
      <c r="H323" s="343"/>
      <c r="I323" s="69"/>
    </row>
    <row r="324" spans="8:9" x14ac:dyDescent="0.25">
      <c r="H324" s="343"/>
      <c r="I324" s="69"/>
    </row>
    <row r="325" spans="8:9" x14ac:dyDescent="0.25">
      <c r="H325" s="343"/>
      <c r="I325" s="69"/>
    </row>
    <row r="326" spans="8:9" x14ac:dyDescent="0.25">
      <c r="H326" s="343"/>
      <c r="I326" s="69"/>
    </row>
    <row r="327" spans="8:9" x14ac:dyDescent="0.25">
      <c r="H327" s="343"/>
      <c r="I327" s="69"/>
    </row>
    <row r="328" spans="8:9" x14ac:dyDescent="0.25">
      <c r="H328" s="343"/>
      <c r="I328" s="69"/>
    </row>
    <row r="329" spans="8:9" x14ac:dyDescent="0.25">
      <c r="H329" s="343"/>
      <c r="I329" s="69"/>
    </row>
    <row r="330" spans="8:9" x14ac:dyDescent="0.25">
      <c r="H330" s="343"/>
      <c r="I330" s="69"/>
    </row>
    <row r="331" spans="8:9" x14ac:dyDescent="0.25">
      <c r="H331" s="343"/>
      <c r="I331" s="69"/>
    </row>
    <row r="332" spans="8:9" x14ac:dyDescent="0.25">
      <c r="H332" s="343"/>
      <c r="I332" s="69"/>
    </row>
    <row r="333" spans="8:9" x14ac:dyDescent="0.25">
      <c r="H333" s="343"/>
      <c r="I333" s="69"/>
    </row>
    <row r="334" spans="8:9" x14ac:dyDescent="0.25">
      <c r="H334" s="343"/>
      <c r="I334" s="69"/>
    </row>
    <row r="335" spans="8:9" x14ac:dyDescent="0.25">
      <c r="H335" s="343"/>
      <c r="I335" s="69"/>
    </row>
    <row r="336" spans="8:9" x14ac:dyDescent="0.25">
      <c r="H336" s="343"/>
      <c r="I336" s="69"/>
    </row>
    <row r="337" spans="8:9" x14ac:dyDescent="0.25">
      <c r="H337" s="343"/>
      <c r="I337" s="69"/>
    </row>
    <row r="338" spans="8:9" x14ac:dyDescent="0.25">
      <c r="H338" s="343"/>
      <c r="I338" s="69"/>
    </row>
    <row r="339" spans="8:9" x14ac:dyDescent="0.25">
      <c r="H339" s="343"/>
      <c r="I339" s="69"/>
    </row>
    <row r="340" spans="8:9" x14ac:dyDescent="0.25">
      <c r="H340" s="343"/>
      <c r="I340" s="69"/>
    </row>
    <row r="341" spans="8:9" x14ac:dyDescent="0.25">
      <c r="H341" s="343"/>
      <c r="I341" s="69"/>
    </row>
    <row r="342" spans="8:9" x14ac:dyDescent="0.25">
      <c r="H342" s="343"/>
      <c r="I342" s="69"/>
    </row>
    <row r="343" spans="8:9" x14ac:dyDescent="0.25">
      <c r="H343" s="343"/>
      <c r="I343" s="69"/>
    </row>
    <row r="344" spans="8:9" x14ac:dyDescent="0.25">
      <c r="H344" s="343"/>
      <c r="I344" s="69"/>
    </row>
    <row r="345" spans="8:9" x14ac:dyDescent="0.25">
      <c r="H345" s="343"/>
      <c r="I345" s="69"/>
    </row>
    <row r="346" spans="8:9" x14ac:dyDescent="0.25">
      <c r="H346" s="343"/>
      <c r="I346" s="69"/>
    </row>
    <row r="347" spans="8:9" x14ac:dyDescent="0.25">
      <c r="H347" s="343"/>
      <c r="I347" s="69"/>
    </row>
    <row r="348" spans="8:9" x14ac:dyDescent="0.25">
      <c r="H348" s="343"/>
      <c r="I348" s="69"/>
    </row>
    <row r="349" spans="8:9" x14ac:dyDescent="0.25">
      <c r="H349" s="343"/>
      <c r="I349" s="69"/>
    </row>
    <row r="350" spans="8:9" x14ac:dyDescent="0.25">
      <c r="H350" s="343"/>
      <c r="I350" s="69"/>
    </row>
    <row r="351" spans="8:9" x14ac:dyDescent="0.25">
      <c r="H351" s="343"/>
      <c r="I351" s="69"/>
    </row>
    <row r="352" spans="8:9" x14ac:dyDescent="0.25">
      <c r="H352" s="343"/>
      <c r="I352" s="69"/>
    </row>
    <row r="353" spans="8:9" x14ac:dyDescent="0.25">
      <c r="H353" s="343"/>
      <c r="I353" s="69"/>
    </row>
    <row r="354" spans="8:9" x14ac:dyDescent="0.25">
      <c r="H354" s="343"/>
      <c r="I354" s="69"/>
    </row>
    <row r="355" spans="8:9" x14ac:dyDescent="0.25">
      <c r="H355" s="343"/>
      <c r="I355" s="69"/>
    </row>
    <row r="356" spans="8:9" x14ac:dyDescent="0.25">
      <c r="H356" s="343"/>
      <c r="I356" s="69"/>
    </row>
    <row r="357" spans="8:9" x14ac:dyDescent="0.25">
      <c r="H357" s="343"/>
      <c r="I357" s="69"/>
    </row>
    <row r="358" spans="8:9" x14ac:dyDescent="0.25">
      <c r="H358" s="343"/>
      <c r="I358" s="69"/>
    </row>
    <row r="359" spans="8:9" x14ac:dyDescent="0.25">
      <c r="H359" s="343"/>
      <c r="I359" s="69"/>
    </row>
    <row r="360" spans="8:9" x14ac:dyDescent="0.25">
      <c r="H360" s="343"/>
      <c r="I360" s="69"/>
    </row>
    <row r="361" spans="8:9" x14ac:dyDescent="0.25">
      <c r="H361" s="343"/>
      <c r="I361" s="69"/>
    </row>
    <row r="362" spans="8:9" x14ac:dyDescent="0.25">
      <c r="H362" s="343"/>
      <c r="I362" s="69"/>
    </row>
    <row r="363" spans="8:9" x14ac:dyDescent="0.25">
      <c r="H363" s="343"/>
      <c r="I363" s="69"/>
    </row>
    <row r="364" spans="8:9" x14ac:dyDescent="0.25">
      <c r="H364" s="343"/>
      <c r="I364" s="69"/>
    </row>
    <row r="365" spans="8:9" x14ac:dyDescent="0.25">
      <c r="H365" s="343"/>
      <c r="I365" s="69"/>
    </row>
    <row r="366" spans="8:9" x14ac:dyDescent="0.25">
      <c r="H366" s="343"/>
      <c r="I366" s="69"/>
    </row>
    <row r="367" spans="8:9" x14ac:dyDescent="0.25">
      <c r="H367" s="343"/>
      <c r="I367" s="69"/>
    </row>
    <row r="368" spans="8:9" x14ac:dyDescent="0.25">
      <c r="H368" s="343"/>
      <c r="I368" s="69"/>
    </row>
    <row r="369" spans="8:9" x14ac:dyDescent="0.25">
      <c r="H369" s="343"/>
      <c r="I369" s="69"/>
    </row>
    <row r="370" spans="8:9" x14ac:dyDescent="0.25">
      <c r="H370" s="343"/>
      <c r="I370" s="69"/>
    </row>
    <row r="371" spans="8:9" x14ac:dyDescent="0.25">
      <c r="H371" s="343"/>
      <c r="I371" s="69"/>
    </row>
    <row r="372" spans="8:9" x14ac:dyDescent="0.25">
      <c r="H372" s="343"/>
      <c r="I372" s="69"/>
    </row>
    <row r="373" spans="8:9" x14ac:dyDescent="0.25">
      <c r="H373" s="343"/>
      <c r="I373" s="69"/>
    </row>
    <row r="374" spans="8:9" x14ac:dyDescent="0.25">
      <c r="H374" s="343"/>
      <c r="I374" s="69"/>
    </row>
    <row r="375" spans="8:9" x14ac:dyDescent="0.25">
      <c r="H375" s="343"/>
      <c r="I375" s="69"/>
    </row>
    <row r="376" spans="8:9" x14ac:dyDescent="0.25">
      <c r="H376" s="343"/>
      <c r="I376" s="69"/>
    </row>
    <row r="377" spans="8:9" x14ac:dyDescent="0.25">
      <c r="H377" s="343"/>
      <c r="I377" s="69"/>
    </row>
    <row r="378" spans="8:9" x14ac:dyDescent="0.25">
      <c r="H378" s="343"/>
      <c r="I378" s="69"/>
    </row>
    <row r="379" spans="8:9" x14ac:dyDescent="0.25">
      <c r="H379" s="343"/>
      <c r="I379" s="69"/>
    </row>
    <row r="380" spans="8:9" x14ac:dyDescent="0.25">
      <c r="H380" s="343"/>
      <c r="I380" s="69"/>
    </row>
    <row r="381" spans="8:9" x14ac:dyDescent="0.25">
      <c r="H381" s="343"/>
      <c r="I381" s="69"/>
    </row>
    <row r="382" spans="8:9" x14ac:dyDescent="0.25">
      <c r="H382" s="343"/>
      <c r="I382" s="69"/>
    </row>
    <row r="383" spans="8:9" x14ac:dyDescent="0.25">
      <c r="H383" s="343"/>
      <c r="I383" s="69"/>
    </row>
    <row r="384" spans="8:9" x14ac:dyDescent="0.25">
      <c r="H384" s="343"/>
      <c r="I384" s="69"/>
    </row>
    <row r="385" spans="8:9" x14ac:dyDescent="0.25">
      <c r="H385" s="343"/>
      <c r="I385" s="69"/>
    </row>
    <row r="386" spans="8:9" x14ac:dyDescent="0.25">
      <c r="H386" s="343"/>
      <c r="I386" s="69"/>
    </row>
    <row r="387" spans="8:9" x14ac:dyDescent="0.25">
      <c r="H387" s="343"/>
      <c r="I387" s="69"/>
    </row>
    <row r="388" spans="8:9" x14ac:dyDescent="0.25">
      <c r="H388" s="343"/>
      <c r="I388" s="69"/>
    </row>
    <row r="389" spans="8:9" x14ac:dyDescent="0.25">
      <c r="H389" s="343"/>
      <c r="I389" s="69"/>
    </row>
    <row r="390" spans="8:9" x14ac:dyDescent="0.25">
      <c r="H390" s="343"/>
      <c r="I390" s="69"/>
    </row>
    <row r="391" spans="8:9" x14ac:dyDescent="0.25">
      <c r="H391" s="343"/>
      <c r="I391" s="69"/>
    </row>
    <row r="392" spans="8:9" x14ac:dyDescent="0.25">
      <c r="H392" s="343"/>
      <c r="I392" s="69"/>
    </row>
    <row r="393" spans="8:9" x14ac:dyDescent="0.25">
      <c r="H393" s="343"/>
      <c r="I393" s="69"/>
    </row>
    <row r="394" spans="8:9" x14ac:dyDescent="0.25">
      <c r="H394" s="343"/>
      <c r="I394" s="69"/>
    </row>
    <row r="395" spans="8:9" x14ac:dyDescent="0.25">
      <c r="H395" s="343"/>
      <c r="I395" s="69"/>
    </row>
    <row r="396" spans="8:9" x14ac:dyDescent="0.25">
      <c r="H396" s="343"/>
      <c r="I396" s="69"/>
    </row>
    <row r="397" spans="8:9" x14ac:dyDescent="0.25">
      <c r="H397" s="343"/>
      <c r="I397" s="69"/>
    </row>
    <row r="398" spans="8:9" x14ac:dyDescent="0.25">
      <c r="H398" s="343"/>
      <c r="I398" s="69"/>
    </row>
    <row r="399" spans="8:9" x14ac:dyDescent="0.25">
      <c r="H399" s="343"/>
      <c r="I399" s="69"/>
    </row>
    <row r="400" spans="8:9" x14ac:dyDescent="0.25">
      <c r="H400" s="343"/>
      <c r="I400" s="69"/>
    </row>
    <row r="401" spans="8:9" x14ac:dyDescent="0.25">
      <c r="H401" s="343"/>
      <c r="I401" s="69"/>
    </row>
    <row r="402" spans="8:9" x14ac:dyDescent="0.25">
      <c r="H402" s="343"/>
      <c r="I402" s="69"/>
    </row>
    <row r="403" spans="8:9" x14ac:dyDescent="0.25">
      <c r="H403" s="343"/>
      <c r="I403" s="69"/>
    </row>
    <row r="404" spans="8:9" x14ac:dyDescent="0.25">
      <c r="H404" s="343"/>
      <c r="I404" s="69"/>
    </row>
    <row r="405" spans="8:9" x14ac:dyDescent="0.25">
      <c r="H405" s="343"/>
      <c r="I405" s="69"/>
    </row>
    <row r="406" spans="8:9" x14ac:dyDescent="0.25">
      <c r="H406" s="343"/>
      <c r="I406" s="69"/>
    </row>
    <row r="407" spans="8:9" x14ac:dyDescent="0.25">
      <c r="H407" s="343"/>
      <c r="I407" s="69"/>
    </row>
    <row r="408" spans="8:9" x14ac:dyDescent="0.25">
      <c r="H408" s="343"/>
      <c r="I408" s="69"/>
    </row>
    <row r="409" spans="8:9" x14ac:dyDescent="0.25">
      <c r="H409" s="343"/>
      <c r="I409" s="69"/>
    </row>
    <row r="410" spans="8:9" x14ac:dyDescent="0.25">
      <c r="H410" s="343"/>
      <c r="I410" s="69"/>
    </row>
    <row r="411" spans="8:9" x14ac:dyDescent="0.25">
      <c r="H411" s="343"/>
      <c r="I411" s="69"/>
    </row>
    <row r="412" spans="8:9" x14ac:dyDescent="0.25">
      <c r="H412" s="343"/>
      <c r="I412" s="69"/>
    </row>
    <row r="413" spans="8:9" x14ac:dyDescent="0.25">
      <c r="H413" s="343"/>
      <c r="I413" s="69"/>
    </row>
    <row r="414" spans="8:9" x14ac:dyDescent="0.25">
      <c r="H414" s="343"/>
      <c r="I414" s="69"/>
    </row>
    <row r="415" spans="8:9" x14ac:dyDescent="0.25">
      <c r="H415" s="343"/>
      <c r="I415" s="69"/>
    </row>
    <row r="416" spans="8:9" x14ac:dyDescent="0.25">
      <c r="H416" s="343"/>
      <c r="I416" s="69"/>
    </row>
    <row r="417" spans="8:9" x14ac:dyDescent="0.25">
      <c r="H417" s="343"/>
      <c r="I417" s="69"/>
    </row>
    <row r="418" spans="8:9" x14ac:dyDescent="0.25">
      <c r="H418" s="343"/>
      <c r="I418" s="69"/>
    </row>
    <row r="419" spans="8:9" x14ac:dyDescent="0.25">
      <c r="H419" s="343"/>
      <c r="I419" s="69"/>
    </row>
    <row r="420" spans="8:9" x14ac:dyDescent="0.25">
      <c r="H420" s="343"/>
      <c r="I420" s="69"/>
    </row>
    <row r="421" spans="8:9" x14ac:dyDescent="0.25">
      <c r="H421" s="343"/>
      <c r="I421" s="69"/>
    </row>
    <row r="422" spans="8:9" x14ac:dyDescent="0.25">
      <c r="H422" s="343"/>
      <c r="I422" s="69"/>
    </row>
    <row r="423" spans="8:9" x14ac:dyDescent="0.25">
      <c r="H423" s="343"/>
      <c r="I423" s="69"/>
    </row>
    <row r="424" spans="8:9" x14ac:dyDescent="0.25">
      <c r="H424" s="343"/>
      <c r="I424" s="69"/>
    </row>
    <row r="425" spans="8:9" x14ac:dyDescent="0.25">
      <c r="H425" s="343"/>
      <c r="I425" s="69"/>
    </row>
    <row r="426" spans="8:9" x14ac:dyDescent="0.25">
      <c r="H426" s="343"/>
      <c r="I426" s="69"/>
    </row>
    <row r="427" spans="8:9" x14ac:dyDescent="0.25">
      <c r="H427" s="343"/>
      <c r="I427" s="69"/>
    </row>
    <row r="428" spans="8:9" x14ac:dyDescent="0.25">
      <c r="H428" s="343"/>
      <c r="I428" s="69"/>
    </row>
    <row r="429" spans="8:9" x14ac:dyDescent="0.25">
      <c r="H429" s="343"/>
      <c r="I429" s="69"/>
    </row>
    <row r="430" spans="8:9" x14ac:dyDescent="0.25">
      <c r="H430" s="343"/>
      <c r="I430" s="69"/>
    </row>
    <row r="431" spans="8:9" x14ac:dyDescent="0.25">
      <c r="H431" s="343"/>
      <c r="I431" s="69"/>
    </row>
    <row r="432" spans="8:9" x14ac:dyDescent="0.25">
      <c r="H432" s="343"/>
      <c r="I432" s="69"/>
    </row>
    <row r="433" spans="8:9" x14ac:dyDescent="0.25">
      <c r="H433" s="343"/>
      <c r="I433" s="69"/>
    </row>
    <row r="434" spans="8:9" x14ac:dyDescent="0.25">
      <c r="H434" s="343"/>
      <c r="I434" s="69"/>
    </row>
    <row r="435" spans="8:9" x14ac:dyDescent="0.25">
      <c r="H435" s="343"/>
      <c r="I435" s="69"/>
    </row>
    <row r="436" spans="8:9" x14ac:dyDescent="0.25">
      <c r="H436" s="343"/>
      <c r="I436" s="69"/>
    </row>
    <row r="437" spans="8:9" x14ac:dyDescent="0.25">
      <c r="H437" s="343"/>
      <c r="I437" s="69"/>
    </row>
    <row r="438" spans="8:9" x14ac:dyDescent="0.25">
      <c r="H438" s="343"/>
      <c r="I438" s="69"/>
    </row>
    <row r="439" spans="8:9" x14ac:dyDescent="0.25">
      <c r="H439" s="343"/>
      <c r="I439" s="69"/>
    </row>
    <row r="440" spans="8:9" x14ac:dyDescent="0.25">
      <c r="H440" s="343"/>
      <c r="I440" s="69"/>
    </row>
    <row r="441" spans="8:9" x14ac:dyDescent="0.25">
      <c r="H441" s="343"/>
      <c r="I441" s="69"/>
    </row>
    <row r="442" spans="8:9" x14ac:dyDescent="0.25">
      <c r="H442" s="343"/>
      <c r="I442" s="69"/>
    </row>
    <row r="443" spans="8:9" x14ac:dyDescent="0.25">
      <c r="H443" s="343"/>
      <c r="I443" s="69"/>
    </row>
    <row r="444" spans="8:9" x14ac:dyDescent="0.25">
      <c r="H444" s="343"/>
      <c r="I444" s="69"/>
    </row>
    <row r="445" spans="8:9" x14ac:dyDescent="0.25">
      <c r="H445" s="343"/>
      <c r="I445" s="69"/>
    </row>
    <row r="446" spans="8:9" x14ac:dyDescent="0.25">
      <c r="H446" s="343"/>
      <c r="I446" s="69"/>
    </row>
    <row r="447" spans="8:9" x14ac:dyDescent="0.25">
      <c r="H447" s="343"/>
      <c r="I447" s="69"/>
    </row>
    <row r="448" spans="8:9" x14ac:dyDescent="0.25">
      <c r="H448" s="343"/>
      <c r="I448" s="69"/>
    </row>
    <row r="449" spans="8:9" x14ac:dyDescent="0.25">
      <c r="H449" s="343"/>
      <c r="I449" s="69"/>
    </row>
    <row r="450" spans="8:9" x14ac:dyDescent="0.25">
      <c r="H450" s="343"/>
      <c r="I450" s="69"/>
    </row>
    <row r="451" spans="8:9" x14ac:dyDescent="0.25">
      <c r="H451" s="343"/>
      <c r="I451" s="69"/>
    </row>
    <row r="452" spans="8:9" x14ac:dyDescent="0.25">
      <c r="H452" s="343"/>
      <c r="I452" s="69"/>
    </row>
    <row r="453" spans="8:9" x14ac:dyDescent="0.25">
      <c r="H453" s="343"/>
      <c r="I453" s="69"/>
    </row>
    <row r="454" spans="8:9" x14ac:dyDescent="0.25">
      <c r="H454" s="343"/>
      <c r="I454" s="69"/>
    </row>
    <row r="455" spans="8:9" x14ac:dyDescent="0.25">
      <c r="H455" s="343"/>
      <c r="I455" s="69"/>
    </row>
    <row r="456" spans="8:9" x14ac:dyDescent="0.25">
      <c r="H456" s="343"/>
      <c r="I456" s="69"/>
    </row>
    <row r="457" spans="8:9" x14ac:dyDescent="0.25">
      <c r="H457" s="343"/>
      <c r="I457" s="69"/>
    </row>
    <row r="458" spans="8:9" x14ac:dyDescent="0.25">
      <c r="H458" s="343"/>
      <c r="I458" s="69"/>
    </row>
    <row r="459" spans="8:9" x14ac:dyDescent="0.25">
      <c r="H459" s="343"/>
      <c r="I459" s="69"/>
    </row>
    <row r="460" spans="8:9" x14ac:dyDescent="0.25">
      <c r="H460" s="343"/>
      <c r="I460" s="69"/>
    </row>
    <row r="461" spans="8:9" x14ac:dyDescent="0.25">
      <c r="H461" s="343"/>
      <c r="I461" s="69"/>
    </row>
    <row r="462" spans="8:9" x14ac:dyDescent="0.25">
      <c r="H462" s="343"/>
      <c r="I462" s="69"/>
    </row>
    <row r="463" spans="8:9" x14ac:dyDescent="0.25">
      <c r="H463" s="343"/>
      <c r="I463" s="69"/>
    </row>
    <row r="464" spans="8:9" x14ac:dyDescent="0.25">
      <c r="H464" s="343"/>
      <c r="I464" s="69"/>
    </row>
    <row r="465" spans="8:9" x14ac:dyDescent="0.25">
      <c r="H465" s="343"/>
      <c r="I465" s="69"/>
    </row>
    <row r="466" spans="8:9" x14ac:dyDescent="0.25">
      <c r="H466" s="343"/>
      <c r="I466" s="69"/>
    </row>
    <row r="467" spans="8:9" x14ac:dyDescent="0.25">
      <c r="H467" s="343"/>
      <c r="I467" s="69"/>
    </row>
    <row r="468" spans="8:9" x14ac:dyDescent="0.25">
      <c r="H468" s="343"/>
      <c r="I468" s="69"/>
    </row>
    <row r="469" spans="8:9" x14ac:dyDescent="0.25">
      <c r="H469" s="343"/>
      <c r="I469" s="69"/>
    </row>
    <row r="470" spans="8:9" x14ac:dyDescent="0.25">
      <c r="H470" s="343"/>
      <c r="I470" s="69"/>
    </row>
    <row r="471" spans="8:9" x14ac:dyDescent="0.25">
      <c r="H471" s="343"/>
      <c r="I471" s="69"/>
    </row>
    <row r="472" spans="8:9" x14ac:dyDescent="0.25">
      <c r="H472" s="343"/>
      <c r="I472" s="69"/>
    </row>
    <row r="473" spans="8:9" x14ac:dyDescent="0.25">
      <c r="H473" s="343"/>
      <c r="I473" s="69"/>
    </row>
    <row r="474" spans="8:9" x14ac:dyDescent="0.25">
      <c r="H474" s="343"/>
      <c r="I474" s="69"/>
    </row>
    <row r="475" spans="8:9" x14ac:dyDescent="0.25">
      <c r="H475" s="343"/>
      <c r="I475" s="69"/>
    </row>
    <row r="476" spans="8:9" x14ac:dyDescent="0.25">
      <c r="H476" s="343"/>
      <c r="I476" s="69"/>
    </row>
    <row r="477" spans="8:9" x14ac:dyDescent="0.25">
      <c r="H477" s="343"/>
      <c r="I477" s="69"/>
    </row>
    <row r="478" spans="8:9" x14ac:dyDescent="0.25">
      <c r="H478" s="343"/>
      <c r="I478" s="69"/>
    </row>
    <row r="479" spans="8:9" x14ac:dyDescent="0.25">
      <c r="H479" s="343"/>
      <c r="I479" s="69"/>
    </row>
    <row r="480" spans="8:9" x14ac:dyDescent="0.25">
      <c r="H480" s="343"/>
      <c r="I480" s="69"/>
    </row>
    <row r="481" spans="8:9" x14ac:dyDescent="0.25">
      <c r="H481" s="343"/>
      <c r="I481" s="69"/>
    </row>
    <row r="482" spans="8:9" x14ac:dyDescent="0.25">
      <c r="H482" s="343"/>
      <c r="I482" s="69"/>
    </row>
    <row r="483" spans="8:9" x14ac:dyDescent="0.25">
      <c r="H483" s="343"/>
      <c r="I483" s="69"/>
    </row>
    <row r="484" spans="8:9" x14ac:dyDescent="0.25">
      <c r="H484" s="343"/>
      <c r="I484" s="69"/>
    </row>
    <row r="485" spans="8:9" x14ac:dyDescent="0.25">
      <c r="H485" s="343"/>
      <c r="I485" s="69"/>
    </row>
    <row r="486" spans="8:9" x14ac:dyDescent="0.25">
      <c r="H486" s="343"/>
      <c r="I486" s="69"/>
    </row>
    <row r="487" spans="8:9" x14ac:dyDescent="0.25">
      <c r="H487" s="343"/>
      <c r="I487" s="69"/>
    </row>
    <row r="488" spans="8:9" x14ac:dyDescent="0.25">
      <c r="H488" s="343"/>
      <c r="I488" s="69"/>
    </row>
    <row r="489" spans="8:9" x14ac:dyDescent="0.25">
      <c r="H489" s="343"/>
      <c r="I489" s="69"/>
    </row>
    <row r="490" spans="8:9" x14ac:dyDescent="0.25">
      <c r="H490" s="343"/>
      <c r="I490" s="69"/>
    </row>
    <row r="491" spans="8:9" x14ac:dyDescent="0.25">
      <c r="H491" s="343"/>
      <c r="I491" s="69"/>
    </row>
    <row r="492" spans="8:9" x14ac:dyDescent="0.25">
      <c r="H492" s="343"/>
      <c r="I492" s="69"/>
    </row>
    <row r="493" spans="8:9" x14ac:dyDescent="0.25">
      <c r="H493" s="343"/>
      <c r="I493" s="69"/>
    </row>
    <row r="494" spans="8:9" x14ac:dyDescent="0.25">
      <c r="H494" s="343"/>
      <c r="I494" s="69"/>
    </row>
    <row r="495" spans="8:9" x14ac:dyDescent="0.25">
      <c r="H495" s="343"/>
      <c r="I495" s="69"/>
    </row>
    <row r="496" spans="8:9" x14ac:dyDescent="0.25">
      <c r="H496" s="343"/>
      <c r="I496" s="69"/>
    </row>
    <row r="497" spans="8:9" x14ac:dyDescent="0.25">
      <c r="H497" s="343"/>
      <c r="I497" s="69"/>
    </row>
    <row r="498" spans="8:9" x14ac:dyDescent="0.25">
      <c r="H498" s="343"/>
      <c r="I498" s="69"/>
    </row>
    <row r="499" spans="8:9" x14ac:dyDescent="0.25">
      <c r="H499" s="343"/>
      <c r="I499" s="69"/>
    </row>
    <row r="500" spans="8:9" x14ac:dyDescent="0.25">
      <c r="H500" s="343"/>
      <c r="I500" s="69"/>
    </row>
    <row r="501" spans="8:9" x14ac:dyDescent="0.25">
      <c r="H501" s="343"/>
      <c r="I501" s="69"/>
    </row>
    <row r="502" spans="8:9" x14ac:dyDescent="0.25">
      <c r="H502" s="343"/>
      <c r="I502" s="69"/>
    </row>
    <row r="503" spans="8:9" x14ac:dyDescent="0.25">
      <c r="H503" s="343"/>
      <c r="I503" s="69"/>
    </row>
    <row r="504" spans="8:9" x14ac:dyDescent="0.25">
      <c r="H504" s="343"/>
      <c r="I504" s="69"/>
    </row>
    <row r="505" spans="8:9" x14ac:dyDescent="0.25">
      <c r="H505" s="343"/>
      <c r="I505" s="69"/>
    </row>
    <row r="506" spans="8:9" x14ac:dyDescent="0.25">
      <c r="H506" s="343"/>
      <c r="I506" s="69"/>
    </row>
    <row r="507" spans="8:9" x14ac:dyDescent="0.25">
      <c r="H507" s="343"/>
      <c r="I507" s="69"/>
    </row>
    <row r="508" spans="8:9" x14ac:dyDescent="0.25">
      <c r="H508" s="343"/>
      <c r="I508" s="69"/>
    </row>
    <row r="509" spans="8:9" x14ac:dyDescent="0.25">
      <c r="H509" s="343"/>
      <c r="I509" s="69"/>
    </row>
    <row r="510" spans="8:9" x14ac:dyDescent="0.25">
      <c r="H510" s="343"/>
      <c r="I510" s="69"/>
    </row>
    <row r="511" spans="8:9" x14ac:dyDescent="0.25">
      <c r="H511" s="343"/>
      <c r="I511" s="69"/>
    </row>
    <row r="512" spans="8:9" x14ac:dyDescent="0.25">
      <c r="H512" s="343"/>
      <c r="I512" s="69"/>
    </row>
    <row r="513" spans="8:9" x14ac:dyDescent="0.25">
      <c r="H513" s="343"/>
      <c r="I513" s="69"/>
    </row>
    <row r="514" spans="8:9" x14ac:dyDescent="0.25">
      <c r="H514" s="343"/>
      <c r="I514" s="69"/>
    </row>
    <row r="515" spans="8:9" x14ac:dyDescent="0.25">
      <c r="H515" s="343"/>
      <c r="I515" s="69"/>
    </row>
    <row r="516" spans="8:9" x14ac:dyDescent="0.25">
      <c r="H516" s="343"/>
      <c r="I516" s="69"/>
    </row>
    <row r="517" spans="8:9" x14ac:dyDescent="0.25">
      <c r="H517" s="343"/>
      <c r="I517" s="69"/>
    </row>
    <row r="518" spans="8:9" x14ac:dyDescent="0.25">
      <c r="H518" s="343"/>
      <c r="I518" s="69"/>
    </row>
    <row r="519" spans="8:9" x14ac:dyDescent="0.25">
      <c r="H519" s="343"/>
      <c r="I519" s="69"/>
    </row>
    <row r="520" spans="8:9" x14ac:dyDescent="0.25">
      <c r="H520" s="343"/>
      <c r="I520" s="69"/>
    </row>
    <row r="521" spans="8:9" x14ac:dyDescent="0.25">
      <c r="H521" s="343"/>
      <c r="I521" s="69"/>
    </row>
    <row r="522" spans="8:9" x14ac:dyDescent="0.25">
      <c r="H522" s="343"/>
      <c r="I522" s="69"/>
    </row>
    <row r="523" spans="8:9" x14ac:dyDescent="0.25">
      <c r="H523" s="343"/>
      <c r="I523" s="69"/>
    </row>
    <row r="524" spans="8:9" x14ac:dyDescent="0.25">
      <c r="H524" s="343"/>
      <c r="I524" s="69"/>
    </row>
    <row r="525" spans="8:9" x14ac:dyDescent="0.25">
      <c r="H525" s="343"/>
      <c r="I525" s="69"/>
    </row>
    <row r="526" spans="8:9" x14ac:dyDescent="0.25">
      <c r="H526" s="343"/>
      <c r="I526" s="69"/>
    </row>
    <row r="527" spans="8:9" x14ac:dyDescent="0.25">
      <c r="H527" s="343"/>
      <c r="I527" s="69"/>
    </row>
    <row r="528" spans="8:9" x14ac:dyDescent="0.25">
      <c r="H528" s="343"/>
      <c r="I528" s="69"/>
    </row>
    <row r="529" spans="8:9" x14ac:dyDescent="0.25">
      <c r="H529" s="343"/>
      <c r="I529" s="69"/>
    </row>
    <row r="530" spans="8:9" x14ac:dyDescent="0.25">
      <c r="H530" s="343"/>
      <c r="I530" s="69"/>
    </row>
    <row r="531" spans="8:9" x14ac:dyDescent="0.25">
      <c r="H531" s="343"/>
      <c r="I531" s="69"/>
    </row>
    <row r="532" spans="8:9" x14ac:dyDescent="0.25">
      <c r="H532" s="343"/>
      <c r="I532" s="69"/>
    </row>
    <row r="533" spans="8:9" x14ac:dyDescent="0.25">
      <c r="H533" s="343"/>
      <c r="I533" s="69"/>
    </row>
    <row r="534" spans="8:9" x14ac:dyDescent="0.25">
      <c r="H534" s="343"/>
      <c r="I534" s="69"/>
    </row>
    <row r="535" spans="8:9" x14ac:dyDescent="0.25">
      <c r="H535" s="343"/>
      <c r="I535" s="69"/>
    </row>
    <row r="536" spans="8:9" x14ac:dyDescent="0.25">
      <c r="H536" s="343"/>
      <c r="I536" s="69"/>
    </row>
    <row r="537" spans="8:9" x14ac:dyDescent="0.25">
      <c r="H537" s="343"/>
      <c r="I537" s="69"/>
    </row>
    <row r="538" spans="8:9" x14ac:dyDescent="0.25">
      <c r="H538" s="343"/>
      <c r="I538" s="69"/>
    </row>
    <row r="539" spans="8:9" x14ac:dyDescent="0.25">
      <c r="H539" s="343"/>
      <c r="I539" s="69"/>
    </row>
    <row r="540" spans="8:9" x14ac:dyDescent="0.25">
      <c r="H540" s="343"/>
      <c r="I540" s="69"/>
    </row>
    <row r="541" spans="8:9" x14ac:dyDescent="0.25">
      <c r="H541" s="343"/>
      <c r="I541" s="69"/>
    </row>
    <row r="542" spans="8:9" x14ac:dyDescent="0.25">
      <c r="H542" s="343"/>
      <c r="I542" s="69"/>
    </row>
    <row r="543" spans="8:9" x14ac:dyDescent="0.25">
      <c r="H543" s="343"/>
      <c r="I543" s="69"/>
    </row>
    <row r="544" spans="8:9" x14ac:dyDescent="0.25">
      <c r="H544" s="343"/>
      <c r="I544" s="69"/>
    </row>
    <row r="545" spans="8:9" x14ac:dyDescent="0.25">
      <c r="H545" s="343"/>
      <c r="I545" s="69"/>
    </row>
    <row r="546" spans="8:9" x14ac:dyDescent="0.25">
      <c r="H546" s="343"/>
      <c r="I546" s="69"/>
    </row>
    <row r="547" spans="8:9" x14ac:dyDescent="0.25">
      <c r="H547" s="343"/>
      <c r="I547" s="69"/>
    </row>
    <row r="548" spans="8:9" x14ac:dyDescent="0.25">
      <c r="H548" s="343"/>
      <c r="I548" s="69"/>
    </row>
    <row r="549" spans="8:9" x14ac:dyDescent="0.25">
      <c r="H549" s="343"/>
      <c r="I549" s="69"/>
    </row>
    <row r="550" spans="8:9" x14ac:dyDescent="0.25">
      <c r="H550" s="343"/>
      <c r="I550" s="69"/>
    </row>
    <row r="551" spans="8:9" x14ac:dyDescent="0.25">
      <c r="H551" s="343"/>
      <c r="I551" s="69"/>
    </row>
    <row r="552" spans="8:9" x14ac:dyDescent="0.25">
      <c r="H552" s="343"/>
      <c r="I552" s="69"/>
    </row>
    <row r="553" spans="8:9" x14ac:dyDescent="0.25">
      <c r="H553" s="343"/>
      <c r="I553" s="69"/>
    </row>
    <row r="554" spans="8:9" x14ac:dyDescent="0.25">
      <c r="H554" s="343"/>
      <c r="I554" s="69"/>
    </row>
    <row r="555" spans="8:9" x14ac:dyDescent="0.25">
      <c r="H555" s="343"/>
      <c r="I555" s="69"/>
    </row>
    <row r="556" spans="8:9" x14ac:dyDescent="0.25">
      <c r="H556" s="343"/>
      <c r="I556" s="69"/>
    </row>
    <row r="557" spans="8:9" x14ac:dyDescent="0.25">
      <c r="H557" s="343"/>
      <c r="I557" s="69"/>
    </row>
    <row r="558" spans="8:9" x14ac:dyDescent="0.25">
      <c r="H558" s="343"/>
      <c r="I558" s="69"/>
    </row>
    <row r="559" spans="8:9" x14ac:dyDescent="0.25">
      <c r="H559" s="343"/>
      <c r="I559" s="69"/>
    </row>
    <row r="560" spans="8:9" x14ac:dyDescent="0.25">
      <c r="H560" s="343"/>
      <c r="I560" s="69"/>
    </row>
    <row r="561" spans="8:9" x14ac:dyDescent="0.25">
      <c r="H561" s="343"/>
      <c r="I561" s="69"/>
    </row>
    <row r="562" spans="8:9" x14ac:dyDescent="0.25">
      <c r="H562" s="343"/>
      <c r="I562" s="69"/>
    </row>
    <row r="563" spans="8:9" x14ac:dyDescent="0.25">
      <c r="H563" s="343"/>
      <c r="I563" s="69"/>
    </row>
    <row r="564" spans="8:9" x14ac:dyDescent="0.25">
      <c r="H564" s="343"/>
      <c r="I564" s="69"/>
    </row>
    <row r="565" spans="8:9" x14ac:dyDescent="0.25">
      <c r="H565" s="343"/>
      <c r="I565" s="69"/>
    </row>
    <row r="566" spans="8:9" x14ac:dyDescent="0.25">
      <c r="H566" s="343"/>
      <c r="I566" s="69"/>
    </row>
    <row r="567" spans="8:9" x14ac:dyDescent="0.25">
      <c r="H567" s="343"/>
      <c r="I567" s="69"/>
    </row>
    <row r="568" spans="8:9" x14ac:dyDescent="0.25">
      <c r="H568" s="343"/>
      <c r="I568" s="69"/>
    </row>
    <row r="569" spans="8:9" x14ac:dyDescent="0.25">
      <c r="H569" s="343"/>
      <c r="I569" s="69"/>
    </row>
    <row r="570" spans="8:9" x14ac:dyDescent="0.25">
      <c r="H570" s="343"/>
      <c r="I570" s="69"/>
    </row>
    <row r="571" spans="8:9" x14ac:dyDescent="0.25">
      <c r="H571" s="343"/>
      <c r="I571" s="69"/>
    </row>
    <row r="572" spans="8:9" x14ac:dyDescent="0.25">
      <c r="H572" s="343"/>
      <c r="I572" s="69"/>
    </row>
    <row r="573" spans="8:9" x14ac:dyDescent="0.25">
      <c r="H573" s="343"/>
      <c r="I573" s="69"/>
    </row>
    <row r="574" spans="8:9" x14ac:dyDescent="0.25">
      <c r="H574" s="343"/>
      <c r="I574" s="69"/>
    </row>
    <row r="575" spans="8:9" x14ac:dyDescent="0.25">
      <c r="H575" s="343"/>
      <c r="I575" s="69"/>
    </row>
    <row r="576" spans="8:9" x14ac:dyDescent="0.25">
      <c r="H576" s="343"/>
      <c r="I576" s="69"/>
    </row>
    <row r="577" spans="8:9" x14ac:dyDescent="0.25">
      <c r="H577" s="343"/>
      <c r="I577" s="69"/>
    </row>
    <row r="578" spans="8:9" x14ac:dyDescent="0.25">
      <c r="H578" s="343"/>
      <c r="I578" s="69"/>
    </row>
    <row r="579" spans="8:9" x14ac:dyDescent="0.25">
      <c r="H579" s="343"/>
      <c r="I579" s="69"/>
    </row>
    <row r="580" spans="8:9" x14ac:dyDescent="0.25">
      <c r="H580" s="343"/>
      <c r="I580" s="69"/>
    </row>
    <row r="581" spans="8:9" x14ac:dyDescent="0.25">
      <c r="H581" s="343"/>
      <c r="I581" s="69"/>
    </row>
    <row r="582" spans="8:9" x14ac:dyDescent="0.25">
      <c r="H582" s="343"/>
      <c r="I582" s="69"/>
    </row>
    <row r="583" spans="8:9" x14ac:dyDescent="0.25">
      <c r="H583" s="343"/>
      <c r="I583" s="69"/>
    </row>
    <row r="584" spans="8:9" x14ac:dyDescent="0.25">
      <c r="H584" s="343"/>
      <c r="I584" s="69"/>
    </row>
    <row r="585" spans="8:9" x14ac:dyDescent="0.25">
      <c r="H585" s="343"/>
      <c r="I585" s="69"/>
    </row>
    <row r="586" spans="8:9" x14ac:dyDescent="0.25">
      <c r="H586" s="343"/>
      <c r="I586" s="69"/>
    </row>
    <row r="587" spans="8:9" x14ac:dyDescent="0.25">
      <c r="H587" s="343"/>
      <c r="I587" s="69"/>
    </row>
    <row r="588" spans="8:9" x14ac:dyDescent="0.25">
      <c r="H588" s="343"/>
      <c r="I588" s="69"/>
    </row>
    <row r="589" spans="8:9" x14ac:dyDescent="0.25">
      <c r="H589" s="343"/>
      <c r="I589" s="69"/>
    </row>
    <row r="590" spans="8:9" x14ac:dyDescent="0.25">
      <c r="H590" s="343"/>
      <c r="I590" s="69"/>
    </row>
    <row r="591" spans="8:9" x14ac:dyDescent="0.25">
      <c r="H591" s="343"/>
      <c r="I591" s="69"/>
    </row>
    <row r="592" spans="8:9" x14ac:dyDescent="0.25">
      <c r="H592" s="343"/>
      <c r="I592" s="69"/>
    </row>
    <row r="593" spans="8:9" x14ac:dyDescent="0.25">
      <c r="H593" s="343"/>
      <c r="I593" s="69"/>
    </row>
    <row r="594" spans="8:9" x14ac:dyDescent="0.25">
      <c r="H594" s="343"/>
      <c r="I594" s="69"/>
    </row>
    <row r="595" spans="8:9" x14ac:dyDescent="0.25">
      <c r="H595" s="343"/>
      <c r="I595" s="69"/>
    </row>
    <row r="596" spans="8:9" x14ac:dyDescent="0.25">
      <c r="H596" s="343"/>
      <c r="I596" s="69"/>
    </row>
    <row r="597" spans="8:9" x14ac:dyDescent="0.25">
      <c r="H597" s="343"/>
      <c r="I597" s="69"/>
    </row>
    <row r="598" spans="8:9" x14ac:dyDescent="0.25">
      <c r="H598" s="343"/>
      <c r="I598" s="69"/>
    </row>
    <row r="599" spans="8:9" x14ac:dyDescent="0.25">
      <c r="H599" s="343"/>
      <c r="I599" s="69"/>
    </row>
    <row r="600" spans="8:9" x14ac:dyDescent="0.25">
      <c r="H600" s="343"/>
      <c r="I600" s="69"/>
    </row>
    <row r="601" spans="8:9" x14ac:dyDescent="0.25">
      <c r="H601" s="343"/>
      <c r="I601" s="69"/>
    </row>
    <row r="602" spans="8:9" x14ac:dyDescent="0.25">
      <c r="H602" s="343"/>
      <c r="I602" s="69"/>
    </row>
    <row r="603" spans="8:9" x14ac:dyDescent="0.25">
      <c r="H603" s="343"/>
      <c r="I603" s="69"/>
    </row>
    <row r="604" spans="8:9" x14ac:dyDescent="0.25">
      <c r="H604" s="343"/>
      <c r="I604" s="69"/>
    </row>
    <row r="605" spans="8:9" x14ac:dyDescent="0.25">
      <c r="H605" s="343"/>
      <c r="I605" s="69"/>
    </row>
    <row r="606" spans="8:9" x14ac:dyDescent="0.25">
      <c r="H606" s="343"/>
      <c r="I606" s="69"/>
    </row>
    <row r="607" spans="8:9" x14ac:dyDescent="0.25">
      <c r="H607" s="343"/>
      <c r="I607" s="69"/>
    </row>
    <row r="608" spans="8:9" x14ac:dyDescent="0.25">
      <c r="H608" s="343"/>
      <c r="I608" s="69"/>
    </row>
    <row r="609" spans="8:9" x14ac:dyDescent="0.25">
      <c r="H609" s="343"/>
      <c r="I609" s="69"/>
    </row>
    <row r="610" spans="8:9" x14ac:dyDescent="0.25">
      <c r="H610" s="343"/>
      <c r="I610" s="69"/>
    </row>
    <row r="611" spans="8:9" x14ac:dyDescent="0.25">
      <c r="H611" s="343"/>
      <c r="I611" s="69"/>
    </row>
    <row r="612" spans="8:9" x14ac:dyDescent="0.25">
      <c r="H612" s="343"/>
      <c r="I612" s="69"/>
    </row>
    <row r="613" spans="8:9" x14ac:dyDescent="0.25">
      <c r="H613" s="343"/>
      <c r="I613" s="69"/>
    </row>
    <row r="614" spans="8:9" x14ac:dyDescent="0.25">
      <c r="H614" s="343"/>
      <c r="I614" s="69"/>
    </row>
    <row r="615" spans="8:9" x14ac:dyDescent="0.25">
      <c r="H615" s="343"/>
      <c r="I615" s="69"/>
    </row>
    <row r="616" spans="8:9" x14ac:dyDescent="0.25">
      <c r="H616" s="343"/>
      <c r="I616" s="69"/>
    </row>
    <row r="617" spans="8:9" x14ac:dyDescent="0.25">
      <c r="H617" s="343"/>
      <c r="I617" s="69"/>
    </row>
    <row r="618" spans="8:9" x14ac:dyDescent="0.25">
      <c r="H618" s="343"/>
      <c r="I618" s="69"/>
    </row>
    <row r="619" spans="8:9" x14ac:dyDescent="0.25">
      <c r="H619" s="343"/>
      <c r="I619" s="69"/>
    </row>
    <row r="620" spans="8:9" x14ac:dyDescent="0.25">
      <c r="H620" s="343"/>
      <c r="I620" s="69"/>
    </row>
    <row r="621" spans="8:9" x14ac:dyDescent="0.25">
      <c r="H621" s="343"/>
      <c r="I621" s="69"/>
    </row>
    <row r="622" spans="8:9" x14ac:dyDescent="0.25">
      <c r="H622" s="343"/>
      <c r="I622" s="69"/>
    </row>
    <row r="623" spans="8:9" x14ac:dyDescent="0.25">
      <c r="H623" s="343"/>
      <c r="I623" s="69"/>
    </row>
    <row r="624" spans="8:9" x14ac:dyDescent="0.25">
      <c r="H624" s="343"/>
      <c r="I624" s="69"/>
    </row>
    <row r="625" spans="8:9" x14ac:dyDescent="0.25">
      <c r="H625" s="343"/>
      <c r="I625" s="69"/>
    </row>
    <row r="626" spans="8:9" x14ac:dyDescent="0.25">
      <c r="H626" s="343"/>
      <c r="I626" s="69"/>
    </row>
    <row r="627" spans="8:9" x14ac:dyDescent="0.25">
      <c r="H627" s="343"/>
      <c r="I627" s="69"/>
    </row>
    <row r="628" spans="8:9" x14ac:dyDescent="0.25">
      <c r="H628" s="343"/>
      <c r="I628" s="69"/>
    </row>
    <row r="629" spans="8:9" x14ac:dyDescent="0.25">
      <c r="H629" s="343"/>
      <c r="I629" s="69"/>
    </row>
    <row r="630" spans="8:9" x14ac:dyDescent="0.25">
      <c r="H630" s="343"/>
      <c r="I630" s="69"/>
    </row>
    <row r="631" spans="8:9" x14ac:dyDescent="0.25">
      <c r="H631" s="343"/>
      <c r="I631" s="69"/>
    </row>
    <row r="632" spans="8:9" x14ac:dyDescent="0.25">
      <c r="H632" s="343"/>
      <c r="I632" s="69"/>
    </row>
    <row r="633" spans="8:9" x14ac:dyDescent="0.25">
      <c r="H633" s="343"/>
      <c r="I633" s="69"/>
    </row>
    <row r="634" spans="8:9" x14ac:dyDescent="0.25">
      <c r="H634" s="343"/>
      <c r="I634" s="69"/>
    </row>
    <row r="635" spans="8:9" x14ac:dyDescent="0.25">
      <c r="H635" s="343"/>
      <c r="I635" s="69"/>
    </row>
    <row r="636" spans="8:9" x14ac:dyDescent="0.25">
      <c r="H636" s="343"/>
      <c r="I636" s="69"/>
    </row>
    <row r="637" spans="8:9" x14ac:dyDescent="0.25">
      <c r="H637" s="343"/>
      <c r="I637" s="69"/>
    </row>
    <row r="638" spans="8:9" x14ac:dyDescent="0.25">
      <c r="H638" s="343"/>
      <c r="I638" s="69"/>
    </row>
    <row r="639" spans="8:9" x14ac:dyDescent="0.25">
      <c r="H639" s="343"/>
      <c r="I639" s="69"/>
    </row>
    <row r="640" spans="8:9" x14ac:dyDescent="0.25">
      <c r="H640" s="343"/>
      <c r="I640" s="69"/>
    </row>
    <row r="641" spans="8:9" x14ac:dyDescent="0.25">
      <c r="H641" s="343"/>
      <c r="I641" s="69"/>
    </row>
    <row r="642" spans="8:9" x14ac:dyDescent="0.25">
      <c r="H642" s="343"/>
      <c r="I642" s="69"/>
    </row>
    <row r="643" spans="8:9" x14ac:dyDescent="0.25">
      <c r="H643" s="343"/>
      <c r="I643" s="69"/>
    </row>
  </sheetData>
  <mergeCells count="6">
    <mergeCell ref="H228:W228"/>
    <mergeCell ref="H166:W166"/>
    <mergeCell ref="H178:W178"/>
    <mergeCell ref="H189:W189"/>
    <mergeCell ref="H205:W205"/>
    <mergeCell ref="H217:W217"/>
  </mergeCells>
  <pageMargins left="0.7" right="0.7" top="0.75" bottom="0.75" header="0.3" footer="0.3"/>
  <pageSetup scale="11" orientation="portrait" horizontalDpi="90" verticalDpi="90"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290"/>
  <sheetViews>
    <sheetView zoomScale="85" zoomScaleNormal="85" workbookViewId="0">
      <pane xSplit="2" ySplit="8" topLeftCell="C9" activePane="bottomRight" state="frozen"/>
      <selection activeCell="C27" sqref="C27"/>
      <selection pane="topRight" activeCell="C27" sqref="C27"/>
      <selection pane="bottomLeft" activeCell="C27" sqref="C27"/>
      <selection pane="bottomRight" activeCell="C3" sqref="C3"/>
    </sheetView>
  </sheetViews>
  <sheetFormatPr defaultRowHeight="15" x14ac:dyDescent="0.25"/>
  <cols>
    <col min="1" max="1" width="13" style="513" customWidth="1"/>
    <col min="2" max="2" width="40.5703125" style="413" customWidth="1"/>
    <col min="3" max="3" width="15.5703125" style="414" customWidth="1"/>
    <col min="4" max="4" width="13.7109375" style="414" hidden="1" customWidth="1"/>
    <col min="5" max="5" width="13.7109375" style="414" customWidth="1"/>
    <col min="6" max="6" width="16.42578125" style="414" customWidth="1"/>
    <col min="7" max="7" width="13.7109375" style="414" hidden="1" customWidth="1"/>
    <col min="8" max="8" width="13.7109375" style="414" customWidth="1"/>
    <col min="9" max="9" width="16.5703125" style="414" customWidth="1"/>
    <col min="10" max="20" width="13.7109375" style="414" customWidth="1"/>
    <col min="21" max="21" width="14.5703125" style="414" customWidth="1"/>
    <col min="22" max="25" width="13.7109375" style="414" customWidth="1"/>
    <col min="26" max="26" width="15.85546875" style="414" customWidth="1"/>
    <col min="27" max="27" width="13.7109375" style="414" customWidth="1"/>
    <col min="28" max="28" width="13.140625" style="413" bestFit="1" customWidth="1"/>
    <col min="29" max="16384" width="9.140625" style="413"/>
  </cols>
  <sheetData>
    <row r="1" spans="1:27" s="511" customFormat="1" ht="12.75" hidden="1" x14ac:dyDescent="0.2">
      <c r="A1" s="510" t="s">
        <v>1121</v>
      </c>
      <c r="C1" s="512"/>
      <c r="D1" s="512" t="s">
        <v>512</v>
      </c>
      <c r="E1" s="512"/>
      <c r="F1" s="512"/>
      <c r="G1" s="512" t="s">
        <v>512</v>
      </c>
      <c r="H1" s="512"/>
      <c r="I1" s="512"/>
      <c r="J1" s="512"/>
      <c r="K1" s="512" t="s">
        <v>512</v>
      </c>
      <c r="L1" s="512" t="s">
        <v>512</v>
      </c>
      <c r="M1" s="512"/>
      <c r="N1" s="512"/>
      <c r="O1" s="512"/>
      <c r="P1" s="512"/>
      <c r="Q1" s="512"/>
      <c r="R1" s="512" t="s">
        <v>512</v>
      </c>
      <c r="S1" s="512"/>
      <c r="T1" s="512"/>
      <c r="U1" s="512"/>
      <c r="V1" s="512" t="s">
        <v>512</v>
      </c>
      <c r="W1" s="512"/>
      <c r="X1" s="512"/>
      <c r="Y1" s="512"/>
      <c r="Z1" s="512"/>
      <c r="AA1" s="512"/>
    </row>
    <row r="2" spans="1:27" hidden="1" x14ac:dyDescent="0.25">
      <c r="A2" s="513" t="s">
        <v>512</v>
      </c>
      <c r="B2" s="514" t="s">
        <v>513</v>
      </c>
    </row>
    <row r="3" spans="1:27" s="415" customFormat="1" ht="12.75" x14ac:dyDescent="0.2">
      <c r="A3" s="515"/>
      <c r="B3" s="516" t="s">
        <v>514</v>
      </c>
      <c r="C3" s="517" t="s">
        <v>1157</v>
      </c>
      <c r="D3" s="518"/>
      <c r="E3" s="518"/>
      <c r="F3" s="518"/>
      <c r="G3" s="518"/>
      <c r="H3" s="518"/>
      <c r="I3" s="518"/>
      <c r="J3" s="518"/>
      <c r="K3" s="518"/>
      <c r="L3" s="518"/>
      <c r="M3" s="518"/>
      <c r="N3" s="518"/>
      <c r="O3" s="518"/>
      <c r="P3" s="518"/>
      <c r="Q3" s="518"/>
      <c r="R3" s="518"/>
      <c r="S3" s="518"/>
      <c r="T3" s="518"/>
      <c r="U3" s="518"/>
      <c r="V3" s="519"/>
      <c r="W3" s="519"/>
      <c r="X3" s="519"/>
      <c r="Y3" s="519"/>
      <c r="Z3" s="519"/>
      <c r="AA3" s="519"/>
    </row>
    <row r="4" spans="1:27" s="415" customFormat="1" ht="12.75" x14ac:dyDescent="0.2">
      <c r="A4" s="515"/>
      <c r="B4" s="516" t="s">
        <v>515</v>
      </c>
      <c r="C4" s="520" t="s">
        <v>516</v>
      </c>
      <c r="D4" s="518"/>
      <c r="E4" s="518"/>
      <c r="F4" s="518"/>
      <c r="G4" s="518"/>
      <c r="H4" s="518"/>
      <c r="I4" s="518"/>
      <c r="J4" s="518"/>
      <c r="K4" s="518"/>
      <c r="L4" s="518"/>
      <c r="M4" s="518"/>
      <c r="N4" s="518"/>
      <c r="O4" s="518"/>
      <c r="P4" s="518"/>
      <c r="Q4" s="518"/>
      <c r="R4" s="518"/>
      <c r="S4" s="518"/>
      <c r="T4" s="518"/>
      <c r="U4" s="518"/>
      <c r="V4" s="518"/>
      <c r="W4" s="518"/>
      <c r="X4" s="518"/>
      <c r="Y4" s="518"/>
      <c r="Z4" s="518"/>
      <c r="AA4" s="518"/>
    </row>
    <row r="5" spans="1:27" s="415" customFormat="1" ht="12.75" x14ac:dyDescent="0.2">
      <c r="A5" s="515"/>
      <c r="B5" s="521"/>
      <c r="C5" s="518"/>
      <c r="D5" s="518"/>
      <c r="E5" s="518"/>
      <c r="F5" s="518"/>
      <c r="G5" s="518"/>
      <c r="H5" s="518"/>
      <c r="I5" s="518"/>
      <c r="J5" s="518"/>
      <c r="K5" s="518"/>
      <c r="L5" s="518"/>
      <c r="M5" s="518"/>
      <c r="N5" s="518"/>
      <c r="O5" s="518"/>
      <c r="P5" s="518"/>
      <c r="Q5" s="518"/>
      <c r="R5" s="518"/>
      <c r="S5" s="518"/>
      <c r="T5" s="518"/>
      <c r="U5" s="518"/>
      <c r="V5" s="518"/>
      <c r="W5" s="518"/>
      <c r="X5" s="518"/>
      <c r="Y5" s="518"/>
      <c r="Z5" s="518"/>
      <c r="AA5" s="518"/>
    </row>
    <row r="6" spans="1:27" s="415" customFormat="1" ht="12.75" x14ac:dyDescent="0.2">
      <c r="A6" s="515"/>
      <c r="B6" s="516" t="s">
        <v>179</v>
      </c>
      <c r="C6" s="522" t="s">
        <v>517</v>
      </c>
      <c r="D6" s="518"/>
      <c r="E6" s="518"/>
      <c r="F6" s="518"/>
      <c r="G6" s="518"/>
      <c r="H6" s="518"/>
      <c r="I6" s="518"/>
      <c r="J6" s="518"/>
      <c r="K6" s="518"/>
      <c r="L6" s="518"/>
      <c r="M6" s="518"/>
      <c r="N6" s="518"/>
      <c r="O6" s="518"/>
      <c r="P6" s="518"/>
      <c r="Q6" s="518"/>
      <c r="R6" s="518"/>
      <c r="S6" s="518"/>
      <c r="T6" s="518"/>
      <c r="U6" s="518"/>
      <c r="V6" s="518"/>
      <c r="W6" s="518"/>
      <c r="X6" s="518"/>
      <c r="Y6" s="518"/>
      <c r="Z6" s="518"/>
      <c r="AA6" s="518"/>
    </row>
    <row r="7" spans="1:27" s="527" customFormat="1" ht="12.75" x14ac:dyDescent="0.2">
      <c r="A7" s="523"/>
      <c r="B7" s="516" t="s">
        <v>518</v>
      </c>
      <c r="C7" s="524" t="s">
        <v>519</v>
      </c>
      <c r="D7" s="524" t="s">
        <v>520</v>
      </c>
      <c r="E7" s="524" t="s">
        <v>521</v>
      </c>
      <c r="F7" s="524" t="s">
        <v>522</v>
      </c>
      <c r="G7" s="524" t="s">
        <v>523</v>
      </c>
      <c r="H7" s="524" t="s">
        <v>524</v>
      </c>
      <c r="I7" s="524" t="s">
        <v>525</v>
      </c>
      <c r="J7" s="524" t="s">
        <v>526</v>
      </c>
      <c r="K7" s="524" t="s">
        <v>527</v>
      </c>
      <c r="L7" s="524" t="s">
        <v>528</v>
      </c>
      <c r="M7" s="524" t="s">
        <v>529</v>
      </c>
      <c r="N7" s="524" t="s">
        <v>530</v>
      </c>
      <c r="O7" s="524" t="s">
        <v>1069</v>
      </c>
      <c r="P7" s="524" t="s">
        <v>531</v>
      </c>
      <c r="Q7" s="524" t="s">
        <v>532</v>
      </c>
      <c r="R7" s="524" t="s">
        <v>533</v>
      </c>
      <c r="S7" s="524" t="s">
        <v>534</v>
      </c>
      <c r="T7" s="524" t="s">
        <v>535</v>
      </c>
      <c r="U7" s="524" t="s">
        <v>536</v>
      </c>
      <c r="V7" s="524" t="s">
        <v>537</v>
      </c>
      <c r="W7" s="524" t="s">
        <v>538</v>
      </c>
      <c r="X7" s="524" t="s">
        <v>539</v>
      </c>
      <c r="Y7" s="524" t="s">
        <v>540</v>
      </c>
      <c r="Z7" s="525"/>
      <c r="AA7" s="526"/>
    </row>
    <row r="8" spans="1:27" s="527" customFormat="1" ht="12.75" x14ac:dyDescent="0.2">
      <c r="A8" s="523"/>
      <c r="B8" s="516" t="s">
        <v>541</v>
      </c>
      <c r="C8" s="524"/>
      <c r="D8" s="524"/>
      <c r="E8" s="524"/>
      <c r="F8" s="524"/>
      <c r="G8" s="524"/>
      <c r="H8" s="524"/>
      <c r="I8" s="524"/>
      <c r="J8" s="524"/>
      <c r="K8" s="524"/>
      <c r="L8" s="524"/>
      <c r="M8" s="524"/>
      <c r="N8" s="524"/>
      <c r="O8" s="524"/>
      <c r="P8" s="524"/>
      <c r="Q8" s="524"/>
      <c r="R8" s="524"/>
      <c r="S8" s="524"/>
      <c r="T8" s="524"/>
      <c r="U8" s="524"/>
      <c r="V8" s="524"/>
      <c r="W8" s="524"/>
      <c r="X8" s="524"/>
      <c r="Y8" s="524" t="s">
        <v>542</v>
      </c>
      <c r="Z8" s="525"/>
    </row>
    <row r="9" spans="1:27" ht="12.75" x14ac:dyDescent="0.2">
      <c r="B9" s="516" t="s">
        <v>543</v>
      </c>
      <c r="C9" s="522"/>
      <c r="D9" s="522"/>
      <c r="E9" s="522"/>
      <c r="F9" s="522"/>
      <c r="G9" s="522"/>
      <c r="H9" s="522"/>
      <c r="I9" s="522"/>
      <c r="J9" s="522"/>
      <c r="K9" s="522"/>
      <c r="L9" s="522"/>
      <c r="M9" s="522"/>
      <c r="N9" s="522"/>
      <c r="O9" s="522"/>
      <c r="P9" s="522"/>
      <c r="Q9" s="522"/>
      <c r="R9" s="522"/>
      <c r="S9" s="522"/>
      <c r="T9" s="522"/>
      <c r="U9" s="522"/>
      <c r="V9" s="522"/>
      <c r="W9" s="522"/>
      <c r="X9" s="522"/>
      <c r="Y9" s="522"/>
      <c r="Z9" s="522"/>
      <c r="AA9" s="413"/>
    </row>
    <row r="10" spans="1:27" s="428" customFormat="1" ht="12.75" x14ac:dyDescent="0.2">
      <c r="A10" s="513"/>
      <c r="B10" s="516" t="s">
        <v>544</v>
      </c>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528"/>
    </row>
    <row r="11" spans="1:27" s="428" customFormat="1" ht="12.75" x14ac:dyDescent="0.2">
      <c r="A11" s="513">
        <v>42000</v>
      </c>
      <c r="B11" s="529" t="s">
        <v>545</v>
      </c>
      <c r="C11" s="530">
        <v>0</v>
      </c>
      <c r="D11" s="530">
        <v>0</v>
      </c>
      <c r="E11" s="530">
        <v>0</v>
      </c>
      <c r="F11" s="530">
        <v>0</v>
      </c>
      <c r="G11" s="530">
        <v>0</v>
      </c>
      <c r="H11" s="530">
        <v>0</v>
      </c>
      <c r="I11" s="530">
        <v>0</v>
      </c>
      <c r="J11" s="530">
        <v>0</v>
      </c>
      <c r="K11" s="530">
        <v>0</v>
      </c>
      <c r="L11" s="530">
        <v>0</v>
      </c>
      <c r="M11" s="530">
        <v>0</v>
      </c>
      <c r="N11" s="530">
        <v>0</v>
      </c>
      <c r="O11" s="530">
        <v>0</v>
      </c>
      <c r="P11" s="530">
        <v>0</v>
      </c>
      <c r="Q11" s="530">
        <v>0</v>
      </c>
      <c r="R11" s="530">
        <v>0</v>
      </c>
      <c r="S11" s="530">
        <v>0</v>
      </c>
      <c r="T11" s="530">
        <v>0</v>
      </c>
      <c r="U11" s="530">
        <v>0</v>
      </c>
      <c r="V11" s="530">
        <v>0</v>
      </c>
      <c r="W11" s="530">
        <v>0</v>
      </c>
      <c r="X11" s="530">
        <v>0</v>
      </c>
      <c r="Y11" s="530">
        <v>0</v>
      </c>
      <c r="Z11" s="530">
        <f>SUM(C11:Y11)</f>
        <v>0</v>
      </c>
    </row>
    <row r="12" spans="1:27" s="428" customFormat="1" ht="12.75" x14ac:dyDescent="0.2">
      <c r="A12" s="513">
        <v>42099</v>
      </c>
      <c r="B12" s="514" t="s">
        <v>546</v>
      </c>
      <c r="C12" s="531">
        <v>0</v>
      </c>
      <c r="D12" s="531">
        <v>0</v>
      </c>
      <c r="E12" s="531">
        <v>0</v>
      </c>
      <c r="F12" s="531">
        <v>0</v>
      </c>
      <c r="G12" s="531">
        <v>0</v>
      </c>
      <c r="H12" s="531">
        <v>0</v>
      </c>
      <c r="I12" s="531">
        <v>0</v>
      </c>
      <c r="J12" s="531">
        <v>0</v>
      </c>
      <c r="K12" s="531">
        <v>0</v>
      </c>
      <c r="L12" s="531">
        <v>0</v>
      </c>
      <c r="M12" s="531">
        <v>0</v>
      </c>
      <c r="N12" s="531">
        <v>0</v>
      </c>
      <c r="O12" s="531">
        <v>0</v>
      </c>
      <c r="P12" s="531">
        <v>0</v>
      </c>
      <c r="Q12" s="531">
        <v>0</v>
      </c>
      <c r="R12" s="531">
        <v>0</v>
      </c>
      <c r="S12" s="531">
        <v>0</v>
      </c>
      <c r="T12" s="531">
        <v>0</v>
      </c>
      <c r="U12" s="531">
        <v>0</v>
      </c>
      <c r="V12" s="531">
        <v>0</v>
      </c>
      <c r="W12" s="531">
        <v>0</v>
      </c>
      <c r="X12" s="531">
        <v>0</v>
      </c>
      <c r="Y12" s="531">
        <v>0</v>
      </c>
      <c r="Z12" s="531">
        <f>SUM(C12:Y12)</f>
        <v>0</v>
      </c>
    </row>
    <row r="13" spans="1:27" s="521" customFormat="1" ht="12.75" x14ac:dyDescent="0.2">
      <c r="A13" s="513">
        <v>42999</v>
      </c>
      <c r="B13" s="532" t="s">
        <v>547</v>
      </c>
      <c r="C13" s="533">
        <f t="shared" ref="C13:Z13" si="0">SUM(C11:C12)</f>
        <v>0</v>
      </c>
      <c r="D13" s="533">
        <f t="shared" si="0"/>
        <v>0</v>
      </c>
      <c r="E13" s="533">
        <f t="shared" si="0"/>
        <v>0</v>
      </c>
      <c r="F13" s="533">
        <f t="shared" si="0"/>
        <v>0</v>
      </c>
      <c r="G13" s="533">
        <f t="shared" si="0"/>
        <v>0</v>
      </c>
      <c r="H13" s="533">
        <f t="shared" si="0"/>
        <v>0</v>
      </c>
      <c r="I13" s="533">
        <f t="shared" si="0"/>
        <v>0</v>
      </c>
      <c r="J13" s="533">
        <f t="shared" si="0"/>
        <v>0</v>
      </c>
      <c r="K13" s="533">
        <f t="shared" si="0"/>
        <v>0</v>
      </c>
      <c r="L13" s="533">
        <f t="shared" si="0"/>
        <v>0</v>
      </c>
      <c r="M13" s="533">
        <f t="shared" si="0"/>
        <v>0</v>
      </c>
      <c r="N13" s="533">
        <f t="shared" si="0"/>
        <v>0</v>
      </c>
      <c r="O13" s="533">
        <f t="shared" si="0"/>
        <v>0</v>
      </c>
      <c r="P13" s="533">
        <f t="shared" si="0"/>
        <v>0</v>
      </c>
      <c r="Q13" s="533">
        <f t="shared" si="0"/>
        <v>0</v>
      </c>
      <c r="R13" s="533">
        <f t="shared" si="0"/>
        <v>0</v>
      </c>
      <c r="S13" s="533">
        <f t="shared" si="0"/>
        <v>0</v>
      </c>
      <c r="T13" s="533">
        <f t="shared" si="0"/>
        <v>0</v>
      </c>
      <c r="U13" s="533">
        <f t="shared" si="0"/>
        <v>0</v>
      </c>
      <c r="V13" s="533">
        <f t="shared" si="0"/>
        <v>0</v>
      </c>
      <c r="W13" s="533">
        <f t="shared" si="0"/>
        <v>0</v>
      </c>
      <c r="X13" s="533">
        <f t="shared" si="0"/>
        <v>0</v>
      </c>
      <c r="Y13" s="533">
        <f t="shared" si="0"/>
        <v>0</v>
      </c>
      <c r="Z13" s="533">
        <f t="shared" si="0"/>
        <v>0</v>
      </c>
    </row>
    <row r="14" spans="1:27" s="428" customFormat="1" ht="12.75" x14ac:dyDescent="0.2">
      <c r="A14" s="513"/>
      <c r="B14" s="516"/>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row>
    <row r="15" spans="1:27" s="428" customFormat="1" ht="12.75" x14ac:dyDescent="0.2">
      <c r="A15" s="513"/>
      <c r="B15" s="516" t="s">
        <v>548</v>
      </c>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row>
    <row r="16" spans="1:27" s="428" customFormat="1" ht="12.75" x14ac:dyDescent="0.2">
      <c r="A16" s="513">
        <v>48100</v>
      </c>
      <c r="B16" s="529" t="s">
        <v>549</v>
      </c>
      <c r="C16" s="530">
        <v>0</v>
      </c>
      <c r="D16" s="530">
        <v>0</v>
      </c>
      <c r="E16" s="530">
        <v>0</v>
      </c>
      <c r="F16" s="530">
        <v>1258.4299999999998</v>
      </c>
      <c r="G16" s="530">
        <v>0</v>
      </c>
      <c r="H16" s="530">
        <v>41.07</v>
      </c>
      <c r="I16" s="530">
        <v>0</v>
      </c>
      <c r="J16" s="530">
        <v>0</v>
      </c>
      <c r="K16" s="530">
        <v>0</v>
      </c>
      <c r="L16" s="530">
        <v>0</v>
      </c>
      <c r="M16" s="530">
        <v>0</v>
      </c>
      <c r="N16" s="530">
        <v>0</v>
      </c>
      <c r="O16" s="530">
        <v>0</v>
      </c>
      <c r="P16" s="530">
        <v>0</v>
      </c>
      <c r="Q16" s="530">
        <v>0</v>
      </c>
      <c r="R16" s="530">
        <v>0</v>
      </c>
      <c r="S16" s="530">
        <v>0</v>
      </c>
      <c r="T16" s="530">
        <v>0</v>
      </c>
      <c r="U16" s="530">
        <v>0</v>
      </c>
      <c r="V16" s="530">
        <v>0</v>
      </c>
      <c r="W16" s="530">
        <v>0</v>
      </c>
      <c r="X16" s="530">
        <v>0</v>
      </c>
      <c r="Y16" s="530">
        <v>0</v>
      </c>
      <c r="Z16" s="530">
        <f>SUM(C16:Y16)</f>
        <v>1299.4999999999998</v>
      </c>
    </row>
    <row r="17" spans="1:26" s="428" customFormat="1" ht="12.75" x14ac:dyDescent="0.2">
      <c r="A17" s="513">
        <v>48095</v>
      </c>
      <c r="B17" s="534" t="s">
        <v>550</v>
      </c>
      <c r="C17" s="530">
        <v>0</v>
      </c>
      <c r="D17" s="530">
        <v>0</v>
      </c>
      <c r="E17" s="530">
        <v>0</v>
      </c>
      <c r="F17" s="530">
        <v>0</v>
      </c>
      <c r="G17" s="530">
        <v>0</v>
      </c>
      <c r="H17" s="530">
        <v>0</v>
      </c>
      <c r="I17" s="530">
        <v>0</v>
      </c>
      <c r="J17" s="530">
        <v>0</v>
      </c>
      <c r="K17" s="530">
        <v>0</v>
      </c>
      <c r="L17" s="530">
        <v>0</v>
      </c>
      <c r="M17" s="530">
        <v>208400</v>
      </c>
      <c r="N17" s="530">
        <v>0</v>
      </c>
      <c r="O17" s="530">
        <v>0</v>
      </c>
      <c r="P17" s="530">
        <v>150</v>
      </c>
      <c r="Q17" s="530">
        <v>0</v>
      </c>
      <c r="R17" s="530">
        <v>0</v>
      </c>
      <c r="S17" s="530">
        <v>0</v>
      </c>
      <c r="T17" s="530">
        <v>28015.489999999998</v>
      </c>
      <c r="U17" s="530">
        <v>0</v>
      </c>
      <c r="V17" s="530">
        <v>0</v>
      </c>
      <c r="W17" s="530">
        <v>3028.85</v>
      </c>
      <c r="X17" s="530">
        <v>0</v>
      </c>
      <c r="Y17" s="530">
        <v>0</v>
      </c>
      <c r="Z17" s="530">
        <f>SUM(C17:Y17)</f>
        <v>239594.34</v>
      </c>
    </row>
    <row r="18" spans="1:26" s="428" customFormat="1" ht="12.75" x14ac:dyDescent="0.2">
      <c r="A18" s="513" t="s">
        <v>551</v>
      </c>
      <c r="B18" s="534" t="s">
        <v>552</v>
      </c>
      <c r="C18" s="530">
        <v>0</v>
      </c>
      <c r="D18" s="530">
        <v>0</v>
      </c>
      <c r="E18" s="530">
        <v>0</v>
      </c>
      <c r="F18" s="530">
        <v>0</v>
      </c>
      <c r="G18" s="530">
        <v>0</v>
      </c>
      <c r="H18" s="530">
        <v>0</v>
      </c>
      <c r="I18" s="530">
        <v>0</v>
      </c>
      <c r="J18" s="530">
        <v>0</v>
      </c>
      <c r="K18" s="530">
        <v>0</v>
      </c>
      <c r="L18" s="530">
        <v>0</v>
      </c>
      <c r="M18" s="530">
        <v>0</v>
      </c>
      <c r="N18" s="530">
        <v>0</v>
      </c>
      <c r="O18" s="530">
        <v>0</v>
      </c>
      <c r="P18" s="530">
        <v>0</v>
      </c>
      <c r="Q18" s="530">
        <v>0</v>
      </c>
      <c r="R18" s="530">
        <v>0</v>
      </c>
      <c r="S18" s="530">
        <v>0</v>
      </c>
      <c r="T18" s="530">
        <v>-456.29999999999995</v>
      </c>
      <c r="U18" s="530">
        <v>0</v>
      </c>
      <c r="V18" s="530">
        <v>0</v>
      </c>
      <c r="W18" s="530">
        <v>37</v>
      </c>
      <c r="X18" s="530">
        <v>0</v>
      </c>
      <c r="Y18" s="530">
        <v>0</v>
      </c>
      <c r="Z18" s="530">
        <f>SUM(C18:Y18)</f>
        <v>-419.29999999999995</v>
      </c>
    </row>
    <row r="19" spans="1:26" s="428" customFormat="1" ht="12.75" x14ac:dyDescent="0.2">
      <c r="A19" s="513">
        <v>48070</v>
      </c>
      <c r="B19" s="535" t="s">
        <v>553</v>
      </c>
      <c r="C19" s="530">
        <v>0</v>
      </c>
      <c r="D19" s="530">
        <v>0</v>
      </c>
      <c r="E19" s="530">
        <v>0</v>
      </c>
      <c r="F19" s="530">
        <v>0</v>
      </c>
      <c r="G19" s="530">
        <v>0</v>
      </c>
      <c r="H19" s="530">
        <v>0</v>
      </c>
      <c r="I19" s="530">
        <v>0</v>
      </c>
      <c r="J19" s="530">
        <v>0</v>
      </c>
      <c r="K19" s="530">
        <v>0</v>
      </c>
      <c r="L19" s="530">
        <v>0</v>
      </c>
      <c r="M19" s="530">
        <v>0</v>
      </c>
      <c r="N19" s="530">
        <v>0</v>
      </c>
      <c r="O19" s="530">
        <v>0</v>
      </c>
      <c r="P19" s="530">
        <v>0</v>
      </c>
      <c r="Q19" s="530">
        <v>0</v>
      </c>
      <c r="R19" s="530">
        <v>0</v>
      </c>
      <c r="S19" s="530">
        <v>0</v>
      </c>
      <c r="T19" s="530">
        <v>0</v>
      </c>
      <c r="U19" s="530">
        <v>0</v>
      </c>
      <c r="V19" s="530">
        <v>0</v>
      </c>
      <c r="W19" s="530">
        <v>0</v>
      </c>
      <c r="X19" s="530">
        <v>0</v>
      </c>
      <c r="Y19" s="530">
        <v>0</v>
      </c>
      <c r="Z19" s="530">
        <f>SUM(C19:Y19)</f>
        <v>0</v>
      </c>
    </row>
    <row r="20" spans="1:26" s="428" customFormat="1" ht="12.75" x14ac:dyDescent="0.2">
      <c r="A20" s="513">
        <v>48300</v>
      </c>
      <c r="B20" s="514" t="s">
        <v>554</v>
      </c>
      <c r="C20" s="531">
        <v>0</v>
      </c>
      <c r="D20" s="531">
        <v>0</v>
      </c>
      <c r="E20" s="531">
        <v>0</v>
      </c>
      <c r="F20" s="1154">
        <v>900000.00000000012</v>
      </c>
      <c r="G20" s="531">
        <v>0</v>
      </c>
      <c r="H20" s="531">
        <v>0</v>
      </c>
      <c r="I20" s="531">
        <v>0</v>
      </c>
      <c r="J20" s="531">
        <v>0</v>
      </c>
      <c r="K20" s="531">
        <v>0</v>
      </c>
      <c r="L20" s="531">
        <v>0</v>
      </c>
      <c r="M20" s="531">
        <v>0</v>
      </c>
      <c r="N20" s="531">
        <v>0</v>
      </c>
      <c r="O20" s="531">
        <v>0</v>
      </c>
      <c r="P20" s="531">
        <v>0</v>
      </c>
      <c r="Q20" s="531">
        <v>0</v>
      </c>
      <c r="R20" s="531">
        <v>0</v>
      </c>
      <c r="S20" s="531">
        <v>0</v>
      </c>
      <c r="T20" s="531">
        <v>0</v>
      </c>
      <c r="U20" s="531">
        <v>0</v>
      </c>
      <c r="V20" s="531">
        <v>0</v>
      </c>
      <c r="W20" s="531">
        <v>0</v>
      </c>
      <c r="X20" s="531">
        <v>0</v>
      </c>
      <c r="Y20" s="531">
        <v>0</v>
      </c>
      <c r="Z20" s="531">
        <f>SUM(C20:Y20)</f>
        <v>900000.00000000012</v>
      </c>
    </row>
    <row r="21" spans="1:26" s="521" customFormat="1" ht="12.75" x14ac:dyDescent="0.2">
      <c r="A21" s="513">
        <v>48500</v>
      </c>
      <c r="B21" s="532" t="s">
        <v>555</v>
      </c>
      <c r="C21" s="533">
        <f t="shared" ref="C21:Z21" si="1">SUM(C16:C20)</f>
        <v>0</v>
      </c>
      <c r="D21" s="533">
        <f t="shared" si="1"/>
        <v>0</v>
      </c>
      <c r="E21" s="533">
        <f t="shared" si="1"/>
        <v>0</v>
      </c>
      <c r="F21" s="533">
        <f t="shared" si="1"/>
        <v>901258.43000000017</v>
      </c>
      <c r="G21" s="533">
        <f t="shared" si="1"/>
        <v>0</v>
      </c>
      <c r="H21" s="533">
        <f t="shared" si="1"/>
        <v>41.07</v>
      </c>
      <c r="I21" s="533">
        <f t="shared" si="1"/>
        <v>0</v>
      </c>
      <c r="J21" s="533">
        <f t="shared" si="1"/>
        <v>0</v>
      </c>
      <c r="K21" s="533">
        <f t="shared" si="1"/>
        <v>0</v>
      </c>
      <c r="L21" s="533">
        <f t="shared" si="1"/>
        <v>0</v>
      </c>
      <c r="M21" s="533">
        <f t="shared" si="1"/>
        <v>208400</v>
      </c>
      <c r="N21" s="533">
        <f t="shared" si="1"/>
        <v>0</v>
      </c>
      <c r="O21" s="533">
        <f t="shared" si="1"/>
        <v>0</v>
      </c>
      <c r="P21" s="533">
        <f t="shared" si="1"/>
        <v>150</v>
      </c>
      <c r="Q21" s="533">
        <f t="shared" si="1"/>
        <v>0</v>
      </c>
      <c r="R21" s="533">
        <f t="shared" si="1"/>
        <v>0</v>
      </c>
      <c r="S21" s="533">
        <f t="shared" si="1"/>
        <v>0</v>
      </c>
      <c r="T21" s="533">
        <f t="shared" si="1"/>
        <v>27559.19</v>
      </c>
      <c r="U21" s="533">
        <f t="shared" si="1"/>
        <v>0</v>
      </c>
      <c r="V21" s="533">
        <f t="shared" si="1"/>
        <v>0</v>
      </c>
      <c r="W21" s="533">
        <f t="shared" si="1"/>
        <v>3065.85</v>
      </c>
      <c r="X21" s="533">
        <f t="shared" si="1"/>
        <v>0</v>
      </c>
      <c r="Y21" s="533">
        <f t="shared" si="1"/>
        <v>0</v>
      </c>
      <c r="Z21" s="533">
        <f t="shared" si="1"/>
        <v>1140474.54</v>
      </c>
    </row>
    <row r="22" spans="1:26" s="428" customFormat="1" ht="12.75" x14ac:dyDescent="0.2">
      <c r="A22" s="513"/>
      <c r="B22" s="536"/>
      <c r="C22" s="537"/>
      <c r="D22" s="537"/>
      <c r="E22" s="537"/>
      <c r="F22" s="537"/>
      <c r="G22" s="537"/>
      <c r="H22" s="537"/>
      <c r="I22" s="537"/>
      <c r="J22" s="537"/>
      <c r="K22" s="537"/>
      <c r="L22" s="537"/>
      <c r="M22" s="537"/>
      <c r="N22" s="537"/>
      <c r="O22" s="537"/>
      <c r="P22" s="537"/>
      <c r="Q22" s="537"/>
      <c r="R22" s="537"/>
      <c r="S22" s="537"/>
      <c r="T22" s="537"/>
      <c r="U22" s="537"/>
      <c r="V22" s="537"/>
      <c r="W22" s="537"/>
      <c r="X22" s="537"/>
      <c r="Y22" s="537"/>
      <c r="Z22" s="537"/>
    </row>
    <row r="23" spans="1:26" s="521" customFormat="1" ht="12.75" x14ac:dyDescent="0.2">
      <c r="A23" s="513">
        <v>49900</v>
      </c>
      <c r="B23" s="536" t="s">
        <v>556</v>
      </c>
      <c r="C23" s="537">
        <f t="shared" ref="C23:Z23" si="2">C13+C21</f>
        <v>0</v>
      </c>
      <c r="D23" s="537">
        <f t="shared" si="2"/>
        <v>0</v>
      </c>
      <c r="E23" s="537">
        <f t="shared" si="2"/>
        <v>0</v>
      </c>
      <c r="F23" s="537">
        <f t="shared" si="2"/>
        <v>901258.43000000017</v>
      </c>
      <c r="G23" s="537">
        <f t="shared" si="2"/>
        <v>0</v>
      </c>
      <c r="H23" s="537">
        <f t="shared" si="2"/>
        <v>41.07</v>
      </c>
      <c r="I23" s="537">
        <f t="shared" si="2"/>
        <v>0</v>
      </c>
      <c r="J23" s="537">
        <f t="shared" si="2"/>
        <v>0</v>
      </c>
      <c r="K23" s="537">
        <f t="shared" si="2"/>
        <v>0</v>
      </c>
      <c r="L23" s="537">
        <f t="shared" si="2"/>
        <v>0</v>
      </c>
      <c r="M23" s="537">
        <f t="shared" si="2"/>
        <v>208400</v>
      </c>
      <c r="N23" s="537">
        <f t="shared" si="2"/>
        <v>0</v>
      </c>
      <c r="O23" s="537">
        <f t="shared" si="2"/>
        <v>0</v>
      </c>
      <c r="P23" s="537">
        <f t="shared" si="2"/>
        <v>150</v>
      </c>
      <c r="Q23" s="537">
        <f t="shared" si="2"/>
        <v>0</v>
      </c>
      <c r="R23" s="537">
        <f t="shared" si="2"/>
        <v>0</v>
      </c>
      <c r="S23" s="537">
        <f t="shared" si="2"/>
        <v>0</v>
      </c>
      <c r="T23" s="537">
        <f t="shared" si="2"/>
        <v>27559.19</v>
      </c>
      <c r="U23" s="537">
        <f t="shared" si="2"/>
        <v>0</v>
      </c>
      <c r="V23" s="537">
        <f t="shared" si="2"/>
        <v>0</v>
      </c>
      <c r="W23" s="537">
        <f t="shared" si="2"/>
        <v>3065.85</v>
      </c>
      <c r="X23" s="537">
        <f t="shared" si="2"/>
        <v>0</v>
      </c>
      <c r="Y23" s="537">
        <f t="shared" si="2"/>
        <v>0</v>
      </c>
      <c r="Z23" s="537">
        <f t="shared" si="2"/>
        <v>1140474.54</v>
      </c>
    </row>
    <row r="24" spans="1:26" s="428" customFormat="1" ht="12.75" x14ac:dyDescent="0.2">
      <c r="A24" s="513"/>
      <c r="B24" s="516"/>
      <c r="C24" s="528"/>
      <c r="D24" s="528"/>
      <c r="E24" s="528"/>
      <c r="F24" s="528"/>
      <c r="G24" s="528"/>
      <c r="H24" s="528"/>
      <c r="I24" s="528"/>
      <c r="J24" s="528"/>
      <c r="K24" s="528"/>
      <c r="L24" s="528"/>
      <c r="M24" s="528"/>
      <c r="N24" s="528"/>
      <c r="O24" s="528"/>
      <c r="P24" s="528"/>
      <c r="Q24" s="528"/>
      <c r="R24" s="528"/>
      <c r="S24" s="528"/>
      <c r="T24" s="528"/>
      <c r="U24" s="528"/>
      <c r="V24" s="528"/>
      <c r="W24" s="528"/>
      <c r="X24" s="528"/>
      <c r="Y24" s="528"/>
      <c r="Z24" s="528"/>
    </row>
    <row r="25" spans="1:26" s="428" customFormat="1" ht="12.75" x14ac:dyDescent="0.2">
      <c r="A25" s="513"/>
      <c r="B25" s="516" t="s">
        <v>557</v>
      </c>
      <c r="C25" s="528"/>
      <c r="D25" s="528"/>
      <c r="E25" s="528"/>
      <c r="F25" s="528"/>
      <c r="G25" s="528"/>
      <c r="H25" s="528"/>
      <c r="I25" s="528"/>
      <c r="J25" s="528"/>
      <c r="K25" s="528"/>
      <c r="L25" s="528"/>
      <c r="M25" s="528"/>
      <c r="N25" s="528"/>
      <c r="O25" s="528"/>
      <c r="P25" s="528"/>
      <c r="Q25" s="528"/>
      <c r="R25" s="528"/>
      <c r="S25" s="528"/>
      <c r="T25" s="528"/>
      <c r="U25" s="528"/>
      <c r="V25" s="528"/>
      <c r="W25" s="528"/>
      <c r="X25" s="528"/>
      <c r="Y25" s="528"/>
      <c r="Z25" s="528"/>
    </row>
    <row r="26" spans="1:26" s="428" customFormat="1" ht="12.75" x14ac:dyDescent="0.2">
      <c r="A26" s="513">
        <v>51000</v>
      </c>
      <c r="B26" s="529" t="s">
        <v>558</v>
      </c>
      <c r="C26" s="538"/>
      <c r="D26" s="538"/>
      <c r="E26" s="538"/>
      <c r="F26" s="538"/>
      <c r="G26" s="538"/>
      <c r="H26" s="538"/>
      <c r="I26" s="538"/>
      <c r="J26" s="538"/>
      <c r="K26" s="538"/>
      <c r="L26" s="538"/>
      <c r="M26" s="538"/>
      <c r="N26" s="538"/>
      <c r="O26" s="538"/>
      <c r="P26" s="538"/>
      <c r="Q26" s="538"/>
      <c r="R26" s="538"/>
      <c r="S26" s="538"/>
      <c r="T26" s="538"/>
      <c r="U26" s="539"/>
      <c r="V26" s="539"/>
      <c r="W26" s="539"/>
      <c r="X26" s="539"/>
      <c r="Y26" s="539"/>
      <c r="Z26" s="539"/>
    </row>
    <row r="27" spans="1:26" s="428" customFormat="1" ht="12.75" x14ac:dyDescent="0.2">
      <c r="A27" s="513">
        <v>52000</v>
      </c>
      <c r="B27" s="534" t="s">
        <v>559</v>
      </c>
      <c r="C27" s="538"/>
      <c r="D27" s="538"/>
      <c r="E27" s="538"/>
      <c r="F27" s="538"/>
      <c r="G27" s="538"/>
      <c r="H27" s="538"/>
      <c r="I27" s="538"/>
      <c r="J27" s="538"/>
      <c r="K27" s="538"/>
      <c r="L27" s="538"/>
      <c r="M27" s="538"/>
      <c r="N27" s="538"/>
      <c r="O27" s="538"/>
      <c r="P27" s="538"/>
      <c r="Q27" s="538"/>
      <c r="R27" s="538"/>
      <c r="S27" s="538"/>
      <c r="T27" s="538"/>
      <c r="U27" s="539"/>
      <c r="V27" s="539"/>
      <c r="W27" s="539"/>
      <c r="X27" s="539"/>
      <c r="Y27" s="539"/>
      <c r="Z27" s="539"/>
    </row>
    <row r="28" spans="1:26" s="428" customFormat="1" ht="12.75" x14ac:dyDescent="0.2">
      <c r="A28" s="513">
        <v>52010</v>
      </c>
      <c r="B28" s="534" t="s">
        <v>560</v>
      </c>
      <c r="C28" s="538"/>
      <c r="D28" s="538"/>
      <c r="E28" s="538"/>
      <c r="F28" s="538"/>
      <c r="G28" s="538"/>
      <c r="H28" s="538"/>
      <c r="I28" s="538"/>
      <c r="J28" s="538"/>
      <c r="K28" s="538"/>
      <c r="L28" s="538"/>
      <c r="M28" s="538"/>
      <c r="N28" s="538"/>
      <c r="O28" s="538"/>
      <c r="P28" s="538"/>
      <c r="Q28" s="538"/>
      <c r="R28" s="538"/>
      <c r="S28" s="538"/>
      <c r="T28" s="538"/>
      <c r="U28" s="539"/>
      <c r="V28" s="539"/>
      <c r="W28" s="539"/>
      <c r="X28" s="539"/>
      <c r="Y28" s="539"/>
      <c r="Z28" s="539"/>
    </row>
    <row r="29" spans="1:26" s="428" customFormat="1" ht="12.75" x14ac:dyDescent="0.2">
      <c r="A29" s="513">
        <v>52015</v>
      </c>
      <c r="B29" s="534" t="s">
        <v>561</v>
      </c>
      <c r="C29" s="538"/>
      <c r="D29" s="538"/>
      <c r="E29" s="538"/>
      <c r="F29" s="538"/>
      <c r="G29" s="538"/>
      <c r="H29" s="538"/>
      <c r="I29" s="538"/>
      <c r="J29" s="538"/>
      <c r="K29" s="538"/>
      <c r="L29" s="538"/>
      <c r="M29" s="538"/>
      <c r="N29" s="538"/>
      <c r="O29" s="538"/>
      <c r="P29" s="538"/>
      <c r="Q29" s="538"/>
      <c r="R29" s="538"/>
      <c r="S29" s="538"/>
      <c r="T29" s="538"/>
      <c r="U29" s="539"/>
      <c r="V29" s="539"/>
      <c r="W29" s="539"/>
      <c r="X29" s="539"/>
      <c r="Y29" s="539"/>
      <c r="Z29" s="539"/>
    </row>
    <row r="30" spans="1:26" s="428" customFormat="1" ht="12.75" x14ac:dyDescent="0.2">
      <c r="A30" s="513">
        <v>52020</v>
      </c>
      <c r="B30" s="534" t="s">
        <v>562</v>
      </c>
      <c r="C30" s="538"/>
      <c r="D30" s="538"/>
      <c r="E30" s="538"/>
      <c r="F30" s="538"/>
      <c r="G30" s="538"/>
      <c r="H30" s="538"/>
      <c r="I30" s="538"/>
      <c r="J30" s="538"/>
      <c r="K30" s="538"/>
      <c r="L30" s="538"/>
      <c r="M30" s="538"/>
      <c r="N30" s="538"/>
      <c r="O30" s="538"/>
      <c r="P30" s="538"/>
      <c r="Q30" s="538"/>
      <c r="R30" s="538"/>
      <c r="S30" s="538"/>
      <c r="T30" s="538"/>
      <c r="U30" s="539"/>
      <c r="V30" s="539"/>
      <c r="W30" s="539"/>
      <c r="X30" s="539"/>
      <c r="Y30" s="539"/>
      <c r="Z30" s="539"/>
    </row>
    <row r="31" spans="1:26" s="428" customFormat="1" ht="12.75" x14ac:dyDescent="0.2">
      <c r="A31" s="513">
        <v>52030</v>
      </c>
      <c r="B31" s="534" t="s">
        <v>563</v>
      </c>
      <c r="C31" s="538"/>
      <c r="D31" s="538"/>
      <c r="E31" s="538"/>
      <c r="F31" s="538"/>
      <c r="G31" s="538"/>
      <c r="H31" s="538"/>
      <c r="I31" s="538"/>
      <c r="J31" s="538"/>
      <c r="K31" s="538"/>
      <c r="L31" s="538"/>
      <c r="M31" s="538"/>
      <c r="N31" s="538"/>
      <c r="O31" s="538"/>
      <c r="P31" s="538"/>
      <c r="Q31" s="538"/>
      <c r="R31" s="538"/>
      <c r="S31" s="538"/>
      <c r="T31" s="538"/>
      <c r="U31" s="539"/>
      <c r="V31" s="539"/>
      <c r="W31" s="539"/>
      <c r="X31" s="539"/>
      <c r="Y31" s="539"/>
      <c r="Z31" s="539"/>
    </row>
    <row r="32" spans="1:26" s="428" customFormat="1" ht="12.75" x14ac:dyDescent="0.2">
      <c r="A32" s="540">
        <v>52031</v>
      </c>
      <c r="B32" s="541" t="s">
        <v>564</v>
      </c>
      <c r="C32" s="538"/>
      <c r="D32" s="538"/>
      <c r="E32" s="538"/>
      <c r="F32" s="538"/>
      <c r="G32" s="538"/>
      <c r="H32" s="538"/>
      <c r="I32" s="538"/>
      <c r="J32" s="538"/>
      <c r="K32" s="538"/>
      <c r="L32" s="538"/>
      <c r="M32" s="538"/>
      <c r="N32" s="538"/>
      <c r="O32" s="538"/>
      <c r="P32" s="538"/>
      <c r="Q32" s="538"/>
      <c r="R32" s="538"/>
      <c r="S32" s="538"/>
      <c r="T32" s="538"/>
      <c r="U32" s="539"/>
      <c r="V32" s="539"/>
      <c r="W32" s="539"/>
      <c r="X32" s="539"/>
      <c r="Y32" s="539"/>
      <c r="Z32" s="539"/>
    </row>
    <row r="33" spans="1:26" s="428" customFormat="1" ht="12.75" x14ac:dyDescent="0.2">
      <c r="A33" s="513">
        <v>52035</v>
      </c>
      <c r="B33" s="534" t="s">
        <v>565</v>
      </c>
      <c r="C33" s="538"/>
      <c r="D33" s="538"/>
      <c r="E33" s="538"/>
      <c r="F33" s="538"/>
      <c r="G33" s="538"/>
      <c r="H33" s="538"/>
      <c r="I33" s="538"/>
      <c r="J33" s="538"/>
      <c r="K33" s="538"/>
      <c r="L33" s="538"/>
      <c r="M33" s="538"/>
      <c r="N33" s="538"/>
      <c r="O33" s="538"/>
      <c r="P33" s="538"/>
      <c r="Q33" s="538"/>
      <c r="R33" s="538"/>
      <c r="S33" s="538"/>
      <c r="T33" s="538"/>
      <c r="U33" s="539"/>
      <c r="V33" s="539"/>
      <c r="W33" s="539"/>
      <c r="X33" s="539"/>
      <c r="Y33" s="539"/>
      <c r="Z33" s="539"/>
    </row>
    <row r="34" spans="1:26" s="428" customFormat="1" ht="12.75" x14ac:dyDescent="0.2">
      <c r="A34" s="513">
        <v>52040</v>
      </c>
      <c r="B34" s="534" t="s">
        <v>566</v>
      </c>
      <c r="C34" s="538"/>
      <c r="D34" s="538"/>
      <c r="E34" s="538"/>
      <c r="F34" s="538"/>
      <c r="G34" s="538"/>
      <c r="H34" s="538"/>
      <c r="I34" s="538"/>
      <c r="J34" s="538"/>
      <c r="K34" s="538"/>
      <c r="L34" s="538"/>
      <c r="M34" s="538"/>
      <c r="N34" s="538"/>
      <c r="O34" s="538"/>
      <c r="P34" s="538"/>
      <c r="Q34" s="538"/>
      <c r="R34" s="538"/>
      <c r="S34" s="538"/>
      <c r="T34" s="538"/>
      <c r="U34" s="539"/>
      <c r="V34" s="539"/>
      <c r="W34" s="539"/>
      <c r="X34" s="539"/>
      <c r="Y34" s="539"/>
      <c r="Z34" s="539"/>
    </row>
    <row r="35" spans="1:26" s="428" customFormat="1" ht="12.75" x14ac:dyDescent="0.2">
      <c r="A35" s="540">
        <v>52525</v>
      </c>
      <c r="B35" s="541" t="s">
        <v>567</v>
      </c>
      <c r="C35" s="538"/>
      <c r="D35" s="538"/>
      <c r="E35" s="538"/>
      <c r="F35" s="538"/>
      <c r="G35" s="538"/>
      <c r="H35" s="538"/>
      <c r="I35" s="538"/>
      <c r="J35" s="538"/>
      <c r="K35" s="538"/>
      <c r="L35" s="538"/>
      <c r="M35" s="538"/>
      <c r="N35" s="538"/>
      <c r="O35" s="538"/>
      <c r="P35" s="538"/>
      <c r="Q35" s="538"/>
      <c r="R35" s="538"/>
      <c r="S35" s="538"/>
      <c r="T35" s="538"/>
      <c r="U35" s="539"/>
      <c r="V35" s="539"/>
      <c r="W35" s="539"/>
      <c r="X35" s="539"/>
      <c r="Y35" s="539"/>
      <c r="Z35" s="539"/>
    </row>
    <row r="36" spans="1:26" s="428" customFormat="1" ht="12.75" x14ac:dyDescent="0.2">
      <c r="A36" s="540">
        <v>52601</v>
      </c>
      <c r="B36" s="541" t="s">
        <v>568</v>
      </c>
      <c r="C36" s="538"/>
      <c r="D36" s="538"/>
      <c r="E36" s="538"/>
      <c r="F36" s="538"/>
      <c r="G36" s="538"/>
      <c r="H36" s="538"/>
      <c r="I36" s="538"/>
      <c r="J36" s="538"/>
      <c r="K36" s="538"/>
      <c r="L36" s="538"/>
      <c r="M36" s="538"/>
      <c r="N36" s="538"/>
      <c r="O36" s="538"/>
      <c r="P36" s="538"/>
      <c r="Q36" s="538"/>
      <c r="R36" s="538"/>
      <c r="S36" s="538"/>
      <c r="T36" s="538"/>
      <c r="U36" s="539"/>
      <c r="V36" s="539"/>
      <c r="W36" s="539"/>
      <c r="X36" s="539"/>
      <c r="Y36" s="539"/>
      <c r="Z36" s="539"/>
    </row>
    <row r="37" spans="1:26" s="428" customFormat="1" ht="12.75" x14ac:dyDescent="0.2">
      <c r="A37" s="540">
        <v>52602</v>
      </c>
      <c r="B37" s="541" t="s">
        <v>569</v>
      </c>
      <c r="C37" s="538"/>
      <c r="D37" s="538"/>
      <c r="E37" s="538"/>
      <c r="F37" s="538"/>
      <c r="G37" s="538"/>
      <c r="H37" s="538"/>
      <c r="I37" s="538"/>
      <c r="J37" s="538"/>
      <c r="K37" s="538"/>
      <c r="L37" s="538"/>
      <c r="M37" s="538"/>
      <c r="N37" s="538"/>
      <c r="O37" s="538"/>
      <c r="P37" s="538"/>
      <c r="Q37" s="538"/>
      <c r="R37" s="538"/>
      <c r="S37" s="538"/>
      <c r="T37" s="538"/>
      <c r="U37" s="539"/>
      <c r="V37" s="539"/>
      <c r="W37" s="539"/>
      <c r="X37" s="539"/>
      <c r="Y37" s="539"/>
      <c r="Z37" s="539"/>
    </row>
    <row r="38" spans="1:26" s="428" customFormat="1" ht="12.75" x14ac:dyDescent="0.2">
      <c r="A38" s="540">
        <v>52613</v>
      </c>
      <c r="B38" s="541" t="s">
        <v>570</v>
      </c>
      <c r="C38" s="538"/>
      <c r="D38" s="538"/>
      <c r="E38" s="538"/>
      <c r="F38" s="538"/>
      <c r="G38" s="538"/>
      <c r="H38" s="538"/>
      <c r="I38" s="538"/>
      <c r="J38" s="538"/>
      <c r="K38" s="538"/>
      <c r="L38" s="538"/>
      <c r="M38" s="538"/>
      <c r="N38" s="538"/>
      <c r="O38" s="538"/>
      <c r="P38" s="538"/>
      <c r="Q38" s="538"/>
      <c r="R38" s="538"/>
      <c r="S38" s="538"/>
      <c r="T38" s="538"/>
      <c r="U38" s="539"/>
      <c r="V38" s="539"/>
      <c r="W38" s="539"/>
      <c r="X38" s="539"/>
      <c r="Y38" s="539"/>
      <c r="Z38" s="539"/>
    </row>
    <row r="39" spans="1:26" s="428" customFormat="1" ht="12.75" x14ac:dyDescent="0.2">
      <c r="A39" s="513">
        <v>52090</v>
      </c>
      <c r="B39" s="534" t="s">
        <v>571</v>
      </c>
      <c r="C39" s="538"/>
      <c r="D39" s="538"/>
      <c r="E39" s="538"/>
      <c r="F39" s="538"/>
      <c r="G39" s="538"/>
      <c r="H39" s="538"/>
      <c r="I39" s="538"/>
      <c r="J39" s="538"/>
      <c r="K39" s="538"/>
      <c r="L39" s="538"/>
      <c r="M39" s="538"/>
      <c r="N39" s="538"/>
      <c r="O39" s="538"/>
      <c r="P39" s="538"/>
      <c r="Q39" s="538"/>
      <c r="R39" s="538"/>
      <c r="S39" s="538"/>
      <c r="T39" s="538"/>
      <c r="U39" s="539"/>
      <c r="V39" s="539"/>
      <c r="W39" s="539"/>
      <c r="X39" s="539"/>
      <c r="Y39" s="539"/>
      <c r="Z39" s="539"/>
    </row>
    <row r="40" spans="1:26" s="428" customFormat="1" ht="12.75" x14ac:dyDescent="0.2">
      <c r="A40" s="513">
        <v>52099</v>
      </c>
      <c r="B40" s="514" t="s">
        <v>572</v>
      </c>
      <c r="C40" s="542"/>
      <c r="D40" s="542"/>
      <c r="E40" s="542"/>
      <c r="F40" s="542"/>
      <c r="G40" s="542"/>
      <c r="H40" s="542"/>
      <c r="I40" s="542"/>
      <c r="J40" s="542"/>
      <c r="K40" s="542"/>
      <c r="L40" s="542"/>
      <c r="M40" s="542"/>
      <c r="N40" s="542"/>
      <c r="O40" s="542"/>
      <c r="P40" s="542"/>
      <c r="Q40" s="542"/>
      <c r="R40" s="542"/>
      <c r="S40" s="542"/>
      <c r="T40" s="542"/>
      <c r="U40" s="543"/>
      <c r="V40" s="543"/>
      <c r="W40" s="543"/>
      <c r="X40" s="543"/>
      <c r="Y40" s="543"/>
      <c r="Z40" s="543"/>
    </row>
    <row r="41" spans="1:26" s="428" customFormat="1" ht="12.75" x14ac:dyDescent="0.2">
      <c r="A41" s="513">
        <v>56900</v>
      </c>
      <c r="B41" s="532" t="s">
        <v>573</v>
      </c>
      <c r="C41" s="533">
        <f t="shared" ref="C41:Z41" si="3">SUM(C26:C40)</f>
        <v>0</v>
      </c>
      <c r="D41" s="533">
        <f t="shared" si="3"/>
        <v>0</v>
      </c>
      <c r="E41" s="533">
        <f t="shared" si="3"/>
        <v>0</v>
      </c>
      <c r="F41" s="533">
        <f t="shared" si="3"/>
        <v>0</v>
      </c>
      <c r="G41" s="533">
        <f t="shared" si="3"/>
        <v>0</v>
      </c>
      <c r="H41" s="533">
        <f t="shared" si="3"/>
        <v>0</v>
      </c>
      <c r="I41" s="533">
        <f t="shared" si="3"/>
        <v>0</v>
      </c>
      <c r="J41" s="533">
        <f t="shared" si="3"/>
        <v>0</v>
      </c>
      <c r="K41" s="533">
        <f t="shared" si="3"/>
        <v>0</v>
      </c>
      <c r="L41" s="533">
        <f t="shared" si="3"/>
        <v>0</v>
      </c>
      <c r="M41" s="533">
        <f t="shared" si="3"/>
        <v>0</v>
      </c>
      <c r="N41" s="533">
        <f t="shared" si="3"/>
        <v>0</v>
      </c>
      <c r="O41" s="533">
        <f t="shared" si="3"/>
        <v>0</v>
      </c>
      <c r="P41" s="533">
        <f t="shared" si="3"/>
        <v>0</v>
      </c>
      <c r="Q41" s="533">
        <f t="shared" si="3"/>
        <v>0</v>
      </c>
      <c r="R41" s="533">
        <f t="shared" si="3"/>
        <v>0</v>
      </c>
      <c r="S41" s="533">
        <f t="shared" si="3"/>
        <v>0</v>
      </c>
      <c r="T41" s="533">
        <f t="shared" si="3"/>
        <v>0</v>
      </c>
      <c r="U41" s="533">
        <f t="shared" si="3"/>
        <v>0</v>
      </c>
      <c r="V41" s="533">
        <f t="shared" si="3"/>
        <v>0</v>
      </c>
      <c r="W41" s="533">
        <f t="shared" si="3"/>
        <v>0</v>
      </c>
      <c r="X41" s="533">
        <f t="shared" si="3"/>
        <v>0</v>
      </c>
      <c r="Y41" s="533">
        <f t="shared" si="3"/>
        <v>0</v>
      </c>
      <c r="Z41" s="533">
        <f t="shared" si="3"/>
        <v>0</v>
      </c>
    </row>
    <row r="42" spans="1:26" s="428" customFormat="1" ht="12.75" x14ac:dyDescent="0.2">
      <c r="A42" s="513"/>
      <c r="B42" s="516"/>
      <c r="C42" s="528"/>
      <c r="D42" s="528"/>
      <c r="E42" s="528"/>
      <c r="F42" s="528"/>
      <c r="G42" s="528"/>
      <c r="H42" s="528"/>
      <c r="I42" s="528"/>
      <c r="J42" s="528"/>
      <c r="K42" s="528"/>
      <c r="L42" s="528"/>
      <c r="M42" s="528"/>
      <c r="N42" s="528"/>
      <c r="O42" s="528"/>
      <c r="P42" s="528"/>
      <c r="Q42" s="528"/>
      <c r="R42" s="528"/>
      <c r="S42" s="528"/>
      <c r="T42" s="528"/>
      <c r="U42" s="528"/>
      <c r="V42" s="528"/>
      <c r="W42" s="528"/>
      <c r="X42" s="528"/>
      <c r="Y42" s="528"/>
      <c r="Z42" s="528"/>
    </row>
    <row r="43" spans="1:26" s="521" customFormat="1" ht="12.75" x14ac:dyDescent="0.2">
      <c r="A43" s="513">
        <v>57900</v>
      </c>
      <c r="B43" s="532" t="s">
        <v>574</v>
      </c>
      <c r="C43" s="533">
        <f t="shared" ref="C43:Z43" si="4">C23-C41</f>
        <v>0</v>
      </c>
      <c r="D43" s="533">
        <f t="shared" si="4"/>
        <v>0</v>
      </c>
      <c r="E43" s="533">
        <f t="shared" si="4"/>
        <v>0</v>
      </c>
      <c r="F43" s="533">
        <f t="shared" si="4"/>
        <v>901258.43000000017</v>
      </c>
      <c r="G43" s="533">
        <f t="shared" si="4"/>
        <v>0</v>
      </c>
      <c r="H43" s="533">
        <f t="shared" si="4"/>
        <v>41.07</v>
      </c>
      <c r="I43" s="533">
        <f t="shared" si="4"/>
        <v>0</v>
      </c>
      <c r="J43" s="533">
        <f t="shared" si="4"/>
        <v>0</v>
      </c>
      <c r="K43" s="533">
        <f t="shared" si="4"/>
        <v>0</v>
      </c>
      <c r="L43" s="533">
        <f t="shared" si="4"/>
        <v>0</v>
      </c>
      <c r="M43" s="533">
        <f t="shared" si="4"/>
        <v>208400</v>
      </c>
      <c r="N43" s="533">
        <f t="shared" si="4"/>
        <v>0</v>
      </c>
      <c r="O43" s="533">
        <f t="shared" si="4"/>
        <v>0</v>
      </c>
      <c r="P43" s="533">
        <f t="shared" si="4"/>
        <v>150</v>
      </c>
      <c r="Q43" s="533">
        <f t="shared" si="4"/>
        <v>0</v>
      </c>
      <c r="R43" s="533">
        <f t="shared" si="4"/>
        <v>0</v>
      </c>
      <c r="S43" s="533">
        <f t="shared" si="4"/>
        <v>0</v>
      </c>
      <c r="T43" s="533">
        <f t="shared" si="4"/>
        <v>27559.19</v>
      </c>
      <c r="U43" s="533">
        <f t="shared" si="4"/>
        <v>0</v>
      </c>
      <c r="V43" s="533">
        <f t="shared" si="4"/>
        <v>0</v>
      </c>
      <c r="W43" s="533">
        <f t="shared" si="4"/>
        <v>3065.85</v>
      </c>
      <c r="X43" s="533">
        <f t="shared" si="4"/>
        <v>0</v>
      </c>
      <c r="Y43" s="533">
        <f t="shared" si="4"/>
        <v>0</v>
      </c>
      <c r="Z43" s="533">
        <f t="shared" si="4"/>
        <v>1140474.54</v>
      </c>
    </row>
    <row r="44" spans="1:26" s="428" customFormat="1" ht="12.75" x14ac:dyDescent="0.2">
      <c r="A44" s="513" t="s">
        <v>575</v>
      </c>
      <c r="B44" s="516" t="s">
        <v>576</v>
      </c>
      <c r="C44" s="544" t="str">
        <f t="shared" ref="C44:Z44" si="5">IF(ISERROR(C43/C23),"",(C43/C23))</f>
        <v/>
      </c>
      <c r="D44" s="544" t="str">
        <f t="shared" si="5"/>
        <v/>
      </c>
      <c r="E44" s="544" t="str">
        <f t="shared" si="5"/>
        <v/>
      </c>
      <c r="F44" s="544">
        <f t="shared" si="5"/>
        <v>1</v>
      </c>
      <c r="G44" s="544" t="str">
        <f t="shared" si="5"/>
        <v/>
      </c>
      <c r="H44" s="544">
        <f t="shared" si="5"/>
        <v>1</v>
      </c>
      <c r="I44" s="544" t="str">
        <f t="shared" si="5"/>
        <v/>
      </c>
      <c r="J44" s="544" t="str">
        <f t="shared" si="5"/>
        <v/>
      </c>
      <c r="K44" s="544" t="str">
        <f t="shared" si="5"/>
        <v/>
      </c>
      <c r="L44" s="544" t="str">
        <f t="shared" si="5"/>
        <v/>
      </c>
      <c r="M44" s="544">
        <f t="shared" si="5"/>
        <v>1</v>
      </c>
      <c r="N44" s="544" t="str">
        <f t="shared" si="5"/>
        <v/>
      </c>
      <c r="O44" s="544" t="str">
        <f t="shared" si="5"/>
        <v/>
      </c>
      <c r="P44" s="544">
        <f t="shared" si="5"/>
        <v>1</v>
      </c>
      <c r="Q44" s="544" t="str">
        <f t="shared" si="5"/>
        <v/>
      </c>
      <c r="R44" s="544" t="str">
        <f t="shared" si="5"/>
        <v/>
      </c>
      <c r="S44" s="544" t="str">
        <f t="shared" si="5"/>
        <v/>
      </c>
      <c r="T44" s="544">
        <f t="shared" si="5"/>
        <v>1</v>
      </c>
      <c r="U44" s="544" t="str">
        <f t="shared" si="5"/>
        <v/>
      </c>
      <c r="V44" s="544" t="str">
        <f t="shared" si="5"/>
        <v/>
      </c>
      <c r="W44" s="544">
        <f t="shared" si="5"/>
        <v>1</v>
      </c>
      <c r="X44" s="544" t="str">
        <f t="shared" si="5"/>
        <v/>
      </c>
      <c r="Y44" s="544" t="str">
        <f t="shared" si="5"/>
        <v/>
      </c>
      <c r="Z44" s="544">
        <f t="shared" si="5"/>
        <v>1</v>
      </c>
    </row>
    <row r="45" spans="1:26" s="428" customFormat="1" ht="12.75" x14ac:dyDescent="0.2">
      <c r="A45" s="513"/>
      <c r="B45" s="516"/>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row>
    <row r="46" spans="1:26" s="428" customFormat="1" ht="12.75" x14ac:dyDescent="0.2">
      <c r="A46" s="513"/>
      <c r="B46" s="516" t="s">
        <v>577</v>
      </c>
      <c r="C46" s="528"/>
      <c r="D46" s="528"/>
      <c r="E46" s="528"/>
      <c r="F46" s="528"/>
      <c r="G46" s="528"/>
      <c r="H46" s="528"/>
      <c r="I46" s="528"/>
      <c r="J46" s="528"/>
      <c r="K46" s="528"/>
      <c r="L46" s="528"/>
      <c r="M46" s="528"/>
      <c r="N46" s="528"/>
      <c r="O46" s="528"/>
      <c r="P46" s="528"/>
      <c r="Q46" s="528"/>
      <c r="R46" s="528"/>
      <c r="S46" s="528"/>
      <c r="T46" s="528"/>
      <c r="U46" s="528"/>
      <c r="V46" s="528"/>
      <c r="W46" s="528"/>
      <c r="X46" s="528"/>
      <c r="Y46" s="528"/>
      <c r="Z46" s="528"/>
    </row>
    <row r="47" spans="1:26" s="428" customFormat="1" ht="12.75" x14ac:dyDescent="0.2">
      <c r="A47" s="513">
        <v>58001</v>
      </c>
      <c r="B47" s="529" t="s">
        <v>578</v>
      </c>
      <c r="C47" s="538"/>
      <c r="D47" s="538"/>
      <c r="E47" s="538"/>
      <c r="F47" s="538"/>
      <c r="G47" s="538"/>
      <c r="H47" s="538"/>
      <c r="I47" s="538"/>
      <c r="J47" s="538"/>
      <c r="K47" s="538"/>
      <c r="L47" s="538"/>
      <c r="M47" s="538"/>
      <c r="N47" s="538"/>
      <c r="O47" s="538"/>
      <c r="P47" s="538"/>
      <c r="Q47" s="538"/>
      <c r="R47" s="538"/>
      <c r="S47" s="538"/>
      <c r="T47" s="538"/>
      <c r="U47" s="539"/>
      <c r="V47" s="539"/>
      <c r="W47" s="539"/>
      <c r="X47" s="539"/>
      <c r="Y47" s="539"/>
      <c r="Z47" s="539"/>
    </row>
    <row r="48" spans="1:26" s="428" customFormat="1" ht="12.75" x14ac:dyDescent="0.2">
      <c r="A48" s="513">
        <v>58002</v>
      </c>
      <c r="B48" s="534" t="s">
        <v>579</v>
      </c>
      <c r="C48" s="538"/>
      <c r="D48" s="538"/>
      <c r="E48" s="538"/>
      <c r="F48" s="538"/>
      <c r="G48" s="538"/>
      <c r="H48" s="538"/>
      <c r="I48" s="538"/>
      <c r="J48" s="538"/>
      <c r="K48" s="538"/>
      <c r="L48" s="538"/>
      <c r="M48" s="538"/>
      <c r="N48" s="538"/>
      <c r="O48" s="538"/>
      <c r="P48" s="538"/>
      <c r="Q48" s="538"/>
      <c r="R48" s="538"/>
      <c r="S48" s="538"/>
      <c r="T48" s="538"/>
      <c r="U48" s="539"/>
      <c r="V48" s="539"/>
      <c r="W48" s="539"/>
      <c r="X48" s="539"/>
      <c r="Y48" s="539"/>
      <c r="Z48" s="539"/>
    </row>
    <row r="49" spans="1:26" s="428" customFormat="1" ht="12.75" x14ac:dyDescent="0.2">
      <c r="A49" s="513">
        <v>58003</v>
      </c>
      <c r="B49" s="534" t="s">
        <v>580</v>
      </c>
      <c r="C49" s="538"/>
      <c r="D49" s="538"/>
      <c r="E49" s="538"/>
      <c r="F49" s="538"/>
      <c r="G49" s="538"/>
      <c r="H49" s="538"/>
      <c r="I49" s="538"/>
      <c r="J49" s="538"/>
      <c r="K49" s="538"/>
      <c r="L49" s="538"/>
      <c r="M49" s="538"/>
      <c r="N49" s="538"/>
      <c r="O49" s="538"/>
      <c r="P49" s="538"/>
      <c r="Q49" s="538"/>
      <c r="R49" s="538"/>
      <c r="S49" s="538"/>
      <c r="T49" s="538"/>
      <c r="U49" s="539"/>
      <c r="V49" s="539"/>
      <c r="W49" s="539"/>
      <c r="X49" s="539"/>
      <c r="Y49" s="539"/>
      <c r="Z49" s="539"/>
    </row>
    <row r="50" spans="1:26" s="428" customFormat="1" ht="12.75" x14ac:dyDescent="0.2">
      <c r="A50" s="513">
        <v>58004</v>
      </c>
      <c r="B50" s="534" t="s">
        <v>581</v>
      </c>
      <c r="C50" s="538"/>
      <c r="D50" s="538"/>
      <c r="E50" s="538"/>
      <c r="F50" s="538"/>
      <c r="G50" s="538"/>
      <c r="H50" s="538"/>
      <c r="I50" s="538"/>
      <c r="J50" s="538"/>
      <c r="K50" s="538"/>
      <c r="L50" s="538"/>
      <c r="M50" s="538"/>
      <c r="N50" s="538"/>
      <c r="O50" s="538"/>
      <c r="P50" s="538"/>
      <c r="Q50" s="538"/>
      <c r="R50" s="538"/>
      <c r="S50" s="538"/>
      <c r="T50" s="538"/>
      <c r="U50" s="539"/>
      <c r="V50" s="539"/>
      <c r="W50" s="539"/>
      <c r="X50" s="539"/>
      <c r="Y50" s="539"/>
      <c r="Z50" s="539"/>
    </row>
    <row r="51" spans="1:26" s="428" customFormat="1" ht="12.75" x14ac:dyDescent="0.2">
      <c r="A51" s="513">
        <v>58100</v>
      </c>
      <c r="B51" s="534" t="s">
        <v>582</v>
      </c>
      <c r="C51" s="538"/>
      <c r="D51" s="538"/>
      <c r="E51" s="538"/>
      <c r="F51" s="538"/>
      <c r="G51" s="538"/>
      <c r="H51" s="538"/>
      <c r="I51" s="538"/>
      <c r="J51" s="538"/>
      <c r="K51" s="538"/>
      <c r="L51" s="538"/>
      <c r="M51" s="538"/>
      <c r="N51" s="538"/>
      <c r="O51" s="538"/>
      <c r="P51" s="538"/>
      <c r="Q51" s="538"/>
      <c r="R51" s="538"/>
      <c r="S51" s="538"/>
      <c r="T51" s="538"/>
      <c r="U51" s="539"/>
      <c r="V51" s="539"/>
      <c r="W51" s="539"/>
      <c r="X51" s="539"/>
      <c r="Y51" s="539"/>
      <c r="Z51" s="539"/>
    </row>
    <row r="52" spans="1:26" s="428" customFormat="1" ht="12.75" x14ac:dyDescent="0.2">
      <c r="A52" s="513">
        <v>58380</v>
      </c>
      <c r="B52" s="536" t="s">
        <v>583</v>
      </c>
      <c r="C52" s="537">
        <f t="shared" ref="C52:Z52" si="6">SUM(C47:C51)</f>
        <v>0</v>
      </c>
      <c r="D52" s="537">
        <f t="shared" si="6"/>
        <v>0</v>
      </c>
      <c r="E52" s="537">
        <f t="shared" si="6"/>
        <v>0</v>
      </c>
      <c r="F52" s="537">
        <f t="shared" si="6"/>
        <v>0</v>
      </c>
      <c r="G52" s="537">
        <f t="shared" si="6"/>
        <v>0</v>
      </c>
      <c r="H52" s="537">
        <f t="shared" si="6"/>
        <v>0</v>
      </c>
      <c r="I52" s="537">
        <f t="shared" si="6"/>
        <v>0</v>
      </c>
      <c r="J52" s="537">
        <f t="shared" si="6"/>
        <v>0</v>
      </c>
      <c r="K52" s="537">
        <f t="shared" si="6"/>
        <v>0</v>
      </c>
      <c r="L52" s="537">
        <f t="shared" si="6"/>
        <v>0</v>
      </c>
      <c r="M52" s="537">
        <f t="shared" si="6"/>
        <v>0</v>
      </c>
      <c r="N52" s="537">
        <f t="shared" si="6"/>
        <v>0</v>
      </c>
      <c r="O52" s="537">
        <f t="shared" si="6"/>
        <v>0</v>
      </c>
      <c r="P52" s="537">
        <f t="shared" si="6"/>
        <v>0</v>
      </c>
      <c r="Q52" s="537">
        <f t="shared" si="6"/>
        <v>0</v>
      </c>
      <c r="R52" s="537">
        <f t="shared" si="6"/>
        <v>0</v>
      </c>
      <c r="S52" s="537">
        <f t="shared" si="6"/>
        <v>0</v>
      </c>
      <c r="T52" s="537">
        <f t="shared" si="6"/>
        <v>0</v>
      </c>
      <c r="U52" s="537">
        <f t="shared" si="6"/>
        <v>0</v>
      </c>
      <c r="V52" s="537">
        <f t="shared" si="6"/>
        <v>0</v>
      </c>
      <c r="W52" s="537">
        <f t="shared" si="6"/>
        <v>0</v>
      </c>
      <c r="X52" s="537">
        <f t="shared" si="6"/>
        <v>0</v>
      </c>
      <c r="Y52" s="537">
        <f t="shared" si="6"/>
        <v>0</v>
      </c>
      <c r="Z52" s="537">
        <f t="shared" si="6"/>
        <v>0</v>
      </c>
    </row>
    <row r="53" spans="1:26" s="428" customFormat="1" ht="12.75" x14ac:dyDescent="0.2">
      <c r="A53" s="513"/>
      <c r="B53" s="516"/>
      <c r="C53" s="528"/>
      <c r="D53" s="528"/>
      <c r="E53" s="528"/>
      <c r="F53" s="528"/>
      <c r="G53" s="528"/>
      <c r="H53" s="528"/>
      <c r="I53" s="528"/>
      <c r="J53" s="528"/>
      <c r="K53" s="528"/>
      <c r="L53" s="528"/>
      <c r="M53" s="528"/>
      <c r="N53" s="528"/>
      <c r="O53" s="528"/>
      <c r="P53" s="528"/>
      <c r="Q53" s="528"/>
      <c r="R53" s="528"/>
      <c r="S53" s="528"/>
      <c r="T53" s="528"/>
      <c r="U53" s="528"/>
      <c r="V53" s="528"/>
      <c r="W53" s="528"/>
      <c r="X53" s="528"/>
      <c r="Y53" s="528"/>
      <c r="Z53" s="528"/>
    </row>
    <row r="54" spans="1:26" s="428" customFormat="1" ht="12.75" x14ac:dyDescent="0.2">
      <c r="A54" s="513"/>
      <c r="B54" s="516" t="s">
        <v>584</v>
      </c>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row>
    <row r="55" spans="1:26" s="428" customFormat="1" ht="12.75" x14ac:dyDescent="0.2">
      <c r="A55" s="513">
        <v>58403</v>
      </c>
      <c r="B55" s="529" t="s">
        <v>585</v>
      </c>
      <c r="C55" s="538"/>
      <c r="D55" s="538"/>
      <c r="E55" s="538"/>
      <c r="F55" s="538"/>
      <c r="G55" s="538"/>
      <c r="H55" s="538"/>
      <c r="I55" s="538"/>
      <c r="J55" s="538"/>
      <c r="K55" s="538"/>
      <c r="L55" s="538"/>
      <c r="M55" s="538"/>
      <c r="N55" s="538"/>
      <c r="O55" s="538"/>
      <c r="P55" s="538"/>
      <c r="Q55" s="538"/>
      <c r="R55" s="538"/>
      <c r="S55" s="538"/>
      <c r="T55" s="538"/>
      <c r="U55" s="538"/>
      <c r="V55" s="538"/>
      <c r="W55" s="538"/>
      <c r="X55" s="538"/>
      <c r="Y55" s="538"/>
      <c r="Z55" s="538"/>
    </row>
    <row r="56" spans="1:26" s="428" customFormat="1" ht="12.75" x14ac:dyDescent="0.2">
      <c r="A56" s="513">
        <v>58406</v>
      </c>
      <c r="B56" s="514" t="s">
        <v>586</v>
      </c>
      <c r="C56" s="538"/>
      <c r="D56" s="538"/>
      <c r="E56" s="538"/>
      <c r="F56" s="538"/>
      <c r="G56" s="538"/>
      <c r="H56" s="538"/>
      <c r="I56" s="538"/>
      <c r="J56" s="538"/>
      <c r="K56" s="538"/>
      <c r="L56" s="538"/>
      <c r="M56" s="538"/>
      <c r="N56" s="538"/>
      <c r="O56" s="538"/>
      <c r="P56" s="538"/>
      <c r="Q56" s="538"/>
      <c r="R56" s="538"/>
      <c r="S56" s="538"/>
      <c r="T56" s="538"/>
      <c r="U56" s="538"/>
      <c r="V56" s="538"/>
      <c r="W56" s="538"/>
      <c r="X56" s="538"/>
      <c r="Y56" s="538"/>
      <c r="Z56" s="538"/>
    </row>
    <row r="57" spans="1:26" s="428" customFormat="1" ht="12.75" x14ac:dyDescent="0.2">
      <c r="A57" s="513">
        <v>58450</v>
      </c>
      <c r="B57" s="536" t="s">
        <v>587</v>
      </c>
      <c r="C57" s="537">
        <f t="shared" ref="C57:Z57" si="7">SUM(C55:C56)</f>
        <v>0</v>
      </c>
      <c r="D57" s="537">
        <f t="shared" si="7"/>
        <v>0</v>
      </c>
      <c r="E57" s="537">
        <f t="shared" si="7"/>
        <v>0</v>
      </c>
      <c r="F57" s="537">
        <f t="shared" si="7"/>
        <v>0</v>
      </c>
      <c r="G57" s="537">
        <f t="shared" si="7"/>
        <v>0</v>
      </c>
      <c r="H57" s="537">
        <f t="shared" si="7"/>
        <v>0</v>
      </c>
      <c r="I57" s="537">
        <f t="shared" si="7"/>
        <v>0</v>
      </c>
      <c r="J57" s="537">
        <f t="shared" si="7"/>
        <v>0</v>
      </c>
      <c r="K57" s="537">
        <f t="shared" si="7"/>
        <v>0</v>
      </c>
      <c r="L57" s="537">
        <f t="shared" si="7"/>
        <v>0</v>
      </c>
      <c r="M57" s="537">
        <f t="shared" si="7"/>
        <v>0</v>
      </c>
      <c r="N57" s="537">
        <f t="shared" si="7"/>
        <v>0</v>
      </c>
      <c r="O57" s="537">
        <f t="shared" si="7"/>
        <v>0</v>
      </c>
      <c r="P57" s="537">
        <f t="shared" si="7"/>
        <v>0</v>
      </c>
      <c r="Q57" s="537">
        <f t="shared" si="7"/>
        <v>0</v>
      </c>
      <c r="R57" s="537">
        <f t="shared" si="7"/>
        <v>0</v>
      </c>
      <c r="S57" s="537">
        <f t="shared" si="7"/>
        <v>0</v>
      </c>
      <c r="T57" s="537">
        <f t="shared" si="7"/>
        <v>0</v>
      </c>
      <c r="U57" s="537">
        <f t="shared" si="7"/>
        <v>0</v>
      </c>
      <c r="V57" s="537">
        <f t="shared" si="7"/>
        <v>0</v>
      </c>
      <c r="W57" s="537">
        <f t="shared" si="7"/>
        <v>0</v>
      </c>
      <c r="X57" s="537">
        <f t="shared" si="7"/>
        <v>0</v>
      </c>
      <c r="Y57" s="537">
        <f t="shared" si="7"/>
        <v>0</v>
      </c>
      <c r="Z57" s="537">
        <f t="shared" si="7"/>
        <v>0</v>
      </c>
    </row>
    <row r="58" spans="1:26" s="428" customFormat="1" ht="12.75" x14ac:dyDescent="0.2">
      <c r="A58" s="513"/>
      <c r="B58" s="532"/>
      <c r="C58" s="533"/>
      <c r="D58" s="533"/>
      <c r="E58" s="533"/>
      <c r="F58" s="533"/>
      <c r="G58" s="533"/>
      <c r="H58" s="533"/>
      <c r="I58" s="533"/>
      <c r="J58" s="533"/>
      <c r="K58" s="533"/>
      <c r="L58" s="533"/>
      <c r="M58" s="533"/>
      <c r="N58" s="533"/>
      <c r="O58" s="533"/>
      <c r="P58" s="533"/>
      <c r="Q58" s="533"/>
      <c r="R58" s="533"/>
      <c r="S58" s="533"/>
      <c r="T58" s="533"/>
      <c r="U58" s="533"/>
      <c r="V58" s="533"/>
      <c r="W58" s="533"/>
      <c r="X58" s="533"/>
      <c r="Y58" s="533"/>
      <c r="Z58" s="533"/>
    </row>
    <row r="59" spans="1:26" s="428" customFormat="1" ht="12.75" x14ac:dyDescent="0.2">
      <c r="A59" s="513">
        <v>58580</v>
      </c>
      <c r="B59" s="536" t="s">
        <v>588</v>
      </c>
      <c r="C59" s="537">
        <f t="shared" ref="C59:Z59" si="8">C52+C57</f>
        <v>0</v>
      </c>
      <c r="D59" s="537">
        <f t="shared" si="8"/>
        <v>0</v>
      </c>
      <c r="E59" s="537">
        <f t="shared" si="8"/>
        <v>0</v>
      </c>
      <c r="F59" s="537">
        <f t="shared" si="8"/>
        <v>0</v>
      </c>
      <c r="G59" s="537">
        <f t="shared" si="8"/>
        <v>0</v>
      </c>
      <c r="H59" s="537">
        <f t="shared" si="8"/>
        <v>0</v>
      </c>
      <c r="I59" s="537">
        <f t="shared" si="8"/>
        <v>0</v>
      </c>
      <c r="J59" s="537">
        <f t="shared" si="8"/>
        <v>0</v>
      </c>
      <c r="K59" s="537">
        <f t="shared" si="8"/>
        <v>0</v>
      </c>
      <c r="L59" s="537">
        <f t="shared" si="8"/>
        <v>0</v>
      </c>
      <c r="M59" s="537">
        <f t="shared" si="8"/>
        <v>0</v>
      </c>
      <c r="N59" s="537">
        <f t="shared" si="8"/>
        <v>0</v>
      </c>
      <c r="O59" s="537">
        <f t="shared" si="8"/>
        <v>0</v>
      </c>
      <c r="P59" s="537">
        <f t="shared" si="8"/>
        <v>0</v>
      </c>
      <c r="Q59" s="537">
        <f t="shared" si="8"/>
        <v>0</v>
      </c>
      <c r="R59" s="537">
        <f t="shared" si="8"/>
        <v>0</v>
      </c>
      <c r="S59" s="537">
        <f t="shared" si="8"/>
        <v>0</v>
      </c>
      <c r="T59" s="537">
        <f t="shared" si="8"/>
        <v>0</v>
      </c>
      <c r="U59" s="537">
        <f t="shared" si="8"/>
        <v>0</v>
      </c>
      <c r="V59" s="537">
        <f t="shared" si="8"/>
        <v>0</v>
      </c>
      <c r="W59" s="537">
        <f t="shared" si="8"/>
        <v>0</v>
      </c>
      <c r="X59" s="537">
        <f t="shared" si="8"/>
        <v>0</v>
      </c>
      <c r="Y59" s="537">
        <f t="shared" si="8"/>
        <v>0</v>
      </c>
      <c r="Z59" s="537">
        <f t="shared" si="8"/>
        <v>0</v>
      </c>
    </row>
    <row r="60" spans="1:26" s="428" customFormat="1" ht="12.75" x14ac:dyDescent="0.2">
      <c r="A60" s="513"/>
      <c r="B60" s="536"/>
      <c r="C60" s="537"/>
      <c r="D60" s="537"/>
      <c r="E60" s="537"/>
      <c r="F60" s="537"/>
      <c r="G60" s="537"/>
      <c r="H60" s="537"/>
      <c r="I60" s="537"/>
      <c r="J60" s="537"/>
      <c r="K60" s="537"/>
      <c r="L60" s="537"/>
      <c r="M60" s="537"/>
      <c r="N60" s="537"/>
      <c r="O60" s="537"/>
      <c r="P60" s="537"/>
      <c r="Q60" s="537"/>
      <c r="R60" s="537"/>
      <c r="S60" s="537"/>
      <c r="T60" s="537"/>
      <c r="U60" s="537"/>
      <c r="V60" s="537"/>
      <c r="W60" s="537"/>
      <c r="X60" s="537"/>
      <c r="Y60" s="537"/>
      <c r="Z60" s="537"/>
    </row>
    <row r="61" spans="1:26" s="428" customFormat="1" ht="12.75" x14ac:dyDescent="0.2">
      <c r="A61" s="513">
        <v>58599</v>
      </c>
      <c r="B61" s="536" t="s">
        <v>589</v>
      </c>
      <c r="C61" s="537">
        <f t="shared" ref="C61:Z61" si="9">C43-C59</f>
        <v>0</v>
      </c>
      <c r="D61" s="537">
        <f t="shared" si="9"/>
        <v>0</v>
      </c>
      <c r="E61" s="537">
        <f t="shared" si="9"/>
        <v>0</v>
      </c>
      <c r="F61" s="537">
        <f t="shared" si="9"/>
        <v>901258.43000000017</v>
      </c>
      <c r="G61" s="537">
        <f t="shared" si="9"/>
        <v>0</v>
      </c>
      <c r="H61" s="537">
        <f t="shared" si="9"/>
        <v>41.07</v>
      </c>
      <c r="I61" s="537">
        <f t="shared" si="9"/>
        <v>0</v>
      </c>
      <c r="J61" s="537">
        <f t="shared" si="9"/>
        <v>0</v>
      </c>
      <c r="K61" s="537">
        <f t="shared" si="9"/>
        <v>0</v>
      </c>
      <c r="L61" s="537">
        <f t="shared" si="9"/>
        <v>0</v>
      </c>
      <c r="M61" s="537">
        <f t="shared" si="9"/>
        <v>208400</v>
      </c>
      <c r="N61" s="537">
        <f t="shared" si="9"/>
        <v>0</v>
      </c>
      <c r="O61" s="537">
        <f t="shared" si="9"/>
        <v>0</v>
      </c>
      <c r="P61" s="537">
        <f t="shared" si="9"/>
        <v>150</v>
      </c>
      <c r="Q61" s="537">
        <f t="shared" si="9"/>
        <v>0</v>
      </c>
      <c r="R61" s="537">
        <f t="shared" si="9"/>
        <v>0</v>
      </c>
      <c r="S61" s="537">
        <f t="shared" si="9"/>
        <v>0</v>
      </c>
      <c r="T61" s="537">
        <f t="shared" si="9"/>
        <v>27559.19</v>
      </c>
      <c r="U61" s="537">
        <f t="shared" si="9"/>
        <v>0</v>
      </c>
      <c r="V61" s="537">
        <f t="shared" si="9"/>
        <v>0</v>
      </c>
      <c r="W61" s="537">
        <f t="shared" si="9"/>
        <v>3065.85</v>
      </c>
      <c r="X61" s="537">
        <f t="shared" si="9"/>
        <v>0</v>
      </c>
      <c r="Y61" s="537">
        <f t="shared" si="9"/>
        <v>0</v>
      </c>
      <c r="Z61" s="537">
        <f t="shared" si="9"/>
        <v>1140474.54</v>
      </c>
    </row>
    <row r="62" spans="1:26" s="428" customFormat="1" ht="12.75" x14ac:dyDescent="0.2">
      <c r="A62" s="513"/>
      <c r="B62" s="516"/>
      <c r="C62" s="528"/>
      <c r="D62" s="528"/>
      <c r="E62" s="528"/>
      <c r="F62" s="528"/>
      <c r="G62" s="528"/>
      <c r="H62" s="528"/>
      <c r="I62" s="528"/>
      <c r="J62" s="528"/>
      <c r="K62" s="528"/>
      <c r="L62" s="528"/>
      <c r="M62" s="528"/>
      <c r="N62" s="528"/>
      <c r="O62" s="528"/>
      <c r="P62" s="528"/>
      <c r="Q62" s="528"/>
      <c r="R62" s="528"/>
      <c r="S62" s="528"/>
      <c r="T62" s="528"/>
      <c r="U62" s="528"/>
      <c r="V62" s="528"/>
      <c r="W62" s="528"/>
      <c r="X62" s="528"/>
      <c r="Y62" s="528"/>
      <c r="Z62" s="528"/>
    </row>
    <row r="63" spans="1:26" s="428" customFormat="1" ht="12.75" x14ac:dyDescent="0.2">
      <c r="A63" s="513"/>
      <c r="B63" s="516" t="s">
        <v>590</v>
      </c>
      <c r="C63" s="528"/>
      <c r="D63" s="528"/>
      <c r="E63" s="528"/>
      <c r="F63" s="528"/>
      <c r="G63" s="528"/>
      <c r="H63" s="528"/>
      <c r="I63" s="528"/>
      <c r="J63" s="528"/>
      <c r="K63" s="528"/>
      <c r="L63" s="528"/>
      <c r="M63" s="528"/>
      <c r="N63" s="528"/>
      <c r="O63" s="528"/>
      <c r="P63" s="528"/>
      <c r="Q63" s="528"/>
      <c r="R63" s="528"/>
      <c r="S63" s="528"/>
      <c r="T63" s="528"/>
      <c r="U63" s="528"/>
      <c r="V63" s="528"/>
      <c r="W63" s="528"/>
      <c r="X63" s="528"/>
      <c r="Y63" s="528"/>
      <c r="Z63" s="528"/>
    </row>
    <row r="64" spans="1:26" s="428" customFormat="1" ht="12.75" x14ac:dyDescent="0.2">
      <c r="A64" s="513">
        <v>58601</v>
      </c>
      <c r="B64" s="529" t="s">
        <v>591</v>
      </c>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row>
    <row r="65" spans="1:26" s="428" customFormat="1" ht="12.75" x14ac:dyDescent="0.2">
      <c r="A65" s="513">
        <v>58602</v>
      </c>
      <c r="B65" s="514" t="s">
        <v>592</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row>
    <row r="66" spans="1:26" s="428" customFormat="1" ht="12.75" x14ac:dyDescent="0.2">
      <c r="A66" s="513">
        <v>58699</v>
      </c>
      <c r="B66" s="536" t="s">
        <v>593</v>
      </c>
      <c r="C66" s="537">
        <f t="shared" ref="C66:Z66" si="10">SUM(C64:C65)</f>
        <v>0</v>
      </c>
      <c r="D66" s="537">
        <f t="shared" si="10"/>
        <v>0</v>
      </c>
      <c r="E66" s="537">
        <f t="shared" si="10"/>
        <v>0</v>
      </c>
      <c r="F66" s="537">
        <f t="shared" si="10"/>
        <v>0</v>
      </c>
      <c r="G66" s="537">
        <f t="shared" si="10"/>
        <v>0</v>
      </c>
      <c r="H66" s="537">
        <f t="shared" si="10"/>
        <v>0</v>
      </c>
      <c r="I66" s="537">
        <f t="shared" si="10"/>
        <v>0</v>
      </c>
      <c r="J66" s="537">
        <f t="shared" si="10"/>
        <v>0</v>
      </c>
      <c r="K66" s="537">
        <f t="shared" si="10"/>
        <v>0</v>
      </c>
      <c r="L66" s="537">
        <f t="shared" si="10"/>
        <v>0</v>
      </c>
      <c r="M66" s="537">
        <f t="shared" si="10"/>
        <v>0</v>
      </c>
      <c r="N66" s="537">
        <f t="shared" si="10"/>
        <v>0</v>
      </c>
      <c r="O66" s="537">
        <f t="shared" si="10"/>
        <v>0</v>
      </c>
      <c r="P66" s="537">
        <f t="shared" si="10"/>
        <v>0</v>
      </c>
      <c r="Q66" s="537">
        <f t="shared" si="10"/>
        <v>0</v>
      </c>
      <c r="R66" s="537">
        <f t="shared" si="10"/>
        <v>0</v>
      </c>
      <c r="S66" s="537">
        <f t="shared" si="10"/>
        <v>0</v>
      </c>
      <c r="T66" s="537">
        <f t="shared" si="10"/>
        <v>0</v>
      </c>
      <c r="U66" s="537">
        <f t="shared" si="10"/>
        <v>0</v>
      </c>
      <c r="V66" s="537">
        <f t="shared" si="10"/>
        <v>0</v>
      </c>
      <c r="W66" s="537">
        <f t="shared" si="10"/>
        <v>0</v>
      </c>
      <c r="X66" s="537">
        <f t="shared" si="10"/>
        <v>0</v>
      </c>
      <c r="Y66" s="537">
        <f t="shared" si="10"/>
        <v>0</v>
      </c>
      <c r="Z66" s="537">
        <f t="shared" si="10"/>
        <v>0</v>
      </c>
    </row>
    <row r="67" spans="1:26" s="428" customFormat="1" ht="12.75" x14ac:dyDescent="0.2">
      <c r="A67" s="513"/>
      <c r="B67" s="536"/>
      <c r="C67" s="537"/>
      <c r="D67" s="537"/>
      <c r="E67" s="537"/>
      <c r="F67" s="537"/>
      <c r="G67" s="537"/>
      <c r="H67" s="537"/>
      <c r="I67" s="537"/>
      <c r="J67" s="537"/>
      <c r="K67" s="537"/>
      <c r="L67" s="537"/>
      <c r="M67" s="537"/>
      <c r="N67" s="537"/>
      <c r="O67" s="537"/>
      <c r="P67" s="537"/>
      <c r="Q67" s="537"/>
      <c r="R67" s="537"/>
      <c r="S67" s="537"/>
      <c r="T67" s="537"/>
      <c r="U67" s="537"/>
      <c r="V67" s="537"/>
      <c r="W67" s="537"/>
      <c r="X67" s="537"/>
      <c r="Y67" s="537"/>
      <c r="Z67" s="537"/>
    </row>
    <row r="68" spans="1:26" s="428" customFormat="1" ht="12.75" x14ac:dyDescent="0.2">
      <c r="A68" s="513">
        <v>59999</v>
      </c>
      <c r="B68" s="536" t="s">
        <v>594</v>
      </c>
      <c r="C68" s="537">
        <f t="shared" ref="C68:Z68" si="11">C61-C66</f>
        <v>0</v>
      </c>
      <c r="D68" s="537">
        <f t="shared" si="11"/>
        <v>0</v>
      </c>
      <c r="E68" s="537">
        <f t="shared" si="11"/>
        <v>0</v>
      </c>
      <c r="F68" s="537">
        <f t="shared" si="11"/>
        <v>901258.43000000017</v>
      </c>
      <c r="G68" s="537">
        <f t="shared" si="11"/>
        <v>0</v>
      </c>
      <c r="H68" s="537">
        <f t="shared" si="11"/>
        <v>41.07</v>
      </c>
      <c r="I68" s="537">
        <f t="shared" si="11"/>
        <v>0</v>
      </c>
      <c r="J68" s="537">
        <f t="shared" si="11"/>
        <v>0</v>
      </c>
      <c r="K68" s="537">
        <f t="shared" si="11"/>
        <v>0</v>
      </c>
      <c r="L68" s="537">
        <f t="shared" si="11"/>
        <v>0</v>
      </c>
      <c r="M68" s="537">
        <f t="shared" si="11"/>
        <v>208400</v>
      </c>
      <c r="N68" s="537">
        <f t="shared" si="11"/>
        <v>0</v>
      </c>
      <c r="O68" s="537">
        <f t="shared" si="11"/>
        <v>0</v>
      </c>
      <c r="P68" s="537">
        <f t="shared" si="11"/>
        <v>150</v>
      </c>
      <c r="Q68" s="537">
        <f t="shared" si="11"/>
        <v>0</v>
      </c>
      <c r="R68" s="537">
        <f t="shared" si="11"/>
        <v>0</v>
      </c>
      <c r="S68" s="537">
        <f t="shared" si="11"/>
        <v>0</v>
      </c>
      <c r="T68" s="537">
        <f t="shared" si="11"/>
        <v>27559.19</v>
      </c>
      <c r="U68" s="537">
        <f t="shared" si="11"/>
        <v>0</v>
      </c>
      <c r="V68" s="537">
        <f t="shared" si="11"/>
        <v>0</v>
      </c>
      <c r="W68" s="537">
        <f t="shared" si="11"/>
        <v>3065.85</v>
      </c>
      <c r="X68" s="537">
        <f t="shared" si="11"/>
        <v>0</v>
      </c>
      <c r="Y68" s="537">
        <f t="shared" si="11"/>
        <v>0</v>
      </c>
      <c r="Z68" s="537">
        <f t="shared" si="11"/>
        <v>1140474.54</v>
      </c>
    </row>
    <row r="69" spans="1:26" s="428" customFormat="1" ht="12.75" x14ac:dyDescent="0.2">
      <c r="A69" s="513" t="s">
        <v>595</v>
      </c>
      <c r="B69" s="516" t="s">
        <v>596</v>
      </c>
      <c r="C69" s="544" t="str">
        <f t="shared" ref="C69:Z69" si="12">IF(ISERROR(C68/C23),"",(C68/C23))</f>
        <v/>
      </c>
      <c r="D69" s="544" t="str">
        <f t="shared" si="12"/>
        <v/>
      </c>
      <c r="E69" s="544" t="str">
        <f t="shared" si="12"/>
        <v/>
      </c>
      <c r="F69" s="544">
        <f t="shared" si="12"/>
        <v>1</v>
      </c>
      <c r="G69" s="544" t="str">
        <f t="shared" si="12"/>
        <v/>
      </c>
      <c r="H69" s="544">
        <f t="shared" si="12"/>
        <v>1</v>
      </c>
      <c r="I69" s="544" t="str">
        <f t="shared" si="12"/>
        <v/>
      </c>
      <c r="J69" s="544" t="str">
        <f t="shared" si="12"/>
        <v/>
      </c>
      <c r="K69" s="544" t="str">
        <f t="shared" si="12"/>
        <v/>
      </c>
      <c r="L69" s="544" t="str">
        <f t="shared" si="12"/>
        <v/>
      </c>
      <c r="M69" s="544">
        <f t="shared" si="12"/>
        <v>1</v>
      </c>
      <c r="N69" s="544" t="str">
        <f t="shared" si="12"/>
        <v/>
      </c>
      <c r="O69" s="544" t="str">
        <f t="shared" si="12"/>
        <v/>
      </c>
      <c r="P69" s="544">
        <f t="shared" si="12"/>
        <v>1</v>
      </c>
      <c r="Q69" s="544" t="str">
        <f t="shared" si="12"/>
        <v/>
      </c>
      <c r="R69" s="544" t="str">
        <f t="shared" si="12"/>
        <v/>
      </c>
      <c r="S69" s="544" t="str">
        <f t="shared" si="12"/>
        <v/>
      </c>
      <c r="T69" s="544">
        <f t="shared" si="12"/>
        <v>1</v>
      </c>
      <c r="U69" s="544" t="str">
        <f t="shared" si="12"/>
        <v/>
      </c>
      <c r="V69" s="544" t="str">
        <f t="shared" si="12"/>
        <v/>
      </c>
      <c r="W69" s="544">
        <f t="shared" si="12"/>
        <v>1</v>
      </c>
      <c r="X69" s="544" t="str">
        <f t="shared" si="12"/>
        <v/>
      </c>
      <c r="Y69" s="544" t="str">
        <f t="shared" si="12"/>
        <v/>
      </c>
      <c r="Z69" s="544">
        <f t="shared" si="12"/>
        <v>1</v>
      </c>
    </row>
    <row r="70" spans="1:26" s="428" customFormat="1" ht="12.75" x14ac:dyDescent="0.2">
      <c r="A70" s="513"/>
      <c r="B70" s="516"/>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row>
    <row r="71" spans="1:26" s="428" customFormat="1" ht="12.75" x14ac:dyDescent="0.2">
      <c r="A71" s="513"/>
      <c r="B71" s="516" t="s">
        <v>597</v>
      </c>
      <c r="C71" s="528"/>
      <c r="D71" s="528"/>
      <c r="E71" s="528"/>
      <c r="F71" s="528"/>
      <c r="G71" s="528"/>
      <c r="H71" s="528"/>
      <c r="I71" s="528"/>
      <c r="J71" s="528"/>
      <c r="K71" s="528"/>
      <c r="L71" s="528"/>
      <c r="M71" s="528"/>
      <c r="N71" s="528"/>
      <c r="O71" s="528"/>
      <c r="P71" s="528"/>
      <c r="Q71" s="528"/>
      <c r="R71" s="528"/>
      <c r="S71" s="528"/>
      <c r="T71" s="528"/>
      <c r="U71" s="528"/>
      <c r="V71" s="528"/>
      <c r="W71" s="528"/>
      <c r="X71" s="528"/>
      <c r="Y71" s="528"/>
      <c r="Z71" s="528"/>
    </row>
    <row r="72" spans="1:26" s="428" customFormat="1" ht="12.75" x14ac:dyDescent="0.2">
      <c r="A72" s="513"/>
      <c r="B72" s="516" t="s">
        <v>1076</v>
      </c>
      <c r="C72" s="528"/>
      <c r="D72" s="528"/>
      <c r="E72" s="528"/>
      <c r="F72" s="528"/>
      <c r="G72" s="528"/>
      <c r="H72" s="528"/>
      <c r="I72" s="528"/>
      <c r="J72" s="528"/>
      <c r="K72" s="528"/>
      <c r="L72" s="528"/>
      <c r="M72" s="528"/>
      <c r="N72" s="528"/>
      <c r="O72" s="528"/>
      <c r="P72" s="528"/>
      <c r="Q72" s="528"/>
      <c r="R72" s="528"/>
      <c r="S72" s="528"/>
      <c r="T72" s="528"/>
      <c r="U72" s="528"/>
      <c r="V72" s="528"/>
      <c r="W72" s="528"/>
      <c r="X72" s="528"/>
      <c r="Y72" s="528"/>
      <c r="Z72" s="528"/>
    </row>
    <row r="73" spans="1:26" s="545" customFormat="1" ht="12.75" x14ac:dyDescent="0.2">
      <c r="A73" s="1229">
        <v>61100</v>
      </c>
      <c r="B73" s="1230" t="s">
        <v>599</v>
      </c>
      <c r="C73" s="1231">
        <v>0</v>
      </c>
      <c r="D73" s="1231">
        <v>0</v>
      </c>
      <c r="E73" s="1231">
        <v>28610.500000000004</v>
      </c>
      <c r="F73" s="1231">
        <v>100</v>
      </c>
      <c r="G73" s="1231">
        <v>0</v>
      </c>
      <c r="H73" s="1231">
        <v>0</v>
      </c>
      <c r="I73" s="1231">
        <v>0</v>
      </c>
      <c r="J73" s="1231">
        <v>0</v>
      </c>
      <c r="K73" s="1231">
        <v>0</v>
      </c>
      <c r="L73" s="1231">
        <v>0</v>
      </c>
      <c r="M73" s="1231">
        <v>0</v>
      </c>
      <c r="N73" s="1231">
        <v>0</v>
      </c>
      <c r="O73" s="1231">
        <v>0</v>
      </c>
      <c r="P73" s="1231">
        <v>0</v>
      </c>
      <c r="Q73" s="1231">
        <v>0</v>
      </c>
      <c r="R73" s="1231">
        <v>0</v>
      </c>
      <c r="S73" s="1231">
        <v>0</v>
      </c>
      <c r="T73" s="1231">
        <v>0</v>
      </c>
      <c r="U73" s="1231">
        <v>0</v>
      </c>
      <c r="V73" s="1231">
        <v>0</v>
      </c>
      <c r="W73" s="1231">
        <v>0</v>
      </c>
      <c r="X73" s="1231">
        <v>134.85</v>
      </c>
      <c r="Y73" s="1231">
        <v>0</v>
      </c>
      <c r="Z73" s="1231">
        <f>SUM(C73:Y73)</f>
        <v>28845.350000000002</v>
      </c>
    </row>
    <row r="74" spans="1:26" s="545" customFormat="1" ht="12.75" x14ac:dyDescent="0.2">
      <c r="A74" s="1229" t="s">
        <v>600</v>
      </c>
      <c r="B74" s="1232" t="s">
        <v>601</v>
      </c>
      <c r="C74" s="1231">
        <v>757.81000000000006</v>
      </c>
      <c r="D74" s="1231">
        <v>0</v>
      </c>
      <c r="E74" s="1231">
        <v>11402.78</v>
      </c>
      <c r="F74" s="1231">
        <v>18015.12</v>
      </c>
      <c r="G74" s="1231">
        <v>0</v>
      </c>
      <c r="H74" s="1231">
        <v>1146.04</v>
      </c>
      <c r="I74" s="1231">
        <v>0</v>
      </c>
      <c r="J74" s="1231">
        <v>0</v>
      </c>
      <c r="K74" s="1231">
        <v>0</v>
      </c>
      <c r="L74" s="1231">
        <v>0</v>
      </c>
      <c r="M74" s="1231">
        <v>0</v>
      </c>
      <c r="N74" s="1231">
        <v>0</v>
      </c>
      <c r="O74" s="1231">
        <v>0</v>
      </c>
      <c r="P74" s="1231">
        <v>0</v>
      </c>
      <c r="Q74" s="1231">
        <v>0</v>
      </c>
      <c r="R74" s="1231">
        <v>0</v>
      </c>
      <c r="S74" s="1231">
        <v>0</v>
      </c>
      <c r="T74" s="1231">
        <v>0</v>
      </c>
      <c r="U74" s="1231">
        <v>1441.1299999999999</v>
      </c>
      <c r="V74" s="1231">
        <v>0</v>
      </c>
      <c r="W74" s="1231">
        <v>0</v>
      </c>
      <c r="X74" s="1231">
        <v>0</v>
      </c>
      <c r="Y74" s="1231">
        <v>0</v>
      </c>
      <c r="Z74" s="1231">
        <f>SUM(C74:Y74)</f>
        <v>32762.880000000001</v>
      </c>
    </row>
    <row r="75" spans="1:26" s="545" customFormat="1" ht="12.75" x14ac:dyDescent="0.2">
      <c r="A75" s="1229">
        <v>61300</v>
      </c>
      <c r="B75" s="1233" t="s">
        <v>602</v>
      </c>
      <c r="C75" s="1231">
        <v>0</v>
      </c>
      <c r="D75" s="1231">
        <v>0</v>
      </c>
      <c r="E75" s="1231">
        <v>603.75</v>
      </c>
      <c r="F75" s="1231">
        <v>0</v>
      </c>
      <c r="G75" s="1231">
        <v>0</v>
      </c>
      <c r="H75" s="1231">
        <v>0</v>
      </c>
      <c r="I75" s="1231">
        <v>0</v>
      </c>
      <c r="J75" s="1231">
        <v>0</v>
      </c>
      <c r="K75" s="1231">
        <v>0</v>
      </c>
      <c r="L75" s="1231">
        <v>0</v>
      </c>
      <c r="M75" s="1231">
        <v>0</v>
      </c>
      <c r="N75" s="1231">
        <v>0</v>
      </c>
      <c r="O75" s="1231">
        <v>1201.6999999999998</v>
      </c>
      <c r="P75" s="1231">
        <v>0</v>
      </c>
      <c r="Q75" s="1231">
        <v>0</v>
      </c>
      <c r="R75" s="1231">
        <v>0</v>
      </c>
      <c r="S75" s="1231">
        <v>0</v>
      </c>
      <c r="T75" s="1231">
        <v>0</v>
      </c>
      <c r="U75" s="1231">
        <v>0</v>
      </c>
      <c r="V75" s="1231">
        <v>0</v>
      </c>
      <c r="W75" s="1231">
        <v>0</v>
      </c>
      <c r="X75" s="1231">
        <v>0</v>
      </c>
      <c r="Y75" s="1231">
        <v>0</v>
      </c>
      <c r="Z75" s="1231">
        <f>SUM(C75:Y75)</f>
        <v>1805.4499999999998</v>
      </c>
    </row>
    <row r="76" spans="1:26" s="428" customFormat="1" ht="12.75" x14ac:dyDescent="0.2">
      <c r="A76" s="1229">
        <v>61400</v>
      </c>
      <c r="B76" s="1234" t="s">
        <v>603</v>
      </c>
      <c r="C76" s="1235">
        <f t="shared" ref="C76:Z76" si="13">SUM(C73:C75)</f>
        <v>757.81000000000006</v>
      </c>
      <c r="D76" s="1235">
        <f t="shared" si="13"/>
        <v>0</v>
      </c>
      <c r="E76" s="1236">
        <f t="shared" si="13"/>
        <v>40617.030000000006</v>
      </c>
      <c r="F76" s="1236">
        <f t="shared" si="13"/>
        <v>18115.12</v>
      </c>
      <c r="G76" s="1235">
        <f t="shared" si="13"/>
        <v>0</v>
      </c>
      <c r="H76" s="1236">
        <f t="shared" si="13"/>
        <v>1146.04</v>
      </c>
      <c r="I76" s="1235">
        <f t="shared" si="13"/>
        <v>0</v>
      </c>
      <c r="J76" s="1235">
        <f t="shared" si="13"/>
        <v>0</v>
      </c>
      <c r="K76" s="1235">
        <f t="shared" si="13"/>
        <v>0</v>
      </c>
      <c r="L76" s="1235">
        <f t="shared" si="13"/>
        <v>0</v>
      </c>
      <c r="M76" s="1235">
        <f t="shared" si="13"/>
        <v>0</v>
      </c>
      <c r="N76" s="1235">
        <f t="shared" si="13"/>
        <v>0</v>
      </c>
      <c r="O76" s="1235">
        <f t="shared" si="13"/>
        <v>1201.6999999999998</v>
      </c>
      <c r="P76" s="1235">
        <f t="shared" si="13"/>
        <v>0</v>
      </c>
      <c r="Q76" s="1235">
        <f t="shared" si="13"/>
        <v>0</v>
      </c>
      <c r="R76" s="1235">
        <f t="shared" si="13"/>
        <v>0</v>
      </c>
      <c r="S76" s="1235">
        <f t="shared" si="13"/>
        <v>0</v>
      </c>
      <c r="T76" s="1235">
        <f t="shared" si="13"/>
        <v>0</v>
      </c>
      <c r="U76" s="1236">
        <f t="shared" si="13"/>
        <v>1441.1299999999999</v>
      </c>
      <c r="V76" s="1235">
        <f t="shared" si="13"/>
        <v>0</v>
      </c>
      <c r="W76" s="1235">
        <f t="shared" si="13"/>
        <v>0</v>
      </c>
      <c r="X76" s="1235">
        <f t="shared" si="13"/>
        <v>134.85</v>
      </c>
      <c r="Y76" s="1235">
        <f t="shared" si="13"/>
        <v>0</v>
      </c>
      <c r="Z76" s="1235">
        <f t="shared" si="13"/>
        <v>63413.68</v>
      </c>
    </row>
    <row r="77" spans="1:26" s="428" customFormat="1" ht="12.75" x14ac:dyDescent="0.2">
      <c r="A77" s="513"/>
      <c r="B77" s="516"/>
      <c r="C77" s="528"/>
      <c r="D77" s="528"/>
      <c r="E77" s="528"/>
      <c r="F77" s="528"/>
      <c r="G77" s="528"/>
      <c r="H77" s="528"/>
      <c r="I77" s="528"/>
      <c r="J77" s="528"/>
      <c r="K77" s="528"/>
      <c r="L77" s="528"/>
      <c r="M77" s="528"/>
      <c r="N77" s="528"/>
      <c r="O77" s="528"/>
      <c r="P77" s="528"/>
      <c r="Q77" s="528"/>
      <c r="R77" s="528"/>
      <c r="S77" s="528"/>
      <c r="T77" s="528"/>
      <c r="U77" s="528"/>
      <c r="V77" s="528"/>
      <c r="W77" s="528"/>
      <c r="X77" s="528"/>
      <c r="Y77" s="528"/>
      <c r="Z77" s="528"/>
    </row>
    <row r="78" spans="1:26" s="428" customFormat="1" ht="12.75" x14ac:dyDescent="0.2">
      <c r="A78" s="513"/>
      <c r="B78" s="516" t="s">
        <v>604</v>
      </c>
      <c r="C78" s="528"/>
      <c r="D78" s="528"/>
      <c r="E78" s="528"/>
      <c r="F78" s="528"/>
      <c r="G78" s="528"/>
      <c r="H78" s="528"/>
      <c r="I78" s="528"/>
      <c r="J78" s="528"/>
      <c r="K78" s="528"/>
      <c r="L78" s="528"/>
      <c r="M78" s="528"/>
      <c r="N78" s="528"/>
      <c r="O78" s="528"/>
      <c r="P78" s="528"/>
      <c r="Q78" s="528"/>
      <c r="R78" s="528"/>
      <c r="S78" s="528"/>
      <c r="T78" s="528"/>
      <c r="U78" s="528"/>
      <c r="V78" s="528"/>
      <c r="W78" s="528"/>
      <c r="X78" s="528"/>
      <c r="Y78" s="528"/>
      <c r="Z78" s="528"/>
    </row>
    <row r="79" spans="1:26" s="545" customFormat="1" ht="12.75" x14ac:dyDescent="0.2">
      <c r="A79" s="513">
        <v>62100</v>
      </c>
      <c r="B79" s="529" t="s">
        <v>605</v>
      </c>
      <c r="C79" s="530">
        <v>482179.67000000004</v>
      </c>
      <c r="D79" s="530">
        <v>0</v>
      </c>
      <c r="E79" s="530">
        <v>188955.94999999998</v>
      </c>
      <c r="F79" s="530">
        <v>832611.05</v>
      </c>
      <c r="G79" s="530">
        <v>0</v>
      </c>
      <c r="H79" s="530">
        <v>1780308.3399999999</v>
      </c>
      <c r="I79" s="530">
        <v>259640.94999999998</v>
      </c>
      <c r="J79" s="530">
        <v>463586.55000000005</v>
      </c>
      <c r="K79" s="530">
        <v>0</v>
      </c>
      <c r="L79" s="530">
        <v>0</v>
      </c>
      <c r="M79" s="530">
        <v>1297252.1600000001</v>
      </c>
      <c r="N79" s="530">
        <v>158925.15</v>
      </c>
      <c r="O79" s="530">
        <v>0</v>
      </c>
      <c r="P79" s="530">
        <v>577177.77</v>
      </c>
      <c r="Q79" s="530">
        <v>194349.15999999997</v>
      </c>
      <c r="R79" s="530">
        <v>0</v>
      </c>
      <c r="S79" s="530">
        <v>347035.23000000004</v>
      </c>
      <c r="T79" s="530">
        <v>177171.06</v>
      </c>
      <c r="U79" s="530">
        <v>53357.1</v>
      </c>
      <c r="V79" s="530">
        <v>0</v>
      </c>
      <c r="W79" s="530">
        <v>748552.15</v>
      </c>
      <c r="X79" s="530">
        <v>353364.98</v>
      </c>
      <c r="Y79" s="530">
        <v>0</v>
      </c>
      <c r="Z79" s="530">
        <f t="shared" ref="Z79:Z104" si="14">SUM(C79:Y79)</f>
        <v>7914467.2699999996</v>
      </c>
    </row>
    <row r="80" spans="1:26" s="545" customFormat="1" ht="12.75" x14ac:dyDescent="0.2">
      <c r="A80" s="513">
        <v>62110</v>
      </c>
      <c r="B80" s="428" t="s">
        <v>606</v>
      </c>
      <c r="C80" s="530">
        <v>0</v>
      </c>
      <c r="D80" s="530">
        <v>0</v>
      </c>
      <c r="E80" s="530">
        <v>0</v>
      </c>
      <c r="F80" s="530">
        <v>0</v>
      </c>
      <c r="G80" s="530">
        <v>0</v>
      </c>
      <c r="H80" s="530">
        <v>0</v>
      </c>
      <c r="I80" s="530">
        <v>0</v>
      </c>
      <c r="J80" s="530">
        <v>0</v>
      </c>
      <c r="K80" s="530">
        <v>0</v>
      </c>
      <c r="L80" s="530">
        <v>0</v>
      </c>
      <c r="M80" s="530">
        <v>0</v>
      </c>
      <c r="N80" s="530">
        <v>0</v>
      </c>
      <c r="O80" s="530">
        <v>0</v>
      </c>
      <c r="P80" s="530">
        <v>0</v>
      </c>
      <c r="Q80" s="530">
        <v>0</v>
      </c>
      <c r="R80" s="530">
        <v>0</v>
      </c>
      <c r="S80" s="530">
        <v>0</v>
      </c>
      <c r="T80" s="530">
        <v>0</v>
      </c>
      <c r="U80" s="530">
        <v>0</v>
      </c>
      <c r="V80" s="530">
        <v>0</v>
      </c>
      <c r="W80" s="530">
        <v>0</v>
      </c>
      <c r="X80" s="530">
        <v>0</v>
      </c>
      <c r="Y80" s="530">
        <v>0</v>
      </c>
      <c r="Z80" s="530">
        <f t="shared" si="14"/>
        <v>0</v>
      </c>
    </row>
    <row r="81" spans="1:26" s="545" customFormat="1" ht="12.75" x14ac:dyDescent="0.2">
      <c r="A81" s="513" t="s">
        <v>607</v>
      </c>
      <c r="B81" s="428" t="s">
        <v>608</v>
      </c>
      <c r="C81" s="530">
        <v>0</v>
      </c>
      <c r="D81" s="530">
        <v>0</v>
      </c>
      <c r="E81" s="530">
        <v>0</v>
      </c>
      <c r="F81" s="530">
        <v>0</v>
      </c>
      <c r="G81" s="530">
        <v>0</v>
      </c>
      <c r="H81" s="530">
        <v>0</v>
      </c>
      <c r="I81" s="530">
        <v>-1267.5</v>
      </c>
      <c r="J81" s="530">
        <v>0</v>
      </c>
      <c r="K81" s="530">
        <v>0</v>
      </c>
      <c r="L81" s="530">
        <v>0</v>
      </c>
      <c r="M81" s="530">
        <v>0</v>
      </c>
      <c r="N81" s="530">
        <v>0</v>
      </c>
      <c r="O81" s="530">
        <v>0</v>
      </c>
      <c r="P81" s="530">
        <v>0</v>
      </c>
      <c r="Q81" s="530">
        <v>0</v>
      </c>
      <c r="R81" s="530">
        <v>0</v>
      </c>
      <c r="S81" s="530">
        <v>0</v>
      </c>
      <c r="T81" s="530">
        <v>0</v>
      </c>
      <c r="U81" s="530">
        <v>0</v>
      </c>
      <c r="V81" s="530">
        <v>0</v>
      </c>
      <c r="W81" s="530">
        <v>0</v>
      </c>
      <c r="X81" s="530">
        <v>0</v>
      </c>
      <c r="Y81" s="530">
        <v>0</v>
      </c>
      <c r="Z81" s="530">
        <f t="shared" si="14"/>
        <v>-1267.5</v>
      </c>
    </row>
    <row r="82" spans="1:26" s="545" customFormat="1" ht="12.75" x14ac:dyDescent="0.2">
      <c r="A82" s="513">
        <v>62120</v>
      </c>
      <c r="B82" s="529" t="s">
        <v>609</v>
      </c>
      <c r="C82" s="530">
        <v>0</v>
      </c>
      <c r="D82" s="530">
        <v>0</v>
      </c>
      <c r="E82" s="530">
        <v>0</v>
      </c>
      <c r="F82" s="530">
        <v>0</v>
      </c>
      <c r="G82" s="530">
        <v>0</v>
      </c>
      <c r="H82" s="530">
        <v>0</v>
      </c>
      <c r="I82" s="530">
        <v>0</v>
      </c>
      <c r="J82" s="530">
        <v>0</v>
      </c>
      <c r="K82" s="530">
        <v>0</v>
      </c>
      <c r="L82" s="530">
        <v>0</v>
      </c>
      <c r="M82" s="530">
        <v>0</v>
      </c>
      <c r="N82" s="530">
        <v>0</v>
      </c>
      <c r="O82" s="530">
        <v>0</v>
      </c>
      <c r="P82" s="530">
        <v>0</v>
      </c>
      <c r="Q82" s="530">
        <v>0</v>
      </c>
      <c r="R82" s="530">
        <v>0</v>
      </c>
      <c r="S82" s="530">
        <v>0</v>
      </c>
      <c r="T82" s="530">
        <v>0</v>
      </c>
      <c r="U82" s="530">
        <v>0</v>
      </c>
      <c r="V82" s="530">
        <v>0</v>
      </c>
      <c r="W82" s="530">
        <v>0</v>
      </c>
      <c r="X82" s="530">
        <v>0</v>
      </c>
      <c r="Y82" s="530">
        <v>0</v>
      </c>
      <c r="Z82" s="530">
        <f t="shared" si="14"/>
        <v>0</v>
      </c>
    </row>
    <row r="83" spans="1:26" s="545" customFormat="1" ht="12.75" x14ac:dyDescent="0.2">
      <c r="A83" s="513">
        <v>62122</v>
      </c>
      <c r="B83" s="529" t="s">
        <v>610</v>
      </c>
      <c r="C83" s="530">
        <v>0</v>
      </c>
      <c r="D83" s="530">
        <v>0</v>
      </c>
      <c r="E83" s="530">
        <v>0</v>
      </c>
      <c r="F83" s="530">
        <v>0</v>
      </c>
      <c r="G83" s="530">
        <v>0</v>
      </c>
      <c r="H83" s="530">
        <v>0</v>
      </c>
      <c r="I83" s="530">
        <v>0</v>
      </c>
      <c r="J83" s="530">
        <v>0</v>
      </c>
      <c r="K83" s="530">
        <v>0</v>
      </c>
      <c r="L83" s="530">
        <v>0</v>
      </c>
      <c r="M83" s="530">
        <v>0</v>
      </c>
      <c r="N83" s="530">
        <v>0</v>
      </c>
      <c r="O83" s="530">
        <v>0</v>
      </c>
      <c r="P83" s="530">
        <v>0</v>
      </c>
      <c r="Q83" s="530">
        <v>0</v>
      </c>
      <c r="R83" s="530">
        <v>0</v>
      </c>
      <c r="S83" s="530">
        <v>0</v>
      </c>
      <c r="T83" s="530">
        <v>0</v>
      </c>
      <c r="U83" s="530">
        <v>0</v>
      </c>
      <c r="V83" s="530">
        <v>0</v>
      </c>
      <c r="W83" s="530">
        <v>0</v>
      </c>
      <c r="X83" s="530">
        <v>0</v>
      </c>
      <c r="Y83" s="530">
        <v>0</v>
      </c>
      <c r="Z83" s="530">
        <f t="shared" si="14"/>
        <v>0</v>
      </c>
    </row>
    <row r="84" spans="1:26" s="545" customFormat="1" ht="12.75" x14ac:dyDescent="0.2">
      <c r="A84" s="513">
        <v>62130</v>
      </c>
      <c r="B84" s="529" t="s">
        <v>611</v>
      </c>
      <c r="C84" s="530">
        <v>0</v>
      </c>
      <c r="D84" s="530">
        <v>0</v>
      </c>
      <c r="E84" s="530">
        <v>0</v>
      </c>
      <c r="F84" s="530">
        <v>0</v>
      </c>
      <c r="G84" s="530">
        <v>0</v>
      </c>
      <c r="H84" s="530">
        <v>0</v>
      </c>
      <c r="I84" s="530">
        <v>0</v>
      </c>
      <c r="J84" s="530">
        <v>0</v>
      </c>
      <c r="K84" s="530">
        <v>0</v>
      </c>
      <c r="L84" s="530">
        <v>0</v>
      </c>
      <c r="M84" s="530">
        <v>0</v>
      </c>
      <c r="N84" s="530">
        <v>0</v>
      </c>
      <c r="O84" s="530">
        <v>0</v>
      </c>
      <c r="P84" s="530">
        <v>0</v>
      </c>
      <c r="Q84" s="530">
        <v>0</v>
      </c>
      <c r="R84" s="530">
        <v>0</v>
      </c>
      <c r="S84" s="530">
        <v>0</v>
      </c>
      <c r="T84" s="530">
        <v>0</v>
      </c>
      <c r="U84" s="530">
        <v>0</v>
      </c>
      <c r="V84" s="530">
        <v>0</v>
      </c>
      <c r="W84" s="530">
        <v>0</v>
      </c>
      <c r="X84" s="530">
        <v>0</v>
      </c>
      <c r="Y84" s="530">
        <v>0</v>
      </c>
      <c r="Z84" s="530">
        <f t="shared" si="14"/>
        <v>0</v>
      </c>
    </row>
    <row r="85" spans="1:26" s="545" customFormat="1" ht="12.75" x14ac:dyDescent="0.2">
      <c r="A85" s="513">
        <v>62131</v>
      </c>
      <c r="B85" s="529" t="s">
        <v>612</v>
      </c>
      <c r="C85" s="530">
        <v>0</v>
      </c>
      <c r="D85" s="530">
        <v>0</v>
      </c>
      <c r="E85" s="530">
        <v>0</v>
      </c>
      <c r="F85" s="530">
        <v>0</v>
      </c>
      <c r="G85" s="530">
        <v>0</v>
      </c>
      <c r="H85" s="530">
        <v>0</v>
      </c>
      <c r="I85" s="530">
        <v>0</v>
      </c>
      <c r="J85" s="530">
        <v>0</v>
      </c>
      <c r="K85" s="530">
        <v>0</v>
      </c>
      <c r="L85" s="530">
        <v>0</v>
      </c>
      <c r="M85" s="530">
        <v>0</v>
      </c>
      <c r="N85" s="530">
        <v>0</v>
      </c>
      <c r="O85" s="530">
        <v>0</v>
      </c>
      <c r="P85" s="530">
        <v>0</v>
      </c>
      <c r="Q85" s="530">
        <v>0</v>
      </c>
      <c r="R85" s="530">
        <v>0</v>
      </c>
      <c r="S85" s="530">
        <v>0</v>
      </c>
      <c r="T85" s="530">
        <v>0</v>
      </c>
      <c r="U85" s="530">
        <v>0</v>
      </c>
      <c r="V85" s="530">
        <v>0</v>
      </c>
      <c r="W85" s="530">
        <v>0</v>
      </c>
      <c r="X85" s="530">
        <v>0</v>
      </c>
      <c r="Y85" s="530">
        <v>0</v>
      </c>
      <c r="Z85" s="530">
        <f t="shared" si="14"/>
        <v>0</v>
      </c>
    </row>
    <row r="86" spans="1:26" s="545" customFormat="1" ht="12.75" x14ac:dyDescent="0.2">
      <c r="A86" s="513">
        <v>62132</v>
      </c>
      <c r="B86" s="529" t="s">
        <v>613</v>
      </c>
      <c r="C86" s="530">
        <v>0</v>
      </c>
      <c r="D86" s="530">
        <v>0</v>
      </c>
      <c r="E86" s="530">
        <v>0</v>
      </c>
      <c r="F86" s="530">
        <v>0</v>
      </c>
      <c r="G86" s="530">
        <v>0</v>
      </c>
      <c r="H86" s="530">
        <v>-175518</v>
      </c>
      <c r="I86" s="530">
        <v>0</v>
      </c>
      <c r="J86" s="530">
        <v>0</v>
      </c>
      <c r="K86" s="530">
        <v>0</v>
      </c>
      <c r="L86" s="530">
        <v>0</v>
      </c>
      <c r="M86" s="530">
        <v>0</v>
      </c>
      <c r="N86" s="530">
        <v>0</v>
      </c>
      <c r="O86" s="530">
        <v>0</v>
      </c>
      <c r="P86" s="530">
        <v>0</v>
      </c>
      <c r="Q86" s="530">
        <v>0</v>
      </c>
      <c r="R86" s="530">
        <v>0</v>
      </c>
      <c r="S86" s="530">
        <v>0</v>
      </c>
      <c r="T86" s="530">
        <v>0</v>
      </c>
      <c r="U86" s="530">
        <v>0</v>
      </c>
      <c r="V86" s="530">
        <v>0</v>
      </c>
      <c r="W86" s="530">
        <v>0</v>
      </c>
      <c r="X86" s="530">
        <v>0</v>
      </c>
      <c r="Y86" s="530">
        <v>0</v>
      </c>
      <c r="Z86" s="530">
        <f t="shared" si="14"/>
        <v>-175518</v>
      </c>
    </row>
    <row r="87" spans="1:26" s="545" customFormat="1" ht="12.75" x14ac:dyDescent="0.2">
      <c r="A87" s="513">
        <v>62133</v>
      </c>
      <c r="B87" s="529" t="s">
        <v>614</v>
      </c>
      <c r="C87" s="530">
        <v>0</v>
      </c>
      <c r="D87" s="530">
        <v>0</v>
      </c>
      <c r="E87" s="530">
        <v>0</v>
      </c>
      <c r="F87" s="530">
        <v>0</v>
      </c>
      <c r="G87" s="530">
        <v>0</v>
      </c>
      <c r="H87" s="530">
        <v>0</v>
      </c>
      <c r="I87" s="530">
        <v>0</v>
      </c>
      <c r="J87" s="530">
        <v>0</v>
      </c>
      <c r="K87" s="530">
        <v>0</v>
      </c>
      <c r="L87" s="530">
        <v>0</v>
      </c>
      <c r="M87" s="530">
        <v>0</v>
      </c>
      <c r="N87" s="530">
        <v>0</v>
      </c>
      <c r="O87" s="530">
        <v>0</v>
      </c>
      <c r="P87" s="530">
        <v>0</v>
      </c>
      <c r="Q87" s="530">
        <v>0</v>
      </c>
      <c r="R87" s="530">
        <v>0</v>
      </c>
      <c r="S87" s="530">
        <v>0</v>
      </c>
      <c r="T87" s="530">
        <v>0</v>
      </c>
      <c r="U87" s="530">
        <v>0</v>
      </c>
      <c r="V87" s="530">
        <v>0</v>
      </c>
      <c r="W87" s="530">
        <v>0</v>
      </c>
      <c r="X87" s="530">
        <v>0</v>
      </c>
      <c r="Y87" s="530">
        <v>0</v>
      </c>
      <c r="Z87" s="530">
        <f t="shared" si="14"/>
        <v>0</v>
      </c>
    </row>
    <row r="88" spans="1:26" s="545" customFormat="1" ht="12.75" x14ac:dyDescent="0.2">
      <c r="A88" s="513" t="s">
        <v>615</v>
      </c>
      <c r="B88" s="529" t="s">
        <v>616</v>
      </c>
      <c r="C88" s="530">
        <v>10180.950000000001</v>
      </c>
      <c r="D88" s="530">
        <v>0</v>
      </c>
      <c r="E88" s="530">
        <v>-862.61</v>
      </c>
      <c r="F88" s="530">
        <v>142.78</v>
      </c>
      <c r="G88" s="530">
        <v>0</v>
      </c>
      <c r="H88" s="530">
        <v>20039.91</v>
      </c>
      <c r="I88" s="530">
        <v>1462.72</v>
      </c>
      <c r="J88" s="530">
        <v>-0.24</v>
      </c>
      <c r="K88" s="530">
        <v>0</v>
      </c>
      <c r="L88" s="530">
        <v>0</v>
      </c>
      <c r="M88" s="530">
        <v>24443.64</v>
      </c>
      <c r="N88" s="530">
        <v>467.38</v>
      </c>
      <c r="O88" s="530">
        <v>0</v>
      </c>
      <c r="P88" s="530">
        <v>-427.26000000000005</v>
      </c>
      <c r="Q88" s="530">
        <v>5481.75</v>
      </c>
      <c r="R88" s="530">
        <v>0</v>
      </c>
      <c r="S88" s="530">
        <v>0.24</v>
      </c>
      <c r="T88" s="530">
        <v>55.89</v>
      </c>
      <c r="U88" s="530">
        <v>-111.73</v>
      </c>
      <c r="V88" s="530">
        <v>0</v>
      </c>
      <c r="W88" s="530">
        <v>0</v>
      </c>
      <c r="X88" s="530">
        <v>90.02</v>
      </c>
      <c r="Y88" s="530">
        <v>0</v>
      </c>
      <c r="Z88" s="530">
        <f t="shared" si="14"/>
        <v>60963.439999999981</v>
      </c>
    </row>
    <row r="89" spans="1:26" s="545" customFormat="1" ht="12.75" x14ac:dyDescent="0.2">
      <c r="A89" s="513">
        <v>62151</v>
      </c>
      <c r="B89" s="529" t="s">
        <v>617</v>
      </c>
      <c r="C89" s="530">
        <v>36236.340000000004</v>
      </c>
      <c r="D89" s="530">
        <v>0</v>
      </c>
      <c r="E89" s="530">
        <v>10166.27</v>
      </c>
      <c r="F89" s="530">
        <v>139287.20000000001</v>
      </c>
      <c r="G89" s="530">
        <v>0</v>
      </c>
      <c r="H89" s="530">
        <v>151504.15</v>
      </c>
      <c r="I89" s="530">
        <v>12825.89</v>
      </c>
      <c r="J89" s="530">
        <v>32882.75</v>
      </c>
      <c r="K89" s="530">
        <v>-7308.58</v>
      </c>
      <c r="L89" s="530">
        <v>-2211.69</v>
      </c>
      <c r="M89" s="530">
        <v>102119.04000000001</v>
      </c>
      <c r="N89" s="530">
        <v>9524.5</v>
      </c>
      <c r="O89" s="530">
        <v>0</v>
      </c>
      <c r="P89" s="530">
        <v>37691.519999999997</v>
      </c>
      <c r="Q89" s="530">
        <v>22995.21</v>
      </c>
      <c r="R89" s="530">
        <v>-25662.67</v>
      </c>
      <c r="S89" s="530">
        <v>14389.97</v>
      </c>
      <c r="T89" s="530">
        <v>12893.820000000002</v>
      </c>
      <c r="U89" s="530">
        <v>-7.26</v>
      </c>
      <c r="V89" s="530">
        <v>0</v>
      </c>
      <c r="W89" s="530">
        <v>0</v>
      </c>
      <c r="X89" s="530">
        <v>17622.739999999998</v>
      </c>
      <c r="Y89" s="530">
        <v>0</v>
      </c>
      <c r="Z89" s="530">
        <f t="shared" si="14"/>
        <v>564949.19999999995</v>
      </c>
    </row>
    <row r="90" spans="1:26" s="545" customFormat="1" ht="12.75" x14ac:dyDescent="0.2">
      <c r="A90" s="513">
        <v>62151.1</v>
      </c>
      <c r="B90" s="529" t="s">
        <v>618</v>
      </c>
      <c r="C90" s="530">
        <v>0</v>
      </c>
      <c r="D90" s="530">
        <v>0</v>
      </c>
      <c r="E90" s="530">
        <v>0</v>
      </c>
      <c r="F90" s="530">
        <v>0</v>
      </c>
      <c r="G90" s="530">
        <v>0</v>
      </c>
      <c r="H90" s="530">
        <v>0</v>
      </c>
      <c r="I90" s="530">
        <v>0</v>
      </c>
      <c r="J90" s="530">
        <v>0</v>
      </c>
      <c r="K90" s="530">
        <v>0</v>
      </c>
      <c r="L90" s="530">
        <v>0</v>
      </c>
      <c r="M90" s="530">
        <v>0</v>
      </c>
      <c r="N90" s="530">
        <v>0</v>
      </c>
      <c r="O90" s="530">
        <v>0</v>
      </c>
      <c r="P90" s="530">
        <v>0</v>
      </c>
      <c r="Q90" s="530">
        <v>0</v>
      </c>
      <c r="R90" s="530">
        <v>0</v>
      </c>
      <c r="S90" s="530">
        <v>0</v>
      </c>
      <c r="T90" s="530">
        <v>0</v>
      </c>
      <c r="U90" s="530">
        <v>0</v>
      </c>
      <c r="V90" s="530">
        <v>0</v>
      </c>
      <c r="W90" s="530">
        <v>0</v>
      </c>
      <c r="X90" s="530">
        <v>0</v>
      </c>
      <c r="Y90" s="530">
        <v>0</v>
      </c>
      <c r="Z90" s="530">
        <f t="shared" si="14"/>
        <v>0</v>
      </c>
    </row>
    <row r="91" spans="1:26" s="545" customFormat="1" ht="12.75" x14ac:dyDescent="0.2">
      <c r="A91" s="513">
        <v>62200</v>
      </c>
      <c r="B91" s="529" t="s">
        <v>619</v>
      </c>
      <c r="C91" s="530">
        <v>-1110018.79</v>
      </c>
      <c r="D91" s="530">
        <v>0</v>
      </c>
      <c r="E91" s="530">
        <v>-160367.06</v>
      </c>
      <c r="F91" s="530">
        <v>-1821739</v>
      </c>
      <c r="G91" s="530">
        <v>0</v>
      </c>
      <c r="H91" s="530">
        <v>-2087923.5</v>
      </c>
      <c r="I91" s="530">
        <v>-524003.78</v>
      </c>
      <c r="J91" s="530">
        <v>-1100701</v>
      </c>
      <c r="K91" s="530">
        <v>17987</v>
      </c>
      <c r="L91" s="530">
        <v>3722.9999999999995</v>
      </c>
      <c r="M91" s="530">
        <v>-2791194.48</v>
      </c>
      <c r="N91" s="530">
        <v>-292447</v>
      </c>
      <c r="O91" s="530">
        <v>0</v>
      </c>
      <c r="P91" s="530">
        <v>-1372387</v>
      </c>
      <c r="Q91" s="530">
        <v>-395346.49999999994</v>
      </c>
      <c r="R91" s="530">
        <v>0</v>
      </c>
      <c r="S91" s="530">
        <v>-357281.75</v>
      </c>
      <c r="T91" s="530">
        <v>0</v>
      </c>
      <c r="U91" s="530">
        <v>-110664</v>
      </c>
      <c r="V91" s="530">
        <v>0</v>
      </c>
      <c r="W91" s="530">
        <v>-11134</v>
      </c>
      <c r="X91" s="530">
        <v>-474039</v>
      </c>
      <c r="Y91" s="530">
        <v>0</v>
      </c>
      <c r="Z91" s="530">
        <f t="shared" si="14"/>
        <v>-12587536.859999999</v>
      </c>
    </row>
    <row r="92" spans="1:26" s="545" customFormat="1" ht="12.75" x14ac:dyDescent="0.2">
      <c r="A92" s="513">
        <v>62201</v>
      </c>
      <c r="B92" s="529" t="s">
        <v>620</v>
      </c>
      <c r="C92" s="530">
        <v>0</v>
      </c>
      <c r="D92" s="530">
        <v>0</v>
      </c>
      <c r="E92" s="530">
        <v>0</v>
      </c>
      <c r="F92" s="530">
        <v>0</v>
      </c>
      <c r="G92" s="530">
        <v>0</v>
      </c>
      <c r="H92" s="530">
        <v>0</v>
      </c>
      <c r="I92" s="530">
        <v>0</v>
      </c>
      <c r="J92" s="530">
        <v>0</v>
      </c>
      <c r="K92" s="530">
        <v>0</v>
      </c>
      <c r="L92" s="530">
        <v>0</v>
      </c>
      <c r="M92" s="530">
        <v>0</v>
      </c>
      <c r="N92" s="530">
        <v>0</v>
      </c>
      <c r="O92" s="530">
        <v>0</v>
      </c>
      <c r="P92" s="530">
        <v>0</v>
      </c>
      <c r="Q92" s="530">
        <v>0</v>
      </c>
      <c r="R92" s="530">
        <v>0</v>
      </c>
      <c r="S92" s="530">
        <v>0</v>
      </c>
      <c r="T92" s="530">
        <v>0</v>
      </c>
      <c r="U92" s="530">
        <v>0</v>
      </c>
      <c r="V92" s="530">
        <v>0</v>
      </c>
      <c r="W92" s="530">
        <v>0</v>
      </c>
      <c r="X92" s="530">
        <v>0</v>
      </c>
      <c r="Y92" s="530">
        <v>0</v>
      </c>
      <c r="Z92" s="530">
        <f t="shared" si="14"/>
        <v>0</v>
      </c>
    </row>
    <row r="93" spans="1:26" s="545" customFormat="1" ht="12.75" x14ac:dyDescent="0.2">
      <c r="A93" s="513">
        <v>62202</v>
      </c>
      <c r="B93" s="529" t="s">
        <v>621</v>
      </c>
      <c r="C93" s="530">
        <v>1110018.79</v>
      </c>
      <c r="D93" s="530">
        <v>0</v>
      </c>
      <c r="E93" s="530">
        <v>160367.06</v>
      </c>
      <c r="F93" s="530">
        <v>1821739</v>
      </c>
      <c r="G93" s="530">
        <v>0</v>
      </c>
      <c r="H93" s="530">
        <v>2087923.5</v>
      </c>
      <c r="I93" s="530">
        <v>524003.78</v>
      </c>
      <c r="J93" s="530">
        <v>1100701</v>
      </c>
      <c r="K93" s="530">
        <v>-17987</v>
      </c>
      <c r="L93" s="530">
        <v>-3722.9999999999995</v>
      </c>
      <c r="M93" s="530">
        <v>2791194.48</v>
      </c>
      <c r="N93" s="530">
        <v>292447</v>
      </c>
      <c r="O93" s="530">
        <v>0</v>
      </c>
      <c r="P93" s="530">
        <v>1372387</v>
      </c>
      <c r="Q93" s="530">
        <v>395346.49999999994</v>
      </c>
      <c r="R93" s="530">
        <v>0</v>
      </c>
      <c r="S93" s="530">
        <v>357281.75</v>
      </c>
      <c r="T93" s="530">
        <v>0</v>
      </c>
      <c r="U93" s="530">
        <v>110664</v>
      </c>
      <c r="V93" s="530">
        <v>0</v>
      </c>
      <c r="W93" s="530">
        <v>0</v>
      </c>
      <c r="X93" s="530">
        <v>474039</v>
      </c>
      <c r="Y93" s="530">
        <v>0</v>
      </c>
      <c r="Z93" s="530">
        <f t="shared" si="14"/>
        <v>12576402.859999999</v>
      </c>
    </row>
    <row r="94" spans="1:26" s="545" customFormat="1" ht="12.75" x14ac:dyDescent="0.2">
      <c r="A94" s="513">
        <v>62205</v>
      </c>
      <c r="B94" s="529" t="s">
        <v>622</v>
      </c>
      <c r="C94" s="530">
        <v>-7800</v>
      </c>
      <c r="D94" s="530">
        <v>0</v>
      </c>
      <c r="E94" s="530">
        <v>0</v>
      </c>
      <c r="F94" s="530">
        <v>0</v>
      </c>
      <c r="G94" s="530">
        <v>0</v>
      </c>
      <c r="H94" s="530">
        <v>0</v>
      </c>
      <c r="I94" s="530">
        <v>0</v>
      </c>
      <c r="J94" s="530">
        <v>0</v>
      </c>
      <c r="K94" s="530">
        <v>0</v>
      </c>
      <c r="L94" s="530">
        <v>0</v>
      </c>
      <c r="M94" s="530">
        <v>0</v>
      </c>
      <c r="N94" s="530">
        <v>0</v>
      </c>
      <c r="O94" s="530">
        <v>0</v>
      </c>
      <c r="P94" s="530">
        <v>0</v>
      </c>
      <c r="Q94" s="530">
        <v>0</v>
      </c>
      <c r="R94" s="530">
        <v>0</v>
      </c>
      <c r="S94" s="530">
        <v>0</v>
      </c>
      <c r="T94" s="530">
        <v>0</v>
      </c>
      <c r="U94" s="530">
        <v>0</v>
      </c>
      <c r="V94" s="530">
        <v>0</v>
      </c>
      <c r="W94" s="530">
        <v>0</v>
      </c>
      <c r="X94" s="530">
        <v>0</v>
      </c>
      <c r="Y94" s="530">
        <v>0</v>
      </c>
      <c r="Z94" s="530">
        <f t="shared" si="14"/>
        <v>-7800</v>
      </c>
    </row>
    <row r="95" spans="1:26" s="545" customFormat="1" ht="12.75" x14ac:dyDescent="0.2">
      <c r="A95" s="513">
        <v>62300</v>
      </c>
      <c r="B95" s="529" t="s">
        <v>623</v>
      </c>
      <c r="C95" s="530">
        <v>13744.5</v>
      </c>
      <c r="D95" s="530">
        <v>0</v>
      </c>
      <c r="E95" s="530">
        <v>8892.16</v>
      </c>
      <c r="F95" s="530">
        <v>10995.599999999999</v>
      </c>
      <c r="G95" s="530">
        <v>0</v>
      </c>
      <c r="H95" s="530">
        <v>41076.94</v>
      </c>
      <c r="I95" s="530">
        <v>13903.569999999998</v>
      </c>
      <c r="J95" s="530">
        <v>8246.6999999999989</v>
      </c>
      <c r="K95" s="530">
        <v>0</v>
      </c>
      <c r="L95" s="530">
        <v>0</v>
      </c>
      <c r="M95" s="530">
        <v>50302.229999999996</v>
      </c>
      <c r="N95" s="530">
        <v>8246.6999999999989</v>
      </c>
      <c r="O95" s="530">
        <v>0</v>
      </c>
      <c r="P95" s="530">
        <v>12354.28</v>
      </c>
      <c r="Q95" s="530">
        <v>7732.43</v>
      </c>
      <c r="R95" s="530">
        <v>0</v>
      </c>
      <c r="S95" s="530">
        <v>10995.599999999999</v>
      </c>
      <c r="T95" s="530">
        <v>5497.7999999999993</v>
      </c>
      <c r="U95" s="530">
        <v>3169.02</v>
      </c>
      <c r="V95" s="530">
        <v>0</v>
      </c>
      <c r="W95" s="530">
        <v>0</v>
      </c>
      <c r="X95" s="530">
        <v>12821.230000000001</v>
      </c>
      <c r="Y95" s="530">
        <v>0</v>
      </c>
      <c r="Z95" s="530">
        <f t="shared" si="14"/>
        <v>207978.75999999998</v>
      </c>
    </row>
    <row r="96" spans="1:26" s="545" customFormat="1" ht="12.75" x14ac:dyDescent="0.2">
      <c r="A96" s="513">
        <v>62301</v>
      </c>
      <c r="B96" s="529" t="s">
        <v>624</v>
      </c>
      <c r="C96" s="530">
        <v>5267.88</v>
      </c>
      <c r="D96" s="530">
        <v>0</v>
      </c>
      <c r="E96" s="530">
        <v>3295.1</v>
      </c>
      <c r="F96" s="530">
        <v>3047.8100000000004</v>
      </c>
      <c r="G96" s="530">
        <v>0</v>
      </c>
      <c r="H96" s="530">
        <v>15415.500000000002</v>
      </c>
      <c r="I96" s="530">
        <v>5647.23</v>
      </c>
      <c r="J96" s="530">
        <v>3047.77</v>
      </c>
      <c r="K96" s="530">
        <v>0</v>
      </c>
      <c r="L96" s="530">
        <v>0</v>
      </c>
      <c r="M96" s="530">
        <v>19071.239999999998</v>
      </c>
      <c r="N96" s="530">
        <v>3047.6000000000004</v>
      </c>
      <c r="O96" s="530">
        <v>0</v>
      </c>
      <c r="P96" s="530">
        <v>4713.5700000000006</v>
      </c>
      <c r="Q96" s="530">
        <v>2920.16</v>
      </c>
      <c r="R96" s="530">
        <v>0</v>
      </c>
      <c r="S96" s="530">
        <v>4063.63</v>
      </c>
      <c r="T96" s="530">
        <v>2031.8799999999999</v>
      </c>
      <c r="U96" s="530">
        <v>1176.3</v>
      </c>
      <c r="V96" s="530">
        <v>0</v>
      </c>
      <c r="W96" s="530">
        <v>0</v>
      </c>
      <c r="X96" s="530">
        <v>4955.59</v>
      </c>
      <c r="Y96" s="530">
        <v>0</v>
      </c>
      <c r="Z96" s="530">
        <f t="shared" si="14"/>
        <v>77701.260000000009</v>
      </c>
    </row>
    <row r="97" spans="1:26" s="545" customFormat="1" ht="12.75" x14ac:dyDescent="0.2">
      <c r="A97" s="513">
        <v>62302</v>
      </c>
      <c r="B97" s="529" t="s">
        <v>625</v>
      </c>
      <c r="C97" s="530">
        <v>14198.910000000002</v>
      </c>
      <c r="D97" s="530">
        <v>0</v>
      </c>
      <c r="E97" s="530">
        <v>6442.74</v>
      </c>
      <c r="F97" s="530">
        <v>43069.799999999996</v>
      </c>
      <c r="G97" s="530">
        <v>0</v>
      </c>
      <c r="H97" s="530">
        <v>50572.609999999993</v>
      </c>
      <c r="I97" s="530">
        <v>8312.5600000000013</v>
      </c>
      <c r="J97" s="530">
        <v>17042.05</v>
      </c>
      <c r="K97" s="530">
        <v>0</v>
      </c>
      <c r="L97" s="530">
        <v>0</v>
      </c>
      <c r="M97" s="530">
        <v>44030.68</v>
      </c>
      <c r="N97" s="530">
        <v>5822.58</v>
      </c>
      <c r="O97" s="530">
        <v>0</v>
      </c>
      <c r="P97" s="530">
        <v>21086.25</v>
      </c>
      <c r="Q97" s="530">
        <v>6499.81</v>
      </c>
      <c r="R97" s="530">
        <v>0</v>
      </c>
      <c r="S97" s="530">
        <v>13553.58</v>
      </c>
      <c r="T97" s="530">
        <v>4883.9399999999996</v>
      </c>
      <c r="U97" s="530">
        <v>2291.52</v>
      </c>
      <c r="V97" s="530">
        <v>0</v>
      </c>
      <c r="W97" s="530">
        <v>0</v>
      </c>
      <c r="X97" s="530">
        <v>9320.51</v>
      </c>
      <c r="Y97" s="530">
        <v>0</v>
      </c>
      <c r="Z97" s="530">
        <f t="shared" si="14"/>
        <v>247127.53999999995</v>
      </c>
    </row>
    <row r="98" spans="1:26" s="545" customFormat="1" ht="12.75" x14ac:dyDescent="0.2">
      <c r="A98" s="513">
        <v>62303</v>
      </c>
      <c r="B98" s="529" t="s">
        <v>626</v>
      </c>
      <c r="C98" s="530">
        <v>0</v>
      </c>
      <c r="D98" s="530">
        <v>0</v>
      </c>
      <c r="E98" s="530">
        <v>0</v>
      </c>
      <c r="F98" s="530">
        <v>0</v>
      </c>
      <c r="G98" s="530">
        <v>0</v>
      </c>
      <c r="H98" s="530">
        <v>0</v>
      </c>
      <c r="I98" s="530">
        <v>0</v>
      </c>
      <c r="J98" s="530">
        <v>0</v>
      </c>
      <c r="K98" s="530">
        <v>0</v>
      </c>
      <c r="L98" s="530">
        <v>0</v>
      </c>
      <c r="M98" s="530">
        <v>0</v>
      </c>
      <c r="N98" s="530">
        <v>0</v>
      </c>
      <c r="O98" s="530">
        <v>0</v>
      </c>
      <c r="P98" s="530">
        <v>0</v>
      </c>
      <c r="Q98" s="530">
        <v>0</v>
      </c>
      <c r="R98" s="530">
        <v>0</v>
      </c>
      <c r="S98" s="530">
        <v>0</v>
      </c>
      <c r="T98" s="530">
        <v>0</v>
      </c>
      <c r="U98" s="530">
        <v>0</v>
      </c>
      <c r="V98" s="530">
        <v>0</v>
      </c>
      <c r="W98" s="530">
        <v>0</v>
      </c>
      <c r="X98" s="530">
        <v>0</v>
      </c>
      <c r="Y98" s="530">
        <v>0</v>
      </c>
      <c r="Z98" s="530">
        <f t="shared" si="14"/>
        <v>0</v>
      </c>
    </row>
    <row r="99" spans="1:26" s="545" customFormat="1" ht="12.75" x14ac:dyDescent="0.2">
      <c r="A99" s="513">
        <v>62304</v>
      </c>
      <c r="B99" s="529" t="s">
        <v>627</v>
      </c>
      <c r="C99" s="530">
        <v>19749.010000000002</v>
      </c>
      <c r="D99" s="530">
        <v>0</v>
      </c>
      <c r="E99" s="530">
        <v>7424.23</v>
      </c>
      <c r="F99" s="530">
        <v>11133.82</v>
      </c>
      <c r="G99" s="530">
        <v>0</v>
      </c>
      <c r="H99" s="530">
        <v>21975.279999999999</v>
      </c>
      <c r="I99" s="530">
        <v>8495.51</v>
      </c>
      <c r="J99" s="530">
        <v>15387.49</v>
      </c>
      <c r="K99" s="530">
        <v>0</v>
      </c>
      <c r="L99" s="530">
        <v>0</v>
      </c>
      <c r="M99" s="530">
        <v>67943.570000000007</v>
      </c>
      <c r="N99" s="530">
        <v>7098.0999999999995</v>
      </c>
      <c r="O99" s="530">
        <v>0</v>
      </c>
      <c r="P99" s="530">
        <v>38037.51</v>
      </c>
      <c r="Q99" s="530">
        <v>4300.75</v>
      </c>
      <c r="R99" s="530">
        <v>0</v>
      </c>
      <c r="S99" s="530">
        <v>11137.02</v>
      </c>
      <c r="T99" s="530">
        <v>5013.5199999999995</v>
      </c>
      <c r="U99" s="530">
        <v>4792.53</v>
      </c>
      <c r="V99" s="530">
        <v>0</v>
      </c>
      <c r="W99" s="530">
        <v>0</v>
      </c>
      <c r="X99" s="530">
        <v>7759.6299999999992</v>
      </c>
      <c r="Y99" s="530">
        <v>0</v>
      </c>
      <c r="Z99" s="530">
        <f t="shared" si="14"/>
        <v>230247.97</v>
      </c>
    </row>
    <row r="100" spans="1:26" s="545" customFormat="1" ht="12.75" x14ac:dyDescent="0.2">
      <c r="A100" s="513">
        <v>62305</v>
      </c>
      <c r="B100" s="529" t="s">
        <v>628</v>
      </c>
      <c r="C100" s="530">
        <v>22143.97</v>
      </c>
      <c r="D100" s="530">
        <v>0</v>
      </c>
      <c r="E100" s="530">
        <v>8165.6500000000005</v>
      </c>
      <c r="F100" s="530">
        <v>3300.0000000000005</v>
      </c>
      <c r="G100" s="530">
        <v>0</v>
      </c>
      <c r="H100" s="530">
        <v>79583.5</v>
      </c>
      <c r="I100" s="530">
        <v>9806.31</v>
      </c>
      <c r="J100" s="530">
        <v>12952.920000000002</v>
      </c>
      <c r="K100" s="530">
        <v>0</v>
      </c>
      <c r="L100" s="530">
        <v>0</v>
      </c>
      <c r="M100" s="530">
        <v>67022.17</v>
      </c>
      <c r="N100" s="530">
        <v>7088.1900000000005</v>
      </c>
      <c r="O100" s="530">
        <v>0</v>
      </c>
      <c r="P100" s="530">
        <v>16748.099999999999</v>
      </c>
      <c r="Q100" s="530">
        <v>15118.87</v>
      </c>
      <c r="R100" s="530">
        <v>0</v>
      </c>
      <c r="S100" s="530">
        <v>5747.22</v>
      </c>
      <c r="T100" s="530">
        <v>12595.24</v>
      </c>
      <c r="U100" s="530">
        <v>1708.02</v>
      </c>
      <c r="V100" s="530">
        <v>0</v>
      </c>
      <c r="W100" s="530">
        <v>0</v>
      </c>
      <c r="X100" s="530">
        <v>11501.67</v>
      </c>
      <c r="Y100" s="530">
        <v>0</v>
      </c>
      <c r="Z100" s="530">
        <f t="shared" si="14"/>
        <v>273481.83</v>
      </c>
    </row>
    <row r="101" spans="1:26" s="545" customFormat="1" ht="12.75" x14ac:dyDescent="0.2">
      <c r="A101" s="513">
        <v>62306</v>
      </c>
      <c r="B101" s="529" t="s">
        <v>629</v>
      </c>
      <c r="C101" s="530">
        <v>3509.07</v>
      </c>
      <c r="D101" s="530">
        <v>0</v>
      </c>
      <c r="E101" s="530">
        <v>2843.34</v>
      </c>
      <c r="F101" s="530">
        <v>4208.47</v>
      </c>
      <c r="G101" s="530">
        <v>0</v>
      </c>
      <c r="H101" s="530">
        <v>10735</v>
      </c>
      <c r="I101" s="530">
        <v>2606.21</v>
      </c>
      <c r="J101" s="530">
        <v>3069.06</v>
      </c>
      <c r="K101" s="530">
        <v>0</v>
      </c>
      <c r="L101" s="530">
        <v>0</v>
      </c>
      <c r="M101" s="530">
        <v>12095.84</v>
      </c>
      <c r="N101" s="530">
        <v>1772.0299999999997</v>
      </c>
      <c r="O101" s="530">
        <v>0</v>
      </c>
      <c r="P101" s="530">
        <v>2790.59</v>
      </c>
      <c r="Q101" s="530">
        <v>1821.3200000000002</v>
      </c>
      <c r="R101" s="530">
        <v>0</v>
      </c>
      <c r="S101" s="530">
        <v>2947.99</v>
      </c>
      <c r="T101" s="530">
        <v>1543.3000000000002</v>
      </c>
      <c r="U101" s="530">
        <v>1502.04</v>
      </c>
      <c r="V101" s="530">
        <v>0</v>
      </c>
      <c r="W101" s="530">
        <v>0</v>
      </c>
      <c r="X101" s="530">
        <v>3121.76</v>
      </c>
      <c r="Y101" s="530">
        <v>0</v>
      </c>
      <c r="Z101" s="530">
        <f t="shared" si="14"/>
        <v>54566.020000000004</v>
      </c>
    </row>
    <row r="102" spans="1:26" s="545" customFormat="1" ht="12.75" x14ac:dyDescent="0.2">
      <c r="A102" s="513">
        <v>62600</v>
      </c>
      <c r="B102" s="529" t="s">
        <v>630</v>
      </c>
      <c r="C102" s="530">
        <v>113720.27999999998</v>
      </c>
      <c r="D102" s="530">
        <v>0</v>
      </c>
      <c r="E102" s="530">
        <v>21457.08</v>
      </c>
      <c r="F102" s="530">
        <v>517361.63999999996</v>
      </c>
      <c r="G102" s="530">
        <v>0</v>
      </c>
      <c r="H102" s="530">
        <v>374775.72</v>
      </c>
      <c r="I102" s="530">
        <v>12247.439999999999</v>
      </c>
      <c r="J102" s="530">
        <v>131487.96</v>
      </c>
      <c r="K102" s="530">
        <v>0</v>
      </c>
      <c r="L102" s="530">
        <v>0</v>
      </c>
      <c r="M102" s="530">
        <v>132507.72</v>
      </c>
      <c r="N102" s="530">
        <v>0</v>
      </c>
      <c r="O102" s="530">
        <v>0</v>
      </c>
      <c r="P102" s="530">
        <v>176458.32</v>
      </c>
      <c r="Q102" s="530">
        <v>20318.16</v>
      </c>
      <c r="R102" s="530">
        <v>0</v>
      </c>
      <c r="S102" s="530">
        <v>68187.12000000001</v>
      </c>
      <c r="T102" s="530">
        <v>32878.92</v>
      </c>
      <c r="U102" s="530">
        <v>2599.56</v>
      </c>
      <c r="V102" s="530">
        <v>0</v>
      </c>
      <c r="W102" s="530">
        <v>0</v>
      </c>
      <c r="X102" s="530">
        <v>26042.880000000001</v>
      </c>
      <c r="Y102" s="530">
        <v>0</v>
      </c>
      <c r="Z102" s="530">
        <f t="shared" si="14"/>
        <v>1630042.7999999998</v>
      </c>
    </row>
    <row r="103" spans="1:26" s="545" customFormat="1" ht="12.75" x14ac:dyDescent="0.2">
      <c r="A103" s="513">
        <v>62601</v>
      </c>
      <c r="B103" s="529" t="s">
        <v>631</v>
      </c>
      <c r="C103" s="530">
        <v>0</v>
      </c>
      <c r="D103" s="530">
        <v>0</v>
      </c>
      <c r="E103" s="530">
        <v>5000</v>
      </c>
      <c r="F103" s="530">
        <v>865422.99999999988</v>
      </c>
      <c r="G103" s="530">
        <v>0</v>
      </c>
      <c r="H103" s="530">
        <v>12000</v>
      </c>
      <c r="I103" s="530">
        <v>3000</v>
      </c>
      <c r="J103" s="530">
        <v>0</v>
      </c>
      <c r="K103" s="530">
        <v>0</v>
      </c>
      <c r="L103" s="530">
        <v>0</v>
      </c>
      <c r="M103" s="530">
        <v>7500</v>
      </c>
      <c r="N103" s="530">
        <v>7500</v>
      </c>
      <c r="O103" s="530">
        <v>0</v>
      </c>
      <c r="P103" s="530">
        <v>0</v>
      </c>
      <c r="Q103" s="530">
        <v>0</v>
      </c>
      <c r="R103" s="530">
        <v>0</v>
      </c>
      <c r="S103" s="530">
        <v>0</v>
      </c>
      <c r="T103" s="530">
        <v>750</v>
      </c>
      <c r="U103" s="530">
        <v>0</v>
      </c>
      <c r="V103" s="530">
        <v>0</v>
      </c>
      <c r="W103" s="530">
        <v>0</v>
      </c>
      <c r="X103" s="530">
        <v>0</v>
      </c>
      <c r="Y103" s="530">
        <v>0</v>
      </c>
      <c r="Z103" s="530">
        <f t="shared" si="14"/>
        <v>901172.99999999988</v>
      </c>
    </row>
    <row r="104" spans="1:26" s="545" customFormat="1" ht="12.75" x14ac:dyDescent="0.2">
      <c r="A104" s="513">
        <v>62400</v>
      </c>
      <c r="B104" s="553" t="s">
        <v>632</v>
      </c>
      <c r="C104" s="531">
        <v>0</v>
      </c>
      <c r="D104" s="531">
        <v>0</v>
      </c>
      <c r="E104" s="531">
        <v>0</v>
      </c>
      <c r="F104" s="531">
        <v>0</v>
      </c>
      <c r="G104" s="531">
        <v>0</v>
      </c>
      <c r="H104" s="531">
        <v>0</v>
      </c>
      <c r="I104" s="531">
        <v>0</v>
      </c>
      <c r="J104" s="531">
        <v>0</v>
      </c>
      <c r="K104" s="531">
        <v>0</v>
      </c>
      <c r="L104" s="531">
        <v>0</v>
      </c>
      <c r="M104" s="531">
        <v>0</v>
      </c>
      <c r="N104" s="531">
        <v>0</v>
      </c>
      <c r="O104" s="531">
        <v>0</v>
      </c>
      <c r="P104" s="531">
        <v>0</v>
      </c>
      <c r="Q104" s="531">
        <v>0</v>
      </c>
      <c r="R104" s="531">
        <v>0</v>
      </c>
      <c r="S104" s="531">
        <v>0</v>
      </c>
      <c r="T104" s="531">
        <v>0</v>
      </c>
      <c r="U104" s="531">
        <v>0</v>
      </c>
      <c r="V104" s="531">
        <v>0</v>
      </c>
      <c r="W104" s="531">
        <v>0</v>
      </c>
      <c r="X104" s="531">
        <v>0</v>
      </c>
      <c r="Y104" s="531">
        <v>0</v>
      </c>
      <c r="Z104" s="531">
        <f t="shared" si="14"/>
        <v>0</v>
      </c>
    </row>
    <row r="105" spans="1:26" s="428" customFormat="1" ht="12.75" x14ac:dyDescent="0.2">
      <c r="A105" s="513">
        <v>62950</v>
      </c>
      <c r="B105" s="532" t="s">
        <v>633</v>
      </c>
      <c r="C105" s="533">
        <f t="shared" ref="C105:Z105" si="15">SUM(C79:C104)</f>
        <v>713130.58000000007</v>
      </c>
      <c r="D105" s="533">
        <f t="shared" si="15"/>
        <v>0</v>
      </c>
      <c r="E105" s="533">
        <f t="shared" si="15"/>
        <v>261779.90999999997</v>
      </c>
      <c r="F105" s="533">
        <f t="shared" si="15"/>
        <v>2430581.17</v>
      </c>
      <c r="G105" s="533">
        <f t="shared" si="15"/>
        <v>0</v>
      </c>
      <c r="H105" s="533">
        <f t="shared" si="15"/>
        <v>2382468.9499999997</v>
      </c>
      <c r="I105" s="533">
        <f t="shared" si="15"/>
        <v>336680.89</v>
      </c>
      <c r="J105" s="533">
        <f t="shared" si="15"/>
        <v>687703.01000000013</v>
      </c>
      <c r="K105" s="533">
        <f t="shared" si="15"/>
        <v>-7308.58</v>
      </c>
      <c r="L105" s="533">
        <f t="shared" si="15"/>
        <v>-2211.69</v>
      </c>
      <c r="M105" s="533">
        <f t="shared" si="15"/>
        <v>1824288.29</v>
      </c>
      <c r="N105" s="533">
        <f t="shared" si="15"/>
        <v>209492.23</v>
      </c>
      <c r="O105" s="533">
        <f t="shared" si="15"/>
        <v>0</v>
      </c>
      <c r="P105" s="533">
        <f t="shared" si="15"/>
        <v>886630.64999999991</v>
      </c>
      <c r="Q105" s="533">
        <f t="shared" si="15"/>
        <v>281537.61999999994</v>
      </c>
      <c r="R105" s="533">
        <f t="shared" si="15"/>
        <v>-25662.67</v>
      </c>
      <c r="S105" s="533">
        <f t="shared" si="15"/>
        <v>478057.6</v>
      </c>
      <c r="T105" s="533">
        <f t="shared" si="15"/>
        <v>255315.37</v>
      </c>
      <c r="U105" s="533">
        <f t="shared" si="15"/>
        <v>70477.099999999977</v>
      </c>
      <c r="V105" s="533">
        <f t="shared" si="15"/>
        <v>0</v>
      </c>
      <c r="W105" s="533">
        <f t="shared" si="15"/>
        <v>737418.15</v>
      </c>
      <c r="X105" s="533">
        <f t="shared" si="15"/>
        <v>446601.01</v>
      </c>
      <c r="Y105" s="533">
        <f t="shared" si="15"/>
        <v>0</v>
      </c>
      <c r="Z105" s="533">
        <f t="shared" si="15"/>
        <v>11966979.59</v>
      </c>
    </row>
    <row r="106" spans="1:26" s="428" customFormat="1" ht="12.75" x14ac:dyDescent="0.2">
      <c r="A106" s="513"/>
      <c r="B106" s="516"/>
      <c r="C106" s="528"/>
      <c r="D106" s="528"/>
      <c r="E106" s="528"/>
      <c r="F106" s="528"/>
      <c r="G106" s="528"/>
      <c r="H106" s="528"/>
      <c r="I106" s="528"/>
      <c r="J106" s="528"/>
      <c r="K106" s="528"/>
      <c r="L106" s="528"/>
      <c r="M106" s="528"/>
      <c r="N106" s="528"/>
      <c r="O106" s="528"/>
      <c r="P106" s="528"/>
      <c r="Q106" s="528"/>
      <c r="R106" s="528"/>
      <c r="S106" s="528"/>
      <c r="T106" s="528"/>
      <c r="U106" s="528"/>
      <c r="V106" s="528"/>
      <c r="W106" s="528"/>
      <c r="X106" s="528"/>
      <c r="Y106" s="528"/>
      <c r="Z106" s="528"/>
    </row>
    <row r="107" spans="1:26" s="428" customFormat="1" ht="12.75" x14ac:dyDescent="0.2">
      <c r="A107" s="513"/>
      <c r="B107" s="516" t="s">
        <v>634</v>
      </c>
      <c r="C107" s="528"/>
      <c r="D107" s="528"/>
      <c r="E107" s="528"/>
      <c r="F107" s="528"/>
      <c r="G107" s="528"/>
      <c r="H107" s="528"/>
      <c r="I107" s="528"/>
      <c r="J107" s="528"/>
      <c r="K107" s="528"/>
      <c r="L107" s="528"/>
      <c r="M107" s="528"/>
      <c r="N107" s="528"/>
      <c r="O107" s="528"/>
      <c r="P107" s="528"/>
      <c r="Q107" s="528"/>
      <c r="R107" s="528"/>
      <c r="S107" s="528"/>
      <c r="T107" s="528"/>
      <c r="U107" s="528"/>
      <c r="V107" s="528"/>
      <c r="W107" s="528"/>
      <c r="X107" s="528"/>
      <c r="Y107" s="528"/>
      <c r="Z107" s="528"/>
    </row>
    <row r="108" spans="1:26" s="545" customFormat="1" ht="12.75" x14ac:dyDescent="0.2">
      <c r="A108" s="513">
        <v>63100</v>
      </c>
      <c r="B108" s="529" t="s">
        <v>635</v>
      </c>
      <c r="C108" s="530">
        <v>0</v>
      </c>
      <c r="D108" s="530">
        <v>0</v>
      </c>
      <c r="E108" s="530">
        <v>0</v>
      </c>
      <c r="F108" s="530">
        <v>0</v>
      </c>
      <c r="G108" s="530">
        <v>0</v>
      </c>
      <c r="H108" s="530">
        <v>0</v>
      </c>
      <c r="I108" s="530">
        <v>0</v>
      </c>
      <c r="J108" s="530">
        <v>0</v>
      </c>
      <c r="K108" s="530">
        <v>0</v>
      </c>
      <c r="L108" s="530">
        <v>0</v>
      </c>
      <c r="M108" s="530">
        <v>0</v>
      </c>
      <c r="N108" s="530">
        <v>0</v>
      </c>
      <c r="O108" s="530">
        <v>0</v>
      </c>
      <c r="P108" s="530">
        <v>0</v>
      </c>
      <c r="Q108" s="530">
        <v>0</v>
      </c>
      <c r="R108" s="530">
        <v>0</v>
      </c>
      <c r="S108" s="530">
        <v>0</v>
      </c>
      <c r="T108" s="530">
        <v>0</v>
      </c>
      <c r="U108" s="530">
        <v>0</v>
      </c>
      <c r="V108" s="530">
        <v>0</v>
      </c>
      <c r="W108" s="530">
        <v>0</v>
      </c>
      <c r="X108" s="530">
        <v>0</v>
      </c>
      <c r="Y108" s="530">
        <v>0</v>
      </c>
      <c r="Z108" s="530">
        <f t="shared" ref="Z108:Z115" si="16">SUM(C108:Y108)</f>
        <v>0</v>
      </c>
    </row>
    <row r="109" spans="1:26" s="545" customFormat="1" ht="12.75" x14ac:dyDescent="0.2">
      <c r="A109" s="513">
        <v>63200</v>
      </c>
      <c r="B109" s="529" t="s">
        <v>636</v>
      </c>
      <c r="C109" s="530">
        <v>7800</v>
      </c>
      <c r="D109" s="530">
        <v>0</v>
      </c>
      <c r="E109" s="530">
        <v>0</v>
      </c>
      <c r="F109" s="530">
        <v>0</v>
      </c>
      <c r="G109" s="530">
        <v>0</v>
      </c>
      <c r="H109" s="530">
        <v>0</v>
      </c>
      <c r="I109" s="530">
        <v>0</v>
      </c>
      <c r="J109" s="530">
        <v>0</v>
      </c>
      <c r="K109" s="530">
        <v>0</v>
      </c>
      <c r="L109" s="530">
        <v>0</v>
      </c>
      <c r="M109" s="530">
        <v>0</v>
      </c>
      <c r="N109" s="530">
        <v>0</v>
      </c>
      <c r="O109" s="530">
        <v>0</v>
      </c>
      <c r="P109" s="530">
        <v>0</v>
      </c>
      <c r="Q109" s="530">
        <v>0</v>
      </c>
      <c r="R109" s="530">
        <v>0</v>
      </c>
      <c r="S109" s="530">
        <v>0</v>
      </c>
      <c r="T109" s="530">
        <v>0</v>
      </c>
      <c r="U109" s="530">
        <v>0</v>
      </c>
      <c r="V109" s="530">
        <v>0</v>
      </c>
      <c r="W109" s="530">
        <v>0</v>
      </c>
      <c r="X109" s="530">
        <v>0</v>
      </c>
      <c r="Y109" s="530">
        <v>0</v>
      </c>
      <c r="Z109" s="530">
        <f t="shared" si="16"/>
        <v>7800</v>
      </c>
    </row>
    <row r="110" spans="1:26" s="545" customFormat="1" ht="12.75" x14ac:dyDescent="0.2">
      <c r="A110" s="513">
        <v>63250</v>
      </c>
      <c r="B110" s="529" t="s">
        <v>637</v>
      </c>
      <c r="C110" s="530">
        <v>147.57000000000002</v>
      </c>
      <c r="D110" s="530">
        <v>0</v>
      </c>
      <c r="E110" s="530">
        <v>230.86</v>
      </c>
      <c r="F110" s="530">
        <v>47.24</v>
      </c>
      <c r="G110" s="530">
        <v>0</v>
      </c>
      <c r="H110" s="530">
        <v>1516.41</v>
      </c>
      <c r="I110" s="530">
        <v>4.42</v>
      </c>
      <c r="J110" s="530">
        <v>0</v>
      </c>
      <c r="K110" s="530">
        <v>0</v>
      </c>
      <c r="L110" s="530">
        <v>0</v>
      </c>
      <c r="M110" s="530">
        <v>1755.88</v>
      </c>
      <c r="N110" s="530">
        <v>0</v>
      </c>
      <c r="O110" s="530">
        <v>147.91999999999999</v>
      </c>
      <c r="P110" s="530">
        <v>0</v>
      </c>
      <c r="Q110" s="530">
        <v>0</v>
      </c>
      <c r="R110" s="530">
        <v>0</v>
      </c>
      <c r="S110" s="530">
        <v>145.47</v>
      </c>
      <c r="T110" s="530">
        <v>52.470000000000006</v>
      </c>
      <c r="U110" s="530">
        <v>0</v>
      </c>
      <c r="V110" s="530">
        <v>0</v>
      </c>
      <c r="W110" s="530">
        <v>0</v>
      </c>
      <c r="X110" s="530">
        <v>373.71</v>
      </c>
      <c r="Y110" s="530">
        <v>0</v>
      </c>
      <c r="Z110" s="530">
        <f t="shared" si="16"/>
        <v>4421.95</v>
      </c>
    </row>
    <row r="111" spans="1:26" s="545" customFormat="1" ht="12.75" x14ac:dyDescent="0.2">
      <c r="A111" s="513">
        <v>63300</v>
      </c>
      <c r="B111" s="529" t="s">
        <v>638</v>
      </c>
      <c r="C111" s="530">
        <v>0</v>
      </c>
      <c r="D111" s="530">
        <v>0</v>
      </c>
      <c r="E111" s="530">
        <v>0</v>
      </c>
      <c r="F111" s="530">
        <v>0</v>
      </c>
      <c r="G111" s="530">
        <v>0</v>
      </c>
      <c r="H111" s="530">
        <v>0</v>
      </c>
      <c r="I111" s="530">
        <v>0</v>
      </c>
      <c r="J111" s="530">
        <v>0</v>
      </c>
      <c r="K111" s="530">
        <v>0</v>
      </c>
      <c r="L111" s="530">
        <v>0</v>
      </c>
      <c r="M111" s="530">
        <v>0</v>
      </c>
      <c r="N111" s="530">
        <v>0</v>
      </c>
      <c r="O111" s="530">
        <v>0</v>
      </c>
      <c r="P111" s="530">
        <v>0</v>
      </c>
      <c r="Q111" s="530">
        <v>0</v>
      </c>
      <c r="R111" s="530">
        <v>0</v>
      </c>
      <c r="S111" s="530">
        <v>0</v>
      </c>
      <c r="T111" s="530">
        <v>0</v>
      </c>
      <c r="U111" s="530">
        <v>0</v>
      </c>
      <c r="V111" s="530">
        <v>0</v>
      </c>
      <c r="W111" s="530">
        <v>0</v>
      </c>
      <c r="X111" s="530">
        <v>0</v>
      </c>
      <c r="Y111" s="530">
        <v>0</v>
      </c>
      <c r="Z111" s="530">
        <f t="shared" si="16"/>
        <v>0</v>
      </c>
    </row>
    <row r="112" spans="1:26" s="545" customFormat="1" ht="12.75" x14ac:dyDescent="0.2">
      <c r="A112" s="513">
        <v>63400</v>
      </c>
      <c r="B112" s="529" t="s">
        <v>639</v>
      </c>
      <c r="C112" s="530">
        <v>0</v>
      </c>
      <c r="D112" s="530">
        <v>0</v>
      </c>
      <c r="E112" s="530">
        <v>0</v>
      </c>
      <c r="F112" s="530">
        <v>0</v>
      </c>
      <c r="G112" s="530">
        <v>0</v>
      </c>
      <c r="H112" s="530">
        <v>0</v>
      </c>
      <c r="I112" s="530">
        <v>0</v>
      </c>
      <c r="J112" s="530">
        <v>0</v>
      </c>
      <c r="K112" s="530">
        <v>0</v>
      </c>
      <c r="L112" s="530">
        <v>0</v>
      </c>
      <c r="M112" s="530">
        <v>0</v>
      </c>
      <c r="N112" s="530">
        <v>0</v>
      </c>
      <c r="O112" s="530">
        <v>0</v>
      </c>
      <c r="P112" s="530">
        <v>0</v>
      </c>
      <c r="Q112" s="530">
        <v>0</v>
      </c>
      <c r="R112" s="530">
        <v>0</v>
      </c>
      <c r="S112" s="530">
        <v>0</v>
      </c>
      <c r="T112" s="530">
        <v>0</v>
      </c>
      <c r="U112" s="530">
        <v>16.04</v>
      </c>
      <c r="V112" s="530">
        <v>0</v>
      </c>
      <c r="W112" s="530">
        <v>0</v>
      </c>
      <c r="X112" s="530">
        <v>0</v>
      </c>
      <c r="Y112" s="530">
        <v>0</v>
      </c>
      <c r="Z112" s="530">
        <f t="shared" si="16"/>
        <v>16.04</v>
      </c>
    </row>
    <row r="113" spans="1:29" s="545" customFormat="1" ht="12.75" x14ac:dyDescent="0.2">
      <c r="A113" s="513">
        <v>63450</v>
      </c>
      <c r="B113" s="529" t="s">
        <v>640</v>
      </c>
      <c r="C113" s="530">
        <v>0</v>
      </c>
      <c r="D113" s="530">
        <v>0</v>
      </c>
      <c r="E113" s="530">
        <v>0</v>
      </c>
      <c r="F113" s="530">
        <v>0</v>
      </c>
      <c r="G113" s="530">
        <v>0</v>
      </c>
      <c r="H113" s="530">
        <v>63.69</v>
      </c>
      <c r="I113" s="530">
        <v>0</v>
      </c>
      <c r="J113" s="530">
        <v>12.97</v>
      </c>
      <c r="K113" s="530">
        <v>0</v>
      </c>
      <c r="L113" s="530">
        <v>0</v>
      </c>
      <c r="M113" s="530">
        <v>178.88</v>
      </c>
      <c r="N113" s="530">
        <v>0</v>
      </c>
      <c r="O113" s="530">
        <v>494.39</v>
      </c>
      <c r="P113" s="530">
        <v>20</v>
      </c>
      <c r="Q113" s="530">
        <v>0</v>
      </c>
      <c r="R113" s="530">
        <v>0</v>
      </c>
      <c r="S113" s="530">
        <v>14.67</v>
      </c>
      <c r="T113" s="530">
        <v>0</v>
      </c>
      <c r="U113" s="530">
        <v>0</v>
      </c>
      <c r="V113" s="530">
        <v>0</v>
      </c>
      <c r="W113" s="530">
        <v>0</v>
      </c>
      <c r="X113" s="530">
        <v>117.47</v>
      </c>
      <c r="Y113" s="530">
        <v>0</v>
      </c>
      <c r="Z113" s="530">
        <f t="shared" si="16"/>
        <v>902.06999999999994</v>
      </c>
    </row>
    <row r="114" spans="1:29" s="545" customFormat="1" ht="12.75" x14ac:dyDescent="0.2">
      <c r="A114" s="513">
        <v>63460</v>
      </c>
      <c r="B114" s="529" t="s">
        <v>641</v>
      </c>
      <c r="C114" s="530">
        <v>0</v>
      </c>
      <c r="D114" s="530">
        <v>0</v>
      </c>
      <c r="E114" s="530">
        <v>0</v>
      </c>
      <c r="F114" s="530">
        <v>0</v>
      </c>
      <c r="G114" s="530">
        <v>0</v>
      </c>
      <c r="H114" s="530">
        <v>0</v>
      </c>
      <c r="I114" s="530">
        <v>0</v>
      </c>
      <c r="J114" s="530">
        <v>0</v>
      </c>
      <c r="K114" s="530">
        <v>0</v>
      </c>
      <c r="L114" s="530">
        <v>0</v>
      </c>
      <c r="M114" s="530">
        <v>0</v>
      </c>
      <c r="N114" s="530">
        <v>0</v>
      </c>
      <c r="O114" s="530">
        <v>0</v>
      </c>
      <c r="P114" s="530">
        <v>0</v>
      </c>
      <c r="Q114" s="530">
        <v>0</v>
      </c>
      <c r="R114" s="530">
        <v>0</v>
      </c>
      <c r="S114" s="530">
        <v>0</v>
      </c>
      <c r="T114" s="530">
        <v>0</v>
      </c>
      <c r="U114" s="530">
        <v>189</v>
      </c>
      <c r="V114" s="530">
        <v>0</v>
      </c>
      <c r="W114" s="530">
        <v>1499.5</v>
      </c>
      <c r="X114" s="530">
        <v>0</v>
      </c>
      <c r="Y114" s="530">
        <v>0</v>
      </c>
      <c r="Z114" s="530">
        <f t="shared" si="16"/>
        <v>1688.5</v>
      </c>
    </row>
    <row r="115" spans="1:29" s="545" customFormat="1" ht="12.75" x14ac:dyDescent="0.2">
      <c r="A115" s="513">
        <v>63470</v>
      </c>
      <c r="B115" s="553" t="s">
        <v>642</v>
      </c>
      <c r="C115" s="530">
        <v>0</v>
      </c>
      <c r="D115" s="530">
        <v>0</v>
      </c>
      <c r="E115" s="530">
        <v>0</v>
      </c>
      <c r="F115" s="530">
        <v>0</v>
      </c>
      <c r="G115" s="530">
        <v>0</v>
      </c>
      <c r="H115" s="530">
        <v>0</v>
      </c>
      <c r="I115" s="530">
        <v>0</v>
      </c>
      <c r="J115" s="530">
        <v>0</v>
      </c>
      <c r="K115" s="530">
        <v>0</v>
      </c>
      <c r="L115" s="530">
        <v>0</v>
      </c>
      <c r="M115" s="530">
        <v>0</v>
      </c>
      <c r="N115" s="530">
        <v>0</v>
      </c>
      <c r="O115" s="530">
        <v>0</v>
      </c>
      <c r="P115" s="530">
        <v>0</v>
      </c>
      <c r="Q115" s="530">
        <v>0</v>
      </c>
      <c r="R115" s="530">
        <v>0</v>
      </c>
      <c r="S115" s="530">
        <v>0</v>
      </c>
      <c r="T115" s="530">
        <v>0</v>
      </c>
      <c r="U115" s="530">
        <v>0</v>
      </c>
      <c r="V115" s="530">
        <v>0</v>
      </c>
      <c r="W115" s="530">
        <v>0</v>
      </c>
      <c r="X115" s="530">
        <v>0</v>
      </c>
      <c r="Y115" s="530">
        <v>0</v>
      </c>
      <c r="Z115" s="530">
        <f t="shared" si="16"/>
        <v>0</v>
      </c>
    </row>
    <row r="116" spans="1:29" s="428" customFormat="1" ht="12.75" x14ac:dyDescent="0.2">
      <c r="A116" s="513">
        <v>63500</v>
      </c>
      <c r="B116" s="536" t="s">
        <v>643</v>
      </c>
      <c r="C116" s="537">
        <f t="shared" ref="C116:Z116" si="17">SUM(C108:C115)</f>
        <v>7947.57</v>
      </c>
      <c r="D116" s="537">
        <f t="shared" si="17"/>
        <v>0</v>
      </c>
      <c r="E116" s="537">
        <f t="shared" si="17"/>
        <v>230.86</v>
      </c>
      <c r="F116" s="537">
        <f t="shared" si="17"/>
        <v>47.24</v>
      </c>
      <c r="G116" s="537">
        <f t="shared" si="17"/>
        <v>0</v>
      </c>
      <c r="H116" s="537">
        <f t="shared" si="17"/>
        <v>1580.1000000000001</v>
      </c>
      <c r="I116" s="537">
        <f t="shared" si="17"/>
        <v>4.42</v>
      </c>
      <c r="J116" s="537">
        <f t="shared" si="17"/>
        <v>12.97</v>
      </c>
      <c r="K116" s="537">
        <f t="shared" si="17"/>
        <v>0</v>
      </c>
      <c r="L116" s="537">
        <f t="shared" si="17"/>
        <v>0</v>
      </c>
      <c r="M116" s="537">
        <f t="shared" si="17"/>
        <v>1934.7600000000002</v>
      </c>
      <c r="N116" s="537">
        <f t="shared" si="17"/>
        <v>0</v>
      </c>
      <c r="O116" s="537">
        <f t="shared" si="17"/>
        <v>642.30999999999995</v>
      </c>
      <c r="P116" s="537">
        <f t="shared" si="17"/>
        <v>20</v>
      </c>
      <c r="Q116" s="537">
        <f t="shared" si="17"/>
        <v>0</v>
      </c>
      <c r="R116" s="537">
        <f t="shared" si="17"/>
        <v>0</v>
      </c>
      <c r="S116" s="537">
        <f t="shared" si="17"/>
        <v>160.13999999999999</v>
      </c>
      <c r="T116" s="537">
        <f t="shared" si="17"/>
        <v>52.470000000000006</v>
      </c>
      <c r="U116" s="537">
        <f t="shared" si="17"/>
        <v>205.04</v>
      </c>
      <c r="V116" s="537">
        <f t="shared" si="17"/>
        <v>0</v>
      </c>
      <c r="W116" s="537">
        <f t="shared" si="17"/>
        <v>1499.5</v>
      </c>
      <c r="X116" s="537">
        <f t="shared" si="17"/>
        <v>491.17999999999995</v>
      </c>
      <c r="Y116" s="537">
        <f t="shared" si="17"/>
        <v>0</v>
      </c>
      <c r="Z116" s="537">
        <f t="shared" si="17"/>
        <v>14828.560000000001</v>
      </c>
    </row>
    <row r="117" spans="1:29" s="428" customFormat="1" ht="12.75" x14ac:dyDescent="0.2">
      <c r="A117" s="513"/>
      <c r="B117" s="516"/>
      <c r="C117" s="528"/>
      <c r="D117" s="528"/>
      <c r="E117" s="528"/>
      <c r="F117" s="528"/>
      <c r="G117" s="528"/>
      <c r="H117" s="528"/>
      <c r="I117" s="528"/>
      <c r="J117" s="528"/>
      <c r="K117" s="528"/>
      <c r="L117" s="528"/>
      <c r="M117" s="528"/>
      <c r="N117" s="528"/>
      <c r="O117" s="528"/>
      <c r="P117" s="528"/>
      <c r="Q117" s="528"/>
      <c r="R117" s="528"/>
      <c r="S117" s="528"/>
      <c r="T117" s="528"/>
      <c r="U117" s="528"/>
      <c r="V117" s="528"/>
      <c r="W117" s="528"/>
      <c r="X117" s="528"/>
      <c r="Y117" s="528"/>
      <c r="Z117" s="528"/>
    </row>
    <row r="118" spans="1:29" s="428" customFormat="1" ht="12.75" x14ac:dyDescent="0.2">
      <c r="A118" s="513"/>
      <c r="B118" s="516" t="s">
        <v>644</v>
      </c>
      <c r="C118" s="528"/>
      <c r="D118" s="528"/>
      <c r="E118" s="528"/>
      <c r="F118" s="528"/>
      <c r="G118" s="528"/>
      <c r="H118" s="528"/>
      <c r="I118" s="528"/>
      <c r="J118" s="528"/>
      <c r="K118" s="528"/>
      <c r="L118" s="528"/>
      <c r="M118" s="528"/>
      <c r="N118" s="528"/>
      <c r="O118" s="528"/>
      <c r="P118" s="528"/>
      <c r="Q118" s="528"/>
      <c r="R118" s="528"/>
      <c r="S118" s="528"/>
      <c r="T118" s="528"/>
      <c r="U118" s="528"/>
      <c r="V118" s="528"/>
      <c r="W118" s="528"/>
      <c r="X118" s="528"/>
      <c r="Y118" s="528"/>
      <c r="Z118" s="528"/>
    </row>
    <row r="119" spans="1:29" s="545" customFormat="1" ht="12.75" x14ac:dyDescent="0.2">
      <c r="A119" s="513">
        <v>64100</v>
      </c>
      <c r="B119" s="529" t="s">
        <v>645</v>
      </c>
      <c r="C119" s="530">
        <v>1240.29</v>
      </c>
      <c r="D119" s="530">
        <v>0</v>
      </c>
      <c r="E119" s="530">
        <v>0</v>
      </c>
      <c r="F119" s="530">
        <v>225.99999999999997</v>
      </c>
      <c r="G119" s="530">
        <v>0</v>
      </c>
      <c r="H119" s="530">
        <v>781.81</v>
      </c>
      <c r="I119" s="530">
        <v>0</v>
      </c>
      <c r="J119" s="530">
        <v>139.69999999999999</v>
      </c>
      <c r="K119" s="530">
        <v>0</v>
      </c>
      <c r="L119" s="530">
        <v>0</v>
      </c>
      <c r="M119" s="530">
        <v>445.13</v>
      </c>
      <c r="N119" s="530">
        <v>0</v>
      </c>
      <c r="O119" s="530">
        <v>0</v>
      </c>
      <c r="P119" s="530">
        <v>0</v>
      </c>
      <c r="Q119" s="530">
        <v>0</v>
      </c>
      <c r="R119" s="530">
        <v>0</v>
      </c>
      <c r="S119" s="530">
        <v>565.42999999999995</v>
      </c>
      <c r="T119" s="530">
        <v>121.27</v>
      </c>
      <c r="U119" s="530">
        <v>0</v>
      </c>
      <c r="V119" s="530">
        <v>0</v>
      </c>
      <c r="W119" s="530">
        <v>0</v>
      </c>
      <c r="X119" s="530">
        <v>39.04</v>
      </c>
      <c r="Y119" s="530">
        <v>0</v>
      </c>
      <c r="Z119" s="530">
        <f t="shared" ref="Z119:Z124" si="18">SUM(C119:Y119)</f>
        <v>3558.6699999999996</v>
      </c>
    </row>
    <row r="120" spans="1:29" s="545" customFormat="1" ht="12.75" x14ac:dyDescent="0.2">
      <c r="A120" s="513">
        <v>64150</v>
      </c>
      <c r="B120" s="529" t="s">
        <v>646</v>
      </c>
      <c r="C120" s="530">
        <v>650.11</v>
      </c>
      <c r="D120" s="530">
        <v>0</v>
      </c>
      <c r="E120" s="530">
        <v>4172.99</v>
      </c>
      <c r="F120" s="530">
        <v>234.36</v>
      </c>
      <c r="G120" s="530">
        <v>0</v>
      </c>
      <c r="H120" s="530">
        <v>3244.4</v>
      </c>
      <c r="I120" s="530">
        <v>226.66000000000003</v>
      </c>
      <c r="J120" s="530">
        <v>428.90000000000003</v>
      </c>
      <c r="K120" s="530">
        <v>0</v>
      </c>
      <c r="L120" s="530">
        <v>0</v>
      </c>
      <c r="M120" s="530">
        <v>3657.0299999999997</v>
      </c>
      <c r="N120" s="530">
        <v>53.500000000000007</v>
      </c>
      <c r="O120" s="530">
        <v>0</v>
      </c>
      <c r="P120" s="530">
        <v>410.92</v>
      </c>
      <c r="Q120" s="530">
        <v>637.73</v>
      </c>
      <c r="R120" s="530">
        <v>0</v>
      </c>
      <c r="S120" s="530">
        <v>52.72</v>
      </c>
      <c r="T120" s="530">
        <v>274.92</v>
      </c>
      <c r="U120" s="530">
        <v>647.97</v>
      </c>
      <c r="V120" s="530">
        <v>0</v>
      </c>
      <c r="W120" s="530">
        <v>0</v>
      </c>
      <c r="X120" s="530">
        <v>653.61</v>
      </c>
      <c r="Y120" s="530">
        <v>0</v>
      </c>
      <c r="Z120" s="530">
        <f t="shared" si="18"/>
        <v>15345.819999999996</v>
      </c>
    </row>
    <row r="121" spans="1:29" s="545" customFormat="1" ht="12.75" x14ac:dyDescent="0.2">
      <c r="A121" s="513">
        <v>64200</v>
      </c>
      <c r="B121" s="529" t="s">
        <v>647</v>
      </c>
      <c r="C121" s="530">
        <v>0</v>
      </c>
      <c r="D121" s="530">
        <v>0</v>
      </c>
      <c r="E121" s="530">
        <v>7419</v>
      </c>
      <c r="F121" s="530">
        <v>0</v>
      </c>
      <c r="G121" s="530">
        <v>0</v>
      </c>
      <c r="H121" s="530">
        <v>0</v>
      </c>
      <c r="I121" s="530">
        <v>0</v>
      </c>
      <c r="J121" s="530">
        <v>0</v>
      </c>
      <c r="K121" s="530">
        <v>0</v>
      </c>
      <c r="L121" s="530">
        <v>0</v>
      </c>
      <c r="M121" s="530">
        <v>216171.91</v>
      </c>
      <c r="N121" s="530">
        <v>0</v>
      </c>
      <c r="O121" s="530">
        <v>0</v>
      </c>
      <c r="P121" s="530">
        <v>0</v>
      </c>
      <c r="Q121" s="530">
        <v>0</v>
      </c>
      <c r="R121" s="530">
        <v>0</v>
      </c>
      <c r="S121" s="530">
        <v>0</v>
      </c>
      <c r="T121" s="530">
        <v>0</v>
      </c>
      <c r="U121" s="530">
        <v>0</v>
      </c>
      <c r="V121" s="530">
        <v>0</v>
      </c>
      <c r="W121" s="530">
        <v>0</v>
      </c>
      <c r="X121" s="530">
        <v>0</v>
      </c>
      <c r="Y121" s="530">
        <v>0</v>
      </c>
      <c r="Z121" s="530">
        <f t="shared" si="18"/>
        <v>223590.91</v>
      </c>
    </row>
    <row r="122" spans="1:29" s="545" customFormat="1" ht="12.75" x14ac:dyDescent="0.2">
      <c r="A122" s="513">
        <v>64248</v>
      </c>
      <c r="B122" s="529" t="s">
        <v>648</v>
      </c>
      <c r="C122" s="530">
        <v>20476.7</v>
      </c>
      <c r="D122" s="530">
        <v>0</v>
      </c>
      <c r="E122" s="1156">
        <v>32736.959999999999</v>
      </c>
      <c r="F122" s="530">
        <v>27260.48</v>
      </c>
      <c r="G122" s="530">
        <v>0</v>
      </c>
      <c r="H122" s="530">
        <v>249694.63999999998</v>
      </c>
      <c r="I122" s="530">
        <v>0</v>
      </c>
      <c r="J122" s="530">
        <v>870367.12000000011</v>
      </c>
      <c r="K122" s="1155">
        <v>0</v>
      </c>
      <c r="L122" s="1155">
        <v>0</v>
      </c>
      <c r="M122" s="1155">
        <v>798387.92999999993</v>
      </c>
      <c r="N122" s="1155">
        <v>0</v>
      </c>
      <c r="O122" s="530">
        <v>0</v>
      </c>
      <c r="P122" s="530">
        <v>836.74</v>
      </c>
      <c r="Q122" s="530">
        <v>0</v>
      </c>
      <c r="R122" s="530">
        <v>0</v>
      </c>
      <c r="S122" s="530">
        <v>262.7</v>
      </c>
      <c r="T122" s="530">
        <v>0</v>
      </c>
      <c r="U122" s="530">
        <v>0</v>
      </c>
      <c r="V122" s="530">
        <v>0</v>
      </c>
      <c r="W122" s="530">
        <v>0</v>
      </c>
      <c r="X122" s="530">
        <v>7314.4400000000005</v>
      </c>
      <c r="Y122" s="530">
        <v>0</v>
      </c>
      <c r="Z122" s="530">
        <f t="shared" si="18"/>
        <v>2007337.71</v>
      </c>
      <c r="AA122" s="554"/>
      <c r="AB122" s="580">
        <f>Z122-SUM(M122:O122)</f>
        <v>1208949.78</v>
      </c>
      <c r="AC122" s="545" t="s">
        <v>1079</v>
      </c>
    </row>
    <row r="123" spans="1:29" s="545" customFormat="1" ht="12.75" x14ac:dyDescent="0.2">
      <c r="A123" s="513">
        <v>64250</v>
      </c>
      <c r="B123" s="529" t="s">
        <v>649</v>
      </c>
      <c r="C123" s="530">
        <v>0</v>
      </c>
      <c r="D123" s="530">
        <v>0</v>
      </c>
      <c r="E123" s="530">
        <v>0</v>
      </c>
      <c r="F123" s="530">
        <v>0</v>
      </c>
      <c r="G123" s="530">
        <v>0</v>
      </c>
      <c r="H123" s="530">
        <v>0</v>
      </c>
      <c r="I123" s="530">
        <v>0</v>
      </c>
      <c r="J123" s="530">
        <v>0</v>
      </c>
      <c r="K123" s="530">
        <v>0</v>
      </c>
      <c r="L123" s="530">
        <v>0</v>
      </c>
      <c r="M123" s="530">
        <v>0</v>
      </c>
      <c r="N123" s="530">
        <v>0</v>
      </c>
      <c r="O123" s="530">
        <v>0</v>
      </c>
      <c r="P123" s="530">
        <v>0</v>
      </c>
      <c r="Q123" s="530">
        <v>0</v>
      </c>
      <c r="R123" s="530">
        <v>0</v>
      </c>
      <c r="S123" s="530">
        <v>0</v>
      </c>
      <c r="T123" s="530">
        <v>0</v>
      </c>
      <c r="U123" s="530">
        <v>0</v>
      </c>
      <c r="V123" s="530">
        <v>0</v>
      </c>
      <c r="W123" s="530">
        <v>0</v>
      </c>
      <c r="X123" s="530">
        <v>0</v>
      </c>
      <c r="Y123" s="530">
        <v>0</v>
      </c>
      <c r="Z123" s="530">
        <f t="shared" si="18"/>
        <v>0</v>
      </c>
    </row>
    <row r="124" spans="1:29" s="545" customFormat="1" ht="12.75" x14ac:dyDescent="0.2">
      <c r="A124" s="513">
        <v>64300</v>
      </c>
      <c r="B124" s="553" t="s">
        <v>650</v>
      </c>
      <c r="C124" s="530">
        <v>0</v>
      </c>
      <c r="D124" s="530">
        <v>0</v>
      </c>
      <c r="E124" s="530">
        <v>0</v>
      </c>
      <c r="F124" s="530">
        <v>0</v>
      </c>
      <c r="G124" s="530">
        <v>0</v>
      </c>
      <c r="H124" s="530">
        <v>0</v>
      </c>
      <c r="I124" s="530">
        <v>0</v>
      </c>
      <c r="J124" s="530">
        <v>0</v>
      </c>
      <c r="K124" s="530">
        <v>0</v>
      </c>
      <c r="L124" s="530">
        <v>0</v>
      </c>
      <c r="M124" s="530">
        <v>0</v>
      </c>
      <c r="N124" s="530">
        <v>0</v>
      </c>
      <c r="O124" s="530">
        <v>0</v>
      </c>
      <c r="P124" s="530">
        <v>0</v>
      </c>
      <c r="Q124" s="530">
        <v>0</v>
      </c>
      <c r="R124" s="530">
        <v>0</v>
      </c>
      <c r="S124" s="530">
        <v>0</v>
      </c>
      <c r="T124" s="530">
        <v>0</v>
      </c>
      <c r="U124" s="530">
        <v>0</v>
      </c>
      <c r="V124" s="530">
        <v>0</v>
      </c>
      <c r="W124" s="530">
        <v>0</v>
      </c>
      <c r="X124" s="530">
        <v>0</v>
      </c>
      <c r="Y124" s="530">
        <v>0</v>
      </c>
      <c r="Z124" s="530">
        <f t="shared" si="18"/>
        <v>0</v>
      </c>
    </row>
    <row r="125" spans="1:29" s="428" customFormat="1" ht="12.75" x14ac:dyDescent="0.2">
      <c r="A125" s="513">
        <v>64400</v>
      </c>
      <c r="B125" s="536" t="s">
        <v>651</v>
      </c>
      <c r="C125" s="537">
        <f t="shared" ref="C125:Z125" si="19">SUM(C119:C124)</f>
        <v>22367.100000000002</v>
      </c>
      <c r="D125" s="537">
        <f t="shared" si="19"/>
        <v>0</v>
      </c>
      <c r="E125" s="537">
        <f t="shared" si="19"/>
        <v>44328.95</v>
      </c>
      <c r="F125" s="537">
        <f t="shared" si="19"/>
        <v>27720.84</v>
      </c>
      <c r="G125" s="537">
        <f t="shared" si="19"/>
        <v>0</v>
      </c>
      <c r="H125" s="537">
        <f t="shared" si="19"/>
        <v>253720.84999999998</v>
      </c>
      <c r="I125" s="537">
        <f t="shared" si="19"/>
        <v>226.66000000000003</v>
      </c>
      <c r="J125" s="537">
        <f t="shared" si="19"/>
        <v>870935.72000000009</v>
      </c>
      <c r="K125" s="537">
        <f t="shared" si="19"/>
        <v>0</v>
      </c>
      <c r="L125" s="537">
        <f t="shared" si="19"/>
        <v>0</v>
      </c>
      <c r="M125" s="537">
        <f t="shared" si="19"/>
        <v>1018662</v>
      </c>
      <c r="N125" s="537">
        <f t="shared" si="19"/>
        <v>53.500000000000007</v>
      </c>
      <c r="O125" s="537">
        <f t="shared" si="19"/>
        <v>0</v>
      </c>
      <c r="P125" s="537">
        <f t="shared" si="19"/>
        <v>1247.6600000000001</v>
      </c>
      <c r="Q125" s="537">
        <f t="shared" si="19"/>
        <v>637.73</v>
      </c>
      <c r="R125" s="537">
        <f t="shared" si="19"/>
        <v>0</v>
      </c>
      <c r="S125" s="537">
        <f t="shared" si="19"/>
        <v>880.84999999999991</v>
      </c>
      <c r="T125" s="537">
        <f t="shared" si="19"/>
        <v>396.19</v>
      </c>
      <c r="U125" s="537">
        <f t="shared" si="19"/>
        <v>647.97</v>
      </c>
      <c r="V125" s="537">
        <f t="shared" si="19"/>
        <v>0</v>
      </c>
      <c r="W125" s="537">
        <f t="shared" si="19"/>
        <v>0</v>
      </c>
      <c r="X125" s="537">
        <f t="shared" si="19"/>
        <v>8007.09</v>
      </c>
      <c r="Y125" s="537">
        <f t="shared" si="19"/>
        <v>0</v>
      </c>
      <c r="Z125" s="537">
        <f t="shared" si="19"/>
        <v>2249833.11</v>
      </c>
    </row>
    <row r="126" spans="1:29" s="428" customFormat="1" ht="12.75" x14ac:dyDescent="0.2">
      <c r="A126" s="513"/>
      <c r="B126" s="516"/>
      <c r="C126" s="528"/>
      <c r="D126" s="528"/>
      <c r="E126" s="528"/>
      <c r="F126" s="528"/>
      <c r="G126" s="528"/>
      <c r="H126" s="528"/>
      <c r="I126" s="528"/>
      <c r="J126" s="528"/>
      <c r="K126" s="528"/>
      <c r="L126" s="528"/>
      <c r="M126" s="528"/>
      <c r="N126" s="528"/>
      <c r="O126" s="528"/>
      <c r="P126" s="528"/>
      <c r="Q126" s="528"/>
      <c r="R126" s="528"/>
      <c r="S126" s="528"/>
      <c r="T126" s="528"/>
      <c r="U126" s="528"/>
      <c r="V126" s="528"/>
      <c r="W126" s="528"/>
      <c r="X126" s="528"/>
      <c r="Y126" s="528"/>
      <c r="Z126" s="528"/>
    </row>
    <row r="127" spans="1:29" s="428" customFormat="1" ht="12.75" x14ac:dyDescent="0.2">
      <c r="A127" s="513"/>
      <c r="B127" s="516" t="s">
        <v>652</v>
      </c>
      <c r="C127" s="528"/>
      <c r="D127" s="528"/>
      <c r="E127" s="528"/>
      <c r="F127" s="528"/>
      <c r="G127" s="528"/>
      <c r="H127" s="528"/>
      <c r="I127" s="528"/>
      <c r="J127" s="528"/>
      <c r="K127" s="528"/>
      <c r="L127" s="528"/>
      <c r="M127" s="528"/>
      <c r="N127" s="528"/>
      <c r="O127" s="528"/>
      <c r="P127" s="528"/>
      <c r="Q127" s="528"/>
      <c r="R127" s="528"/>
      <c r="S127" s="528"/>
      <c r="T127" s="528"/>
      <c r="U127" s="528"/>
      <c r="V127" s="528"/>
      <c r="W127" s="528"/>
      <c r="X127" s="528"/>
      <c r="Y127" s="528"/>
      <c r="Z127" s="528"/>
    </row>
    <row r="128" spans="1:29" s="545" customFormat="1" ht="12.75" x14ac:dyDescent="0.2">
      <c r="A128" s="513">
        <v>65100</v>
      </c>
      <c r="B128" s="529" t="s">
        <v>653</v>
      </c>
      <c r="C128" s="530">
        <v>0</v>
      </c>
      <c r="D128" s="530">
        <v>0</v>
      </c>
      <c r="E128" s="530">
        <v>0</v>
      </c>
      <c r="F128" s="530">
        <v>616571.54</v>
      </c>
      <c r="G128" s="530">
        <v>0</v>
      </c>
      <c r="H128" s="530">
        <v>0</v>
      </c>
      <c r="I128" s="530">
        <v>0</v>
      </c>
      <c r="J128" s="530">
        <v>0</v>
      </c>
      <c r="K128" s="530">
        <v>0</v>
      </c>
      <c r="L128" s="530">
        <v>0</v>
      </c>
      <c r="M128" s="530">
        <v>0</v>
      </c>
      <c r="N128" s="530">
        <v>0</v>
      </c>
      <c r="O128" s="530">
        <v>0</v>
      </c>
      <c r="P128" s="530">
        <v>0</v>
      </c>
      <c r="Q128" s="530">
        <v>0</v>
      </c>
      <c r="R128" s="530">
        <v>0</v>
      </c>
      <c r="S128" s="530">
        <v>0</v>
      </c>
      <c r="T128" s="530">
        <v>0</v>
      </c>
      <c r="U128" s="530">
        <v>0</v>
      </c>
      <c r="V128" s="530">
        <v>0</v>
      </c>
      <c r="W128" s="530">
        <v>0</v>
      </c>
      <c r="X128" s="530">
        <v>0</v>
      </c>
      <c r="Y128" s="530">
        <v>0</v>
      </c>
      <c r="Z128" s="530">
        <f t="shared" ref="Z128:Z136" si="20">SUM(C128:Y128)</f>
        <v>616571.54</v>
      </c>
    </row>
    <row r="129" spans="1:26" s="545" customFormat="1" ht="12.75" x14ac:dyDescent="0.2">
      <c r="A129" s="513">
        <v>65100.1</v>
      </c>
      <c r="B129" s="529" t="s">
        <v>654</v>
      </c>
      <c r="C129" s="530">
        <v>0</v>
      </c>
      <c r="D129" s="530">
        <v>0</v>
      </c>
      <c r="E129" s="530">
        <v>0</v>
      </c>
      <c r="F129" s="530">
        <v>0</v>
      </c>
      <c r="G129" s="530">
        <v>0</v>
      </c>
      <c r="H129" s="530">
        <v>0</v>
      </c>
      <c r="I129" s="530">
        <v>0</v>
      </c>
      <c r="J129" s="530">
        <v>0</v>
      </c>
      <c r="K129" s="530">
        <v>0</v>
      </c>
      <c r="L129" s="530">
        <v>0</v>
      </c>
      <c r="M129" s="530">
        <v>0</v>
      </c>
      <c r="N129" s="530">
        <v>0</v>
      </c>
      <c r="O129" s="530">
        <v>0</v>
      </c>
      <c r="P129" s="530">
        <v>0</v>
      </c>
      <c r="Q129" s="530">
        <v>0</v>
      </c>
      <c r="R129" s="530">
        <v>0</v>
      </c>
      <c r="S129" s="530">
        <v>0</v>
      </c>
      <c r="T129" s="530">
        <v>0</v>
      </c>
      <c r="U129" s="530">
        <v>0</v>
      </c>
      <c r="V129" s="530">
        <v>5111.1400000000003</v>
      </c>
      <c r="W129" s="530">
        <v>0</v>
      </c>
      <c r="X129" s="530">
        <v>0</v>
      </c>
      <c r="Y129" s="530">
        <v>0</v>
      </c>
      <c r="Z129" s="530">
        <f t="shared" si="20"/>
        <v>5111.1400000000003</v>
      </c>
    </row>
    <row r="130" spans="1:26" s="545" customFormat="1" ht="12.75" x14ac:dyDescent="0.2">
      <c r="A130" s="513">
        <v>65100.2</v>
      </c>
      <c r="B130" s="529" t="s">
        <v>655</v>
      </c>
      <c r="C130" s="530">
        <v>0</v>
      </c>
      <c r="D130" s="530">
        <v>0</v>
      </c>
      <c r="E130" s="530">
        <v>0</v>
      </c>
      <c r="F130" s="530">
        <v>-66406.12</v>
      </c>
      <c r="G130" s="530">
        <v>0</v>
      </c>
      <c r="H130" s="530">
        <v>0</v>
      </c>
      <c r="I130" s="530">
        <v>0</v>
      </c>
      <c r="J130" s="530">
        <v>0</v>
      </c>
      <c r="K130" s="530">
        <v>0</v>
      </c>
      <c r="L130" s="530">
        <v>0</v>
      </c>
      <c r="M130" s="530">
        <v>0</v>
      </c>
      <c r="N130" s="530">
        <v>0</v>
      </c>
      <c r="O130" s="530">
        <v>0</v>
      </c>
      <c r="P130" s="530">
        <v>0</v>
      </c>
      <c r="Q130" s="530">
        <v>0</v>
      </c>
      <c r="R130" s="530">
        <v>0</v>
      </c>
      <c r="S130" s="530">
        <v>0</v>
      </c>
      <c r="T130" s="530">
        <v>0</v>
      </c>
      <c r="U130" s="530">
        <v>0</v>
      </c>
      <c r="V130" s="530">
        <v>0</v>
      </c>
      <c r="W130" s="530">
        <v>0</v>
      </c>
      <c r="X130" s="530">
        <v>0</v>
      </c>
      <c r="Y130" s="530">
        <v>0</v>
      </c>
      <c r="Z130" s="530">
        <f t="shared" si="20"/>
        <v>-66406.12</v>
      </c>
    </row>
    <row r="131" spans="1:26" s="545" customFormat="1" ht="12.75" x14ac:dyDescent="0.2">
      <c r="A131" s="513">
        <v>65101</v>
      </c>
      <c r="B131" s="529" t="s">
        <v>656</v>
      </c>
      <c r="C131" s="530">
        <v>0</v>
      </c>
      <c r="D131" s="530">
        <v>0</v>
      </c>
      <c r="E131" s="530">
        <v>0</v>
      </c>
      <c r="F131" s="530">
        <v>1022.4999999999999</v>
      </c>
      <c r="G131" s="530">
        <v>0</v>
      </c>
      <c r="H131" s="530">
        <v>0</v>
      </c>
      <c r="I131" s="530">
        <v>0</v>
      </c>
      <c r="J131" s="530">
        <v>0</v>
      </c>
      <c r="K131" s="530">
        <v>0</v>
      </c>
      <c r="L131" s="530">
        <v>0</v>
      </c>
      <c r="M131" s="530">
        <v>0</v>
      </c>
      <c r="N131" s="530">
        <v>0</v>
      </c>
      <c r="O131" s="530">
        <v>0</v>
      </c>
      <c r="P131" s="530">
        <v>0</v>
      </c>
      <c r="Q131" s="530">
        <v>0</v>
      </c>
      <c r="R131" s="530">
        <v>0</v>
      </c>
      <c r="S131" s="530">
        <v>0</v>
      </c>
      <c r="T131" s="530">
        <v>0</v>
      </c>
      <c r="U131" s="530">
        <v>0</v>
      </c>
      <c r="V131" s="530">
        <v>0</v>
      </c>
      <c r="W131" s="530">
        <v>0</v>
      </c>
      <c r="X131" s="530">
        <v>0</v>
      </c>
      <c r="Y131" s="530">
        <v>0</v>
      </c>
      <c r="Z131" s="530">
        <f t="shared" si="20"/>
        <v>1022.4999999999999</v>
      </c>
    </row>
    <row r="132" spans="1:26" s="545" customFormat="1" ht="12.75" x14ac:dyDescent="0.2">
      <c r="A132" s="513">
        <v>65103</v>
      </c>
      <c r="B132" s="529" t="s">
        <v>657</v>
      </c>
      <c r="C132" s="530">
        <v>0</v>
      </c>
      <c r="D132" s="530">
        <v>0</v>
      </c>
      <c r="E132" s="530">
        <v>0</v>
      </c>
      <c r="F132" s="530">
        <v>0</v>
      </c>
      <c r="G132" s="530">
        <v>0</v>
      </c>
      <c r="H132" s="530">
        <v>0</v>
      </c>
      <c r="I132" s="530">
        <v>0</v>
      </c>
      <c r="J132" s="530">
        <v>0</v>
      </c>
      <c r="K132" s="530">
        <v>0</v>
      </c>
      <c r="L132" s="530">
        <v>0</v>
      </c>
      <c r="M132" s="530">
        <v>0</v>
      </c>
      <c r="N132" s="530">
        <v>0</v>
      </c>
      <c r="O132" s="530">
        <v>0</v>
      </c>
      <c r="P132" s="530">
        <v>0</v>
      </c>
      <c r="Q132" s="530">
        <v>0</v>
      </c>
      <c r="R132" s="530">
        <v>0</v>
      </c>
      <c r="S132" s="530">
        <v>0</v>
      </c>
      <c r="T132" s="530">
        <v>0</v>
      </c>
      <c r="U132" s="530">
        <v>0</v>
      </c>
      <c r="V132" s="530">
        <v>0</v>
      </c>
      <c r="W132" s="530">
        <v>0</v>
      </c>
      <c r="X132" s="530">
        <v>0</v>
      </c>
      <c r="Y132" s="530">
        <v>0</v>
      </c>
      <c r="Z132" s="530">
        <f t="shared" si="20"/>
        <v>0</v>
      </c>
    </row>
    <row r="133" spans="1:26" s="545" customFormat="1" ht="12.75" x14ac:dyDescent="0.2">
      <c r="A133" s="540">
        <v>65105</v>
      </c>
      <c r="B133" s="555" t="s">
        <v>658</v>
      </c>
      <c r="C133" s="530">
        <v>0</v>
      </c>
      <c r="D133" s="530">
        <v>0</v>
      </c>
      <c r="E133" s="530">
        <v>0</v>
      </c>
      <c r="F133" s="530">
        <v>0</v>
      </c>
      <c r="G133" s="530">
        <v>0</v>
      </c>
      <c r="H133" s="530">
        <v>0</v>
      </c>
      <c r="I133" s="530">
        <v>0</v>
      </c>
      <c r="J133" s="530">
        <v>0</v>
      </c>
      <c r="K133" s="530">
        <v>0</v>
      </c>
      <c r="L133" s="530">
        <v>0</v>
      </c>
      <c r="M133" s="530">
        <v>0</v>
      </c>
      <c r="N133" s="530">
        <v>0</v>
      </c>
      <c r="O133" s="530">
        <v>0</v>
      </c>
      <c r="P133" s="530">
        <v>0</v>
      </c>
      <c r="Q133" s="530">
        <v>0</v>
      </c>
      <c r="R133" s="530">
        <v>0</v>
      </c>
      <c r="S133" s="530">
        <v>0</v>
      </c>
      <c r="T133" s="530">
        <v>0</v>
      </c>
      <c r="U133" s="530">
        <v>0</v>
      </c>
      <c r="V133" s="530">
        <v>0</v>
      </c>
      <c r="W133" s="530">
        <v>0</v>
      </c>
      <c r="X133" s="530">
        <v>0</v>
      </c>
      <c r="Y133" s="530">
        <v>0</v>
      </c>
      <c r="Z133" s="530">
        <f t="shared" si="20"/>
        <v>0</v>
      </c>
    </row>
    <row r="134" spans="1:26" s="545" customFormat="1" ht="12.75" x14ac:dyDescent="0.2">
      <c r="A134" s="513">
        <v>65200</v>
      </c>
      <c r="B134" s="529" t="s">
        <v>659</v>
      </c>
      <c r="C134" s="530">
        <v>0</v>
      </c>
      <c r="D134" s="530">
        <v>0</v>
      </c>
      <c r="E134" s="530">
        <v>0</v>
      </c>
      <c r="F134" s="530">
        <v>0</v>
      </c>
      <c r="G134" s="530">
        <v>0</v>
      </c>
      <c r="H134" s="530">
        <v>0</v>
      </c>
      <c r="I134" s="530">
        <v>0</v>
      </c>
      <c r="J134" s="530">
        <v>0</v>
      </c>
      <c r="K134" s="530">
        <v>0</v>
      </c>
      <c r="L134" s="530">
        <v>0</v>
      </c>
      <c r="M134" s="530">
        <v>0</v>
      </c>
      <c r="N134" s="530">
        <v>0</v>
      </c>
      <c r="O134" s="530">
        <v>0</v>
      </c>
      <c r="P134" s="530">
        <v>0</v>
      </c>
      <c r="Q134" s="530">
        <v>0</v>
      </c>
      <c r="R134" s="530">
        <v>0</v>
      </c>
      <c r="S134" s="530">
        <v>0</v>
      </c>
      <c r="T134" s="530">
        <v>0</v>
      </c>
      <c r="U134" s="530">
        <v>0</v>
      </c>
      <c r="V134" s="530">
        <v>0</v>
      </c>
      <c r="W134" s="530">
        <v>0</v>
      </c>
      <c r="X134" s="530">
        <v>0</v>
      </c>
      <c r="Y134" s="530">
        <v>0</v>
      </c>
      <c r="Z134" s="530">
        <f t="shared" si="20"/>
        <v>0</v>
      </c>
    </row>
    <row r="135" spans="1:26" s="545" customFormat="1" ht="12.75" x14ac:dyDescent="0.2">
      <c r="A135" s="513">
        <v>65250</v>
      </c>
      <c r="B135" s="529" t="s">
        <v>660</v>
      </c>
      <c r="C135" s="530">
        <v>0</v>
      </c>
      <c r="D135" s="530">
        <v>0</v>
      </c>
      <c r="E135" s="530">
        <v>0</v>
      </c>
      <c r="F135" s="530">
        <v>20005.739999999998</v>
      </c>
      <c r="G135" s="530">
        <v>0</v>
      </c>
      <c r="H135" s="530">
        <v>0</v>
      </c>
      <c r="I135" s="530">
        <v>0</v>
      </c>
      <c r="J135" s="530">
        <v>0</v>
      </c>
      <c r="K135" s="530">
        <v>0</v>
      </c>
      <c r="L135" s="530">
        <v>0</v>
      </c>
      <c r="M135" s="530">
        <v>0</v>
      </c>
      <c r="N135" s="530">
        <v>0</v>
      </c>
      <c r="O135" s="530">
        <v>0</v>
      </c>
      <c r="P135" s="530">
        <v>0</v>
      </c>
      <c r="Q135" s="530">
        <v>0</v>
      </c>
      <c r="R135" s="530">
        <v>0</v>
      </c>
      <c r="S135" s="530">
        <v>0</v>
      </c>
      <c r="T135" s="530">
        <v>0</v>
      </c>
      <c r="U135" s="530">
        <v>0</v>
      </c>
      <c r="V135" s="530">
        <v>0</v>
      </c>
      <c r="W135" s="530">
        <v>0</v>
      </c>
      <c r="X135" s="530">
        <v>0</v>
      </c>
      <c r="Y135" s="530">
        <v>0</v>
      </c>
      <c r="Z135" s="530">
        <f t="shared" si="20"/>
        <v>20005.739999999998</v>
      </c>
    </row>
    <row r="136" spans="1:26" s="545" customFormat="1" ht="12.75" x14ac:dyDescent="0.2">
      <c r="A136" s="513">
        <v>65300</v>
      </c>
      <c r="B136" s="553" t="s">
        <v>661</v>
      </c>
      <c r="C136" s="530">
        <v>0</v>
      </c>
      <c r="D136" s="530">
        <v>0</v>
      </c>
      <c r="E136" s="530">
        <v>0</v>
      </c>
      <c r="F136" s="530">
        <v>2695.09</v>
      </c>
      <c r="G136" s="530">
        <v>0</v>
      </c>
      <c r="H136" s="530">
        <v>157.29</v>
      </c>
      <c r="I136" s="530">
        <v>0</v>
      </c>
      <c r="J136" s="530">
        <v>0</v>
      </c>
      <c r="K136" s="530">
        <v>0</v>
      </c>
      <c r="L136" s="530">
        <v>0</v>
      </c>
      <c r="M136" s="530">
        <v>0</v>
      </c>
      <c r="N136" s="530">
        <v>0</v>
      </c>
      <c r="O136" s="530">
        <v>0</v>
      </c>
      <c r="P136" s="530">
        <v>0</v>
      </c>
      <c r="Q136" s="530">
        <v>0</v>
      </c>
      <c r="R136" s="530">
        <v>0</v>
      </c>
      <c r="S136" s="530">
        <v>0</v>
      </c>
      <c r="T136" s="530">
        <v>0</v>
      </c>
      <c r="U136" s="530">
        <v>0</v>
      </c>
      <c r="V136" s="530">
        <v>0</v>
      </c>
      <c r="W136" s="530">
        <v>0</v>
      </c>
      <c r="X136" s="530">
        <v>157.29</v>
      </c>
      <c r="Y136" s="530">
        <v>0</v>
      </c>
      <c r="Z136" s="530">
        <f t="shared" si="20"/>
        <v>3009.67</v>
      </c>
    </row>
    <row r="137" spans="1:26" s="428" customFormat="1" ht="12.75" x14ac:dyDescent="0.2">
      <c r="A137" s="513">
        <v>65400</v>
      </c>
      <c r="B137" s="536" t="s">
        <v>662</v>
      </c>
      <c r="C137" s="537">
        <f t="shared" ref="C137:Z137" si="21">SUM(C128:C136)</f>
        <v>0</v>
      </c>
      <c r="D137" s="537">
        <f t="shared" si="21"/>
        <v>0</v>
      </c>
      <c r="E137" s="537">
        <f t="shared" si="21"/>
        <v>0</v>
      </c>
      <c r="F137" s="537">
        <f t="shared" si="21"/>
        <v>573888.75</v>
      </c>
      <c r="G137" s="537">
        <f t="shared" si="21"/>
        <v>0</v>
      </c>
      <c r="H137" s="537">
        <f t="shared" si="21"/>
        <v>157.29</v>
      </c>
      <c r="I137" s="537">
        <f t="shared" si="21"/>
        <v>0</v>
      </c>
      <c r="J137" s="537">
        <f t="shared" si="21"/>
        <v>0</v>
      </c>
      <c r="K137" s="537">
        <f t="shared" si="21"/>
        <v>0</v>
      </c>
      <c r="L137" s="537">
        <f t="shared" si="21"/>
        <v>0</v>
      </c>
      <c r="M137" s="537">
        <f t="shared" si="21"/>
        <v>0</v>
      </c>
      <c r="N137" s="537">
        <f t="shared" si="21"/>
        <v>0</v>
      </c>
      <c r="O137" s="537">
        <f t="shared" si="21"/>
        <v>0</v>
      </c>
      <c r="P137" s="537">
        <f t="shared" si="21"/>
        <v>0</v>
      </c>
      <c r="Q137" s="537">
        <f t="shared" si="21"/>
        <v>0</v>
      </c>
      <c r="R137" s="537">
        <f t="shared" si="21"/>
        <v>0</v>
      </c>
      <c r="S137" s="537">
        <f t="shared" si="21"/>
        <v>0</v>
      </c>
      <c r="T137" s="537">
        <f t="shared" si="21"/>
        <v>0</v>
      </c>
      <c r="U137" s="537">
        <f t="shared" si="21"/>
        <v>0</v>
      </c>
      <c r="V137" s="537">
        <f t="shared" si="21"/>
        <v>5111.1400000000003</v>
      </c>
      <c r="W137" s="537">
        <f t="shared" si="21"/>
        <v>0</v>
      </c>
      <c r="X137" s="537">
        <f t="shared" si="21"/>
        <v>157.29</v>
      </c>
      <c r="Y137" s="537">
        <f t="shared" si="21"/>
        <v>0</v>
      </c>
      <c r="Z137" s="537">
        <f t="shared" si="21"/>
        <v>579314.47000000009</v>
      </c>
    </row>
    <row r="138" spans="1:26" s="428" customFormat="1" ht="12.75" x14ac:dyDescent="0.2">
      <c r="A138" s="513"/>
      <c r="B138" s="516"/>
      <c r="C138" s="528"/>
      <c r="D138" s="528"/>
      <c r="E138" s="528"/>
      <c r="F138" s="528"/>
      <c r="G138" s="528"/>
      <c r="H138" s="528"/>
      <c r="I138" s="528"/>
      <c r="J138" s="528"/>
      <c r="K138" s="528"/>
      <c r="L138" s="528"/>
      <c r="M138" s="528"/>
      <c r="N138" s="528"/>
      <c r="O138" s="528"/>
      <c r="P138" s="528"/>
      <c r="Q138" s="528"/>
      <c r="R138" s="528"/>
      <c r="S138" s="528"/>
      <c r="T138" s="528"/>
      <c r="U138" s="528"/>
      <c r="V138" s="528"/>
      <c r="W138" s="528"/>
      <c r="X138" s="528"/>
      <c r="Y138" s="528"/>
      <c r="Z138" s="528"/>
    </row>
    <row r="139" spans="1:26" s="428" customFormat="1" ht="12.75" x14ac:dyDescent="0.2">
      <c r="A139" s="513"/>
      <c r="B139" s="516" t="s">
        <v>663</v>
      </c>
      <c r="C139" s="528"/>
      <c r="D139" s="528"/>
      <c r="E139" s="528"/>
      <c r="F139" s="528"/>
      <c r="G139" s="528"/>
      <c r="H139" s="528"/>
      <c r="I139" s="528"/>
      <c r="J139" s="528"/>
      <c r="K139" s="528"/>
      <c r="L139" s="528"/>
      <c r="M139" s="528"/>
      <c r="N139" s="528"/>
      <c r="O139" s="528"/>
      <c r="P139" s="528"/>
      <c r="Q139" s="528"/>
      <c r="R139" s="528"/>
      <c r="S139" s="528"/>
      <c r="T139" s="528"/>
      <c r="U139" s="528"/>
      <c r="V139" s="528"/>
      <c r="W139" s="528"/>
      <c r="X139" s="528"/>
      <c r="Y139" s="528"/>
      <c r="Z139" s="528"/>
    </row>
    <row r="140" spans="1:26" s="545" customFormat="1" ht="12.75" x14ac:dyDescent="0.2">
      <c r="A140" s="513">
        <v>65501</v>
      </c>
      <c r="B140" s="529" t="s">
        <v>664</v>
      </c>
      <c r="C140" s="530">
        <v>939.75</v>
      </c>
      <c r="D140" s="530">
        <v>0</v>
      </c>
      <c r="E140" s="530">
        <v>499.02</v>
      </c>
      <c r="F140" s="530">
        <v>10412.66</v>
      </c>
      <c r="G140" s="530">
        <v>0</v>
      </c>
      <c r="H140" s="530">
        <v>12608.109999999999</v>
      </c>
      <c r="I140" s="530">
        <v>3153.37</v>
      </c>
      <c r="J140" s="530">
        <v>4.25</v>
      </c>
      <c r="K140" s="530">
        <v>0</v>
      </c>
      <c r="L140" s="530">
        <v>0</v>
      </c>
      <c r="M140" s="530">
        <v>15393.499999999998</v>
      </c>
      <c r="N140" s="530">
        <v>266.86</v>
      </c>
      <c r="O140" s="530">
        <v>34.93</v>
      </c>
      <c r="P140" s="530">
        <v>996.20999999999992</v>
      </c>
      <c r="Q140" s="530">
        <v>637.31000000000006</v>
      </c>
      <c r="R140" s="530">
        <v>0</v>
      </c>
      <c r="S140" s="530">
        <v>175.29</v>
      </c>
      <c r="T140" s="530">
        <v>452.71</v>
      </c>
      <c r="U140" s="530">
        <v>122.48</v>
      </c>
      <c r="V140" s="530">
        <v>438.28000000000003</v>
      </c>
      <c r="W140" s="530">
        <v>0</v>
      </c>
      <c r="X140" s="530">
        <v>97.83</v>
      </c>
      <c r="Y140" s="530">
        <v>0</v>
      </c>
      <c r="Z140" s="530">
        <f t="shared" ref="Z140:Z147" si="22">SUM(C140:Y140)</f>
        <v>46232.56</v>
      </c>
    </row>
    <row r="141" spans="1:26" s="545" customFormat="1" ht="12.75" x14ac:dyDescent="0.2">
      <c r="A141" s="513">
        <v>65502</v>
      </c>
      <c r="B141" s="529" t="s">
        <v>665</v>
      </c>
      <c r="C141" s="530">
        <v>0</v>
      </c>
      <c r="D141" s="530">
        <v>0</v>
      </c>
      <c r="E141" s="530">
        <v>0</v>
      </c>
      <c r="F141" s="530">
        <v>0</v>
      </c>
      <c r="G141" s="530">
        <v>0</v>
      </c>
      <c r="H141" s="530">
        <v>0</v>
      </c>
      <c r="I141" s="530">
        <v>0</v>
      </c>
      <c r="J141" s="530">
        <v>0</v>
      </c>
      <c r="K141" s="530">
        <v>0</v>
      </c>
      <c r="L141" s="530">
        <v>0</v>
      </c>
      <c r="M141" s="530">
        <v>0</v>
      </c>
      <c r="N141" s="530">
        <v>0</v>
      </c>
      <c r="O141" s="530">
        <v>0</v>
      </c>
      <c r="P141" s="530">
        <v>0</v>
      </c>
      <c r="Q141" s="530">
        <v>0</v>
      </c>
      <c r="R141" s="530">
        <v>0</v>
      </c>
      <c r="S141" s="530">
        <v>0</v>
      </c>
      <c r="T141" s="530">
        <v>0</v>
      </c>
      <c r="U141" s="530">
        <v>0</v>
      </c>
      <c r="V141" s="530">
        <v>0</v>
      </c>
      <c r="W141" s="530">
        <v>0</v>
      </c>
      <c r="X141" s="530">
        <v>0</v>
      </c>
      <c r="Y141" s="530">
        <v>0</v>
      </c>
      <c r="Z141" s="530">
        <f t="shared" si="22"/>
        <v>0</v>
      </c>
    </row>
    <row r="142" spans="1:26" s="545" customFormat="1" ht="12.75" x14ac:dyDescent="0.2">
      <c r="A142" s="513">
        <v>65503</v>
      </c>
      <c r="B142" s="529" t="s">
        <v>666</v>
      </c>
      <c r="C142" s="530">
        <v>0</v>
      </c>
      <c r="D142" s="530">
        <v>0</v>
      </c>
      <c r="E142" s="530">
        <v>0</v>
      </c>
      <c r="F142" s="530">
        <v>0</v>
      </c>
      <c r="G142" s="530">
        <v>0</v>
      </c>
      <c r="H142" s="530">
        <v>0</v>
      </c>
      <c r="I142" s="530">
        <v>0</v>
      </c>
      <c r="J142" s="530">
        <v>0</v>
      </c>
      <c r="K142" s="530">
        <v>0</v>
      </c>
      <c r="L142" s="530">
        <v>0</v>
      </c>
      <c r="M142" s="530">
        <v>0</v>
      </c>
      <c r="N142" s="530">
        <v>0</v>
      </c>
      <c r="O142" s="530">
        <v>0</v>
      </c>
      <c r="P142" s="530">
        <v>0</v>
      </c>
      <c r="Q142" s="530">
        <v>0</v>
      </c>
      <c r="R142" s="530">
        <v>0</v>
      </c>
      <c r="S142" s="530">
        <v>0</v>
      </c>
      <c r="T142" s="530">
        <v>0</v>
      </c>
      <c r="U142" s="530">
        <v>0</v>
      </c>
      <c r="V142" s="530">
        <v>0</v>
      </c>
      <c r="W142" s="530">
        <v>0</v>
      </c>
      <c r="X142" s="530">
        <v>0</v>
      </c>
      <c r="Y142" s="530">
        <v>0</v>
      </c>
      <c r="Z142" s="530">
        <f t="shared" si="22"/>
        <v>0</v>
      </c>
    </row>
    <row r="143" spans="1:26" s="545" customFormat="1" ht="12.75" x14ac:dyDescent="0.2">
      <c r="A143" s="513">
        <v>65600</v>
      </c>
      <c r="B143" s="529" t="s">
        <v>667</v>
      </c>
      <c r="C143" s="530">
        <v>0</v>
      </c>
      <c r="D143" s="530">
        <v>0</v>
      </c>
      <c r="E143" s="530">
        <v>643.36</v>
      </c>
      <c r="F143" s="530">
        <v>32.99</v>
      </c>
      <c r="G143" s="530">
        <v>0</v>
      </c>
      <c r="H143" s="530">
        <v>62.68</v>
      </c>
      <c r="I143" s="530">
        <v>0</v>
      </c>
      <c r="J143" s="530">
        <v>0</v>
      </c>
      <c r="K143" s="530">
        <v>0</v>
      </c>
      <c r="L143" s="530">
        <v>0</v>
      </c>
      <c r="M143" s="530">
        <v>0</v>
      </c>
      <c r="N143" s="530">
        <v>0</v>
      </c>
      <c r="O143" s="530">
        <v>0</v>
      </c>
      <c r="P143" s="530">
        <v>0</v>
      </c>
      <c r="Q143" s="530">
        <v>0</v>
      </c>
      <c r="R143" s="530">
        <v>0</v>
      </c>
      <c r="S143" s="530">
        <v>0</v>
      </c>
      <c r="T143" s="530">
        <v>0</v>
      </c>
      <c r="U143" s="530">
        <v>0</v>
      </c>
      <c r="V143" s="530">
        <v>0</v>
      </c>
      <c r="W143" s="530">
        <v>0</v>
      </c>
      <c r="X143" s="530">
        <v>0</v>
      </c>
      <c r="Y143" s="530">
        <v>0</v>
      </c>
      <c r="Z143" s="530">
        <f t="shared" si="22"/>
        <v>739.03</v>
      </c>
    </row>
    <row r="144" spans="1:26" s="545" customFormat="1" ht="12.75" x14ac:dyDescent="0.2">
      <c r="A144" s="513">
        <v>65602</v>
      </c>
      <c r="B144" s="529" t="s">
        <v>668</v>
      </c>
      <c r="C144" s="530">
        <v>0</v>
      </c>
      <c r="D144" s="530">
        <v>0</v>
      </c>
      <c r="E144" s="530">
        <v>0</v>
      </c>
      <c r="F144" s="530">
        <v>39.22</v>
      </c>
      <c r="G144" s="530">
        <v>0</v>
      </c>
      <c r="H144" s="530">
        <v>0</v>
      </c>
      <c r="I144" s="530">
        <v>0</v>
      </c>
      <c r="J144" s="530">
        <v>0</v>
      </c>
      <c r="K144" s="530">
        <v>0</v>
      </c>
      <c r="L144" s="530">
        <v>0</v>
      </c>
      <c r="M144" s="530">
        <v>0</v>
      </c>
      <c r="N144" s="530">
        <v>0</v>
      </c>
      <c r="O144" s="530">
        <v>0</v>
      </c>
      <c r="P144" s="530">
        <v>0</v>
      </c>
      <c r="Q144" s="530">
        <v>0</v>
      </c>
      <c r="R144" s="530">
        <v>0</v>
      </c>
      <c r="S144" s="530">
        <v>0</v>
      </c>
      <c r="T144" s="530">
        <v>0</v>
      </c>
      <c r="U144" s="530">
        <v>0</v>
      </c>
      <c r="V144" s="530">
        <v>0</v>
      </c>
      <c r="W144" s="530">
        <v>0</v>
      </c>
      <c r="X144" s="530">
        <v>0</v>
      </c>
      <c r="Y144" s="530">
        <v>0</v>
      </c>
      <c r="Z144" s="530">
        <f t="shared" si="22"/>
        <v>39.22</v>
      </c>
    </row>
    <row r="145" spans="1:26" s="545" customFormat="1" ht="12.75" x14ac:dyDescent="0.2">
      <c r="A145" s="513">
        <v>65608</v>
      </c>
      <c r="B145" s="529" t="s">
        <v>669</v>
      </c>
      <c r="C145" s="530">
        <v>0</v>
      </c>
      <c r="D145" s="530">
        <v>0</v>
      </c>
      <c r="E145" s="530">
        <v>0</v>
      </c>
      <c r="F145" s="530">
        <v>0</v>
      </c>
      <c r="G145" s="530">
        <v>0</v>
      </c>
      <c r="H145" s="530">
        <v>0</v>
      </c>
      <c r="I145" s="530">
        <v>0</v>
      </c>
      <c r="J145" s="530">
        <v>0</v>
      </c>
      <c r="K145" s="530">
        <v>0</v>
      </c>
      <c r="L145" s="530">
        <v>0</v>
      </c>
      <c r="M145" s="530">
        <v>82373.83</v>
      </c>
      <c r="N145" s="530">
        <v>0</v>
      </c>
      <c r="O145" s="530">
        <v>0</v>
      </c>
      <c r="P145" s="530">
        <v>0</v>
      </c>
      <c r="Q145" s="530">
        <v>0</v>
      </c>
      <c r="R145" s="530">
        <v>0</v>
      </c>
      <c r="S145" s="530">
        <v>0</v>
      </c>
      <c r="T145" s="530">
        <v>0</v>
      </c>
      <c r="U145" s="530">
        <v>0</v>
      </c>
      <c r="V145" s="530">
        <v>0</v>
      </c>
      <c r="W145" s="530">
        <v>0</v>
      </c>
      <c r="X145" s="530">
        <v>0</v>
      </c>
      <c r="Y145" s="530">
        <v>0</v>
      </c>
      <c r="Z145" s="530">
        <f t="shared" si="22"/>
        <v>82373.83</v>
      </c>
    </row>
    <row r="146" spans="1:26" s="545" customFormat="1" ht="12.75" x14ac:dyDescent="0.2">
      <c r="A146" s="513">
        <v>65700</v>
      </c>
      <c r="B146" s="529" t="s">
        <v>670</v>
      </c>
      <c r="C146" s="530">
        <v>0</v>
      </c>
      <c r="D146" s="530">
        <v>0</v>
      </c>
      <c r="E146" s="530">
        <v>174.73999999999998</v>
      </c>
      <c r="F146" s="530">
        <v>38675.840000000004</v>
      </c>
      <c r="G146" s="530">
        <v>0</v>
      </c>
      <c r="H146" s="530">
        <v>215.32000000000002</v>
      </c>
      <c r="I146" s="530">
        <v>0</v>
      </c>
      <c r="J146" s="530">
        <v>0</v>
      </c>
      <c r="K146" s="530">
        <v>0</v>
      </c>
      <c r="L146" s="530">
        <v>0</v>
      </c>
      <c r="M146" s="530">
        <v>640818.62</v>
      </c>
      <c r="N146" s="530">
        <v>0</v>
      </c>
      <c r="O146" s="530">
        <v>0</v>
      </c>
      <c r="P146" s="530">
        <v>355.09999999999997</v>
      </c>
      <c r="Q146" s="530">
        <v>0</v>
      </c>
      <c r="R146" s="530">
        <v>0</v>
      </c>
      <c r="S146" s="530">
        <v>759.65</v>
      </c>
      <c r="T146" s="530">
        <v>0</v>
      </c>
      <c r="U146" s="530">
        <v>30.42</v>
      </c>
      <c r="V146" s="530">
        <v>0</v>
      </c>
      <c r="W146" s="530">
        <v>0</v>
      </c>
      <c r="X146" s="530">
        <v>0</v>
      </c>
      <c r="Y146" s="530">
        <v>0</v>
      </c>
      <c r="Z146" s="530">
        <f t="shared" si="22"/>
        <v>681029.69000000006</v>
      </c>
    </row>
    <row r="147" spans="1:26" s="545" customFormat="1" ht="12.75" x14ac:dyDescent="0.2">
      <c r="A147" s="513">
        <v>65800</v>
      </c>
      <c r="B147" s="553" t="s">
        <v>671</v>
      </c>
      <c r="C147" s="530">
        <v>223.47</v>
      </c>
      <c r="D147" s="530">
        <v>0</v>
      </c>
      <c r="E147" s="530">
        <v>122.1</v>
      </c>
      <c r="F147" s="530">
        <v>-1447.6299999999999</v>
      </c>
      <c r="G147" s="530">
        <v>0</v>
      </c>
      <c r="H147" s="530">
        <v>293.40999999999997</v>
      </c>
      <c r="I147" s="530">
        <v>149.02000000000001</v>
      </c>
      <c r="J147" s="530">
        <v>28.66</v>
      </c>
      <c r="K147" s="530">
        <v>0</v>
      </c>
      <c r="L147" s="530">
        <v>0</v>
      </c>
      <c r="M147" s="530">
        <v>2416.84</v>
      </c>
      <c r="N147" s="530">
        <v>0</v>
      </c>
      <c r="O147" s="530">
        <v>21</v>
      </c>
      <c r="P147" s="530">
        <v>342.56</v>
      </c>
      <c r="Q147" s="530">
        <v>1637.2</v>
      </c>
      <c r="R147" s="530">
        <v>0</v>
      </c>
      <c r="S147" s="530">
        <v>115.53</v>
      </c>
      <c r="T147" s="530">
        <v>326.42</v>
      </c>
      <c r="U147" s="530">
        <v>254.22</v>
      </c>
      <c r="V147" s="530">
        <v>136</v>
      </c>
      <c r="W147" s="530">
        <v>0</v>
      </c>
      <c r="X147" s="530">
        <v>122.50999999999999</v>
      </c>
      <c r="Y147" s="530">
        <v>0</v>
      </c>
      <c r="Z147" s="530">
        <f t="shared" si="22"/>
        <v>4741.3100000000004</v>
      </c>
    </row>
    <row r="148" spans="1:26" s="428" customFormat="1" ht="12.75" x14ac:dyDescent="0.2">
      <c r="A148" s="513">
        <v>65900</v>
      </c>
      <c r="B148" s="536" t="s">
        <v>672</v>
      </c>
      <c r="C148" s="537">
        <f t="shared" ref="C148:Z148" si="23">SUM(C140:C147)</f>
        <v>1163.22</v>
      </c>
      <c r="D148" s="537">
        <f t="shared" si="23"/>
        <v>0</v>
      </c>
      <c r="E148" s="537">
        <f t="shared" si="23"/>
        <v>1439.22</v>
      </c>
      <c r="F148" s="537">
        <f t="shared" si="23"/>
        <v>47713.080000000009</v>
      </c>
      <c r="G148" s="537">
        <f t="shared" si="23"/>
        <v>0</v>
      </c>
      <c r="H148" s="537">
        <f t="shared" si="23"/>
        <v>13179.519999999999</v>
      </c>
      <c r="I148" s="537">
        <f t="shared" si="23"/>
        <v>3302.39</v>
      </c>
      <c r="J148" s="537">
        <f t="shared" si="23"/>
        <v>32.909999999999997</v>
      </c>
      <c r="K148" s="537">
        <f t="shared" si="23"/>
        <v>0</v>
      </c>
      <c r="L148" s="537">
        <f t="shared" si="23"/>
        <v>0</v>
      </c>
      <c r="M148" s="537">
        <f t="shared" si="23"/>
        <v>741002.78999999992</v>
      </c>
      <c r="N148" s="537">
        <f t="shared" si="23"/>
        <v>266.86</v>
      </c>
      <c r="O148" s="537">
        <f t="shared" si="23"/>
        <v>55.93</v>
      </c>
      <c r="P148" s="537">
        <f t="shared" si="23"/>
        <v>1693.87</v>
      </c>
      <c r="Q148" s="537">
        <f t="shared" si="23"/>
        <v>2274.5100000000002</v>
      </c>
      <c r="R148" s="537">
        <f t="shared" si="23"/>
        <v>0</v>
      </c>
      <c r="S148" s="537">
        <f t="shared" si="23"/>
        <v>1050.47</v>
      </c>
      <c r="T148" s="537">
        <f t="shared" si="23"/>
        <v>779.13</v>
      </c>
      <c r="U148" s="537">
        <f t="shared" si="23"/>
        <v>407.12</v>
      </c>
      <c r="V148" s="537">
        <f t="shared" si="23"/>
        <v>574.28</v>
      </c>
      <c r="W148" s="537">
        <f t="shared" si="23"/>
        <v>0</v>
      </c>
      <c r="X148" s="537">
        <f t="shared" si="23"/>
        <v>220.33999999999997</v>
      </c>
      <c r="Y148" s="537">
        <f t="shared" si="23"/>
        <v>0</v>
      </c>
      <c r="Z148" s="537">
        <f t="shared" si="23"/>
        <v>815155.64000000013</v>
      </c>
    </row>
    <row r="149" spans="1:26" s="428" customFormat="1" ht="12.75" x14ac:dyDescent="0.2">
      <c r="A149" s="513"/>
      <c r="B149" s="516"/>
      <c r="C149" s="528"/>
      <c r="D149" s="528"/>
      <c r="E149" s="528"/>
      <c r="F149" s="528"/>
      <c r="G149" s="528"/>
      <c r="H149" s="528"/>
      <c r="I149" s="528"/>
      <c r="J149" s="528"/>
      <c r="K149" s="528"/>
      <c r="L149" s="528"/>
      <c r="M149" s="528"/>
      <c r="N149" s="528"/>
      <c r="O149" s="528"/>
      <c r="P149" s="528"/>
      <c r="Q149" s="528"/>
      <c r="R149" s="528"/>
      <c r="S149" s="528"/>
      <c r="T149" s="528"/>
      <c r="U149" s="528"/>
      <c r="V149" s="528"/>
      <c r="W149" s="528"/>
      <c r="X149" s="528"/>
      <c r="Y149" s="528"/>
      <c r="Z149" s="528"/>
    </row>
    <row r="150" spans="1:26" s="428" customFormat="1" ht="12.75" x14ac:dyDescent="0.2">
      <c r="A150" s="513"/>
      <c r="B150" s="516" t="s">
        <v>673</v>
      </c>
      <c r="C150" s="528"/>
      <c r="D150" s="528"/>
      <c r="E150" s="528"/>
      <c r="F150" s="528"/>
      <c r="G150" s="528"/>
      <c r="H150" s="528"/>
      <c r="I150" s="528"/>
      <c r="J150" s="528"/>
      <c r="K150" s="528"/>
      <c r="L150" s="528"/>
      <c r="M150" s="528"/>
      <c r="N150" s="528"/>
      <c r="O150" s="528"/>
      <c r="P150" s="528"/>
      <c r="Q150" s="528"/>
      <c r="R150" s="528"/>
      <c r="S150" s="528"/>
      <c r="T150" s="528"/>
      <c r="U150" s="528"/>
      <c r="V150" s="528"/>
      <c r="W150" s="528"/>
      <c r="X150" s="528"/>
      <c r="Y150" s="528"/>
      <c r="Z150" s="528"/>
    </row>
    <row r="151" spans="1:26" s="545" customFormat="1" ht="12.75" x14ac:dyDescent="0.2">
      <c r="A151" s="513">
        <v>66100</v>
      </c>
      <c r="B151" s="529" t="s">
        <v>674</v>
      </c>
      <c r="C151" s="530">
        <v>0</v>
      </c>
      <c r="D151" s="530">
        <v>0</v>
      </c>
      <c r="E151" s="530">
        <v>0</v>
      </c>
      <c r="F151" s="530">
        <v>0</v>
      </c>
      <c r="G151" s="530">
        <v>0</v>
      </c>
      <c r="H151" s="530">
        <v>512815.99999999994</v>
      </c>
      <c r="I151" s="530">
        <v>0</v>
      </c>
      <c r="J151" s="530">
        <v>0</v>
      </c>
      <c r="K151" s="530">
        <v>0</v>
      </c>
      <c r="L151" s="530">
        <v>0</v>
      </c>
      <c r="M151" s="530">
        <v>0</v>
      </c>
      <c r="N151" s="530">
        <v>0</v>
      </c>
      <c r="O151" s="530">
        <v>0</v>
      </c>
      <c r="P151" s="530">
        <v>0</v>
      </c>
      <c r="Q151" s="530">
        <v>0</v>
      </c>
      <c r="R151" s="530">
        <v>0</v>
      </c>
      <c r="S151" s="530">
        <v>0</v>
      </c>
      <c r="T151" s="530">
        <v>0</v>
      </c>
      <c r="U151" s="530">
        <v>0</v>
      </c>
      <c r="V151" s="530">
        <v>0</v>
      </c>
      <c r="W151" s="530">
        <v>0</v>
      </c>
      <c r="X151" s="530">
        <v>0</v>
      </c>
      <c r="Y151" s="530">
        <v>0</v>
      </c>
      <c r="Z151" s="530">
        <f t="shared" ref="Z151:Z201" si="24">SUM(C151:Y151)</f>
        <v>512815.99999999994</v>
      </c>
    </row>
    <row r="152" spans="1:26" s="545" customFormat="1" ht="12.75" x14ac:dyDescent="0.2">
      <c r="A152" s="513">
        <v>66101</v>
      </c>
      <c r="B152" s="529" t="s">
        <v>675</v>
      </c>
      <c r="C152" s="530">
        <v>0</v>
      </c>
      <c r="D152" s="530">
        <v>0</v>
      </c>
      <c r="E152" s="530">
        <v>0</v>
      </c>
      <c r="F152" s="530">
        <v>0</v>
      </c>
      <c r="G152" s="530">
        <v>0</v>
      </c>
      <c r="H152" s="530">
        <v>0</v>
      </c>
      <c r="I152" s="530">
        <v>0</v>
      </c>
      <c r="J152" s="530">
        <v>0</v>
      </c>
      <c r="K152" s="530">
        <v>0</v>
      </c>
      <c r="L152" s="530">
        <v>0</v>
      </c>
      <c r="M152" s="530">
        <v>0</v>
      </c>
      <c r="N152" s="530">
        <v>0</v>
      </c>
      <c r="O152" s="530">
        <v>0</v>
      </c>
      <c r="P152" s="530">
        <v>0</v>
      </c>
      <c r="Q152" s="530">
        <v>0</v>
      </c>
      <c r="R152" s="530">
        <v>0</v>
      </c>
      <c r="S152" s="530">
        <v>0</v>
      </c>
      <c r="T152" s="530">
        <v>0</v>
      </c>
      <c r="U152" s="530">
        <v>0</v>
      </c>
      <c r="V152" s="530">
        <v>0</v>
      </c>
      <c r="W152" s="530">
        <v>0</v>
      </c>
      <c r="X152" s="530">
        <v>0</v>
      </c>
      <c r="Y152" s="530">
        <v>0</v>
      </c>
      <c r="Z152" s="530">
        <f t="shared" si="24"/>
        <v>0</v>
      </c>
    </row>
    <row r="153" spans="1:26" s="545" customFormat="1" ht="12.75" x14ac:dyDescent="0.2">
      <c r="A153" s="513">
        <v>66102</v>
      </c>
      <c r="B153" s="529" t="s">
        <v>676</v>
      </c>
      <c r="C153" s="530">
        <v>0</v>
      </c>
      <c r="D153" s="530">
        <v>0</v>
      </c>
      <c r="E153" s="530">
        <v>0</v>
      </c>
      <c r="F153" s="530">
        <v>0</v>
      </c>
      <c r="G153" s="530">
        <v>0</v>
      </c>
      <c r="H153" s="530">
        <v>0</v>
      </c>
      <c r="I153" s="530">
        <v>0</v>
      </c>
      <c r="J153" s="530">
        <v>0</v>
      </c>
      <c r="K153" s="530">
        <v>0</v>
      </c>
      <c r="L153" s="530">
        <v>0</v>
      </c>
      <c r="M153" s="530">
        <v>0</v>
      </c>
      <c r="N153" s="530">
        <v>0</v>
      </c>
      <c r="O153" s="530">
        <v>0</v>
      </c>
      <c r="P153" s="530">
        <v>0</v>
      </c>
      <c r="Q153" s="530">
        <v>0</v>
      </c>
      <c r="R153" s="530">
        <v>0</v>
      </c>
      <c r="S153" s="530">
        <v>0</v>
      </c>
      <c r="T153" s="530">
        <v>0</v>
      </c>
      <c r="U153" s="530">
        <v>0</v>
      </c>
      <c r="V153" s="530">
        <v>0</v>
      </c>
      <c r="W153" s="530">
        <v>0</v>
      </c>
      <c r="X153" s="530">
        <v>0</v>
      </c>
      <c r="Y153" s="530">
        <v>0</v>
      </c>
      <c r="Z153" s="530">
        <f t="shared" si="24"/>
        <v>0</v>
      </c>
    </row>
    <row r="154" spans="1:26" s="545" customFormat="1" ht="12.75" x14ac:dyDescent="0.2">
      <c r="A154" s="513">
        <v>66104</v>
      </c>
      <c r="B154" s="529" t="s">
        <v>677</v>
      </c>
      <c r="C154" s="530">
        <v>180657.91999999998</v>
      </c>
      <c r="D154" s="530">
        <v>0</v>
      </c>
      <c r="E154" s="530">
        <v>39.25</v>
      </c>
      <c r="F154" s="530">
        <v>562472.81000000006</v>
      </c>
      <c r="G154" s="530">
        <v>0</v>
      </c>
      <c r="H154" s="530">
        <v>49511.399999999994</v>
      </c>
      <c r="I154" s="530">
        <v>0</v>
      </c>
      <c r="J154" s="530">
        <v>0</v>
      </c>
      <c r="K154" s="530">
        <v>0</v>
      </c>
      <c r="L154" s="530">
        <v>0</v>
      </c>
      <c r="M154" s="530">
        <v>0</v>
      </c>
      <c r="N154" s="530">
        <v>0</v>
      </c>
      <c r="O154" s="530">
        <v>0</v>
      </c>
      <c r="P154" s="1156">
        <v>36206.18</v>
      </c>
      <c r="Q154" s="530">
        <v>39.25</v>
      </c>
      <c r="R154" s="530">
        <v>0</v>
      </c>
      <c r="S154" s="530">
        <v>0</v>
      </c>
      <c r="T154" s="530">
        <v>39.25</v>
      </c>
      <c r="U154" s="530">
        <v>0</v>
      </c>
      <c r="V154" s="530">
        <v>0</v>
      </c>
      <c r="W154" s="530">
        <v>0</v>
      </c>
      <c r="X154" s="530">
        <v>12</v>
      </c>
      <c r="Y154" s="530">
        <v>0</v>
      </c>
      <c r="Z154" s="530">
        <f t="shared" si="24"/>
        <v>828978.06</v>
      </c>
    </row>
    <row r="155" spans="1:26" s="545" customFormat="1" ht="12.75" x14ac:dyDescent="0.2">
      <c r="A155" s="513">
        <v>66106</v>
      </c>
      <c r="B155" s="529" t="s">
        <v>678</v>
      </c>
      <c r="C155" s="530">
        <v>0</v>
      </c>
      <c r="D155" s="530">
        <v>0</v>
      </c>
      <c r="E155" s="530">
        <v>0</v>
      </c>
      <c r="F155" s="530">
        <v>0</v>
      </c>
      <c r="G155" s="530">
        <v>0</v>
      </c>
      <c r="H155" s="530">
        <v>0</v>
      </c>
      <c r="I155" s="530">
        <v>0</v>
      </c>
      <c r="J155" s="530">
        <v>0</v>
      </c>
      <c r="K155" s="530">
        <v>0</v>
      </c>
      <c r="L155" s="530">
        <v>0</v>
      </c>
      <c r="M155" s="530">
        <v>0</v>
      </c>
      <c r="N155" s="530">
        <v>0</v>
      </c>
      <c r="O155" s="530">
        <v>0</v>
      </c>
      <c r="P155" s="530">
        <v>0</v>
      </c>
      <c r="Q155" s="530">
        <v>0</v>
      </c>
      <c r="R155" s="530">
        <v>0</v>
      </c>
      <c r="S155" s="530">
        <v>0</v>
      </c>
      <c r="T155" s="530">
        <v>0</v>
      </c>
      <c r="U155" s="530">
        <v>0</v>
      </c>
      <c r="V155" s="530">
        <v>0</v>
      </c>
      <c r="W155" s="530">
        <v>0</v>
      </c>
      <c r="X155" s="530">
        <v>0</v>
      </c>
      <c r="Y155" s="530">
        <v>0</v>
      </c>
      <c r="Z155" s="530">
        <f t="shared" si="24"/>
        <v>0</v>
      </c>
    </row>
    <row r="156" spans="1:26" s="545" customFormat="1" ht="12.75" x14ac:dyDescent="0.2">
      <c r="A156" s="513">
        <v>66108</v>
      </c>
      <c r="B156" s="529" t="s">
        <v>679</v>
      </c>
      <c r="C156" s="530">
        <v>0</v>
      </c>
      <c r="D156" s="530">
        <v>0</v>
      </c>
      <c r="E156" s="530">
        <v>0</v>
      </c>
      <c r="F156" s="530">
        <v>0</v>
      </c>
      <c r="G156" s="530">
        <v>0</v>
      </c>
      <c r="H156" s="530">
        <v>0</v>
      </c>
      <c r="I156" s="530">
        <v>0</v>
      </c>
      <c r="J156" s="530">
        <v>0</v>
      </c>
      <c r="K156" s="530">
        <v>0</v>
      </c>
      <c r="L156" s="530">
        <v>0</v>
      </c>
      <c r="M156" s="530">
        <v>0</v>
      </c>
      <c r="N156" s="530">
        <v>0</v>
      </c>
      <c r="O156" s="530">
        <v>0</v>
      </c>
      <c r="P156" s="530">
        <v>0</v>
      </c>
      <c r="Q156" s="530">
        <v>0</v>
      </c>
      <c r="R156" s="530">
        <v>0</v>
      </c>
      <c r="S156" s="530">
        <v>0</v>
      </c>
      <c r="T156" s="530">
        <v>0</v>
      </c>
      <c r="U156" s="530">
        <v>0</v>
      </c>
      <c r="V156" s="530">
        <v>0</v>
      </c>
      <c r="W156" s="530">
        <v>0</v>
      </c>
      <c r="X156" s="530">
        <v>0</v>
      </c>
      <c r="Y156" s="530">
        <v>0</v>
      </c>
      <c r="Z156" s="530">
        <f t="shared" si="24"/>
        <v>0</v>
      </c>
    </row>
    <row r="157" spans="1:26" s="545" customFormat="1" ht="12.75" x14ac:dyDescent="0.2">
      <c r="A157" s="513">
        <v>66110</v>
      </c>
      <c r="B157" s="529" t="s">
        <v>680</v>
      </c>
      <c r="C157" s="530">
        <v>360012.11</v>
      </c>
      <c r="D157" s="530">
        <v>0</v>
      </c>
      <c r="E157" s="530">
        <v>0</v>
      </c>
      <c r="F157" s="530">
        <v>300135.55</v>
      </c>
      <c r="G157" s="530">
        <v>0</v>
      </c>
      <c r="H157" s="530">
        <v>107384.8</v>
      </c>
      <c r="I157" s="530">
        <v>0</v>
      </c>
      <c r="J157" s="530">
        <v>6482.5599999999995</v>
      </c>
      <c r="K157" s="530">
        <v>0</v>
      </c>
      <c r="L157" s="530">
        <v>0</v>
      </c>
      <c r="M157" s="530">
        <v>31091.51</v>
      </c>
      <c r="N157" s="530">
        <v>0</v>
      </c>
      <c r="O157" s="530">
        <v>0</v>
      </c>
      <c r="P157" s="530">
        <v>18530.150000000001</v>
      </c>
      <c r="Q157" s="530">
        <v>0</v>
      </c>
      <c r="R157" s="530">
        <v>0</v>
      </c>
      <c r="S157" s="530">
        <v>376899.08</v>
      </c>
      <c r="T157" s="530">
        <v>0</v>
      </c>
      <c r="U157" s="530">
        <v>38017.980000000003</v>
      </c>
      <c r="V157" s="530">
        <v>0</v>
      </c>
      <c r="W157" s="530">
        <v>0</v>
      </c>
      <c r="X157" s="530">
        <v>356920.77</v>
      </c>
      <c r="Y157" s="530">
        <v>0</v>
      </c>
      <c r="Z157" s="530">
        <f t="shared" si="24"/>
        <v>1595474.51</v>
      </c>
    </row>
    <row r="158" spans="1:26" s="545" customFormat="1" ht="12.75" x14ac:dyDescent="0.2">
      <c r="A158" s="513">
        <v>66112</v>
      </c>
      <c r="B158" s="529" t="s">
        <v>681</v>
      </c>
      <c r="C158" s="530">
        <v>0</v>
      </c>
      <c r="D158" s="530">
        <v>0</v>
      </c>
      <c r="E158" s="530">
        <v>117.76</v>
      </c>
      <c r="F158" s="530">
        <v>2200.4699999999998</v>
      </c>
      <c r="G158" s="530">
        <v>0</v>
      </c>
      <c r="H158" s="530">
        <v>0</v>
      </c>
      <c r="I158" s="530">
        <v>20111.5</v>
      </c>
      <c r="J158" s="530">
        <v>0</v>
      </c>
      <c r="K158" s="530">
        <v>0</v>
      </c>
      <c r="L158" s="530">
        <v>0</v>
      </c>
      <c r="M158" s="530">
        <v>850.02</v>
      </c>
      <c r="N158" s="530">
        <v>0</v>
      </c>
      <c r="O158" s="530">
        <v>0</v>
      </c>
      <c r="P158" s="1156">
        <v>174825.15</v>
      </c>
      <c r="Q158" s="530">
        <v>0</v>
      </c>
      <c r="R158" s="530">
        <v>0</v>
      </c>
      <c r="S158" s="530">
        <v>0</v>
      </c>
      <c r="T158" s="530">
        <v>0</v>
      </c>
      <c r="U158" s="530">
        <v>10537.6</v>
      </c>
      <c r="V158" s="530">
        <v>0</v>
      </c>
      <c r="W158" s="530">
        <v>0</v>
      </c>
      <c r="X158" s="530">
        <v>41201.14</v>
      </c>
      <c r="Y158" s="530">
        <v>0</v>
      </c>
      <c r="Z158" s="530">
        <f t="shared" si="24"/>
        <v>249843.64</v>
      </c>
    </row>
    <row r="159" spans="1:26" s="545" customFormat="1" ht="12.75" x14ac:dyDescent="0.2">
      <c r="A159" s="513">
        <v>66114</v>
      </c>
      <c r="B159" s="529" t="s">
        <v>682</v>
      </c>
      <c r="C159" s="530">
        <v>0</v>
      </c>
      <c r="D159" s="530">
        <v>0</v>
      </c>
      <c r="E159" s="530">
        <v>0</v>
      </c>
      <c r="F159" s="1156">
        <v>6500</v>
      </c>
      <c r="G159" s="530">
        <v>0</v>
      </c>
      <c r="H159" s="530">
        <v>0</v>
      </c>
      <c r="I159" s="530">
        <v>0</v>
      </c>
      <c r="J159" s="530">
        <v>0</v>
      </c>
      <c r="K159" s="530">
        <v>0</v>
      </c>
      <c r="L159" s="530">
        <v>0</v>
      </c>
      <c r="M159" s="530">
        <v>0</v>
      </c>
      <c r="N159" s="530">
        <v>0</v>
      </c>
      <c r="O159" s="530">
        <v>0</v>
      </c>
      <c r="P159" s="530">
        <v>2500</v>
      </c>
      <c r="Q159" s="530">
        <v>0</v>
      </c>
      <c r="R159" s="530">
        <v>0</v>
      </c>
      <c r="S159" s="530">
        <v>0</v>
      </c>
      <c r="T159" s="530">
        <v>0</v>
      </c>
      <c r="U159" s="530">
        <v>0</v>
      </c>
      <c r="V159" s="530">
        <v>0</v>
      </c>
      <c r="W159" s="530">
        <v>0</v>
      </c>
      <c r="X159" s="530">
        <v>0</v>
      </c>
      <c r="Y159" s="530">
        <v>0</v>
      </c>
      <c r="Z159" s="530">
        <f t="shared" si="24"/>
        <v>9000</v>
      </c>
    </row>
    <row r="160" spans="1:26" s="545" customFormat="1" ht="12.75" x14ac:dyDescent="0.2">
      <c r="A160" s="513">
        <v>66118</v>
      </c>
      <c r="B160" s="529" t="s">
        <v>683</v>
      </c>
      <c r="C160" s="530">
        <v>0</v>
      </c>
      <c r="D160" s="530">
        <v>0</v>
      </c>
      <c r="E160" s="530">
        <v>0</v>
      </c>
      <c r="F160" s="1156">
        <v>45280.4</v>
      </c>
      <c r="G160" s="530">
        <v>0</v>
      </c>
      <c r="H160" s="530">
        <v>0</v>
      </c>
      <c r="I160" s="530">
        <v>0</v>
      </c>
      <c r="J160" s="530">
        <v>0</v>
      </c>
      <c r="K160" s="530">
        <v>0</v>
      </c>
      <c r="L160" s="530">
        <v>0</v>
      </c>
      <c r="M160" s="530">
        <v>0</v>
      </c>
      <c r="N160" s="530">
        <v>0</v>
      </c>
      <c r="O160" s="530">
        <v>0</v>
      </c>
      <c r="P160" s="530">
        <v>0</v>
      </c>
      <c r="Q160" s="530">
        <v>0</v>
      </c>
      <c r="R160" s="530">
        <v>0</v>
      </c>
      <c r="S160" s="530">
        <v>0</v>
      </c>
      <c r="T160" s="530">
        <v>0</v>
      </c>
      <c r="U160" s="530">
        <v>0</v>
      </c>
      <c r="V160" s="530">
        <v>0</v>
      </c>
      <c r="W160" s="530">
        <v>0</v>
      </c>
      <c r="X160" s="530">
        <v>0</v>
      </c>
      <c r="Y160" s="530">
        <v>0</v>
      </c>
      <c r="Z160" s="530">
        <f t="shared" si="24"/>
        <v>45280.4</v>
      </c>
    </row>
    <row r="161" spans="1:26" s="545" customFormat="1" ht="12.75" x14ac:dyDescent="0.2">
      <c r="A161" s="513">
        <v>66122</v>
      </c>
      <c r="B161" s="529" t="s">
        <v>684</v>
      </c>
      <c r="C161" s="530">
        <v>4804.2999999999993</v>
      </c>
      <c r="D161" s="530">
        <v>0</v>
      </c>
      <c r="E161" s="530">
        <v>2381.65</v>
      </c>
      <c r="F161" s="1156">
        <v>17958.55</v>
      </c>
      <c r="G161" s="530">
        <v>0</v>
      </c>
      <c r="H161" s="530">
        <v>13919.67</v>
      </c>
      <c r="I161" s="530">
        <v>0</v>
      </c>
      <c r="J161" s="530">
        <v>0</v>
      </c>
      <c r="K161" s="530">
        <v>0</v>
      </c>
      <c r="L161" s="530">
        <v>0</v>
      </c>
      <c r="M161" s="530">
        <v>174.88</v>
      </c>
      <c r="N161" s="530">
        <v>0</v>
      </c>
      <c r="O161" s="530">
        <v>0</v>
      </c>
      <c r="P161" s="530">
        <v>3596.46</v>
      </c>
      <c r="Q161" s="530">
        <v>517</v>
      </c>
      <c r="R161" s="530">
        <v>0</v>
      </c>
      <c r="S161" s="530">
        <v>2167.4899999999998</v>
      </c>
      <c r="T161" s="530">
        <v>1402.74</v>
      </c>
      <c r="U161" s="530">
        <v>0</v>
      </c>
      <c r="V161" s="530">
        <v>0</v>
      </c>
      <c r="W161" s="530">
        <v>0</v>
      </c>
      <c r="X161" s="530">
        <v>1001.81</v>
      </c>
      <c r="Y161" s="530">
        <v>0</v>
      </c>
      <c r="Z161" s="530">
        <f t="shared" si="24"/>
        <v>47924.549999999988</v>
      </c>
    </row>
    <row r="162" spans="1:26" s="545" customFormat="1" ht="12.75" x14ac:dyDescent="0.2">
      <c r="A162" s="513">
        <v>66126</v>
      </c>
      <c r="B162" s="529" t="s">
        <v>685</v>
      </c>
      <c r="C162" s="530">
        <v>0</v>
      </c>
      <c r="D162" s="530">
        <v>0</v>
      </c>
      <c r="E162" s="530">
        <v>10018.119999999999</v>
      </c>
      <c r="F162" s="530">
        <v>55000</v>
      </c>
      <c r="G162" s="530">
        <v>0</v>
      </c>
      <c r="H162" s="530">
        <v>6660.41</v>
      </c>
      <c r="I162" s="530">
        <v>0</v>
      </c>
      <c r="J162" s="530">
        <v>2018.2800000000002</v>
      </c>
      <c r="K162" s="530">
        <v>0</v>
      </c>
      <c r="L162" s="530">
        <v>0</v>
      </c>
      <c r="M162" s="530">
        <v>2727.67</v>
      </c>
      <c r="N162" s="530">
        <v>0</v>
      </c>
      <c r="O162" s="530">
        <v>18.52</v>
      </c>
      <c r="P162" s="530">
        <v>936.04</v>
      </c>
      <c r="Q162" s="530">
        <v>0</v>
      </c>
      <c r="R162" s="530">
        <v>0</v>
      </c>
      <c r="S162" s="530">
        <v>1556.5600000000002</v>
      </c>
      <c r="T162" s="530">
        <v>693</v>
      </c>
      <c r="U162" s="530">
        <v>153.94</v>
      </c>
      <c r="V162" s="530">
        <v>0</v>
      </c>
      <c r="W162" s="530">
        <v>0</v>
      </c>
      <c r="X162" s="530">
        <v>301.31</v>
      </c>
      <c r="Y162" s="530">
        <v>0</v>
      </c>
      <c r="Z162" s="530">
        <f t="shared" si="24"/>
        <v>80083.849999999991</v>
      </c>
    </row>
    <row r="163" spans="1:26" s="545" customFormat="1" ht="12.75" x14ac:dyDescent="0.2">
      <c r="A163" s="513">
        <v>66127</v>
      </c>
      <c r="B163" s="529" t="s">
        <v>686</v>
      </c>
      <c r="C163" s="530">
        <v>3840.52</v>
      </c>
      <c r="D163" s="530">
        <v>0</v>
      </c>
      <c r="E163" s="530">
        <v>240.85</v>
      </c>
      <c r="F163" s="1156">
        <v>3641.9999999999995</v>
      </c>
      <c r="G163" s="530">
        <v>0</v>
      </c>
      <c r="H163" s="530">
        <v>31970.95</v>
      </c>
      <c r="I163" s="530">
        <v>0</v>
      </c>
      <c r="J163" s="530">
        <v>160.15</v>
      </c>
      <c r="K163" s="530">
        <v>0</v>
      </c>
      <c r="L163" s="530">
        <v>0</v>
      </c>
      <c r="M163" s="530">
        <v>0</v>
      </c>
      <c r="N163" s="530">
        <v>0</v>
      </c>
      <c r="O163" s="530">
        <v>0</v>
      </c>
      <c r="P163" s="530">
        <v>428.57</v>
      </c>
      <c r="Q163" s="530">
        <v>0</v>
      </c>
      <c r="R163" s="530">
        <v>0</v>
      </c>
      <c r="S163" s="530">
        <v>753.12</v>
      </c>
      <c r="T163" s="530">
        <v>0</v>
      </c>
      <c r="U163" s="530">
        <v>0</v>
      </c>
      <c r="V163" s="530">
        <v>0</v>
      </c>
      <c r="W163" s="530">
        <v>0</v>
      </c>
      <c r="X163" s="530">
        <v>0</v>
      </c>
      <c r="Y163" s="530">
        <v>0</v>
      </c>
      <c r="Z163" s="530">
        <f t="shared" si="24"/>
        <v>41036.160000000003</v>
      </c>
    </row>
    <row r="164" spans="1:26" s="545" customFormat="1" ht="12.75" x14ac:dyDescent="0.2">
      <c r="A164" s="513">
        <v>66130</v>
      </c>
      <c r="B164" s="529" t="s">
        <v>687</v>
      </c>
      <c r="C164" s="530">
        <v>4191.8099999999995</v>
      </c>
      <c r="D164" s="530">
        <v>0</v>
      </c>
      <c r="E164" s="530">
        <v>1739.17</v>
      </c>
      <c r="F164" s="530">
        <v>2693.88</v>
      </c>
      <c r="G164" s="530">
        <v>0</v>
      </c>
      <c r="H164" s="530">
        <v>10356.86</v>
      </c>
      <c r="I164" s="530">
        <v>0</v>
      </c>
      <c r="J164" s="530">
        <v>3732.2500000000005</v>
      </c>
      <c r="K164" s="530">
        <v>0</v>
      </c>
      <c r="L164" s="530">
        <v>0</v>
      </c>
      <c r="M164" s="530">
        <v>10452.24</v>
      </c>
      <c r="N164" s="530">
        <v>590.64</v>
      </c>
      <c r="O164" s="530">
        <v>0</v>
      </c>
      <c r="P164" s="530">
        <v>4157.6099999999997</v>
      </c>
      <c r="Q164" s="530">
        <v>1021.67</v>
      </c>
      <c r="R164" s="530">
        <v>0</v>
      </c>
      <c r="S164" s="530">
        <v>2226.25</v>
      </c>
      <c r="T164" s="530">
        <v>1646.5</v>
      </c>
      <c r="U164" s="530">
        <v>0</v>
      </c>
      <c r="V164" s="530">
        <v>0</v>
      </c>
      <c r="W164" s="530">
        <v>0</v>
      </c>
      <c r="X164" s="530">
        <v>3948.06</v>
      </c>
      <c r="Y164" s="530">
        <v>0</v>
      </c>
      <c r="Z164" s="530">
        <f t="shared" si="24"/>
        <v>46756.939999999995</v>
      </c>
    </row>
    <row r="165" spans="1:26" s="545" customFormat="1" ht="12.75" x14ac:dyDescent="0.2">
      <c r="A165" s="513">
        <v>66134</v>
      </c>
      <c r="B165" s="529" t="s">
        <v>688</v>
      </c>
      <c r="C165" s="530">
        <v>0</v>
      </c>
      <c r="D165" s="530">
        <v>0</v>
      </c>
      <c r="E165" s="530">
        <v>0</v>
      </c>
      <c r="F165" s="530">
        <v>0</v>
      </c>
      <c r="G165" s="530">
        <v>0</v>
      </c>
      <c r="H165" s="530">
        <v>0</v>
      </c>
      <c r="I165" s="530">
        <v>0</v>
      </c>
      <c r="J165" s="530">
        <v>0</v>
      </c>
      <c r="K165" s="530">
        <v>0</v>
      </c>
      <c r="L165" s="530">
        <v>0</v>
      </c>
      <c r="M165" s="530">
        <v>0</v>
      </c>
      <c r="N165" s="530">
        <v>0</v>
      </c>
      <c r="O165" s="530">
        <v>0</v>
      </c>
      <c r="P165" s="530">
        <v>0</v>
      </c>
      <c r="Q165" s="530">
        <v>0</v>
      </c>
      <c r="R165" s="530">
        <v>0</v>
      </c>
      <c r="S165" s="530">
        <v>0</v>
      </c>
      <c r="T165" s="530">
        <v>0</v>
      </c>
      <c r="U165" s="530">
        <v>0</v>
      </c>
      <c r="V165" s="530">
        <v>0</v>
      </c>
      <c r="W165" s="530">
        <v>0</v>
      </c>
      <c r="X165" s="530">
        <v>0</v>
      </c>
      <c r="Y165" s="530">
        <v>0</v>
      </c>
      <c r="Z165" s="530">
        <f t="shared" si="24"/>
        <v>0</v>
      </c>
    </row>
    <row r="166" spans="1:26" s="545" customFormat="1" ht="12.75" x14ac:dyDescent="0.2">
      <c r="A166" s="513">
        <v>66138</v>
      </c>
      <c r="B166" s="529" t="s">
        <v>689</v>
      </c>
      <c r="C166" s="530">
        <v>57859.060000000005</v>
      </c>
      <c r="D166" s="530">
        <v>0</v>
      </c>
      <c r="E166" s="530">
        <v>4678.4400000000005</v>
      </c>
      <c r="F166" s="530">
        <v>45741.21</v>
      </c>
      <c r="G166" s="530">
        <v>0</v>
      </c>
      <c r="H166" s="530">
        <v>106449.54</v>
      </c>
      <c r="I166" s="530">
        <v>0</v>
      </c>
      <c r="J166" s="530">
        <v>23162.41</v>
      </c>
      <c r="K166" s="530">
        <v>0</v>
      </c>
      <c r="L166" s="530">
        <v>0</v>
      </c>
      <c r="M166" s="530">
        <v>9926.2199999999993</v>
      </c>
      <c r="N166" s="530">
        <v>0</v>
      </c>
      <c r="O166" s="530">
        <v>10166.35</v>
      </c>
      <c r="P166" s="530">
        <v>12604.25</v>
      </c>
      <c r="Q166" s="530">
        <v>0</v>
      </c>
      <c r="R166" s="530">
        <v>265.5</v>
      </c>
      <c r="S166" s="530">
        <v>10428.369999999999</v>
      </c>
      <c r="T166" s="530">
        <v>4952.68</v>
      </c>
      <c r="U166" s="530">
        <v>1782.17</v>
      </c>
      <c r="V166" s="530">
        <v>0</v>
      </c>
      <c r="W166" s="530">
        <v>-3.2</v>
      </c>
      <c r="X166" s="530">
        <v>187801.57</v>
      </c>
      <c r="Y166" s="530">
        <v>0</v>
      </c>
      <c r="Z166" s="530">
        <f t="shared" si="24"/>
        <v>475814.56999999995</v>
      </c>
    </row>
    <row r="167" spans="1:26" s="545" customFormat="1" ht="12.75" x14ac:dyDescent="0.2">
      <c r="A167" s="513">
        <v>66140</v>
      </c>
      <c r="B167" s="529" t="s">
        <v>690</v>
      </c>
      <c r="C167" s="530">
        <v>1926.67</v>
      </c>
      <c r="D167" s="530">
        <v>0</v>
      </c>
      <c r="E167" s="530">
        <v>633.97</v>
      </c>
      <c r="F167" s="530">
        <v>-5618.37</v>
      </c>
      <c r="G167" s="530">
        <v>0</v>
      </c>
      <c r="H167" s="530">
        <v>48559.57</v>
      </c>
      <c r="I167" s="530">
        <v>16.95</v>
      </c>
      <c r="J167" s="530">
        <v>-5723.9900000000007</v>
      </c>
      <c r="K167" s="530">
        <v>0</v>
      </c>
      <c r="L167" s="530">
        <v>0</v>
      </c>
      <c r="M167" s="530">
        <v>27937.74</v>
      </c>
      <c r="N167" s="530">
        <v>4263.83</v>
      </c>
      <c r="O167" s="530">
        <v>0</v>
      </c>
      <c r="P167" s="530">
        <v>5426.5199999999995</v>
      </c>
      <c r="Q167" s="530">
        <v>0</v>
      </c>
      <c r="R167" s="530">
        <v>-380.02</v>
      </c>
      <c r="S167" s="530">
        <v>-3208.69</v>
      </c>
      <c r="T167" s="530">
        <v>377.87</v>
      </c>
      <c r="U167" s="530">
        <v>0</v>
      </c>
      <c r="V167" s="530">
        <v>-1004.29</v>
      </c>
      <c r="W167" s="530">
        <v>0</v>
      </c>
      <c r="X167" s="530">
        <v>35109.630000000005</v>
      </c>
      <c r="Y167" s="530">
        <v>0</v>
      </c>
      <c r="Z167" s="530">
        <f t="shared" si="24"/>
        <v>108317.39</v>
      </c>
    </row>
    <row r="168" spans="1:26" s="545" customFormat="1" ht="12.75" x14ac:dyDescent="0.2">
      <c r="A168" s="513" t="s">
        <v>691</v>
      </c>
      <c r="B168" s="529" t="s">
        <v>692</v>
      </c>
      <c r="C168" s="530">
        <v>10581.61</v>
      </c>
      <c r="D168" s="530">
        <v>0</v>
      </c>
      <c r="E168" s="530">
        <v>1492.3799999999999</v>
      </c>
      <c r="F168" s="530">
        <v>61089.08</v>
      </c>
      <c r="G168" s="530">
        <v>0</v>
      </c>
      <c r="H168" s="530">
        <v>41334.770000000004</v>
      </c>
      <c r="I168" s="530">
        <v>620.35</v>
      </c>
      <c r="J168" s="530">
        <v>3728.86</v>
      </c>
      <c r="K168" s="530">
        <v>0</v>
      </c>
      <c r="L168" s="530">
        <v>0</v>
      </c>
      <c r="M168" s="530">
        <v>4599.75</v>
      </c>
      <c r="N168" s="530">
        <v>-300</v>
      </c>
      <c r="O168" s="530">
        <v>953.08</v>
      </c>
      <c r="P168" s="530">
        <v>3262.51</v>
      </c>
      <c r="Q168" s="530">
        <v>0</v>
      </c>
      <c r="R168" s="530">
        <v>114.52000000000001</v>
      </c>
      <c r="S168" s="530">
        <v>3833.9700000000003</v>
      </c>
      <c r="T168" s="530">
        <v>1126.54</v>
      </c>
      <c r="U168" s="530">
        <v>749.91</v>
      </c>
      <c r="V168" s="530">
        <v>0</v>
      </c>
      <c r="W168" s="530">
        <v>0</v>
      </c>
      <c r="X168" s="530">
        <v>21370.21</v>
      </c>
      <c r="Y168" s="530">
        <v>0</v>
      </c>
      <c r="Z168" s="530">
        <f t="shared" si="24"/>
        <v>154557.54</v>
      </c>
    </row>
    <row r="169" spans="1:26" s="545" customFormat="1" ht="12.75" x14ac:dyDescent="0.2">
      <c r="A169" s="513">
        <v>66154</v>
      </c>
      <c r="B169" s="529" t="s">
        <v>693</v>
      </c>
      <c r="C169" s="530">
        <v>0</v>
      </c>
      <c r="D169" s="530">
        <v>0</v>
      </c>
      <c r="E169" s="530">
        <v>0</v>
      </c>
      <c r="F169" s="530">
        <v>0</v>
      </c>
      <c r="G169" s="530">
        <v>0</v>
      </c>
      <c r="H169" s="530">
        <v>0</v>
      </c>
      <c r="I169" s="530">
        <v>0</v>
      </c>
      <c r="J169" s="530">
        <v>0</v>
      </c>
      <c r="K169" s="530">
        <v>0</v>
      </c>
      <c r="L169" s="530">
        <v>0</v>
      </c>
      <c r="M169" s="530">
        <v>0</v>
      </c>
      <c r="N169" s="530">
        <v>0</v>
      </c>
      <c r="O169" s="530">
        <v>0</v>
      </c>
      <c r="P169" s="530">
        <v>0</v>
      </c>
      <c r="Q169" s="530">
        <v>0</v>
      </c>
      <c r="R169" s="530">
        <v>0</v>
      </c>
      <c r="S169" s="530">
        <v>0</v>
      </c>
      <c r="T169" s="530">
        <v>0</v>
      </c>
      <c r="U169" s="530">
        <v>0</v>
      </c>
      <c r="V169" s="530">
        <v>0</v>
      </c>
      <c r="W169" s="530">
        <v>0</v>
      </c>
      <c r="X169" s="530">
        <v>0</v>
      </c>
      <c r="Y169" s="530">
        <v>0</v>
      </c>
      <c r="Z169" s="530">
        <f t="shared" si="24"/>
        <v>0</v>
      </c>
    </row>
    <row r="170" spans="1:26" s="545" customFormat="1" ht="12.75" x14ac:dyDescent="0.2">
      <c r="A170" s="513">
        <v>66156</v>
      </c>
      <c r="B170" s="529" t="s">
        <v>694</v>
      </c>
      <c r="C170" s="530">
        <v>0</v>
      </c>
      <c r="D170" s="530">
        <v>0</v>
      </c>
      <c r="E170" s="530">
        <v>0</v>
      </c>
      <c r="F170" s="530">
        <v>0</v>
      </c>
      <c r="G170" s="530">
        <v>0</v>
      </c>
      <c r="H170" s="530">
        <v>0</v>
      </c>
      <c r="I170" s="530">
        <v>0</v>
      </c>
      <c r="J170" s="530">
        <v>0</v>
      </c>
      <c r="K170" s="530">
        <v>0</v>
      </c>
      <c r="L170" s="530">
        <v>0</v>
      </c>
      <c r="M170" s="530">
        <v>0</v>
      </c>
      <c r="N170" s="530">
        <v>0</v>
      </c>
      <c r="O170" s="530">
        <v>0</v>
      </c>
      <c r="P170" s="530">
        <v>0</v>
      </c>
      <c r="Q170" s="530">
        <v>0</v>
      </c>
      <c r="R170" s="530">
        <v>0</v>
      </c>
      <c r="S170" s="530">
        <v>0</v>
      </c>
      <c r="T170" s="530">
        <v>0</v>
      </c>
      <c r="U170" s="530">
        <v>0</v>
      </c>
      <c r="V170" s="530">
        <v>0</v>
      </c>
      <c r="W170" s="530">
        <v>0</v>
      </c>
      <c r="X170" s="530">
        <v>0</v>
      </c>
      <c r="Y170" s="530">
        <v>0</v>
      </c>
      <c r="Z170" s="530">
        <f t="shared" si="24"/>
        <v>0</v>
      </c>
    </row>
    <row r="171" spans="1:26" s="545" customFormat="1" ht="12.75" x14ac:dyDescent="0.2">
      <c r="A171" s="513">
        <v>66157</v>
      </c>
      <c r="B171" s="529" t="s">
        <v>695</v>
      </c>
      <c r="C171" s="530">
        <v>0</v>
      </c>
      <c r="D171" s="530">
        <v>0</v>
      </c>
      <c r="E171" s="530">
        <v>0</v>
      </c>
      <c r="F171" s="530">
        <v>0</v>
      </c>
      <c r="G171" s="530">
        <v>0</v>
      </c>
      <c r="H171" s="530">
        <v>0</v>
      </c>
      <c r="I171" s="530">
        <v>0</v>
      </c>
      <c r="J171" s="530">
        <v>0</v>
      </c>
      <c r="K171" s="530">
        <v>0</v>
      </c>
      <c r="L171" s="530">
        <v>0</v>
      </c>
      <c r="M171" s="530">
        <v>0</v>
      </c>
      <c r="N171" s="530">
        <v>0</v>
      </c>
      <c r="O171" s="530">
        <v>0</v>
      </c>
      <c r="P171" s="530">
        <v>0</v>
      </c>
      <c r="Q171" s="530">
        <v>0</v>
      </c>
      <c r="R171" s="530">
        <v>0</v>
      </c>
      <c r="S171" s="530">
        <v>0</v>
      </c>
      <c r="T171" s="530">
        <v>0</v>
      </c>
      <c r="U171" s="530">
        <v>0</v>
      </c>
      <c r="V171" s="530">
        <v>0</v>
      </c>
      <c r="W171" s="530">
        <v>0</v>
      </c>
      <c r="X171" s="530">
        <v>0</v>
      </c>
      <c r="Y171" s="530">
        <v>0</v>
      </c>
      <c r="Z171" s="530">
        <f t="shared" si="24"/>
        <v>0</v>
      </c>
    </row>
    <row r="172" spans="1:26" s="545" customFormat="1" ht="12.75" x14ac:dyDescent="0.2">
      <c r="A172" s="513">
        <v>66158</v>
      </c>
      <c r="B172" s="529" t="s">
        <v>696</v>
      </c>
      <c r="C172" s="530">
        <v>0</v>
      </c>
      <c r="D172" s="530">
        <v>0</v>
      </c>
      <c r="E172" s="530">
        <v>0</v>
      </c>
      <c r="F172" s="530">
        <v>0</v>
      </c>
      <c r="G172" s="530">
        <v>0</v>
      </c>
      <c r="H172" s="530">
        <v>0</v>
      </c>
      <c r="I172" s="530">
        <v>0</v>
      </c>
      <c r="J172" s="530">
        <v>0</v>
      </c>
      <c r="K172" s="530">
        <v>0</v>
      </c>
      <c r="L172" s="530">
        <v>0</v>
      </c>
      <c r="M172" s="530">
        <v>0</v>
      </c>
      <c r="N172" s="530">
        <v>0</v>
      </c>
      <c r="O172" s="530">
        <v>0</v>
      </c>
      <c r="P172" s="530">
        <v>0</v>
      </c>
      <c r="Q172" s="530">
        <v>0</v>
      </c>
      <c r="R172" s="530">
        <v>0</v>
      </c>
      <c r="S172" s="530">
        <v>0</v>
      </c>
      <c r="T172" s="530">
        <v>0</v>
      </c>
      <c r="U172" s="530">
        <v>0</v>
      </c>
      <c r="V172" s="530">
        <v>0</v>
      </c>
      <c r="W172" s="530">
        <v>0</v>
      </c>
      <c r="X172" s="530">
        <v>0</v>
      </c>
      <c r="Y172" s="530">
        <v>0</v>
      </c>
      <c r="Z172" s="530">
        <f t="shared" si="24"/>
        <v>0</v>
      </c>
    </row>
    <row r="173" spans="1:26" s="545" customFormat="1" ht="12.75" x14ac:dyDescent="0.2">
      <c r="A173" s="513">
        <v>66159</v>
      </c>
      <c r="B173" s="529" t="s">
        <v>697</v>
      </c>
      <c r="C173" s="530">
        <v>0</v>
      </c>
      <c r="D173" s="530">
        <v>0</v>
      </c>
      <c r="E173" s="530">
        <v>0</v>
      </c>
      <c r="F173" s="530">
        <v>0</v>
      </c>
      <c r="G173" s="530">
        <v>0</v>
      </c>
      <c r="H173" s="530">
        <v>0</v>
      </c>
      <c r="I173" s="530">
        <v>0</v>
      </c>
      <c r="J173" s="530">
        <v>0</v>
      </c>
      <c r="K173" s="530">
        <v>0</v>
      </c>
      <c r="L173" s="530">
        <v>0</v>
      </c>
      <c r="M173" s="530">
        <v>0</v>
      </c>
      <c r="N173" s="530">
        <v>0</v>
      </c>
      <c r="O173" s="530">
        <v>0</v>
      </c>
      <c r="P173" s="530">
        <v>0</v>
      </c>
      <c r="Q173" s="530">
        <v>0</v>
      </c>
      <c r="R173" s="530">
        <v>0</v>
      </c>
      <c r="S173" s="530">
        <v>0</v>
      </c>
      <c r="T173" s="530">
        <v>0</v>
      </c>
      <c r="U173" s="530">
        <v>0</v>
      </c>
      <c r="V173" s="530">
        <v>0</v>
      </c>
      <c r="W173" s="530">
        <v>0</v>
      </c>
      <c r="X173" s="530">
        <v>0</v>
      </c>
      <c r="Y173" s="530">
        <v>0</v>
      </c>
      <c r="Z173" s="530">
        <f t="shared" si="24"/>
        <v>0</v>
      </c>
    </row>
    <row r="174" spans="1:26" s="545" customFormat="1" ht="12.75" x14ac:dyDescent="0.2">
      <c r="A174" s="513">
        <v>66160</v>
      </c>
      <c r="B174" s="529" t="s">
        <v>698</v>
      </c>
      <c r="C174" s="530">
        <v>0</v>
      </c>
      <c r="D174" s="530">
        <v>0</v>
      </c>
      <c r="E174" s="530">
        <v>0</v>
      </c>
      <c r="F174" s="530">
        <v>0</v>
      </c>
      <c r="G174" s="530">
        <v>0</v>
      </c>
      <c r="H174" s="530">
        <v>0</v>
      </c>
      <c r="I174" s="530">
        <v>0</v>
      </c>
      <c r="J174" s="530">
        <v>0</v>
      </c>
      <c r="K174" s="530">
        <v>0</v>
      </c>
      <c r="L174" s="530">
        <v>0</v>
      </c>
      <c r="M174" s="530">
        <v>0</v>
      </c>
      <c r="N174" s="530">
        <v>0</v>
      </c>
      <c r="O174" s="530">
        <v>0</v>
      </c>
      <c r="P174" s="530">
        <v>0</v>
      </c>
      <c r="Q174" s="530">
        <v>0</v>
      </c>
      <c r="R174" s="530">
        <v>0</v>
      </c>
      <c r="S174" s="530">
        <v>0</v>
      </c>
      <c r="T174" s="530">
        <v>0</v>
      </c>
      <c r="U174" s="530">
        <v>0</v>
      </c>
      <c r="V174" s="530">
        <v>0</v>
      </c>
      <c r="W174" s="530">
        <v>0</v>
      </c>
      <c r="X174" s="530">
        <v>0</v>
      </c>
      <c r="Y174" s="530">
        <v>0</v>
      </c>
      <c r="Z174" s="530">
        <f t="shared" si="24"/>
        <v>0</v>
      </c>
    </row>
    <row r="175" spans="1:26" s="545" customFormat="1" ht="12.75" x14ac:dyDescent="0.2">
      <c r="A175" s="513">
        <v>66162</v>
      </c>
      <c r="B175" s="529" t="s">
        <v>699</v>
      </c>
      <c r="C175" s="530">
        <v>0</v>
      </c>
      <c r="D175" s="530">
        <v>0</v>
      </c>
      <c r="E175" s="530">
        <v>0</v>
      </c>
      <c r="F175" s="530">
        <v>0</v>
      </c>
      <c r="G175" s="530">
        <v>0</v>
      </c>
      <c r="H175" s="530">
        <v>0</v>
      </c>
      <c r="I175" s="530">
        <v>0</v>
      </c>
      <c r="J175" s="530">
        <v>0</v>
      </c>
      <c r="K175" s="530">
        <v>0</v>
      </c>
      <c r="L175" s="530">
        <v>0</v>
      </c>
      <c r="M175" s="530">
        <v>0</v>
      </c>
      <c r="N175" s="530">
        <v>0</v>
      </c>
      <c r="O175" s="530">
        <v>0</v>
      </c>
      <c r="P175" s="530">
        <v>0</v>
      </c>
      <c r="Q175" s="530">
        <v>0</v>
      </c>
      <c r="R175" s="530">
        <v>0</v>
      </c>
      <c r="S175" s="530">
        <v>0</v>
      </c>
      <c r="T175" s="530">
        <v>0</v>
      </c>
      <c r="U175" s="530">
        <v>77.34</v>
      </c>
      <c r="V175" s="530">
        <v>430.01000000000005</v>
      </c>
      <c r="W175" s="530">
        <v>0</v>
      </c>
      <c r="X175" s="530">
        <v>0</v>
      </c>
      <c r="Y175" s="530">
        <v>0</v>
      </c>
      <c r="Z175" s="530">
        <f t="shared" si="24"/>
        <v>507.35</v>
      </c>
    </row>
    <row r="176" spans="1:26" s="545" customFormat="1" ht="12.75" x14ac:dyDescent="0.2">
      <c r="A176" s="513">
        <v>66164</v>
      </c>
      <c r="B176" s="529" t="s">
        <v>700</v>
      </c>
      <c r="C176" s="530">
        <v>0</v>
      </c>
      <c r="D176" s="530">
        <v>0</v>
      </c>
      <c r="E176" s="530">
        <v>0</v>
      </c>
      <c r="F176" s="530">
        <v>0</v>
      </c>
      <c r="G176" s="530">
        <v>0</v>
      </c>
      <c r="H176" s="530">
        <v>0</v>
      </c>
      <c r="I176" s="530">
        <v>0</v>
      </c>
      <c r="J176" s="530">
        <v>0</v>
      </c>
      <c r="K176" s="530">
        <v>0</v>
      </c>
      <c r="L176" s="530">
        <v>0</v>
      </c>
      <c r="M176" s="530">
        <v>0</v>
      </c>
      <c r="N176" s="530">
        <v>0</v>
      </c>
      <c r="O176" s="530">
        <v>0</v>
      </c>
      <c r="P176" s="530">
        <v>0</v>
      </c>
      <c r="Q176" s="530">
        <v>0</v>
      </c>
      <c r="R176" s="530">
        <v>0</v>
      </c>
      <c r="S176" s="530">
        <v>0</v>
      </c>
      <c r="T176" s="530">
        <v>0</v>
      </c>
      <c r="U176" s="530">
        <v>0</v>
      </c>
      <c r="V176" s="530">
        <v>0</v>
      </c>
      <c r="W176" s="530">
        <v>0</v>
      </c>
      <c r="X176" s="530">
        <v>0</v>
      </c>
      <c r="Y176" s="530">
        <v>0</v>
      </c>
      <c r="Z176" s="530">
        <f t="shared" si="24"/>
        <v>0</v>
      </c>
    </row>
    <row r="177" spans="1:26" s="545" customFormat="1" ht="12.75" x14ac:dyDescent="0.2">
      <c r="A177" s="513">
        <v>66166</v>
      </c>
      <c r="B177" s="529" t="s">
        <v>701</v>
      </c>
      <c r="C177" s="530">
        <v>12579.7</v>
      </c>
      <c r="D177" s="530">
        <v>0</v>
      </c>
      <c r="E177" s="530">
        <v>0</v>
      </c>
      <c r="F177" s="530">
        <v>403752.68</v>
      </c>
      <c r="G177" s="530">
        <v>0</v>
      </c>
      <c r="H177" s="530">
        <v>73.740000000000009</v>
      </c>
      <c r="I177" s="530">
        <v>0</v>
      </c>
      <c r="J177" s="530">
        <v>0</v>
      </c>
      <c r="K177" s="530">
        <v>0</v>
      </c>
      <c r="L177" s="530">
        <v>0</v>
      </c>
      <c r="M177" s="530">
        <v>0</v>
      </c>
      <c r="N177" s="530">
        <v>0</v>
      </c>
      <c r="O177" s="530">
        <v>0</v>
      </c>
      <c r="P177" s="530">
        <v>0</v>
      </c>
      <c r="Q177" s="530">
        <v>0</v>
      </c>
      <c r="R177" s="530">
        <v>0</v>
      </c>
      <c r="S177" s="530">
        <v>0</v>
      </c>
      <c r="T177" s="530">
        <v>0</v>
      </c>
      <c r="U177" s="530">
        <v>0</v>
      </c>
      <c r="V177" s="530">
        <v>0</v>
      </c>
      <c r="W177" s="530">
        <v>0</v>
      </c>
      <c r="X177" s="530">
        <v>0</v>
      </c>
      <c r="Y177" s="530">
        <v>0</v>
      </c>
      <c r="Z177" s="530">
        <f t="shared" si="24"/>
        <v>416406.12</v>
      </c>
    </row>
    <row r="178" spans="1:26" s="545" customFormat="1" ht="12.75" x14ac:dyDescent="0.2">
      <c r="A178" s="513">
        <v>66168</v>
      </c>
      <c r="B178" s="529" t="s">
        <v>702</v>
      </c>
      <c r="C178" s="530">
        <v>0</v>
      </c>
      <c r="D178" s="530">
        <v>0</v>
      </c>
      <c r="E178" s="530">
        <v>0</v>
      </c>
      <c r="F178" s="530">
        <v>0</v>
      </c>
      <c r="G178" s="530">
        <v>0</v>
      </c>
      <c r="H178" s="530">
        <v>0</v>
      </c>
      <c r="I178" s="530">
        <v>0</v>
      </c>
      <c r="J178" s="530">
        <v>0</v>
      </c>
      <c r="K178" s="530">
        <v>0</v>
      </c>
      <c r="L178" s="530">
        <v>0</v>
      </c>
      <c r="M178" s="530">
        <v>0</v>
      </c>
      <c r="N178" s="530">
        <v>0</v>
      </c>
      <c r="O178" s="530">
        <v>0</v>
      </c>
      <c r="P178" s="530">
        <v>0</v>
      </c>
      <c r="Q178" s="530">
        <v>0</v>
      </c>
      <c r="R178" s="530">
        <v>0</v>
      </c>
      <c r="S178" s="530">
        <v>0</v>
      </c>
      <c r="T178" s="530">
        <v>0</v>
      </c>
      <c r="U178" s="530">
        <v>0</v>
      </c>
      <c r="V178" s="530">
        <v>0</v>
      </c>
      <c r="W178" s="530">
        <v>0</v>
      </c>
      <c r="X178" s="530">
        <v>0</v>
      </c>
      <c r="Y178" s="530">
        <v>0</v>
      </c>
      <c r="Z178" s="530">
        <f t="shared" si="24"/>
        <v>0</v>
      </c>
    </row>
    <row r="179" spans="1:26" s="545" customFormat="1" ht="12.75" x14ac:dyDescent="0.2">
      <c r="A179" s="513" t="s">
        <v>703</v>
      </c>
      <c r="B179" s="529" t="s">
        <v>704</v>
      </c>
      <c r="C179" s="530">
        <v>0</v>
      </c>
      <c r="D179" s="530">
        <v>0</v>
      </c>
      <c r="E179" s="530">
        <v>0</v>
      </c>
      <c r="F179" s="530">
        <v>0</v>
      </c>
      <c r="G179" s="530">
        <v>0</v>
      </c>
      <c r="H179" s="530">
        <v>0</v>
      </c>
      <c r="I179" s="530">
        <v>0</v>
      </c>
      <c r="J179" s="530">
        <v>0</v>
      </c>
      <c r="K179" s="530">
        <v>0</v>
      </c>
      <c r="L179" s="530">
        <v>0</v>
      </c>
      <c r="M179" s="530">
        <v>0</v>
      </c>
      <c r="N179" s="530">
        <v>0</v>
      </c>
      <c r="O179" s="530">
        <v>0</v>
      </c>
      <c r="P179" s="530">
        <v>0</v>
      </c>
      <c r="Q179" s="530">
        <v>0</v>
      </c>
      <c r="R179" s="530">
        <v>0</v>
      </c>
      <c r="S179" s="530">
        <v>0</v>
      </c>
      <c r="T179" s="530">
        <v>82037.119999999995</v>
      </c>
      <c r="U179" s="530">
        <v>0</v>
      </c>
      <c r="V179" s="530">
        <v>0</v>
      </c>
      <c r="W179" s="530">
        <v>0</v>
      </c>
      <c r="X179" s="530">
        <v>0</v>
      </c>
      <c r="Y179" s="530">
        <v>0</v>
      </c>
      <c r="Z179" s="530">
        <f t="shared" si="24"/>
        <v>82037.119999999995</v>
      </c>
    </row>
    <row r="180" spans="1:26" s="545" customFormat="1" ht="12.75" x14ac:dyDescent="0.2">
      <c r="A180" s="513">
        <v>66172</v>
      </c>
      <c r="B180" s="529" t="s">
        <v>705</v>
      </c>
      <c r="C180" s="530">
        <v>0</v>
      </c>
      <c r="D180" s="530">
        <v>0</v>
      </c>
      <c r="E180" s="530">
        <v>0</v>
      </c>
      <c r="F180" s="530">
        <v>-209.73</v>
      </c>
      <c r="G180" s="530">
        <v>0</v>
      </c>
      <c r="H180" s="530">
        <v>11.87</v>
      </c>
      <c r="I180" s="530">
        <v>227.36</v>
      </c>
      <c r="J180" s="530">
        <v>0</v>
      </c>
      <c r="K180" s="530">
        <v>0</v>
      </c>
      <c r="L180" s="530">
        <v>0</v>
      </c>
      <c r="M180" s="530">
        <v>949.15</v>
      </c>
      <c r="N180" s="530">
        <v>0</v>
      </c>
      <c r="O180" s="530">
        <v>0</v>
      </c>
      <c r="P180" s="530">
        <v>12.33</v>
      </c>
      <c r="Q180" s="530">
        <v>5.04</v>
      </c>
      <c r="R180" s="530">
        <v>0</v>
      </c>
      <c r="S180" s="530">
        <v>1.01</v>
      </c>
      <c r="T180" s="530">
        <v>1.84</v>
      </c>
      <c r="U180" s="530">
        <v>0</v>
      </c>
      <c r="V180" s="530">
        <v>0</v>
      </c>
      <c r="W180" s="530">
        <v>0</v>
      </c>
      <c r="X180" s="530">
        <v>0</v>
      </c>
      <c r="Y180" s="530">
        <v>0</v>
      </c>
      <c r="Z180" s="530">
        <f t="shared" si="24"/>
        <v>998.87</v>
      </c>
    </row>
    <row r="181" spans="1:26" s="545" customFormat="1" ht="12.75" x14ac:dyDescent="0.2">
      <c r="A181" s="513">
        <v>66176</v>
      </c>
      <c r="B181" s="529" t="s">
        <v>706</v>
      </c>
      <c r="C181" s="530">
        <v>52.910000000000004</v>
      </c>
      <c r="D181" s="530">
        <v>0</v>
      </c>
      <c r="E181" s="530">
        <v>0</v>
      </c>
      <c r="F181" s="530">
        <v>151</v>
      </c>
      <c r="G181" s="530">
        <v>0</v>
      </c>
      <c r="H181" s="530">
        <v>0</v>
      </c>
      <c r="I181" s="530">
        <v>0</v>
      </c>
      <c r="J181" s="530">
        <v>620.94000000000005</v>
      </c>
      <c r="K181" s="530">
        <v>0</v>
      </c>
      <c r="L181" s="530">
        <v>0</v>
      </c>
      <c r="M181" s="530">
        <v>0</v>
      </c>
      <c r="N181" s="530">
        <v>0</v>
      </c>
      <c r="O181" s="530">
        <v>0</v>
      </c>
      <c r="P181" s="530">
        <v>0</v>
      </c>
      <c r="Q181" s="530">
        <v>0</v>
      </c>
      <c r="R181" s="530">
        <v>0</v>
      </c>
      <c r="S181" s="530">
        <v>4892.3899999999994</v>
      </c>
      <c r="T181" s="530">
        <v>0</v>
      </c>
      <c r="U181" s="530">
        <v>0</v>
      </c>
      <c r="V181" s="530">
        <v>0</v>
      </c>
      <c r="W181" s="530">
        <v>0</v>
      </c>
      <c r="X181" s="530">
        <v>0</v>
      </c>
      <c r="Y181" s="530">
        <v>0</v>
      </c>
      <c r="Z181" s="530">
        <f t="shared" si="24"/>
        <v>5717.24</v>
      </c>
    </row>
    <row r="182" spans="1:26" s="545" customFormat="1" ht="12.75" x14ac:dyDescent="0.2">
      <c r="A182" s="513">
        <v>66180</v>
      </c>
      <c r="B182" s="529" t="s">
        <v>707</v>
      </c>
      <c r="C182" s="530">
        <v>0</v>
      </c>
      <c r="D182" s="530">
        <v>0</v>
      </c>
      <c r="E182" s="530">
        <v>0</v>
      </c>
      <c r="F182" s="530">
        <v>0</v>
      </c>
      <c r="G182" s="530">
        <v>0</v>
      </c>
      <c r="H182" s="530">
        <v>0</v>
      </c>
      <c r="I182" s="530">
        <v>0</v>
      </c>
      <c r="J182" s="530">
        <v>0</v>
      </c>
      <c r="K182" s="530">
        <v>0</v>
      </c>
      <c r="L182" s="530">
        <v>0</v>
      </c>
      <c r="M182" s="530">
        <v>0</v>
      </c>
      <c r="N182" s="530">
        <v>0</v>
      </c>
      <c r="O182" s="530">
        <v>0</v>
      </c>
      <c r="P182" s="530">
        <v>0</v>
      </c>
      <c r="Q182" s="530">
        <v>7364.66</v>
      </c>
      <c r="R182" s="530">
        <v>0</v>
      </c>
      <c r="S182" s="530">
        <v>0</v>
      </c>
      <c r="T182" s="530">
        <v>0</v>
      </c>
      <c r="U182" s="530">
        <v>0</v>
      </c>
      <c r="V182" s="530">
        <v>0</v>
      </c>
      <c r="W182" s="530">
        <v>0</v>
      </c>
      <c r="X182" s="530">
        <v>0</v>
      </c>
      <c r="Y182" s="530">
        <v>0</v>
      </c>
      <c r="Z182" s="530">
        <f t="shared" si="24"/>
        <v>7364.66</v>
      </c>
    </row>
    <row r="183" spans="1:26" s="545" customFormat="1" ht="12.75" x14ac:dyDescent="0.2">
      <c r="A183" s="513">
        <v>66220</v>
      </c>
      <c r="B183" s="529" t="s">
        <v>708</v>
      </c>
      <c r="C183" s="530">
        <v>0</v>
      </c>
      <c r="D183" s="530">
        <v>0</v>
      </c>
      <c r="E183" s="530">
        <v>0</v>
      </c>
      <c r="F183" s="530">
        <v>0</v>
      </c>
      <c r="G183" s="530">
        <v>0</v>
      </c>
      <c r="H183" s="530">
        <v>0</v>
      </c>
      <c r="I183" s="530">
        <v>0</v>
      </c>
      <c r="J183" s="530">
        <v>0</v>
      </c>
      <c r="K183" s="530">
        <v>0</v>
      </c>
      <c r="L183" s="530">
        <v>0</v>
      </c>
      <c r="M183" s="530">
        <v>0</v>
      </c>
      <c r="N183" s="530">
        <v>0</v>
      </c>
      <c r="O183" s="530">
        <v>0</v>
      </c>
      <c r="P183" s="530">
        <v>0</v>
      </c>
      <c r="Q183" s="530">
        <v>0</v>
      </c>
      <c r="R183" s="530">
        <v>0</v>
      </c>
      <c r="S183" s="530">
        <v>0</v>
      </c>
      <c r="T183" s="530">
        <v>0</v>
      </c>
      <c r="U183" s="530">
        <v>0</v>
      </c>
      <c r="V183" s="530">
        <v>0</v>
      </c>
      <c r="W183" s="530">
        <v>0</v>
      </c>
      <c r="X183" s="530">
        <v>0</v>
      </c>
      <c r="Y183" s="530">
        <v>0</v>
      </c>
      <c r="Z183" s="530">
        <f t="shared" si="24"/>
        <v>0</v>
      </c>
    </row>
    <row r="184" spans="1:26" s="545" customFormat="1" ht="12.75" x14ac:dyDescent="0.2">
      <c r="A184" s="513">
        <v>66230</v>
      </c>
      <c r="B184" s="529" t="s">
        <v>709</v>
      </c>
      <c r="C184" s="530">
        <v>0</v>
      </c>
      <c r="D184" s="530">
        <v>0</v>
      </c>
      <c r="E184" s="530">
        <v>0</v>
      </c>
      <c r="F184" s="530">
        <v>0</v>
      </c>
      <c r="G184" s="530">
        <v>0</v>
      </c>
      <c r="H184" s="530">
        <v>0</v>
      </c>
      <c r="I184" s="530">
        <v>0</v>
      </c>
      <c r="J184" s="530">
        <v>0</v>
      </c>
      <c r="K184" s="530">
        <v>0</v>
      </c>
      <c r="L184" s="530">
        <v>0</v>
      </c>
      <c r="M184" s="530">
        <v>0</v>
      </c>
      <c r="N184" s="530">
        <v>0</v>
      </c>
      <c r="O184" s="530">
        <v>0</v>
      </c>
      <c r="P184" s="530">
        <v>0</v>
      </c>
      <c r="Q184" s="530">
        <v>0</v>
      </c>
      <c r="R184" s="530">
        <v>0</v>
      </c>
      <c r="S184" s="530">
        <v>0</v>
      </c>
      <c r="T184" s="530">
        <v>0</v>
      </c>
      <c r="U184" s="530">
        <v>0</v>
      </c>
      <c r="V184" s="530">
        <v>0</v>
      </c>
      <c r="W184" s="530">
        <v>0</v>
      </c>
      <c r="X184" s="530">
        <v>0</v>
      </c>
      <c r="Y184" s="530">
        <v>0</v>
      </c>
      <c r="Z184" s="530">
        <f t="shared" si="24"/>
        <v>0</v>
      </c>
    </row>
    <row r="185" spans="1:26" s="545" customFormat="1" ht="12.75" x14ac:dyDescent="0.2">
      <c r="A185" s="513">
        <v>66240</v>
      </c>
      <c r="B185" s="529" t="s">
        <v>710</v>
      </c>
      <c r="C185" s="530">
        <v>0</v>
      </c>
      <c r="D185" s="530">
        <v>0</v>
      </c>
      <c r="E185" s="530">
        <v>0</v>
      </c>
      <c r="F185" s="530">
        <v>0</v>
      </c>
      <c r="G185" s="530">
        <v>0</v>
      </c>
      <c r="H185" s="530">
        <v>0</v>
      </c>
      <c r="I185" s="530">
        <v>0</v>
      </c>
      <c r="J185" s="530">
        <v>0</v>
      </c>
      <c r="K185" s="530">
        <v>0</v>
      </c>
      <c r="L185" s="530">
        <v>0</v>
      </c>
      <c r="M185" s="530">
        <v>0</v>
      </c>
      <c r="N185" s="530">
        <v>0</v>
      </c>
      <c r="O185" s="530">
        <v>0</v>
      </c>
      <c r="P185" s="530">
        <v>0</v>
      </c>
      <c r="Q185" s="530">
        <v>0</v>
      </c>
      <c r="R185" s="530">
        <v>0</v>
      </c>
      <c r="S185" s="530">
        <v>0</v>
      </c>
      <c r="T185" s="530">
        <v>0</v>
      </c>
      <c r="U185" s="530">
        <v>0</v>
      </c>
      <c r="V185" s="530">
        <v>0</v>
      </c>
      <c r="W185" s="530">
        <v>0</v>
      </c>
      <c r="X185" s="530">
        <v>0</v>
      </c>
      <c r="Y185" s="530">
        <v>0</v>
      </c>
      <c r="Z185" s="530">
        <f t="shared" si="24"/>
        <v>0</v>
      </c>
    </row>
    <row r="186" spans="1:26" s="545" customFormat="1" ht="12.75" x14ac:dyDescent="0.2">
      <c r="A186" s="513">
        <v>66250</v>
      </c>
      <c r="B186" s="529" t="s">
        <v>711</v>
      </c>
      <c r="C186" s="530">
        <v>0</v>
      </c>
      <c r="D186" s="530">
        <v>0</v>
      </c>
      <c r="E186" s="530">
        <v>0</v>
      </c>
      <c r="F186" s="530">
        <v>0</v>
      </c>
      <c r="G186" s="530">
        <v>0</v>
      </c>
      <c r="H186" s="530">
        <v>0</v>
      </c>
      <c r="I186" s="530">
        <v>0</v>
      </c>
      <c r="J186" s="530">
        <v>0</v>
      </c>
      <c r="K186" s="530">
        <v>0</v>
      </c>
      <c r="L186" s="530">
        <v>0</v>
      </c>
      <c r="M186" s="530">
        <v>0</v>
      </c>
      <c r="N186" s="530">
        <v>0</v>
      </c>
      <c r="O186" s="530">
        <v>0</v>
      </c>
      <c r="P186" s="530">
        <v>0</v>
      </c>
      <c r="Q186" s="530">
        <v>0</v>
      </c>
      <c r="R186" s="530">
        <v>0</v>
      </c>
      <c r="S186" s="530">
        <v>0</v>
      </c>
      <c r="T186" s="530">
        <v>0</v>
      </c>
      <c r="U186" s="530">
        <v>0</v>
      </c>
      <c r="V186" s="530">
        <v>0</v>
      </c>
      <c r="W186" s="530">
        <v>0</v>
      </c>
      <c r="X186" s="530">
        <v>0</v>
      </c>
      <c r="Y186" s="530">
        <v>0</v>
      </c>
      <c r="Z186" s="530">
        <f t="shared" si="24"/>
        <v>0</v>
      </c>
    </row>
    <row r="187" spans="1:26" s="545" customFormat="1" ht="12.75" x14ac:dyDescent="0.2">
      <c r="A187" s="513">
        <v>66260</v>
      </c>
      <c r="B187" s="529" t="s">
        <v>712</v>
      </c>
      <c r="C187" s="530">
        <v>0</v>
      </c>
      <c r="D187" s="530">
        <v>0</v>
      </c>
      <c r="E187" s="530">
        <v>0</v>
      </c>
      <c r="F187" s="530">
        <v>0</v>
      </c>
      <c r="G187" s="530">
        <v>0</v>
      </c>
      <c r="H187" s="530">
        <v>0</v>
      </c>
      <c r="I187" s="530">
        <v>0</v>
      </c>
      <c r="J187" s="530">
        <v>0</v>
      </c>
      <c r="K187" s="530">
        <v>0</v>
      </c>
      <c r="L187" s="530">
        <v>0</v>
      </c>
      <c r="M187" s="530">
        <v>0</v>
      </c>
      <c r="N187" s="530">
        <v>0</v>
      </c>
      <c r="O187" s="530">
        <v>0</v>
      </c>
      <c r="P187" s="530">
        <v>0</v>
      </c>
      <c r="Q187" s="530">
        <v>0</v>
      </c>
      <c r="R187" s="530">
        <v>0</v>
      </c>
      <c r="S187" s="530">
        <v>0</v>
      </c>
      <c r="T187" s="530">
        <v>0</v>
      </c>
      <c r="U187" s="530">
        <v>0</v>
      </c>
      <c r="V187" s="530">
        <v>0</v>
      </c>
      <c r="W187" s="530">
        <v>0</v>
      </c>
      <c r="X187" s="530">
        <v>0</v>
      </c>
      <c r="Y187" s="530">
        <v>0</v>
      </c>
      <c r="Z187" s="530">
        <f t="shared" si="24"/>
        <v>0</v>
      </c>
    </row>
    <row r="188" spans="1:26" s="545" customFormat="1" ht="12.75" x14ac:dyDescent="0.2">
      <c r="A188" s="513">
        <v>66270</v>
      </c>
      <c r="B188" s="529" t="s">
        <v>713</v>
      </c>
      <c r="C188" s="530">
        <v>0</v>
      </c>
      <c r="D188" s="530">
        <v>0</v>
      </c>
      <c r="E188" s="530">
        <v>0</v>
      </c>
      <c r="F188" s="530">
        <v>0</v>
      </c>
      <c r="G188" s="530">
        <v>0</v>
      </c>
      <c r="H188" s="530">
        <v>0</v>
      </c>
      <c r="I188" s="530">
        <v>0</v>
      </c>
      <c r="J188" s="530">
        <v>0</v>
      </c>
      <c r="K188" s="530">
        <v>0</v>
      </c>
      <c r="L188" s="530">
        <v>0</v>
      </c>
      <c r="M188" s="530">
        <v>0</v>
      </c>
      <c r="N188" s="530">
        <v>0</v>
      </c>
      <c r="O188" s="530">
        <v>0</v>
      </c>
      <c r="P188" s="530">
        <v>0</v>
      </c>
      <c r="Q188" s="530">
        <v>0</v>
      </c>
      <c r="R188" s="530">
        <v>0</v>
      </c>
      <c r="S188" s="530">
        <v>0</v>
      </c>
      <c r="T188" s="530">
        <v>0</v>
      </c>
      <c r="U188" s="530">
        <v>0</v>
      </c>
      <c r="V188" s="530">
        <v>0</v>
      </c>
      <c r="W188" s="530">
        <v>0</v>
      </c>
      <c r="X188" s="530">
        <v>0</v>
      </c>
      <c r="Y188" s="530">
        <v>0</v>
      </c>
      <c r="Z188" s="530">
        <f t="shared" si="24"/>
        <v>0</v>
      </c>
    </row>
    <row r="189" spans="1:26" s="545" customFormat="1" ht="12.75" x14ac:dyDescent="0.2">
      <c r="A189" s="513">
        <v>66275</v>
      </c>
      <c r="B189" s="529" t="s">
        <v>714</v>
      </c>
      <c r="C189" s="530">
        <v>0</v>
      </c>
      <c r="D189" s="530">
        <v>0</v>
      </c>
      <c r="E189" s="530">
        <v>0</v>
      </c>
      <c r="F189" s="530">
        <v>0</v>
      </c>
      <c r="G189" s="530">
        <v>0</v>
      </c>
      <c r="H189" s="530">
        <v>0</v>
      </c>
      <c r="I189" s="530">
        <v>0</v>
      </c>
      <c r="J189" s="530">
        <v>0</v>
      </c>
      <c r="K189" s="530">
        <v>0</v>
      </c>
      <c r="L189" s="530">
        <v>0</v>
      </c>
      <c r="M189" s="530">
        <v>0</v>
      </c>
      <c r="N189" s="530">
        <v>0</v>
      </c>
      <c r="O189" s="530">
        <v>0</v>
      </c>
      <c r="P189" s="530">
        <v>0</v>
      </c>
      <c r="Q189" s="530">
        <v>0</v>
      </c>
      <c r="R189" s="530">
        <v>0</v>
      </c>
      <c r="S189" s="530">
        <v>0</v>
      </c>
      <c r="T189" s="530">
        <v>0</v>
      </c>
      <c r="U189" s="530">
        <v>0</v>
      </c>
      <c r="V189" s="530">
        <v>0</v>
      </c>
      <c r="W189" s="530">
        <v>0</v>
      </c>
      <c r="X189" s="530">
        <v>0</v>
      </c>
      <c r="Y189" s="530">
        <v>0</v>
      </c>
      <c r="Z189" s="530">
        <f t="shared" si="24"/>
        <v>0</v>
      </c>
    </row>
    <row r="190" spans="1:26" s="545" customFormat="1" ht="12.75" x14ac:dyDescent="0.2">
      <c r="A190" s="513">
        <v>66278</v>
      </c>
      <c r="B190" s="529" t="s">
        <v>715</v>
      </c>
      <c r="C190" s="530">
        <v>0</v>
      </c>
      <c r="D190" s="530">
        <v>0</v>
      </c>
      <c r="E190" s="530">
        <v>0</v>
      </c>
      <c r="F190" s="530">
        <v>0</v>
      </c>
      <c r="G190" s="530">
        <v>0</v>
      </c>
      <c r="H190" s="530">
        <v>0</v>
      </c>
      <c r="I190" s="530">
        <v>0</v>
      </c>
      <c r="J190" s="530">
        <v>0</v>
      </c>
      <c r="K190" s="530">
        <v>0</v>
      </c>
      <c r="L190" s="530">
        <v>0</v>
      </c>
      <c r="M190" s="530">
        <v>0</v>
      </c>
      <c r="N190" s="530">
        <v>0</v>
      </c>
      <c r="O190" s="530">
        <v>0</v>
      </c>
      <c r="P190" s="530">
        <v>0</v>
      </c>
      <c r="Q190" s="530">
        <v>0</v>
      </c>
      <c r="R190" s="530">
        <v>0</v>
      </c>
      <c r="S190" s="530">
        <v>0</v>
      </c>
      <c r="T190" s="530">
        <v>0</v>
      </c>
      <c r="U190" s="530">
        <v>0</v>
      </c>
      <c r="V190" s="530">
        <v>0</v>
      </c>
      <c r="W190" s="530">
        <v>0</v>
      </c>
      <c r="X190" s="530">
        <v>0</v>
      </c>
      <c r="Y190" s="530">
        <v>0</v>
      </c>
      <c r="Z190" s="530">
        <f t="shared" si="24"/>
        <v>0</v>
      </c>
    </row>
    <row r="191" spans="1:26" s="545" customFormat="1" ht="12.75" x14ac:dyDescent="0.2">
      <c r="A191" s="513">
        <v>66280</v>
      </c>
      <c r="B191" s="529" t="s">
        <v>716</v>
      </c>
      <c r="C191" s="530">
        <v>0</v>
      </c>
      <c r="D191" s="530">
        <v>0</v>
      </c>
      <c r="E191" s="530">
        <v>0</v>
      </c>
      <c r="F191" s="530">
        <v>0</v>
      </c>
      <c r="G191" s="530">
        <v>0</v>
      </c>
      <c r="H191" s="530">
        <v>0</v>
      </c>
      <c r="I191" s="530">
        <v>0</v>
      </c>
      <c r="J191" s="530">
        <v>0</v>
      </c>
      <c r="K191" s="530">
        <v>0</v>
      </c>
      <c r="L191" s="530">
        <v>0</v>
      </c>
      <c r="M191" s="530">
        <v>0</v>
      </c>
      <c r="N191" s="530">
        <v>0</v>
      </c>
      <c r="O191" s="530">
        <v>0</v>
      </c>
      <c r="P191" s="530">
        <v>0</v>
      </c>
      <c r="Q191" s="530">
        <v>0</v>
      </c>
      <c r="R191" s="530">
        <v>0</v>
      </c>
      <c r="S191" s="530">
        <v>0</v>
      </c>
      <c r="T191" s="530">
        <v>0</v>
      </c>
      <c r="U191" s="530">
        <v>0</v>
      </c>
      <c r="V191" s="530">
        <v>0</v>
      </c>
      <c r="W191" s="530">
        <v>0</v>
      </c>
      <c r="X191" s="530">
        <v>0</v>
      </c>
      <c r="Y191" s="530">
        <v>0</v>
      </c>
      <c r="Z191" s="530">
        <f t="shared" si="24"/>
        <v>0</v>
      </c>
    </row>
    <row r="192" spans="1:26" s="545" customFormat="1" ht="12.75" x14ac:dyDescent="0.2">
      <c r="A192" s="513">
        <v>66282</v>
      </c>
      <c r="B192" s="529" t="s">
        <v>717</v>
      </c>
      <c r="C192" s="530">
        <v>0</v>
      </c>
      <c r="D192" s="530">
        <v>0</v>
      </c>
      <c r="E192" s="530">
        <v>0</v>
      </c>
      <c r="F192" s="530">
        <v>0</v>
      </c>
      <c r="G192" s="530">
        <v>0</v>
      </c>
      <c r="H192" s="530">
        <v>0</v>
      </c>
      <c r="I192" s="530">
        <v>0</v>
      </c>
      <c r="J192" s="530">
        <v>0</v>
      </c>
      <c r="K192" s="530">
        <v>0</v>
      </c>
      <c r="L192" s="530">
        <v>0</v>
      </c>
      <c r="M192" s="530">
        <v>0</v>
      </c>
      <c r="N192" s="530">
        <v>0</v>
      </c>
      <c r="O192" s="530">
        <v>0</v>
      </c>
      <c r="P192" s="530">
        <v>0</v>
      </c>
      <c r="Q192" s="530">
        <v>0</v>
      </c>
      <c r="R192" s="530">
        <v>0</v>
      </c>
      <c r="S192" s="530">
        <v>0</v>
      </c>
      <c r="T192" s="530">
        <v>0</v>
      </c>
      <c r="U192" s="530">
        <v>0</v>
      </c>
      <c r="V192" s="530">
        <v>0</v>
      </c>
      <c r="W192" s="530">
        <v>0</v>
      </c>
      <c r="X192" s="530">
        <v>0</v>
      </c>
      <c r="Y192" s="530">
        <v>0</v>
      </c>
      <c r="Z192" s="530">
        <f t="shared" si="24"/>
        <v>0</v>
      </c>
    </row>
    <row r="193" spans="1:28" s="545" customFormat="1" ht="12.75" x14ac:dyDescent="0.2">
      <c r="A193" s="513">
        <v>66284</v>
      </c>
      <c r="B193" s="529" t="s">
        <v>718</v>
      </c>
      <c r="C193" s="530">
        <v>0</v>
      </c>
      <c r="D193" s="530">
        <v>0</v>
      </c>
      <c r="E193" s="530">
        <v>0</v>
      </c>
      <c r="F193" s="530">
        <v>0</v>
      </c>
      <c r="G193" s="530">
        <v>0</v>
      </c>
      <c r="H193" s="530">
        <v>0</v>
      </c>
      <c r="I193" s="530">
        <v>0</v>
      </c>
      <c r="J193" s="530">
        <v>0</v>
      </c>
      <c r="K193" s="530">
        <v>0</v>
      </c>
      <c r="L193" s="530">
        <v>0</v>
      </c>
      <c r="M193" s="530">
        <v>0</v>
      </c>
      <c r="N193" s="530">
        <v>0</v>
      </c>
      <c r="O193" s="530">
        <v>0</v>
      </c>
      <c r="P193" s="530">
        <v>0</v>
      </c>
      <c r="Q193" s="530">
        <v>0</v>
      </c>
      <c r="R193" s="530">
        <v>0</v>
      </c>
      <c r="S193" s="530">
        <v>0</v>
      </c>
      <c r="T193" s="530">
        <v>0</v>
      </c>
      <c r="U193" s="530">
        <v>0</v>
      </c>
      <c r="V193" s="530">
        <v>0</v>
      </c>
      <c r="W193" s="530">
        <v>0</v>
      </c>
      <c r="X193" s="530">
        <v>0</v>
      </c>
      <c r="Y193" s="530">
        <v>0</v>
      </c>
      <c r="Z193" s="530">
        <f t="shared" si="24"/>
        <v>0</v>
      </c>
    </row>
    <row r="194" spans="1:28" s="545" customFormat="1" ht="12.75" x14ac:dyDescent="0.2">
      <c r="A194" s="513">
        <v>66400</v>
      </c>
      <c r="B194" s="529" t="s">
        <v>719</v>
      </c>
      <c r="C194" s="530">
        <v>0</v>
      </c>
      <c r="D194" s="530">
        <v>0</v>
      </c>
      <c r="E194" s="530">
        <v>0</v>
      </c>
      <c r="F194" s="530">
        <v>0</v>
      </c>
      <c r="G194" s="530">
        <v>0</v>
      </c>
      <c r="H194" s="530">
        <v>0</v>
      </c>
      <c r="I194" s="530">
        <v>0</v>
      </c>
      <c r="J194" s="530">
        <v>0</v>
      </c>
      <c r="K194" s="530">
        <v>0</v>
      </c>
      <c r="L194" s="530">
        <v>0</v>
      </c>
      <c r="M194" s="530">
        <v>0</v>
      </c>
      <c r="N194" s="530">
        <v>0</v>
      </c>
      <c r="O194" s="530">
        <v>0</v>
      </c>
      <c r="P194" s="530">
        <v>0</v>
      </c>
      <c r="Q194" s="530">
        <v>0</v>
      </c>
      <c r="R194" s="530">
        <v>0</v>
      </c>
      <c r="S194" s="530">
        <v>0</v>
      </c>
      <c r="T194" s="530">
        <v>0</v>
      </c>
      <c r="U194" s="530">
        <v>0</v>
      </c>
      <c r="V194" s="530">
        <v>0</v>
      </c>
      <c r="W194" s="530">
        <v>0</v>
      </c>
      <c r="X194" s="530">
        <v>0</v>
      </c>
      <c r="Y194" s="530">
        <v>0</v>
      </c>
      <c r="Z194" s="530">
        <f t="shared" si="24"/>
        <v>0</v>
      </c>
    </row>
    <row r="195" spans="1:28" s="559" customFormat="1" ht="12.75" x14ac:dyDescent="0.2">
      <c r="A195" s="556">
        <v>66450</v>
      </c>
      <c r="B195" s="557" t="s">
        <v>720</v>
      </c>
      <c r="C195" s="558">
        <v>0</v>
      </c>
      <c r="D195" s="558">
        <v>0</v>
      </c>
      <c r="E195" s="558">
        <v>0</v>
      </c>
      <c r="F195" s="558">
        <v>0</v>
      </c>
      <c r="G195" s="558">
        <v>0</v>
      </c>
      <c r="H195" s="558">
        <v>0</v>
      </c>
      <c r="I195" s="558">
        <v>0</v>
      </c>
      <c r="J195" s="558">
        <v>0</v>
      </c>
      <c r="K195" s="558">
        <v>0</v>
      </c>
      <c r="L195" s="558">
        <v>0</v>
      </c>
      <c r="M195" s="558">
        <v>0</v>
      </c>
      <c r="N195" s="558">
        <v>-0.01</v>
      </c>
      <c r="O195" s="558">
        <v>0</v>
      </c>
      <c r="P195" s="558">
        <v>0</v>
      </c>
      <c r="Q195" s="558">
        <v>0</v>
      </c>
      <c r="R195" s="558">
        <v>0</v>
      </c>
      <c r="S195" s="558">
        <v>0.01</v>
      </c>
      <c r="T195" s="558">
        <v>71202.5</v>
      </c>
      <c r="U195" s="558">
        <v>0</v>
      </c>
      <c r="V195" s="558">
        <v>0</v>
      </c>
      <c r="W195" s="558">
        <v>0</v>
      </c>
      <c r="X195" s="558">
        <v>0</v>
      </c>
      <c r="Y195" s="558">
        <v>0</v>
      </c>
      <c r="Z195" s="558">
        <f t="shared" si="24"/>
        <v>71202.5</v>
      </c>
    </row>
    <row r="196" spans="1:28" s="545" customFormat="1" ht="12.75" x14ac:dyDescent="0.2">
      <c r="A196" s="513">
        <v>66500</v>
      </c>
      <c r="B196" s="529" t="s">
        <v>721</v>
      </c>
      <c r="C196" s="530">
        <v>0</v>
      </c>
      <c r="D196" s="530">
        <v>0</v>
      </c>
      <c r="E196" s="530">
        <v>0</v>
      </c>
      <c r="F196" s="530">
        <v>-473.13</v>
      </c>
      <c r="G196" s="530">
        <v>0</v>
      </c>
      <c r="H196" s="530">
        <v>-4305.47</v>
      </c>
      <c r="I196" s="530">
        <v>0</v>
      </c>
      <c r="J196" s="530">
        <v>0</v>
      </c>
      <c r="K196" s="530">
        <v>0</v>
      </c>
      <c r="L196" s="530">
        <v>0</v>
      </c>
      <c r="M196" s="530">
        <v>0</v>
      </c>
      <c r="N196" s="530">
        <v>0</v>
      </c>
      <c r="O196" s="530">
        <v>0</v>
      </c>
      <c r="P196" s="530">
        <v>0</v>
      </c>
      <c r="Q196" s="530">
        <v>0</v>
      </c>
      <c r="R196" s="530">
        <v>0</v>
      </c>
      <c r="S196" s="530">
        <v>0</v>
      </c>
      <c r="T196" s="530">
        <v>0.95</v>
      </c>
      <c r="U196" s="530">
        <v>0</v>
      </c>
      <c r="V196" s="530">
        <v>0</v>
      </c>
      <c r="W196" s="530">
        <v>0.12</v>
      </c>
      <c r="X196" s="530">
        <v>0</v>
      </c>
      <c r="Y196" s="530">
        <v>0</v>
      </c>
      <c r="Z196" s="530">
        <f t="shared" si="24"/>
        <v>-4777.5300000000007</v>
      </c>
    </row>
    <row r="197" spans="1:28" s="545" customFormat="1" ht="12.75" x14ac:dyDescent="0.2">
      <c r="A197" s="513">
        <v>66501</v>
      </c>
      <c r="B197" s="529" t="s">
        <v>722</v>
      </c>
      <c r="C197" s="530">
        <v>0</v>
      </c>
      <c r="D197" s="530">
        <v>0</v>
      </c>
      <c r="E197" s="530">
        <v>0</v>
      </c>
      <c r="F197" s="530">
        <v>5.23</v>
      </c>
      <c r="G197" s="530">
        <v>0</v>
      </c>
      <c r="H197" s="530">
        <v>0</v>
      </c>
      <c r="I197" s="530">
        <v>0</v>
      </c>
      <c r="J197" s="530">
        <v>0</v>
      </c>
      <c r="K197" s="530">
        <v>0</v>
      </c>
      <c r="L197" s="530">
        <v>0</v>
      </c>
      <c r="M197" s="530">
        <v>0</v>
      </c>
      <c r="N197" s="530">
        <v>0</v>
      </c>
      <c r="O197" s="530">
        <v>0</v>
      </c>
      <c r="P197" s="530">
        <v>0</v>
      </c>
      <c r="Q197" s="530">
        <v>0</v>
      </c>
      <c r="R197" s="530">
        <v>0</v>
      </c>
      <c r="S197" s="530">
        <v>0</v>
      </c>
      <c r="T197" s="530">
        <v>0</v>
      </c>
      <c r="U197" s="530">
        <v>0</v>
      </c>
      <c r="V197" s="530">
        <v>0</v>
      </c>
      <c r="W197" s="530">
        <v>0</v>
      </c>
      <c r="X197" s="530">
        <v>0</v>
      </c>
      <c r="Y197" s="530">
        <v>0</v>
      </c>
      <c r="Z197" s="530">
        <f t="shared" si="24"/>
        <v>5.23</v>
      </c>
    </row>
    <row r="198" spans="1:28" s="545" customFormat="1" ht="12.75" x14ac:dyDescent="0.2">
      <c r="A198" s="513">
        <v>66580</v>
      </c>
      <c r="B198" s="529" t="s">
        <v>723</v>
      </c>
      <c r="C198" s="530">
        <v>0</v>
      </c>
      <c r="D198" s="530">
        <v>0</v>
      </c>
      <c r="E198" s="530">
        <v>0</v>
      </c>
      <c r="F198" s="530">
        <v>0</v>
      </c>
      <c r="G198" s="530">
        <v>0</v>
      </c>
      <c r="H198" s="530">
        <v>0</v>
      </c>
      <c r="I198" s="530">
        <v>0</v>
      </c>
      <c r="J198" s="530">
        <v>0</v>
      </c>
      <c r="K198" s="530">
        <v>0</v>
      </c>
      <c r="L198" s="530">
        <v>0</v>
      </c>
      <c r="M198" s="530">
        <v>0</v>
      </c>
      <c r="N198" s="530">
        <v>0</v>
      </c>
      <c r="O198" s="530">
        <v>0</v>
      </c>
      <c r="P198" s="530">
        <v>0</v>
      </c>
      <c r="Q198" s="530">
        <v>0</v>
      </c>
      <c r="R198" s="530">
        <v>0</v>
      </c>
      <c r="S198" s="530">
        <v>0</v>
      </c>
      <c r="T198" s="530">
        <v>0</v>
      </c>
      <c r="U198" s="530">
        <v>0</v>
      </c>
      <c r="V198" s="530">
        <v>0</v>
      </c>
      <c r="W198" s="530">
        <v>0</v>
      </c>
      <c r="X198" s="530">
        <v>0</v>
      </c>
      <c r="Y198" s="530">
        <v>0</v>
      </c>
      <c r="Z198" s="530">
        <f t="shared" si="24"/>
        <v>0</v>
      </c>
    </row>
    <row r="199" spans="1:28" s="545" customFormat="1" ht="12.75" x14ac:dyDescent="0.2">
      <c r="A199" s="513">
        <v>66582</v>
      </c>
      <c r="B199" s="529" t="s">
        <v>724</v>
      </c>
      <c r="C199" s="530">
        <v>0</v>
      </c>
      <c r="D199" s="530">
        <v>0</v>
      </c>
      <c r="E199" s="530">
        <v>0</v>
      </c>
      <c r="F199" s="530">
        <v>0</v>
      </c>
      <c r="G199" s="530">
        <v>0</v>
      </c>
      <c r="H199" s="530">
        <v>0</v>
      </c>
      <c r="I199" s="530">
        <v>0</v>
      </c>
      <c r="J199" s="530">
        <v>0</v>
      </c>
      <c r="K199" s="530">
        <v>0</v>
      </c>
      <c r="L199" s="530">
        <v>0</v>
      </c>
      <c r="M199" s="530">
        <v>0</v>
      </c>
      <c r="N199" s="530">
        <v>0</v>
      </c>
      <c r="O199" s="530">
        <v>0</v>
      </c>
      <c r="P199" s="530">
        <v>0</v>
      </c>
      <c r="Q199" s="530">
        <v>0</v>
      </c>
      <c r="R199" s="530">
        <v>0</v>
      </c>
      <c r="S199" s="530">
        <v>0</v>
      </c>
      <c r="T199" s="530">
        <v>0</v>
      </c>
      <c r="U199" s="530">
        <v>0</v>
      </c>
      <c r="V199" s="530">
        <v>0</v>
      </c>
      <c r="W199" s="530">
        <v>0</v>
      </c>
      <c r="X199" s="530">
        <v>0</v>
      </c>
      <c r="Y199" s="530">
        <v>0</v>
      </c>
      <c r="Z199" s="530">
        <f t="shared" si="24"/>
        <v>0</v>
      </c>
    </row>
    <row r="200" spans="1:28" s="545" customFormat="1" ht="12.75" x14ac:dyDescent="0.2">
      <c r="A200" s="513">
        <v>66583</v>
      </c>
      <c r="B200" s="529" t="s">
        <v>725</v>
      </c>
      <c r="C200" s="530">
        <v>0</v>
      </c>
      <c r="D200" s="530">
        <v>0</v>
      </c>
      <c r="E200" s="530">
        <v>0</v>
      </c>
      <c r="F200" s="530">
        <v>0</v>
      </c>
      <c r="G200" s="530">
        <v>0</v>
      </c>
      <c r="H200" s="530">
        <v>0</v>
      </c>
      <c r="I200" s="530">
        <v>0</v>
      </c>
      <c r="J200" s="530">
        <v>0</v>
      </c>
      <c r="K200" s="530">
        <v>0</v>
      </c>
      <c r="L200" s="530">
        <v>0</v>
      </c>
      <c r="M200" s="530">
        <v>0</v>
      </c>
      <c r="N200" s="530">
        <v>0</v>
      </c>
      <c r="O200" s="530">
        <v>0</v>
      </c>
      <c r="P200" s="530">
        <v>0</v>
      </c>
      <c r="Q200" s="530">
        <v>0</v>
      </c>
      <c r="R200" s="530">
        <v>0</v>
      </c>
      <c r="S200" s="530">
        <v>0</v>
      </c>
      <c r="T200" s="530">
        <v>0</v>
      </c>
      <c r="U200" s="530">
        <v>0</v>
      </c>
      <c r="V200" s="530">
        <v>0</v>
      </c>
      <c r="W200" s="530">
        <v>0</v>
      </c>
      <c r="X200" s="530">
        <v>0</v>
      </c>
      <c r="Y200" s="530">
        <v>0</v>
      </c>
      <c r="Z200" s="530">
        <f t="shared" si="24"/>
        <v>0</v>
      </c>
    </row>
    <row r="201" spans="1:28" s="545" customFormat="1" ht="12.75" x14ac:dyDescent="0.2">
      <c r="A201" s="513">
        <v>66585</v>
      </c>
      <c r="B201" s="553" t="s">
        <v>726</v>
      </c>
      <c r="C201" s="531">
        <v>0</v>
      </c>
      <c r="D201" s="531">
        <v>0</v>
      </c>
      <c r="E201" s="531">
        <v>0</v>
      </c>
      <c r="F201" s="531">
        <v>384758</v>
      </c>
      <c r="G201" s="531">
        <v>0</v>
      </c>
      <c r="H201" s="531">
        <v>0</v>
      </c>
      <c r="I201" s="531">
        <v>0</v>
      </c>
      <c r="J201" s="531">
        <v>0</v>
      </c>
      <c r="K201" s="531">
        <v>0</v>
      </c>
      <c r="L201" s="531">
        <v>0</v>
      </c>
      <c r="M201" s="531">
        <v>0</v>
      </c>
      <c r="N201" s="531">
        <v>0</v>
      </c>
      <c r="O201" s="531">
        <v>0</v>
      </c>
      <c r="P201" s="531">
        <v>0</v>
      </c>
      <c r="Q201" s="531">
        <v>0</v>
      </c>
      <c r="R201" s="531">
        <v>0</v>
      </c>
      <c r="S201" s="531">
        <v>0</v>
      </c>
      <c r="T201" s="531">
        <v>0</v>
      </c>
      <c r="U201" s="531">
        <v>0</v>
      </c>
      <c r="V201" s="531">
        <v>0</v>
      </c>
      <c r="W201" s="531">
        <v>0</v>
      </c>
      <c r="X201" s="531">
        <v>0</v>
      </c>
      <c r="Y201" s="531">
        <v>0</v>
      </c>
      <c r="Z201" s="531">
        <f t="shared" si="24"/>
        <v>384758</v>
      </c>
    </row>
    <row r="202" spans="1:28" s="428" customFormat="1" ht="12.75" x14ac:dyDescent="0.2">
      <c r="A202" s="513">
        <v>66600</v>
      </c>
      <c r="B202" s="532" t="s">
        <v>727</v>
      </c>
      <c r="C202" s="533">
        <f t="shared" ref="C202:Z202" si="25">SUM(C151:C201)</f>
        <v>636506.61000000022</v>
      </c>
      <c r="D202" s="533">
        <f t="shared" si="25"/>
        <v>0</v>
      </c>
      <c r="E202" s="533">
        <f t="shared" si="25"/>
        <v>21341.59</v>
      </c>
      <c r="F202" s="533">
        <f t="shared" si="25"/>
        <v>1885079.6300000001</v>
      </c>
      <c r="G202" s="533">
        <f t="shared" si="25"/>
        <v>0</v>
      </c>
      <c r="H202" s="533">
        <f t="shared" si="25"/>
        <v>924744.11</v>
      </c>
      <c r="I202" s="533">
        <f t="shared" si="25"/>
        <v>20976.16</v>
      </c>
      <c r="J202" s="533">
        <f t="shared" si="25"/>
        <v>34181.46</v>
      </c>
      <c r="K202" s="533">
        <f t="shared" si="25"/>
        <v>0</v>
      </c>
      <c r="L202" s="533">
        <f t="shared" si="25"/>
        <v>0</v>
      </c>
      <c r="M202" s="533">
        <f t="shared" si="25"/>
        <v>88709.18</v>
      </c>
      <c r="N202" s="533">
        <f t="shared" si="25"/>
        <v>4554.46</v>
      </c>
      <c r="O202" s="533">
        <f t="shared" si="25"/>
        <v>11137.95</v>
      </c>
      <c r="P202" s="533">
        <f t="shared" si="25"/>
        <v>262485.76999999996</v>
      </c>
      <c r="Q202" s="533">
        <f t="shared" si="25"/>
        <v>8947.619999999999</v>
      </c>
      <c r="R202" s="533">
        <f t="shared" si="25"/>
        <v>2.8421709430404007E-14</v>
      </c>
      <c r="S202" s="533">
        <f t="shared" si="25"/>
        <v>399549.56</v>
      </c>
      <c r="T202" s="533">
        <f t="shared" si="25"/>
        <v>163480.99</v>
      </c>
      <c r="U202" s="533">
        <f t="shared" si="25"/>
        <v>51318.94</v>
      </c>
      <c r="V202" s="533">
        <f t="shared" si="25"/>
        <v>-574.28</v>
      </c>
      <c r="W202" s="533">
        <f t="shared" si="25"/>
        <v>-3.08</v>
      </c>
      <c r="X202" s="533">
        <f t="shared" si="25"/>
        <v>647666.5</v>
      </c>
      <c r="Y202" s="533">
        <f t="shared" si="25"/>
        <v>0</v>
      </c>
      <c r="Z202" s="533">
        <f t="shared" si="25"/>
        <v>5160103.1700000009</v>
      </c>
    </row>
    <row r="203" spans="1:28" s="428" customFormat="1" ht="12.75" x14ac:dyDescent="0.2">
      <c r="A203" s="513"/>
      <c r="B203" s="536"/>
      <c r="C203" s="537"/>
      <c r="D203" s="537"/>
      <c r="E203" s="537"/>
      <c r="F203" s="537"/>
      <c r="G203" s="537"/>
      <c r="H203" s="537"/>
      <c r="I203" s="537"/>
      <c r="J203" s="537"/>
      <c r="K203" s="537"/>
      <c r="L203" s="537"/>
      <c r="M203" s="537"/>
      <c r="N203" s="537"/>
      <c r="O203" s="537"/>
      <c r="P203" s="537"/>
      <c r="Q203" s="537"/>
      <c r="R203" s="537"/>
      <c r="S203" s="537"/>
      <c r="T203" s="537"/>
      <c r="U203" s="537"/>
      <c r="V203" s="537"/>
      <c r="W203" s="537"/>
      <c r="X203" s="537"/>
      <c r="Y203" s="537"/>
      <c r="Z203" s="537"/>
    </row>
    <row r="204" spans="1:28" s="428" customFormat="1" ht="12.75" x14ac:dyDescent="0.2">
      <c r="A204" s="513">
        <v>66690</v>
      </c>
      <c r="B204" s="536" t="s">
        <v>728</v>
      </c>
      <c r="C204" s="537">
        <f t="shared" ref="C204:Z204" si="26">C202+C148+C137+C125+C116+C105+C76</f>
        <v>1381872.8900000001</v>
      </c>
      <c r="D204" s="537">
        <f t="shared" si="26"/>
        <v>0</v>
      </c>
      <c r="E204" s="537">
        <f t="shared" si="26"/>
        <v>369737.56</v>
      </c>
      <c r="F204" s="1191">
        <f t="shared" si="26"/>
        <v>4983145.83</v>
      </c>
      <c r="G204" s="1191">
        <f t="shared" si="26"/>
        <v>0</v>
      </c>
      <c r="H204" s="537">
        <f t="shared" si="26"/>
        <v>3576996.86</v>
      </c>
      <c r="I204" s="537">
        <f t="shared" si="26"/>
        <v>361190.52</v>
      </c>
      <c r="J204" s="537">
        <f t="shared" si="26"/>
        <v>1592866.0700000003</v>
      </c>
      <c r="K204" s="537">
        <f t="shared" si="26"/>
        <v>-7308.58</v>
      </c>
      <c r="L204" s="537">
        <f t="shared" si="26"/>
        <v>-2211.69</v>
      </c>
      <c r="M204" s="537">
        <f t="shared" si="26"/>
        <v>3674597.02</v>
      </c>
      <c r="N204" s="537">
        <f t="shared" si="26"/>
        <v>214367.05000000002</v>
      </c>
      <c r="O204" s="537">
        <f t="shared" si="26"/>
        <v>13037.89</v>
      </c>
      <c r="P204" s="537">
        <f t="shared" si="26"/>
        <v>1152077.9499999997</v>
      </c>
      <c r="Q204" s="537">
        <f t="shared" si="26"/>
        <v>293397.47999999992</v>
      </c>
      <c r="R204" s="537">
        <f t="shared" si="26"/>
        <v>-25662.67</v>
      </c>
      <c r="S204" s="537">
        <f t="shared" si="26"/>
        <v>879698.61999999988</v>
      </c>
      <c r="T204" s="537">
        <f t="shared" si="26"/>
        <v>420024.15</v>
      </c>
      <c r="U204" s="537">
        <f t="shared" si="26"/>
        <v>124497.29999999999</v>
      </c>
      <c r="V204" s="537">
        <f t="shared" si="26"/>
        <v>5111.1400000000003</v>
      </c>
      <c r="W204" s="537">
        <f t="shared" si="26"/>
        <v>738914.57000000007</v>
      </c>
      <c r="X204" s="537">
        <f t="shared" si="26"/>
        <v>1103278.2600000002</v>
      </c>
      <c r="Y204" s="537">
        <f t="shared" si="26"/>
        <v>0</v>
      </c>
      <c r="Z204" s="537">
        <f t="shared" si="26"/>
        <v>20849628.219999999</v>
      </c>
      <c r="AB204" s="560"/>
    </row>
    <row r="205" spans="1:28" s="428" customFormat="1" ht="12.75" x14ac:dyDescent="0.2">
      <c r="A205" s="513" t="s">
        <v>729</v>
      </c>
      <c r="B205" s="516" t="s">
        <v>128</v>
      </c>
      <c r="C205" s="544" t="str">
        <f t="shared" ref="C205:Z205" si="27">IF(ISERROR(C204/C23),"",(C204/C23))</f>
        <v/>
      </c>
      <c r="D205" s="544" t="str">
        <f t="shared" si="27"/>
        <v/>
      </c>
      <c r="E205" s="544" t="str">
        <f t="shared" si="27"/>
        <v/>
      </c>
      <c r="F205" s="544">
        <f t="shared" si="27"/>
        <v>5.5290976085516332</v>
      </c>
      <c r="G205" s="544" t="str">
        <f t="shared" si="27"/>
        <v/>
      </c>
      <c r="H205" s="544">
        <f t="shared" si="27"/>
        <v>87095.126856586314</v>
      </c>
      <c r="I205" s="544" t="str">
        <f t="shared" si="27"/>
        <v/>
      </c>
      <c r="J205" s="544" t="str">
        <f t="shared" si="27"/>
        <v/>
      </c>
      <c r="K205" s="544" t="str">
        <f t="shared" si="27"/>
        <v/>
      </c>
      <c r="L205" s="544" t="str">
        <f t="shared" si="27"/>
        <v/>
      </c>
      <c r="M205" s="544">
        <f t="shared" si="27"/>
        <v>17.632423320537427</v>
      </c>
      <c r="N205" s="544" t="str">
        <f t="shared" si="27"/>
        <v/>
      </c>
      <c r="O205" s="544" t="str">
        <f t="shared" si="27"/>
        <v/>
      </c>
      <c r="P205" s="544">
        <f t="shared" si="27"/>
        <v>7680.5196666666652</v>
      </c>
      <c r="Q205" s="544" t="str">
        <f t="shared" si="27"/>
        <v/>
      </c>
      <c r="R205" s="544" t="str">
        <f t="shared" si="27"/>
        <v/>
      </c>
      <c r="S205" s="544" t="str">
        <f t="shared" si="27"/>
        <v/>
      </c>
      <c r="T205" s="544">
        <f t="shared" si="27"/>
        <v>15.240801707161932</v>
      </c>
      <c r="U205" s="544" t="str">
        <f t="shared" si="27"/>
        <v/>
      </c>
      <c r="V205" s="544" t="str">
        <f t="shared" si="27"/>
        <v/>
      </c>
      <c r="W205" s="544">
        <f t="shared" si="27"/>
        <v>241.01458649314222</v>
      </c>
      <c r="X205" s="544" t="str">
        <f t="shared" si="27"/>
        <v/>
      </c>
      <c r="Y205" s="544" t="str">
        <f t="shared" si="27"/>
        <v/>
      </c>
      <c r="Z205" s="544">
        <f t="shared" si="27"/>
        <v>18.281537630818132</v>
      </c>
    </row>
    <row r="206" spans="1:28" s="428" customFormat="1" x14ac:dyDescent="0.25">
      <c r="A206" s="513"/>
      <c r="B206" s="514"/>
      <c r="C206" s="561"/>
      <c r="D206" s="561"/>
      <c r="E206" s="561"/>
      <c r="F206" s="561"/>
      <c r="G206" s="561"/>
      <c r="H206" s="561"/>
      <c r="I206" s="561"/>
      <c r="J206" s="561"/>
      <c r="K206" s="561"/>
      <c r="L206" s="561"/>
      <c r="M206" s="561"/>
      <c r="N206" s="561"/>
      <c r="O206" s="561"/>
      <c r="P206" s="561"/>
      <c r="Q206" s="561"/>
      <c r="R206" s="561"/>
      <c r="S206" s="561"/>
      <c r="T206" s="561"/>
      <c r="U206" s="561"/>
      <c r="V206" s="561"/>
      <c r="W206" s="561"/>
      <c r="X206" s="561"/>
      <c r="Y206" s="561"/>
      <c r="Z206" s="561"/>
    </row>
    <row r="207" spans="1:28" s="428" customFormat="1" ht="12.75" x14ac:dyDescent="0.2">
      <c r="A207" s="513">
        <v>66695</v>
      </c>
      <c r="B207" s="536" t="s">
        <v>730</v>
      </c>
      <c r="C207" s="537">
        <f t="shared" ref="C207:Z207" si="28">C68-C204+C195</f>
        <v>-1381872.8900000001</v>
      </c>
      <c r="D207" s="537">
        <f t="shared" si="28"/>
        <v>0</v>
      </c>
      <c r="E207" s="537">
        <f t="shared" si="28"/>
        <v>-369737.56</v>
      </c>
      <c r="F207" s="537">
        <f t="shared" si="28"/>
        <v>-4081887.4</v>
      </c>
      <c r="G207" s="537">
        <f t="shared" si="28"/>
        <v>0</v>
      </c>
      <c r="H207" s="537">
        <f t="shared" si="28"/>
        <v>-3576955.79</v>
      </c>
      <c r="I207" s="537">
        <f t="shared" si="28"/>
        <v>-361190.52</v>
      </c>
      <c r="J207" s="537">
        <f t="shared" si="28"/>
        <v>-1592866.0700000003</v>
      </c>
      <c r="K207" s="537">
        <f t="shared" si="28"/>
        <v>7308.58</v>
      </c>
      <c r="L207" s="537">
        <f t="shared" si="28"/>
        <v>2211.69</v>
      </c>
      <c r="M207" s="537">
        <f t="shared" si="28"/>
        <v>-3466197.02</v>
      </c>
      <c r="N207" s="537">
        <f t="shared" si="28"/>
        <v>-214367.06000000003</v>
      </c>
      <c r="O207" s="537">
        <f t="shared" si="28"/>
        <v>-13037.89</v>
      </c>
      <c r="P207" s="537">
        <f t="shared" si="28"/>
        <v>-1151927.9499999997</v>
      </c>
      <c r="Q207" s="537">
        <f t="shared" si="28"/>
        <v>-293397.47999999992</v>
      </c>
      <c r="R207" s="537">
        <f t="shared" si="28"/>
        <v>25662.67</v>
      </c>
      <c r="S207" s="537">
        <f t="shared" si="28"/>
        <v>-879698.60999999987</v>
      </c>
      <c r="T207" s="537">
        <f t="shared" si="28"/>
        <v>-321262.46000000002</v>
      </c>
      <c r="U207" s="537">
        <f t="shared" si="28"/>
        <v>-124497.29999999999</v>
      </c>
      <c r="V207" s="537">
        <f t="shared" si="28"/>
        <v>-5111.1400000000003</v>
      </c>
      <c r="W207" s="537">
        <f t="shared" si="28"/>
        <v>-735848.72000000009</v>
      </c>
      <c r="X207" s="537">
        <f t="shared" si="28"/>
        <v>-1103278.2600000002</v>
      </c>
      <c r="Y207" s="537">
        <f t="shared" si="28"/>
        <v>0</v>
      </c>
      <c r="Z207" s="537">
        <f t="shared" si="28"/>
        <v>-19637951.18</v>
      </c>
    </row>
    <row r="208" spans="1:28" s="428" customFormat="1" ht="12.75" x14ac:dyDescent="0.2">
      <c r="A208" s="513"/>
      <c r="B208" s="516"/>
      <c r="C208" s="528"/>
      <c r="D208" s="528"/>
      <c r="E208" s="528"/>
      <c r="F208" s="528"/>
      <c r="G208" s="528"/>
      <c r="H208" s="528"/>
      <c r="I208" s="528"/>
      <c r="J208" s="528"/>
      <c r="K208" s="528"/>
      <c r="L208" s="528"/>
      <c r="M208" s="528"/>
      <c r="N208" s="528"/>
      <c r="O208" s="528"/>
      <c r="P208" s="528"/>
      <c r="Q208" s="528"/>
      <c r="R208" s="528"/>
      <c r="S208" s="528"/>
      <c r="T208" s="528"/>
      <c r="U208" s="528"/>
      <c r="V208" s="528"/>
      <c r="W208" s="528"/>
      <c r="X208" s="528"/>
      <c r="Y208" s="528"/>
      <c r="Z208" s="528"/>
    </row>
    <row r="209" spans="1:27" s="428" customFormat="1" ht="12.75" x14ac:dyDescent="0.2">
      <c r="A209" s="513"/>
      <c r="B209" s="516" t="s">
        <v>98</v>
      </c>
      <c r="C209" s="528"/>
      <c r="D209" s="528"/>
      <c r="E209" s="528"/>
      <c r="F209" s="528"/>
      <c r="G209" s="528"/>
      <c r="H209" s="528"/>
      <c r="I209" s="528"/>
      <c r="J209" s="528"/>
      <c r="K209" s="528"/>
      <c r="L209" s="528"/>
      <c r="M209" s="528"/>
      <c r="N209" s="528"/>
      <c r="O209" s="528"/>
      <c r="P209" s="528"/>
      <c r="Q209" s="528"/>
      <c r="R209" s="528"/>
      <c r="S209" s="528"/>
      <c r="T209" s="528"/>
      <c r="U209" s="528"/>
      <c r="V209" s="528"/>
      <c r="W209" s="528"/>
      <c r="X209" s="528"/>
      <c r="Y209" s="528"/>
      <c r="Z209" s="528"/>
    </row>
    <row r="210" spans="1:27" s="559" customFormat="1" ht="12.75" x14ac:dyDescent="0.2">
      <c r="A210" s="556" t="s">
        <v>731</v>
      </c>
      <c r="B210" s="557" t="s">
        <v>732</v>
      </c>
      <c r="C210" s="558">
        <v>0</v>
      </c>
      <c r="D210" s="558">
        <v>0</v>
      </c>
      <c r="E210" s="558">
        <v>0</v>
      </c>
      <c r="F210" s="558">
        <v>-16844947</v>
      </c>
      <c r="G210" s="558">
        <v>0</v>
      </c>
      <c r="H210" s="558">
        <v>0</v>
      </c>
      <c r="I210" s="558">
        <v>0</v>
      </c>
      <c r="J210" s="558">
        <v>0</v>
      </c>
      <c r="K210" s="558">
        <v>0</v>
      </c>
      <c r="L210" s="558">
        <v>0</v>
      </c>
      <c r="M210" s="558">
        <v>0</v>
      </c>
      <c r="N210" s="558">
        <v>0</v>
      </c>
      <c r="O210" s="558">
        <v>0</v>
      </c>
      <c r="P210" s="558">
        <v>0</v>
      </c>
      <c r="Q210" s="558">
        <v>0</v>
      </c>
      <c r="R210" s="558">
        <v>0</v>
      </c>
      <c r="S210" s="558">
        <v>0</v>
      </c>
      <c r="T210" s="558">
        <v>0</v>
      </c>
      <c r="U210" s="558">
        <v>0</v>
      </c>
      <c r="V210" s="558">
        <v>0</v>
      </c>
      <c r="W210" s="558">
        <v>0</v>
      </c>
      <c r="X210" s="558">
        <v>0</v>
      </c>
      <c r="Y210" s="558">
        <v>0</v>
      </c>
      <c r="Z210" s="558">
        <f>SUM(C210:Y210)</f>
        <v>-16844947</v>
      </c>
    </row>
    <row r="211" spans="1:27" s="545" customFormat="1" ht="12.75" x14ac:dyDescent="0.2">
      <c r="A211" s="513">
        <v>70003</v>
      </c>
      <c r="B211" s="529" t="s">
        <v>733</v>
      </c>
      <c r="C211" s="530">
        <v>0</v>
      </c>
      <c r="D211" s="530">
        <v>0</v>
      </c>
      <c r="E211" s="530">
        <v>0</v>
      </c>
      <c r="F211" s="530">
        <v>0</v>
      </c>
      <c r="G211" s="530">
        <v>0</v>
      </c>
      <c r="H211" s="530">
        <v>0</v>
      </c>
      <c r="I211" s="530">
        <v>0</v>
      </c>
      <c r="J211" s="530">
        <v>0</v>
      </c>
      <c r="K211" s="530">
        <v>0</v>
      </c>
      <c r="L211" s="530">
        <v>0</v>
      </c>
      <c r="M211" s="530">
        <v>0</v>
      </c>
      <c r="N211" s="530">
        <v>0</v>
      </c>
      <c r="O211" s="530">
        <v>0</v>
      </c>
      <c r="P211" s="530">
        <v>0</v>
      </c>
      <c r="Q211" s="530">
        <v>0</v>
      </c>
      <c r="R211" s="530">
        <v>0</v>
      </c>
      <c r="S211" s="530">
        <v>0</v>
      </c>
      <c r="T211" s="530">
        <v>0</v>
      </c>
      <c r="U211" s="530">
        <v>0</v>
      </c>
      <c r="V211" s="530">
        <v>0</v>
      </c>
      <c r="W211" s="530">
        <v>0</v>
      </c>
      <c r="X211" s="530">
        <v>0</v>
      </c>
      <c r="Y211" s="530">
        <v>0</v>
      </c>
      <c r="Z211" s="530">
        <f>SUM(C211:Y211)</f>
        <v>0</v>
      </c>
    </row>
    <row r="212" spans="1:27" s="545" customFormat="1" ht="12.75" x14ac:dyDescent="0.2">
      <c r="A212" s="513">
        <v>70004</v>
      </c>
      <c r="B212" s="529" t="s">
        <v>734</v>
      </c>
      <c r="C212" s="530">
        <v>0</v>
      </c>
      <c r="D212" s="530">
        <v>0</v>
      </c>
      <c r="E212" s="530">
        <v>0</v>
      </c>
      <c r="F212" s="530">
        <v>-6992.0000000000009</v>
      </c>
      <c r="G212" s="530">
        <v>0</v>
      </c>
      <c r="H212" s="530">
        <v>0</v>
      </c>
      <c r="I212" s="530">
        <v>0</v>
      </c>
      <c r="J212" s="530">
        <v>-25288</v>
      </c>
      <c r="K212" s="530">
        <v>0</v>
      </c>
      <c r="L212" s="530">
        <v>0</v>
      </c>
      <c r="M212" s="530">
        <v>0</v>
      </c>
      <c r="N212" s="530">
        <v>-165488.73000000001</v>
      </c>
      <c r="O212" s="530">
        <v>0</v>
      </c>
      <c r="P212" s="530">
        <v>0</v>
      </c>
      <c r="Q212" s="530">
        <v>0</v>
      </c>
      <c r="R212" s="530">
        <v>0</v>
      </c>
      <c r="S212" s="530">
        <v>0</v>
      </c>
      <c r="T212" s="530">
        <v>0</v>
      </c>
      <c r="U212" s="530">
        <v>0</v>
      </c>
      <c r="V212" s="530">
        <v>0</v>
      </c>
      <c r="W212" s="530">
        <v>0</v>
      </c>
      <c r="X212" s="530">
        <v>0</v>
      </c>
      <c r="Y212" s="530">
        <v>0</v>
      </c>
      <c r="Z212" s="530">
        <f>SUM(C212:Y212)</f>
        <v>-197768.73</v>
      </c>
    </row>
    <row r="213" spans="1:27" s="545" customFormat="1" ht="12.75" x14ac:dyDescent="0.2">
      <c r="A213" s="513" t="s">
        <v>735</v>
      </c>
      <c r="B213" s="529" t="s">
        <v>736</v>
      </c>
      <c r="C213" s="530">
        <v>0</v>
      </c>
      <c r="D213" s="530">
        <v>0</v>
      </c>
      <c r="E213" s="530">
        <v>0</v>
      </c>
      <c r="F213" s="530">
        <v>0</v>
      </c>
      <c r="G213" s="530">
        <v>0</v>
      </c>
      <c r="H213" s="530">
        <v>0</v>
      </c>
      <c r="I213" s="530">
        <v>0</v>
      </c>
      <c r="J213" s="530">
        <v>0</v>
      </c>
      <c r="K213" s="530">
        <v>0</v>
      </c>
      <c r="L213" s="530">
        <v>0</v>
      </c>
      <c r="M213" s="530">
        <v>0</v>
      </c>
      <c r="N213" s="530">
        <v>0</v>
      </c>
      <c r="O213" s="530">
        <v>0</v>
      </c>
      <c r="P213" s="530">
        <v>0</v>
      </c>
      <c r="Q213" s="530">
        <v>0</v>
      </c>
      <c r="R213" s="530">
        <v>0</v>
      </c>
      <c r="S213" s="530">
        <v>0</v>
      </c>
      <c r="T213" s="530">
        <v>0</v>
      </c>
      <c r="U213" s="530">
        <v>0</v>
      </c>
      <c r="V213" s="530">
        <v>0</v>
      </c>
      <c r="W213" s="530">
        <v>0</v>
      </c>
      <c r="X213" s="530">
        <v>0</v>
      </c>
      <c r="Y213" s="530">
        <v>0</v>
      </c>
      <c r="Z213" s="530">
        <f>SUM(C213:Y213)</f>
        <v>0</v>
      </c>
    </row>
    <row r="214" spans="1:27" s="428" customFormat="1" ht="12.75" x14ac:dyDescent="0.2">
      <c r="A214" s="513">
        <v>72000</v>
      </c>
      <c r="B214" s="536" t="s">
        <v>737</v>
      </c>
      <c r="C214" s="537">
        <f t="shared" ref="C214:Z214" si="29">SUM(C210:C213)</f>
        <v>0</v>
      </c>
      <c r="D214" s="537">
        <f t="shared" si="29"/>
        <v>0</v>
      </c>
      <c r="E214" s="537">
        <f t="shared" si="29"/>
        <v>0</v>
      </c>
      <c r="F214" s="537">
        <f t="shared" si="29"/>
        <v>-16851939</v>
      </c>
      <c r="G214" s="537">
        <f t="shared" si="29"/>
        <v>0</v>
      </c>
      <c r="H214" s="537">
        <f t="shared" si="29"/>
        <v>0</v>
      </c>
      <c r="I214" s="537">
        <f t="shared" si="29"/>
        <v>0</v>
      </c>
      <c r="J214" s="537">
        <f t="shared" si="29"/>
        <v>-25288</v>
      </c>
      <c r="K214" s="537">
        <f t="shared" si="29"/>
        <v>0</v>
      </c>
      <c r="L214" s="537">
        <f t="shared" si="29"/>
        <v>0</v>
      </c>
      <c r="M214" s="537">
        <f t="shared" si="29"/>
        <v>0</v>
      </c>
      <c r="N214" s="537">
        <f t="shared" si="29"/>
        <v>-165488.73000000001</v>
      </c>
      <c r="O214" s="537">
        <f t="shared" si="29"/>
        <v>0</v>
      </c>
      <c r="P214" s="537">
        <f t="shared" si="29"/>
        <v>0</v>
      </c>
      <c r="Q214" s="537">
        <f t="shared" si="29"/>
        <v>0</v>
      </c>
      <c r="R214" s="537">
        <f t="shared" si="29"/>
        <v>0</v>
      </c>
      <c r="S214" s="537">
        <f t="shared" si="29"/>
        <v>0</v>
      </c>
      <c r="T214" s="537">
        <f t="shared" si="29"/>
        <v>0</v>
      </c>
      <c r="U214" s="537">
        <f t="shared" si="29"/>
        <v>0</v>
      </c>
      <c r="V214" s="537">
        <f t="shared" si="29"/>
        <v>0</v>
      </c>
      <c r="W214" s="537">
        <f t="shared" si="29"/>
        <v>0</v>
      </c>
      <c r="X214" s="537">
        <f t="shared" si="29"/>
        <v>0</v>
      </c>
      <c r="Y214" s="537">
        <f t="shared" si="29"/>
        <v>0</v>
      </c>
      <c r="Z214" s="537">
        <f t="shared" si="29"/>
        <v>-17042715.73</v>
      </c>
    </row>
    <row r="215" spans="1:27" s="428" customFormat="1" ht="12.75" x14ac:dyDescent="0.2">
      <c r="A215" s="513"/>
      <c r="B215" s="536"/>
      <c r="C215" s="537"/>
      <c r="D215" s="537"/>
      <c r="E215" s="537"/>
      <c r="F215" s="537"/>
      <c r="G215" s="537"/>
      <c r="H215" s="537"/>
      <c r="I215" s="537"/>
      <c r="J215" s="537"/>
      <c r="K215" s="537"/>
      <c r="L215" s="537"/>
      <c r="M215" s="537"/>
      <c r="N215" s="537"/>
      <c r="O215" s="537"/>
      <c r="P215" s="537"/>
      <c r="Q215" s="537"/>
      <c r="R215" s="537"/>
      <c r="S215" s="537"/>
      <c r="T215" s="537"/>
      <c r="U215" s="537"/>
      <c r="V215" s="537"/>
      <c r="W215" s="537"/>
      <c r="X215" s="537"/>
      <c r="Y215" s="537"/>
      <c r="Z215" s="537"/>
    </row>
    <row r="216" spans="1:27" s="428" customFormat="1" ht="12.75" x14ac:dyDescent="0.2">
      <c r="A216" s="513">
        <v>72999</v>
      </c>
      <c r="B216" s="536" t="s">
        <v>738</v>
      </c>
      <c r="C216" s="537">
        <f t="shared" ref="C216:Z216" si="30">C204+C214</f>
        <v>1381872.8900000001</v>
      </c>
      <c r="D216" s="537">
        <f t="shared" si="30"/>
        <v>0</v>
      </c>
      <c r="E216" s="537">
        <f t="shared" si="30"/>
        <v>369737.56</v>
      </c>
      <c r="F216" s="537">
        <f t="shared" si="30"/>
        <v>-11868793.17</v>
      </c>
      <c r="G216" s="537">
        <f t="shared" si="30"/>
        <v>0</v>
      </c>
      <c r="H216" s="537">
        <f t="shared" si="30"/>
        <v>3576996.86</v>
      </c>
      <c r="I216" s="537">
        <f t="shared" si="30"/>
        <v>361190.52</v>
      </c>
      <c r="J216" s="537">
        <f t="shared" si="30"/>
        <v>1567578.0700000003</v>
      </c>
      <c r="K216" s="537">
        <f t="shared" si="30"/>
        <v>-7308.58</v>
      </c>
      <c r="L216" s="537">
        <f t="shared" si="30"/>
        <v>-2211.69</v>
      </c>
      <c r="M216" s="537">
        <f t="shared" si="30"/>
        <v>3674597.02</v>
      </c>
      <c r="N216" s="537">
        <f t="shared" si="30"/>
        <v>48878.320000000007</v>
      </c>
      <c r="O216" s="537">
        <f t="shared" si="30"/>
        <v>13037.89</v>
      </c>
      <c r="P216" s="537">
        <f t="shared" si="30"/>
        <v>1152077.9499999997</v>
      </c>
      <c r="Q216" s="537">
        <f t="shared" si="30"/>
        <v>293397.47999999992</v>
      </c>
      <c r="R216" s="537">
        <f t="shared" si="30"/>
        <v>-25662.67</v>
      </c>
      <c r="S216" s="537">
        <f t="shared" si="30"/>
        <v>879698.61999999988</v>
      </c>
      <c r="T216" s="537">
        <f t="shared" si="30"/>
        <v>420024.15</v>
      </c>
      <c r="U216" s="537">
        <f t="shared" si="30"/>
        <v>124497.29999999999</v>
      </c>
      <c r="V216" s="537">
        <f t="shared" si="30"/>
        <v>5111.1400000000003</v>
      </c>
      <c r="W216" s="537">
        <f t="shared" si="30"/>
        <v>738914.57000000007</v>
      </c>
      <c r="X216" s="537">
        <f t="shared" si="30"/>
        <v>1103278.2600000002</v>
      </c>
      <c r="Y216" s="537">
        <f t="shared" si="30"/>
        <v>0</v>
      </c>
      <c r="Z216" s="537">
        <f t="shared" si="30"/>
        <v>3806912.4899999984</v>
      </c>
    </row>
    <row r="217" spans="1:27" s="428" customFormat="1" ht="12.75" x14ac:dyDescent="0.2">
      <c r="A217" s="513" t="s">
        <v>739</v>
      </c>
      <c r="B217" s="562" t="s">
        <v>128</v>
      </c>
      <c r="C217" s="544" t="str">
        <f t="shared" ref="C217:Z217" si="31">IF(ISERROR(C216/C23),"",(C216/C23))</f>
        <v/>
      </c>
      <c r="D217" s="544" t="str">
        <f t="shared" si="31"/>
        <v/>
      </c>
      <c r="E217" s="544" t="str">
        <f t="shared" si="31"/>
        <v/>
      </c>
      <c r="F217" s="544">
        <f t="shared" si="31"/>
        <v>-13.169134151677225</v>
      </c>
      <c r="G217" s="544" t="str">
        <f t="shared" si="31"/>
        <v/>
      </c>
      <c r="H217" s="544">
        <f t="shared" si="31"/>
        <v>87095.126856586314</v>
      </c>
      <c r="I217" s="544" t="str">
        <f t="shared" si="31"/>
        <v/>
      </c>
      <c r="J217" s="544" t="str">
        <f t="shared" si="31"/>
        <v/>
      </c>
      <c r="K217" s="544" t="str">
        <f t="shared" si="31"/>
        <v/>
      </c>
      <c r="L217" s="544" t="str">
        <f t="shared" si="31"/>
        <v/>
      </c>
      <c r="M217" s="544">
        <f t="shared" si="31"/>
        <v>17.632423320537427</v>
      </c>
      <c r="N217" s="544" t="str">
        <f t="shared" si="31"/>
        <v/>
      </c>
      <c r="O217" s="544" t="str">
        <f t="shared" si="31"/>
        <v/>
      </c>
      <c r="P217" s="544">
        <f t="shared" si="31"/>
        <v>7680.5196666666652</v>
      </c>
      <c r="Q217" s="544" t="str">
        <f t="shared" si="31"/>
        <v/>
      </c>
      <c r="R217" s="544" t="str">
        <f t="shared" si="31"/>
        <v/>
      </c>
      <c r="S217" s="544" t="str">
        <f t="shared" si="31"/>
        <v/>
      </c>
      <c r="T217" s="544">
        <f t="shared" si="31"/>
        <v>15.240801707161932</v>
      </c>
      <c r="U217" s="544" t="str">
        <f t="shared" si="31"/>
        <v/>
      </c>
      <c r="V217" s="544" t="str">
        <f t="shared" si="31"/>
        <v/>
      </c>
      <c r="W217" s="544">
        <f t="shared" si="31"/>
        <v>241.01458649314222</v>
      </c>
      <c r="X217" s="544" t="str">
        <f t="shared" si="31"/>
        <v/>
      </c>
      <c r="Y217" s="544" t="str">
        <f t="shared" si="31"/>
        <v/>
      </c>
      <c r="Z217" s="544">
        <f t="shared" si="31"/>
        <v>3.3380074315381019</v>
      </c>
    </row>
    <row r="218" spans="1:27" s="428" customFormat="1" x14ac:dyDescent="0.25">
      <c r="A218" s="513"/>
      <c r="B218" s="534"/>
      <c r="C218" s="563"/>
      <c r="D218" s="563"/>
      <c r="E218" s="563"/>
      <c r="F218" s="563"/>
      <c r="G218" s="563"/>
      <c r="H218" s="563"/>
      <c r="I218" s="563"/>
      <c r="J218" s="563"/>
      <c r="K218" s="563"/>
      <c r="L218" s="563"/>
      <c r="M218" s="563"/>
      <c r="N218" s="563"/>
      <c r="O218" s="563"/>
      <c r="P218" s="563"/>
      <c r="Q218" s="563"/>
      <c r="R218" s="563"/>
      <c r="S218" s="563"/>
      <c r="T218" s="563"/>
      <c r="U218" s="563"/>
      <c r="V218" s="563"/>
      <c r="W218" s="563"/>
      <c r="X218" s="563"/>
      <c r="Y218" s="563"/>
      <c r="Z218" s="563"/>
    </row>
    <row r="219" spans="1:27" s="428" customFormat="1" ht="12.75" x14ac:dyDescent="0.2">
      <c r="A219" s="513">
        <v>75999</v>
      </c>
      <c r="B219" s="532" t="s">
        <v>740</v>
      </c>
      <c r="C219" s="1158">
        <f t="shared" ref="C219:Z219" si="32">C207-C214</f>
        <v>-1381872.8900000001</v>
      </c>
      <c r="D219" s="1158">
        <f t="shared" si="32"/>
        <v>0</v>
      </c>
      <c r="E219" s="1158">
        <f t="shared" si="32"/>
        <v>-369737.56</v>
      </c>
      <c r="F219" s="533">
        <f>F207-F214</f>
        <v>12770051.6</v>
      </c>
      <c r="G219" s="533">
        <f t="shared" si="32"/>
        <v>0</v>
      </c>
      <c r="H219" s="1158">
        <f t="shared" si="32"/>
        <v>-3576955.79</v>
      </c>
      <c r="I219" s="1158">
        <f t="shared" si="32"/>
        <v>-361190.52</v>
      </c>
      <c r="J219" s="1158">
        <f t="shared" si="32"/>
        <v>-1567578.0700000003</v>
      </c>
      <c r="K219" s="533">
        <f t="shared" si="32"/>
        <v>7308.58</v>
      </c>
      <c r="L219" s="533">
        <f t="shared" si="32"/>
        <v>2211.69</v>
      </c>
      <c r="M219" s="1158">
        <f t="shared" si="32"/>
        <v>-3466197.02</v>
      </c>
      <c r="N219" s="533">
        <f t="shared" si="32"/>
        <v>-48878.330000000016</v>
      </c>
      <c r="O219" s="1158">
        <f t="shared" si="32"/>
        <v>-13037.89</v>
      </c>
      <c r="P219" s="1158">
        <f t="shared" si="32"/>
        <v>-1151927.9499999997</v>
      </c>
      <c r="Q219" s="1158">
        <f t="shared" si="32"/>
        <v>-293397.47999999992</v>
      </c>
      <c r="R219" s="1158">
        <f t="shared" si="32"/>
        <v>25662.67</v>
      </c>
      <c r="S219" s="1158">
        <f t="shared" si="32"/>
        <v>-879698.60999999987</v>
      </c>
      <c r="T219" s="1158">
        <f t="shared" si="32"/>
        <v>-321262.46000000002</v>
      </c>
      <c r="U219" s="1158">
        <f t="shared" si="32"/>
        <v>-124497.29999999999</v>
      </c>
      <c r="V219" s="1158">
        <f t="shared" si="32"/>
        <v>-5111.1400000000003</v>
      </c>
      <c r="W219" s="1158">
        <f t="shared" si="32"/>
        <v>-735848.72000000009</v>
      </c>
      <c r="X219" s="1158">
        <f t="shared" si="32"/>
        <v>-1103278.2600000002</v>
      </c>
      <c r="Y219" s="533">
        <f t="shared" si="32"/>
        <v>0</v>
      </c>
      <c r="Z219" s="533">
        <f t="shared" si="32"/>
        <v>-2595235.4499999993</v>
      </c>
      <c r="AA219" s="564"/>
    </row>
    <row r="220" spans="1:27" s="428" customFormat="1" ht="12.75" x14ac:dyDescent="0.2">
      <c r="A220" s="513" t="s">
        <v>741</v>
      </c>
      <c r="B220" s="516" t="s">
        <v>128</v>
      </c>
      <c r="C220" s="544" t="str">
        <f t="shared" ref="C220:Z220" si="33">IF(ISERROR(C219/C23),"",(C219/C23))</f>
        <v/>
      </c>
      <c r="D220" s="544" t="str">
        <f t="shared" si="33"/>
        <v/>
      </c>
      <c r="E220" s="544" t="str">
        <f t="shared" si="33"/>
        <v/>
      </c>
      <c r="F220" s="544">
        <f t="shared" si="33"/>
        <v>14.169134151677225</v>
      </c>
      <c r="G220" s="544" t="str">
        <f t="shared" si="33"/>
        <v/>
      </c>
      <c r="H220" s="544">
        <f t="shared" si="33"/>
        <v>-87094.126856586314</v>
      </c>
      <c r="I220" s="544" t="str">
        <f t="shared" si="33"/>
        <v/>
      </c>
      <c r="J220" s="544" t="str">
        <f t="shared" si="33"/>
        <v/>
      </c>
      <c r="K220" s="544" t="str">
        <f t="shared" si="33"/>
        <v/>
      </c>
      <c r="L220" s="544" t="str">
        <f t="shared" si="33"/>
        <v/>
      </c>
      <c r="M220" s="544">
        <f t="shared" si="33"/>
        <v>-16.632423320537427</v>
      </c>
      <c r="N220" s="544" t="str">
        <f t="shared" si="33"/>
        <v/>
      </c>
      <c r="O220" s="544" t="str">
        <f t="shared" si="33"/>
        <v/>
      </c>
      <c r="P220" s="544">
        <f t="shared" si="33"/>
        <v>-7679.5196666666652</v>
      </c>
      <c r="Q220" s="544" t="str">
        <f t="shared" si="33"/>
        <v/>
      </c>
      <c r="R220" s="544" t="str">
        <f t="shared" si="33"/>
        <v/>
      </c>
      <c r="S220" s="544" t="str">
        <f t="shared" si="33"/>
        <v/>
      </c>
      <c r="T220" s="544">
        <f t="shared" si="33"/>
        <v>-11.657180780712352</v>
      </c>
      <c r="U220" s="544" t="str">
        <f t="shared" si="33"/>
        <v/>
      </c>
      <c r="V220" s="544" t="str">
        <f t="shared" si="33"/>
        <v/>
      </c>
      <c r="W220" s="544">
        <f t="shared" si="33"/>
        <v>-240.01458649314222</v>
      </c>
      <c r="X220" s="544" t="str">
        <f t="shared" si="33"/>
        <v/>
      </c>
      <c r="Y220" s="544" t="str">
        <f t="shared" si="33"/>
        <v/>
      </c>
      <c r="Z220" s="544">
        <f t="shared" si="33"/>
        <v>-2.2755750864898738</v>
      </c>
    </row>
    <row r="221" spans="1:27" s="428" customFormat="1" x14ac:dyDescent="0.25">
      <c r="A221" s="513"/>
      <c r="B221" s="534"/>
      <c r="C221" s="563"/>
      <c r="D221" s="563"/>
      <c r="E221" s="563"/>
      <c r="F221" s="563"/>
      <c r="G221" s="563"/>
      <c r="H221" s="563"/>
      <c r="I221" s="563"/>
      <c r="J221" s="563"/>
      <c r="K221" s="563"/>
      <c r="L221" s="563"/>
      <c r="M221" s="563"/>
      <c r="N221" s="563"/>
      <c r="O221" s="563"/>
      <c r="P221" s="563"/>
      <c r="Q221" s="563"/>
      <c r="R221" s="563"/>
      <c r="S221" s="563"/>
      <c r="T221" s="563"/>
      <c r="U221" s="563"/>
      <c r="V221" s="563"/>
      <c r="W221" s="563"/>
      <c r="X221" s="563"/>
      <c r="Y221" s="563"/>
      <c r="Z221" s="563"/>
    </row>
    <row r="222" spans="1:27" s="428" customFormat="1" ht="12.75" x14ac:dyDescent="0.2">
      <c r="A222" s="513"/>
      <c r="B222" s="516" t="s">
        <v>462</v>
      </c>
      <c r="C222" s="528"/>
      <c r="D222" s="528"/>
      <c r="E222" s="528"/>
      <c r="F222" s="528"/>
      <c r="G222" s="528"/>
      <c r="H222" s="528"/>
      <c r="I222" s="528"/>
      <c r="J222" s="528"/>
      <c r="K222" s="528"/>
      <c r="L222" s="528"/>
      <c r="M222" s="528"/>
      <c r="N222" s="528"/>
      <c r="O222" s="528"/>
      <c r="P222" s="528"/>
      <c r="Q222" s="528"/>
      <c r="R222" s="528"/>
      <c r="S222" s="528"/>
      <c r="T222" s="528"/>
      <c r="U222" s="528"/>
      <c r="V222" s="528"/>
      <c r="W222" s="528"/>
      <c r="X222" s="528"/>
      <c r="Y222" s="528"/>
      <c r="Z222" s="528"/>
    </row>
    <row r="223" spans="1:27" s="545" customFormat="1" ht="12.75" x14ac:dyDescent="0.2">
      <c r="A223" s="513">
        <v>81100</v>
      </c>
      <c r="B223" s="529" t="s">
        <v>742</v>
      </c>
      <c r="C223" s="530">
        <v>0</v>
      </c>
      <c r="D223" s="530">
        <v>0</v>
      </c>
      <c r="E223" s="530">
        <v>0</v>
      </c>
      <c r="F223" s="530">
        <v>0</v>
      </c>
      <c r="G223" s="530">
        <v>0</v>
      </c>
      <c r="H223" s="530">
        <v>0</v>
      </c>
      <c r="I223" s="530">
        <v>0</v>
      </c>
      <c r="J223" s="530">
        <v>0</v>
      </c>
      <c r="K223" s="530">
        <v>0</v>
      </c>
      <c r="L223" s="530">
        <v>0</v>
      </c>
      <c r="M223" s="530">
        <v>0</v>
      </c>
      <c r="N223" s="530">
        <v>0</v>
      </c>
      <c r="O223" s="530">
        <v>0</v>
      </c>
      <c r="P223" s="530">
        <v>0</v>
      </c>
      <c r="Q223" s="530">
        <v>0</v>
      </c>
      <c r="R223" s="530">
        <v>0</v>
      </c>
      <c r="S223" s="530">
        <v>0</v>
      </c>
      <c r="T223" s="530">
        <v>0</v>
      </c>
      <c r="U223" s="530">
        <v>0</v>
      </c>
      <c r="V223" s="530">
        <v>0</v>
      </c>
      <c r="W223" s="530">
        <v>0</v>
      </c>
      <c r="X223" s="530">
        <v>0</v>
      </c>
      <c r="Y223" s="530">
        <v>0</v>
      </c>
      <c r="Z223" s="530">
        <f t="shared" ref="Z223:Z233" si="34">SUM(C223:Y223)</f>
        <v>0</v>
      </c>
    </row>
    <row r="224" spans="1:27" s="545" customFormat="1" ht="12.75" x14ac:dyDescent="0.2">
      <c r="A224" s="513">
        <v>81200</v>
      </c>
      <c r="B224" s="529" t="s">
        <v>743</v>
      </c>
      <c r="C224" s="530">
        <v>123.96000000000001</v>
      </c>
      <c r="D224" s="530">
        <v>0</v>
      </c>
      <c r="E224" s="530">
        <v>0</v>
      </c>
      <c r="F224" s="530">
        <v>19071.27</v>
      </c>
      <c r="G224" s="530">
        <v>0</v>
      </c>
      <c r="H224" s="530">
        <v>520.80000000000007</v>
      </c>
      <c r="I224" s="530">
        <v>0</v>
      </c>
      <c r="J224" s="530">
        <v>0</v>
      </c>
      <c r="K224" s="530">
        <v>0</v>
      </c>
      <c r="L224" s="530">
        <v>0</v>
      </c>
      <c r="M224" s="530">
        <v>0</v>
      </c>
      <c r="N224" s="530">
        <v>1217.6400000000001</v>
      </c>
      <c r="O224" s="530">
        <v>0</v>
      </c>
      <c r="P224" s="530">
        <v>0</v>
      </c>
      <c r="Q224" s="530">
        <v>0</v>
      </c>
      <c r="R224" s="530">
        <v>0</v>
      </c>
      <c r="S224" s="530">
        <v>0</v>
      </c>
      <c r="T224" s="530">
        <v>0</v>
      </c>
      <c r="U224" s="530">
        <v>0</v>
      </c>
      <c r="V224" s="530">
        <v>0</v>
      </c>
      <c r="W224" s="530">
        <v>0</v>
      </c>
      <c r="X224" s="530">
        <v>0</v>
      </c>
      <c r="Y224" s="530">
        <v>0</v>
      </c>
      <c r="Z224" s="530">
        <f t="shared" si="34"/>
        <v>20933.669999999998</v>
      </c>
    </row>
    <row r="225" spans="1:26" s="545" customFormat="1" ht="12.75" x14ac:dyDescent="0.2">
      <c r="A225" s="513">
        <v>81201</v>
      </c>
      <c r="B225" s="529" t="s">
        <v>744</v>
      </c>
      <c r="C225" s="530">
        <v>0</v>
      </c>
      <c r="D225" s="530">
        <v>0</v>
      </c>
      <c r="E225" s="530">
        <v>0</v>
      </c>
      <c r="F225" s="530">
        <v>0</v>
      </c>
      <c r="G225" s="530">
        <v>0</v>
      </c>
      <c r="H225" s="530">
        <v>0</v>
      </c>
      <c r="I225" s="530">
        <v>0</v>
      </c>
      <c r="J225" s="530">
        <v>0</v>
      </c>
      <c r="K225" s="530">
        <v>0</v>
      </c>
      <c r="L225" s="530">
        <v>0</v>
      </c>
      <c r="M225" s="530">
        <v>0</v>
      </c>
      <c r="N225" s="530">
        <v>0</v>
      </c>
      <c r="O225" s="530">
        <v>0</v>
      </c>
      <c r="P225" s="530">
        <v>0</v>
      </c>
      <c r="Q225" s="530">
        <v>0</v>
      </c>
      <c r="R225" s="530">
        <v>0</v>
      </c>
      <c r="S225" s="530">
        <v>0</v>
      </c>
      <c r="T225" s="530">
        <v>0</v>
      </c>
      <c r="U225" s="530">
        <v>0</v>
      </c>
      <c r="V225" s="530">
        <v>0</v>
      </c>
      <c r="W225" s="530">
        <v>0</v>
      </c>
      <c r="X225" s="530">
        <v>0</v>
      </c>
      <c r="Y225" s="530">
        <v>0</v>
      </c>
      <c r="Z225" s="530">
        <f t="shared" si="34"/>
        <v>0</v>
      </c>
    </row>
    <row r="226" spans="1:26" s="545" customFormat="1" ht="12.75" x14ac:dyDescent="0.2">
      <c r="A226" s="513">
        <v>81250</v>
      </c>
      <c r="B226" s="529" t="s">
        <v>745</v>
      </c>
      <c r="C226" s="530">
        <v>0</v>
      </c>
      <c r="D226" s="530">
        <v>0</v>
      </c>
      <c r="E226" s="530">
        <v>0</v>
      </c>
      <c r="F226" s="530">
        <v>56744.82</v>
      </c>
      <c r="G226" s="530">
        <v>0</v>
      </c>
      <c r="H226" s="530">
        <v>0</v>
      </c>
      <c r="I226" s="530">
        <v>0</v>
      </c>
      <c r="J226" s="530">
        <v>0</v>
      </c>
      <c r="K226" s="530">
        <v>0</v>
      </c>
      <c r="L226" s="530">
        <v>0</v>
      </c>
      <c r="M226" s="530">
        <v>0</v>
      </c>
      <c r="N226" s="530">
        <v>0</v>
      </c>
      <c r="O226" s="530">
        <v>0</v>
      </c>
      <c r="P226" s="530">
        <v>0</v>
      </c>
      <c r="Q226" s="530">
        <v>0</v>
      </c>
      <c r="R226" s="530">
        <v>0</v>
      </c>
      <c r="S226" s="530">
        <v>0</v>
      </c>
      <c r="T226" s="530">
        <v>0</v>
      </c>
      <c r="U226" s="530">
        <v>0</v>
      </c>
      <c r="V226" s="530">
        <v>0</v>
      </c>
      <c r="W226" s="530">
        <v>0</v>
      </c>
      <c r="X226" s="530">
        <v>0</v>
      </c>
      <c r="Y226" s="530">
        <v>0</v>
      </c>
      <c r="Z226" s="530">
        <f t="shared" si="34"/>
        <v>56744.82</v>
      </c>
    </row>
    <row r="227" spans="1:26" s="545" customFormat="1" ht="12.75" x14ac:dyDescent="0.2">
      <c r="A227" s="513">
        <v>81252</v>
      </c>
      <c r="B227" s="529" t="s">
        <v>746</v>
      </c>
      <c r="C227" s="530">
        <v>0</v>
      </c>
      <c r="D227" s="530">
        <v>0</v>
      </c>
      <c r="E227" s="530">
        <v>0</v>
      </c>
      <c r="F227" s="530">
        <v>0</v>
      </c>
      <c r="G227" s="530">
        <v>0</v>
      </c>
      <c r="H227" s="530">
        <v>0</v>
      </c>
      <c r="I227" s="530">
        <v>0</v>
      </c>
      <c r="J227" s="530">
        <v>0</v>
      </c>
      <c r="K227" s="530">
        <v>0</v>
      </c>
      <c r="L227" s="530">
        <v>0</v>
      </c>
      <c r="M227" s="530">
        <v>0</v>
      </c>
      <c r="N227" s="530">
        <v>0</v>
      </c>
      <c r="O227" s="530">
        <v>0</v>
      </c>
      <c r="P227" s="530">
        <v>0</v>
      </c>
      <c r="Q227" s="530">
        <v>0</v>
      </c>
      <c r="R227" s="530">
        <v>0</v>
      </c>
      <c r="S227" s="530">
        <v>0</v>
      </c>
      <c r="T227" s="530">
        <v>0</v>
      </c>
      <c r="U227" s="530">
        <v>0</v>
      </c>
      <c r="V227" s="530">
        <v>0</v>
      </c>
      <c r="W227" s="530">
        <v>0</v>
      </c>
      <c r="X227" s="530">
        <v>0</v>
      </c>
      <c r="Y227" s="530">
        <v>0</v>
      </c>
      <c r="Z227" s="530">
        <f t="shared" si="34"/>
        <v>0</v>
      </c>
    </row>
    <row r="228" spans="1:26" s="545" customFormat="1" ht="12.75" x14ac:dyDescent="0.2">
      <c r="A228" s="513">
        <v>81300</v>
      </c>
      <c r="B228" s="529" t="s">
        <v>747</v>
      </c>
      <c r="C228" s="530">
        <v>3823.25</v>
      </c>
      <c r="D228" s="530">
        <v>0</v>
      </c>
      <c r="E228" s="530">
        <v>5284.77</v>
      </c>
      <c r="F228" s="530">
        <v>37256.47</v>
      </c>
      <c r="G228" s="530">
        <v>0</v>
      </c>
      <c r="H228" s="530">
        <v>14042.31</v>
      </c>
      <c r="I228" s="530">
        <v>3396.8100000000004</v>
      </c>
      <c r="J228" s="530">
        <v>2898.36</v>
      </c>
      <c r="K228" s="530">
        <v>0</v>
      </c>
      <c r="L228" s="530">
        <v>0</v>
      </c>
      <c r="M228" s="530">
        <v>332164.34999999998</v>
      </c>
      <c r="N228" s="530">
        <v>1062.69</v>
      </c>
      <c r="O228" s="530">
        <v>0</v>
      </c>
      <c r="P228" s="530">
        <v>1408.38</v>
      </c>
      <c r="Q228" s="530">
        <v>178.20000000000002</v>
      </c>
      <c r="R228" s="530">
        <v>0</v>
      </c>
      <c r="S228" s="530">
        <v>2103.77</v>
      </c>
      <c r="T228" s="530">
        <v>1254.43</v>
      </c>
      <c r="U228" s="530">
        <v>802.96</v>
      </c>
      <c r="V228" s="530">
        <v>0</v>
      </c>
      <c r="W228" s="530">
        <v>0</v>
      </c>
      <c r="X228" s="530">
        <v>2377.48</v>
      </c>
      <c r="Y228" s="530">
        <v>0</v>
      </c>
      <c r="Z228" s="530">
        <f t="shared" si="34"/>
        <v>408054.23</v>
      </c>
    </row>
    <row r="229" spans="1:26" s="545" customFormat="1" ht="12.75" x14ac:dyDescent="0.2">
      <c r="A229" s="513">
        <v>81301</v>
      </c>
      <c r="B229" s="529" t="s">
        <v>748</v>
      </c>
      <c r="C229" s="530">
        <v>0</v>
      </c>
      <c r="D229" s="530">
        <v>0</v>
      </c>
      <c r="E229" s="530">
        <v>0</v>
      </c>
      <c r="F229" s="530">
        <v>12045.82</v>
      </c>
      <c r="G229" s="530">
        <v>0</v>
      </c>
      <c r="H229" s="530">
        <v>8827.58</v>
      </c>
      <c r="I229" s="530">
        <v>0</v>
      </c>
      <c r="J229" s="530">
        <v>20330.37</v>
      </c>
      <c r="K229" s="530">
        <v>0</v>
      </c>
      <c r="L229" s="530">
        <v>0</v>
      </c>
      <c r="M229" s="530">
        <v>558595.67999999993</v>
      </c>
      <c r="N229" s="530">
        <v>15609.48</v>
      </c>
      <c r="O229" s="530">
        <v>0</v>
      </c>
      <c r="P229" s="530">
        <v>0</v>
      </c>
      <c r="Q229" s="530">
        <v>0</v>
      </c>
      <c r="R229" s="530">
        <v>0</v>
      </c>
      <c r="S229" s="530">
        <v>0</v>
      </c>
      <c r="T229" s="530">
        <v>61.379999999999995</v>
      </c>
      <c r="U229" s="530">
        <v>1657.56</v>
      </c>
      <c r="V229" s="530">
        <v>0</v>
      </c>
      <c r="W229" s="530">
        <v>0</v>
      </c>
      <c r="X229" s="530">
        <v>0</v>
      </c>
      <c r="Y229" s="530">
        <v>0</v>
      </c>
      <c r="Z229" s="530">
        <f t="shared" si="34"/>
        <v>617127.87</v>
      </c>
    </row>
    <row r="230" spans="1:26" s="545" customFormat="1" ht="12.75" x14ac:dyDescent="0.2">
      <c r="A230" s="513">
        <v>81302</v>
      </c>
      <c r="B230" s="529" t="s">
        <v>749</v>
      </c>
      <c r="C230" s="530">
        <v>0</v>
      </c>
      <c r="D230" s="530">
        <v>0</v>
      </c>
      <c r="E230" s="530">
        <v>0</v>
      </c>
      <c r="F230" s="530">
        <v>0</v>
      </c>
      <c r="G230" s="530">
        <v>0</v>
      </c>
      <c r="H230" s="530">
        <v>0</v>
      </c>
      <c r="I230" s="530">
        <v>0</v>
      </c>
      <c r="J230" s="530">
        <v>0</v>
      </c>
      <c r="K230" s="530">
        <v>0</v>
      </c>
      <c r="L230" s="530">
        <v>0</v>
      </c>
      <c r="M230" s="530">
        <v>0</v>
      </c>
      <c r="N230" s="530">
        <v>0</v>
      </c>
      <c r="O230" s="530">
        <v>0</v>
      </c>
      <c r="P230" s="530">
        <v>0</v>
      </c>
      <c r="Q230" s="530">
        <v>0</v>
      </c>
      <c r="R230" s="530">
        <v>0</v>
      </c>
      <c r="S230" s="530">
        <v>0</v>
      </c>
      <c r="T230" s="530">
        <v>0</v>
      </c>
      <c r="U230" s="530">
        <v>0</v>
      </c>
      <c r="V230" s="530">
        <v>0</v>
      </c>
      <c r="W230" s="530">
        <v>0</v>
      </c>
      <c r="X230" s="530">
        <v>0</v>
      </c>
      <c r="Y230" s="530">
        <v>0</v>
      </c>
      <c r="Z230" s="530">
        <f t="shared" si="34"/>
        <v>0</v>
      </c>
    </row>
    <row r="231" spans="1:26" s="545" customFormat="1" ht="12.75" x14ac:dyDescent="0.2">
      <c r="A231" s="513">
        <v>81303</v>
      </c>
      <c r="B231" s="529" t="s">
        <v>750</v>
      </c>
      <c r="C231" s="530">
        <v>0</v>
      </c>
      <c r="D231" s="530">
        <v>0</v>
      </c>
      <c r="E231" s="530">
        <v>0</v>
      </c>
      <c r="F231" s="530">
        <v>0</v>
      </c>
      <c r="G231" s="530">
        <v>0</v>
      </c>
      <c r="H231" s="530">
        <v>0</v>
      </c>
      <c r="I231" s="530">
        <v>0</v>
      </c>
      <c r="J231" s="530">
        <v>0</v>
      </c>
      <c r="K231" s="530">
        <v>0</v>
      </c>
      <c r="L231" s="530">
        <v>0</v>
      </c>
      <c r="M231" s="530">
        <v>0</v>
      </c>
      <c r="N231" s="530">
        <v>0</v>
      </c>
      <c r="O231" s="530">
        <v>0</v>
      </c>
      <c r="P231" s="530">
        <v>0</v>
      </c>
      <c r="Q231" s="530">
        <v>0</v>
      </c>
      <c r="R231" s="530">
        <v>0</v>
      </c>
      <c r="S231" s="530">
        <v>0</v>
      </c>
      <c r="T231" s="530">
        <v>0</v>
      </c>
      <c r="U231" s="530">
        <v>0</v>
      </c>
      <c r="V231" s="530">
        <v>0</v>
      </c>
      <c r="W231" s="530">
        <v>0</v>
      </c>
      <c r="X231" s="530">
        <v>0</v>
      </c>
      <c r="Y231" s="530">
        <v>0</v>
      </c>
      <c r="Z231" s="530">
        <f t="shared" si="34"/>
        <v>0</v>
      </c>
    </row>
    <row r="232" spans="1:26" s="545" customFormat="1" ht="12.75" x14ac:dyDescent="0.2">
      <c r="A232" s="513">
        <v>81401</v>
      </c>
      <c r="B232" s="529" t="s">
        <v>751</v>
      </c>
      <c r="C232" s="530">
        <v>0</v>
      </c>
      <c r="D232" s="530">
        <v>0</v>
      </c>
      <c r="E232" s="530">
        <v>0</v>
      </c>
      <c r="F232" s="530">
        <v>12959.15</v>
      </c>
      <c r="G232" s="530">
        <v>0</v>
      </c>
      <c r="H232" s="530">
        <v>0</v>
      </c>
      <c r="I232" s="530">
        <v>0</v>
      </c>
      <c r="J232" s="530">
        <v>0</v>
      </c>
      <c r="K232" s="530">
        <v>0</v>
      </c>
      <c r="L232" s="530">
        <v>0</v>
      </c>
      <c r="M232" s="530">
        <v>0</v>
      </c>
      <c r="N232" s="530">
        <v>0</v>
      </c>
      <c r="O232" s="530">
        <v>0</v>
      </c>
      <c r="P232" s="530">
        <v>122.74999999999999</v>
      </c>
      <c r="Q232" s="530">
        <v>0</v>
      </c>
      <c r="R232" s="530">
        <v>0</v>
      </c>
      <c r="S232" s="530">
        <v>0</v>
      </c>
      <c r="T232" s="530">
        <v>0</v>
      </c>
      <c r="U232" s="530">
        <v>143.64000000000001</v>
      </c>
      <c r="V232" s="530">
        <v>0</v>
      </c>
      <c r="W232" s="530">
        <v>0</v>
      </c>
      <c r="X232" s="530">
        <v>0</v>
      </c>
      <c r="Y232" s="530">
        <v>0</v>
      </c>
      <c r="Z232" s="530">
        <f t="shared" si="34"/>
        <v>13225.539999999999</v>
      </c>
    </row>
    <row r="233" spans="1:26" s="545" customFormat="1" ht="12.75" x14ac:dyDescent="0.2">
      <c r="A233" s="513">
        <v>81610</v>
      </c>
      <c r="B233" s="529" t="s">
        <v>752</v>
      </c>
      <c r="C233" s="530">
        <v>0</v>
      </c>
      <c r="D233" s="530">
        <v>0</v>
      </c>
      <c r="E233" s="530">
        <v>0</v>
      </c>
      <c r="F233" s="530">
        <v>0</v>
      </c>
      <c r="G233" s="530">
        <v>0</v>
      </c>
      <c r="H233" s="530">
        <v>0</v>
      </c>
      <c r="I233" s="530">
        <v>0</v>
      </c>
      <c r="J233" s="530">
        <v>0</v>
      </c>
      <c r="K233" s="530">
        <v>0</v>
      </c>
      <c r="L233" s="530">
        <v>0</v>
      </c>
      <c r="M233" s="530">
        <v>0</v>
      </c>
      <c r="N233" s="530">
        <v>0</v>
      </c>
      <c r="O233" s="530">
        <v>0</v>
      </c>
      <c r="P233" s="530">
        <v>0</v>
      </c>
      <c r="Q233" s="530">
        <v>0</v>
      </c>
      <c r="R233" s="530">
        <v>0</v>
      </c>
      <c r="S233" s="530">
        <v>0</v>
      </c>
      <c r="T233" s="530">
        <v>0</v>
      </c>
      <c r="U233" s="530">
        <v>0</v>
      </c>
      <c r="V233" s="530">
        <v>0</v>
      </c>
      <c r="W233" s="530">
        <v>0</v>
      </c>
      <c r="X233" s="530">
        <v>0</v>
      </c>
      <c r="Y233" s="530">
        <v>0</v>
      </c>
      <c r="Z233" s="530">
        <f t="shared" si="34"/>
        <v>0</v>
      </c>
    </row>
    <row r="234" spans="1:26" s="428" customFormat="1" ht="12.75" x14ac:dyDescent="0.2">
      <c r="A234" s="513">
        <v>82950</v>
      </c>
      <c r="B234" s="536" t="s">
        <v>753</v>
      </c>
      <c r="C234" s="537">
        <f t="shared" ref="C234:Z234" si="35">SUM(C223:C233)</f>
        <v>3947.21</v>
      </c>
      <c r="D234" s="537">
        <f t="shared" si="35"/>
        <v>0</v>
      </c>
      <c r="E234" s="537">
        <f t="shared" si="35"/>
        <v>5284.77</v>
      </c>
      <c r="F234" s="537">
        <f t="shared" si="35"/>
        <v>138077.53</v>
      </c>
      <c r="G234" s="537">
        <f t="shared" si="35"/>
        <v>0</v>
      </c>
      <c r="H234" s="537">
        <f t="shared" si="35"/>
        <v>23390.69</v>
      </c>
      <c r="I234" s="537">
        <f t="shared" si="35"/>
        <v>3396.8100000000004</v>
      </c>
      <c r="J234" s="537">
        <f t="shared" si="35"/>
        <v>23228.73</v>
      </c>
      <c r="K234" s="537">
        <f t="shared" si="35"/>
        <v>0</v>
      </c>
      <c r="L234" s="537">
        <f t="shared" si="35"/>
        <v>0</v>
      </c>
      <c r="M234" s="537">
        <f t="shared" si="35"/>
        <v>890760.02999999991</v>
      </c>
      <c r="N234" s="537">
        <f t="shared" si="35"/>
        <v>17889.809999999998</v>
      </c>
      <c r="O234" s="537">
        <f t="shared" si="35"/>
        <v>0</v>
      </c>
      <c r="P234" s="537">
        <f t="shared" si="35"/>
        <v>1531.13</v>
      </c>
      <c r="Q234" s="537">
        <f t="shared" si="35"/>
        <v>178.20000000000002</v>
      </c>
      <c r="R234" s="537">
        <f t="shared" si="35"/>
        <v>0</v>
      </c>
      <c r="S234" s="537">
        <f t="shared" si="35"/>
        <v>2103.77</v>
      </c>
      <c r="T234" s="537">
        <f t="shared" si="35"/>
        <v>1315.81</v>
      </c>
      <c r="U234" s="537">
        <f t="shared" si="35"/>
        <v>2604.16</v>
      </c>
      <c r="V234" s="537">
        <f t="shared" si="35"/>
        <v>0</v>
      </c>
      <c r="W234" s="537">
        <f t="shared" si="35"/>
        <v>0</v>
      </c>
      <c r="X234" s="537">
        <f t="shared" si="35"/>
        <v>2377.48</v>
      </c>
      <c r="Y234" s="537">
        <f t="shared" si="35"/>
        <v>0</v>
      </c>
      <c r="Z234" s="537">
        <f t="shared" si="35"/>
        <v>1116086.1299999999</v>
      </c>
    </row>
    <row r="235" spans="1:26" s="428" customFormat="1" ht="12.75" x14ac:dyDescent="0.2">
      <c r="A235" s="513"/>
      <c r="B235" s="516"/>
      <c r="C235" s="528"/>
      <c r="D235" s="528"/>
      <c r="E235" s="528"/>
      <c r="F235" s="528"/>
      <c r="G235" s="528"/>
      <c r="H235" s="528"/>
      <c r="I235" s="528"/>
      <c r="J235" s="528"/>
      <c r="K235" s="528"/>
      <c r="L235" s="528"/>
      <c r="M235" s="528"/>
      <c r="N235" s="528"/>
      <c r="O235" s="528"/>
      <c r="P235" s="528"/>
      <c r="Q235" s="528"/>
      <c r="R235" s="528"/>
      <c r="S235" s="528"/>
      <c r="T235" s="528"/>
      <c r="U235" s="528"/>
      <c r="V235" s="528"/>
      <c r="W235" s="528"/>
      <c r="X235" s="528"/>
      <c r="Y235" s="528"/>
      <c r="Z235" s="528"/>
    </row>
    <row r="236" spans="1:26" s="428" customFormat="1" ht="12.75" x14ac:dyDescent="0.2">
      <c r="A236" s="513"/>
      <c r="B236" s="516" t="s">
        <v>754</v>
      </c>
      <c r="C236" s="528"/>
      <c r="D236" s="528"/>
      <c r="E236" s="528"/>
      <c r="F236" s="528"/>
      <c r="G236" s="528"/>
      <c r="H236" s="528"/>
      <c r="I236" s="528"/>
      <c r="J236" s="528"/>
      <c r="K236" s="528"/>
      <c r="L236" s="528"/>
      <c r="M236" s="528"/>
      <c r="N236" s="528"/>
      <c r="O236" s="528"/>
      <c r="P236" s="528"/>
      <c r="Q236" s="528"/>
      <c r="R236" s="528"/>
      <c r="S236" s="528"/>
      <c r="T236" s="528"/>
      <c r="U236" s="528"/>
      <c r="V236" s="528"/>
      <c r="W236" s="528"/>
      <c r="X236" s="528"/>
      <c r="Y236" s="528"/>
      <c r="Z236" s="528"/>
    </row>
    <row r="237" spans="1:26" s="545" customFormat="1" ht="12.75" x14ac:dyDescent="0.2">
      <c r="A237" s="513">
        <v>83200</v>
      </c>
      <c r="B237" s="553" t="s">
        <v>755</v>
      </c>
      <c r="C237" s="530">
        <v>0</v>
      </c>
      <c r="D237" s="530">
        <v>0</v>
      </c>
      <c r="E237" s="530">
        <v>0</v>
      </c>
      <c r="F237" s="530">
        <v>0</v>
      </c>
      <c r="G237" s="530">
        <v>0</v>
      </c>
      <c r="H237" s="530">
        <v>0</v>
      </c>
      <c r="I237" s="530">
        <v>0</v>
      </c>
      <c r="J237" s="530">
        <v>0</v>
      </c>
      <c r="K237" s="530">
        <v>0</v>
      </c>
      <c r="L237" s="530">
        <v>0</v>
      </c>
      <c r="M237" s="530">
        <v>0</v>
      </c>
      <c r="N237" s="530">
        <v>0</v>
      </c>
      <c r="O237" s="530">
        <v>0</v>
      </c>
      <c r="P237" s="530">
        <v>0</v>
      </c>
      <c r="Q237" s="530">
        <v>0</v>
      </c>
      <c r="R237" s="530">
        <v>0</v>
      </c>
      <c r="S237" s="530">
        <v>0</v>
      </c>
      <c r="T237" s="530">
        <v>0</v>
      </c>
      <c r="U237" s="530">
        <v>0</v>
      </c>
      <c r="V237" s="530">
        <v>0</v>
      </c>
      <c r="W237" s="530">
        <v>0</v>
      </c>
      <c r="X237" s="530">
        <v>0</v>
      </c>
      <c r="Y237" s="530">
        <v>0</v>
      </c>
      <c r="Z237" s="530">
        <f>SUM(C237:Y237)</f>
        <v>0</v>
      </c>
    </row>
    <row r="238" spans="1:26" s="428" customFormat="1" ht="12.75" x14ac:dyDescent="0.2">
      <c r="A238" s="513">
        <v>83799</v>
      </c>
      <c r="B238" s="536" t="s">
        <v>756</v>
      </c>
      <c r="C238" s="537">
        <f t="shared" ref="C238:Z238" si="36">SUM(C237)</f>
        <v>0</v>
      </c>
      <c r="D238" s="537">
        <f t="shared" si="36"/>
        <v>0</v>
      </c>
      <c r="E238" s="537">
        <f t="shared" si="36"/>
        <v>0</v>
      </c>
      <c r="F238" s="537">
        <f t="shared" si="36"/>
        <v>0</v>
      </c>
      <c r="G238" s="537">
        <f t="shared" si="36"/>
        <v>0</v>
      </c>
      <c r="H238" s="537">
        <f t="shared" si="36"/>
        <v>0</v>
      </c>
      <c r="I238" s="537">
        <f t="shared" si="36"/>
        <v>0</v>
      </c>
      <c r="J238" s="537">
        <f t="shared" si="36"/>
        <v>0</v>
      </c>
      <c r="K238" s="537">
        <f t="shared" si="36"/>
        <v>0</v>
      </c>
      <c r="L238" s="537">
        <f t="shared" si="36"/>
        <v>0</v>
      </c>
      <c r="M238" s="537">
        <f t="shared" si="36"/>
        <v>0</v>
      </c>
      <c r="N238" s="537">
        <f t="shared" si="36"/>
        <v>0</v>
      </c>
      <c r="O238" s="537">
        <f t="shared" si="36"/>
        <v>0</v>
      </c>
      <c r="P238" s="537">
        <f t="shared" si="36"/>
        <v>0</v>
      </c>
      <c r="Q238" s="537">
        <f t="shared" si="36"/>
        <v>0</v>
      </c>
      <c r="R238" s="537">
        <f t="shared" si="36"/>
        <v>0</v>
      </c>
      <c r="S238" s="537">
        <f t="shared" si="36"/>
        <v>0</v>
      </c>
      <c r="T238" s="537">
        <f t="shared" si="36"/>
        <v>0</v>
      </c>
      <c r="U238" s="537">
        <f t="shared" si="36"/>
        <v>0</v>
      </c>
      <c r="V238" s="537">
        <f t="shared" si="36"/>
        <v>0</v>
      </c>
      <c r="W238" s="537">
        <f t="shared" si="36"/>
        <v>0</v>
      </c>
      <c r="X238" s="537">
        <f t="shared" si="36"/>
        <v>0</v>
      </c>
      <c r="Y238" s="537">
        <f t="shared" si="36"/>
        <v>0</v>
      </c>
      <c r="Z238" s="537">
        <f t="shared" si="36"/>
        <v>0</v>
      </c>
    </row>
    <row r="239" spans="1:26" s="428" customFormat="1" ht="12.75" x14ac:dyDescent="0.2">
      <c r="A239" s="513"/>
      <c r="B239" s="516"/>
      <c r="C239" s="528"/>
      <c r="D239" s="528"/>
      <c r="E239" s="528"/>
      <c r="F239" s="528"/>
      <c r="G239" s="528"/>
      <c r="H239" s="528"/>
      <c r="I239" s="528"/>
      <c r="J239" s="528"/>
      <c r="K239" s="528"/>
      <c r="L239" s="528"/>
      <c r="M239" s="528"/>
      <c r="N239" s="528"/>
      <c r="O239" s="528"/>
      <c r="P239" s="528"/>
      <c r="Q239" s="528"/>
      <c r="R239" s="528"/>
      <c r="S239" s="528"/>
      <c r="T239" s="528"/>
      <c r="U239" s="528"/>
      <c r="V239" s="528"/>
      <c r="W239" s="528"/>
      <c r="X239" s="528"/>
      <c r="Y239" s="528"/>
      <c r="Z239" s="528"/>
    </row>
    <row r="240" spans="1:26" s="428" customFormat="1" ht="12.75" x14ac:dyDescent="0.2">
      <c r="A240" s="513"/>
      <c r="B240" s="516" t="s">
        <v>757</v>
      </c>
      <c r="C240" s="528"/>
      <c r="D240" s="528"/>
      <c r="E240" s="528"/>
      <c r="F240" s="528"/>
      <c r="G240" s="528"/>
      <c r="H240" s="528"/>
      <c r="I240" s="528"/>
      <c r="J240" s="528"/>
      <c r="K240" s="528"/>
      <c r="L240" s="528"/>
      <c r="M240" s="528"/>
      <c r="N240" s="528"/>
      <c r="O240" s="528"/>
      <c r="P240" s="528"/>
      <c r="Q240" s="528"/>
      <c r="R240" s="528"/>
      <c r="S240" s="528"/>
      <c r="T240" s="528"/>
      <c r="U240" s="528"/>
      <c r="V240" s="528"/>
      <c r="W240" s="528"/>
      <c r="X240" s="528"/>
      <c r="Y240" s="528"/>
      <c r="Z240" s="528"/>
    </row>
    <row r="241" spans="1:26" s="545" customFormat="1" ht="12.75" x14ac:dyDescent="0.2">
      <c r="A241" s="513">
        <v>83905</v>
      </c>
      <c r="B241" s="529" t="s">
        <v>758</v>
      </c>
      <c r="C241" s="530">
        <v>0</v>
      </c>
      <c r="D241" s="530">
        <v>0</v>
      </c>
      <c r="E241" s="530">
        <v>0</v>
      </c>
      <c r="F241" s="530">
        <v>0</v>
      </c>
      <c r="G241" s="530">
        <v>0</v>
      </c>
      <c r="H241" s="530">
        <v>0</v>
      </c>
      <c r="I241" s="530">
        <v>0</v>
      </c>
      <c r="J241" s="530">
        <v>0</v>
      </c>
      <c r="K241" s="530">
        <v>0</v>
      </c>
      <c r="L241" s="530">
        <v>0</v>
      </c>
      <c r="M241" s="530">
        <v>0</v>
      </c>
      <c r="N241" s="530">
        <v>0</v>
      </c>
      <c r="O241" s="530">
        <v>0</v>
      </c>
      <c r="P241" s="530">
        <v>0</v>
      </c>
      <c r="Q241" s="530">
        <v>0</v>
      </c>
      <c r="R241" s="530">
        <v>0</v>
      </c>
      <c r="S241" s="530">
        <v>0</v>
      </c>
      <c r="T241" s="530">
        <v>0</v>
      </c>
      <c r="U241" s="530">
        <v>0</v>
      </c>
      <c r="V241" s="530">
        <v>0</v>
      </c>
      <c r="W241" s="530">
        <v>0</v>
      </c>
      <c r="X241" s="530">
        <v>0</v>
      </c>
      <c r="Y241" s="530">
        <v>0</v>
      </c>
      <c r="Z241" s="530">
        <f>SUM(C241:Y241)</f>
        <v>0</v>
      </c>
    </row>
    <row r="242" spans="1:26" s="545" customFormat="1" ht="12.75" x14ac:dyDescent="0.2">
      <c r="A242" s="513">
        <v>83929</v>
      </c>
      <c r="B242" s="529" t="s">
        <v>759</v>
      </c>
      <c r="C242" s="530">
        <v>0</v>
      </c>
      <c r="D242" s="530">
        <v>0</v>
      </c>
      <c r="E242" s="530">
        <v>0</v>
      </c>
      <c r="F242" s="530">
        <v>0</v>
      </c>
      <c r="G242" s="530">
        <v>0</v>
      </c>
      <c r="H242" s="530">
        <v>0</v>
      </c>
      <c r="I242" s="530">
        <v>0</v>
      </c>
      <c r="J242" s="530">
        <v>0</v>
      </c>
      <c r="K242" s="530">
        <v>0</v>
      </c>
      <c r="L242" s="530">
        <v>0</v>
      </c>
      <c r="M242" s="530">
        <v>0</v>
      </c>
      <c r="N242" s="530">
        <v>0</v>
      </c>
      <c r="O242" s="530">
        <v>0</v>
      </c>
      <c r="P242" s="530">
        <v>0</v>
      </c>
      <c r="Q242" s="530">
        <v>0</v>
      </c>
      <c r="R242" s="530">
        <v>0</v>
      </c>
      <c r="S242" s="530">
        <v>0</v>
      </c>
      <c r="T242" s="530">
        <v>0</v>
      </c>
      <c r="U242" s="530">
        <v>0</v>
      </c>
      <c r="V242" s="530">
        <v>0</v>
      </c>
      <c r="W242" s="530">
        <v>0</v>
      </c>
      <c r="X242" s="530">
        <v>0</v>
      </c>
      <c r="Y242" s="530">
        <v>0</v>
      </c>
      <c r="Z242" s="530">
        <f>SUM(C242:Y242)</f>
        <v>0</v>
      </c>
    </row>
    <row r="243" spans="1:26" s="428" customFormat="1" ht="12.75" x14ac:dyDescent="0.2">
      <c r="A243" s="513"/>
      <c r="B243" s="516"/>
      <c r="C243" s="528"/>
      <c r="D243" s="528"/>
      <c r="E243" s="528"/>
      <c r="F243" s="528"/>
      <c r="G243" s="528"/>
      <c r="H243" s="528"/>
      <c r="I243" s="528"/>
      <c r="J243" s="528"/>
      <c r="K243" s="528"/>
      <c r="L243" s="528"/>
      <c r="M243" s="528"/>
      <c r="N243" s="528"/>
      <c r="O243" s="528"/>
      <c r="P243" s="528"/>
      <c r="Q243" s="528"/>
      <c r="R243" s="528"/>
      <c r="S243" s="528"/>
      <c r="T243" s="528"/>
      <c r="U243" s="528"/>
      <c r="V243" s="528"/>
      <c r="W243" s="528"/>
      <c r="X243" s="528"/>
      <c r="Y243" s="528"/>
      <c r="Z243" s="528"/>
    </row>
    <row r="244" spans="1:26" s="428" customFormat="1" ht="12.75" x14ac:dyDescent="0.2">
      <c r="A244" s="513">
        <v>84000</v>
      </c>
      <c r="B244" s="536" t="s">
        <v>760</v>
      </c>
      <c r="C244" s="537">
        <f t="shared" ref="C244:Z244" si="37">C234+C238+C241+C242</f>
        <v>3947.21</v>
      </c>
      <c r="D244" s="537">
        <f t="shared" si="37"/>
        <v>0</v>
      </c>
      <c r="E244" s="537">
        <f t="shared" si="37"/>
        <v>5284.77</v>
      </c>
      <c r="F244" s="537">
        <f t="shared" si="37"/>
        <v>138077.53</v>
      </c>
      <c r="G244" s="537">
        <f t="shared" si="37"/>
        <v>0</v>
      </c>
      <c r="H244" s="537">
        <f t="shared" si="37"/>
        <v>23390.69</v>
      </c>
      <c r="I244" s="537">
        <f t="shared" si="37"/>
        <v>3396.8100000000004</v>
      </c>
      <c r="J244" s="537">
        <f t="shared" si="37"/>
        <v>23228.73</v>
      </c>
      <c r="K244" s="537">
        <f t="shared" si="37"/>
        <v>0</v>
      </c>
      <c r="L244" s="537">
        <f t="shared" si="37"/>
        <v>0</v>
      </c>
      <c r="M244" s="537">
        <f t="shared" si="37"/>
        <v>890760.02999999991</v>
      </c>
      <c r="N244" s="537">
        <f t="shared" si="37"/>
        <v>17889.809999999998</v>
      </c>
      <c r="O244" s="537">
        <f t="shared" si="37"/>
        <v>0</v>
      </c>
      <c r="P244" s="537">
        <f t="shared" si="37"/>
        <v>1531.13</v>
      </c>
      <c r="Q244" s="537">
        <f t="shared" si="37"/>
        <v>178.20000000000002</v>
      </c>
      <c r="R244" s="537">
        <f t="shared" si="37"/>
        <v>0</v>
      </c>
      <c r="S244" s="537">
        <f t="shared" si="37"/>
        <v>2103.77</v>
      </c>
      <c r="T244" s="537">
        <f t="shared" si="37"/>
        <v>1315.81</v>
      </c>
      <c r="U244" s="537">
        <f t="shared" si="37"/>
        <v>2604.16</v>
      </c>
      <c r="V244" s="537">
        <f t="shared" si="37"/>
        <v>0</v>
      </c>
      <c r="W244" s="537">
        <f t="shared" si="37"/>
        <v>0</v>
      </c>
      <c r="X244" s="537">
        <f t="shared" si="37"/>
        <v>2377.48</v>
      </c>
      <c r="Y244" s="537">
        <f t="shared" si="37"/>
        <v>0</v>
      </c>
      <c r="Z244" s="537">
        <f t="shared" si="37"/>
        <v>1116086.1299999999</v>
      </c>
    </row>
    <row r="245" spans="1:26" s="428" customFormat="1" ht="12.75" x14ac:dyDescent="0.2">
      <c r="A245" s="513"/>
      <c r="B245" s="536"/>
      <c r="C245" s="537"/>
      <c r="D245" s="537"/>
      <c r="E245" s="537"/>
      <c r="F245" s="537"/>
      <c r="G245" s="537"/>
      <c r="H245" s="537"/>
      <c r="I245" s="537"/>
      <c r="J245" s="537"/>
      <c r="K245" s="537"/>
      <c r="L245" s="537"/>
      <c r="M245" s="537"/>
      <c r="N245" s="537"/>
      <c r="O245" s="537"/>
      <c r="P245" s="537"/>
      <c r="Q245" s="537"/>
      <c r="R245" s="537"/>
      <c r="S245" s="537"/>
      <c r="T245" s="537"/>
      <c r="U245" s="537"/>
      <c r="V245" s="537"/>
      <c r="W245" s="537"/>
      <c r="X245" s="537"/>
      <c r="Y245" s="537"/>
      <c r="Z245" s="537"/>
    </row>
    <row r="246" spans="1:26" s="428" customFormat="1" ht="12.75" x14ac:dyDescent="0.2">
      <c r="A246" s="513">
        <v>85000</v>
      </c>
      <c r="B246" s="536" t="s">
        <v>761</v>
      </c>
      <c r="C246" s="1159">
        <f t="shared" ref="C246:Z246" si="38">C219-C234-C238-C195</f>
        <v>-1385820.1</v>
      </c>
      <c r="D246" s="537">
        <f t="shared" si="38"/>
        <v>0</v>
      </c>
      <c r="E246" s="1159">
        <f t="shared" si="38"/>
        <v>-375022.33</v>
      </c>
      <c r="F246" s="537">
        <f t="shared" si="38"/>
        <v>12631974.07</v>
      </c>
      <c r="G246" s="537">
        <f t="shared" si="38"/>
        <v>0</v>
      </c>
      <c r="H246" s="1159">
        <f t="shared" si="38"/>
        <v>-3600346.48</v>
      </c>
      <c r="I246" s="537">
        <f t="shared" si="38"/>
        <v>-364587.33</v>
      </c>
      <c r="J246" s="1159">
        <f t="shared" si="38"/>
        <v>-1590806.8000000003</v>
      </c>
      <c r="K246" s="537">
        <f t="shared" si="38"/>
        <v>7308.58</v>
      </c>
      <c r="L246" s="537">
        <f t="shared" si="38"/>
        <v>2211.69</v>
      </c>
      <c r="M246" s="537">
        <f t="shared" si="38"/>
        <v>-4356957.05</v>
      </c>
      <c r="N246" s="537">
        <f t="shared" si="38"/>
        <v>-66768.130000000019</v>
      </c>
      <c r="O246" s="1159">
        <f t="shared" si="38"/>
        <v>-13037.89</v>
      </c>
      <c r="P246" s="1159">
        <f t="shared" si="38"/>
        <v>-1153459.0799999996</v>
      </c>
      <c r="Q246" s="537">
        <f t="shared" si="38"/>
        <v>-293575.67999999993</v>
      </c>
      <c r="R246" s="537">
        <f t="shared" si="38"/>
        <v>25662.67</v>
      </c>
      <c r="S246" s="1159">
        <f t="shared" si="38"/>
        <v>-881802.3899999999</v>
      </c>
      <c r="T246" s="537">
        <f t="shared" si="38"/>
        <v>-393780.77</v>
      </c>
      <c r="U246" s="1159">
        <f t="shared" si="38"/>
        <v>-127101.45999999999</v>
      </c>
      <c r="V246" s="537">
        <f t="shared" si="38"/>
        <v>-5111.1400000000003</v>
      </c>
      <c r="W246" s="1159">
        <f t="shared" si="38"/>
        <v>-735848.72000000009</v>
      </c>
      <c r="X246" s="1159">
        <f t="shared" si="38"/>
        <v>-1105655.7400000002</v>
      </c>
      <c r="Y246" s="537">
        <f t="shared" si="38"/>
        <v>0</v>
      </c>
      <c r="Z246" s="537">
        <f t="shared" si="38"/>
        <v>-3782524.0799999991</v>
      </c>
    </row>
    <row r="247" spans="1:26" s="428" customFormat="1" ht="12.75" x14ac:dyDescent="0.2">
      <c r="A247" s="513" t="s">
        <v>762</v>
      </c>
      <c r="B247" s="516" t="s">
        <v>128</v>
      </c>
      <c r="C247" s="544" t="str">
        <f t="shared" ref="C247:Z247" si="39">IF(ISERROR(C246/C23),"",(C246/C23))</f>
        <v/>
      </c>
      <c r="D247" s="544" t="str">
        <f t="shared" si="39"/>
        <v/>
      </c>
      <c r="E247" s="544" t="str">
        <f t="shared" si="39"/>
        <v/>
      </c>
      <c r="F247" s="544">
        <f t="shared" si="39"/>
        <v>14.015928894002132</v>
      </c>
      <c r="G247" s="544" t="str">
        <f t="shared" si="39"/>
        <v/>
      </c>
      <c r="H247" s="544">
        <f t="shared" si="39"/>
        <v>-87663.659118578042</v>
      </c>
      <c r="I247" s="544" t="str">
        <f t="shared" si="39"/>
        <v/>
      </c>
      <c r="J247" s="544" t="str">
        <f t="shared" si="39"/>
        <v/>
      </c>
      <c r="K247" s="544" t="str">
        <f t="shared" si="39"/>
        <v/>
      </c>
      <c r="L247" s="544" t="str">
        <f t="shared" si="39"/>
        <v/>
      </c>
      <c r="M247" s="544">
        <f t="shared" si="39"/>
        <v>-20.906703694817658</v>
      </c>
      <c r="N247" s="544" t="str">
        <f t="shared" si="39"/>
        <v/>
      </c>
      <c r="O247" s="544" t="str">
        <f t="shared" si="39"/>
        <v/>
      </c>
      <c r="P247" s="544">
        <f t="shared" si="39"/>
        <v>-7689.7271999999975</v>
      </c>
      <c r="Q247" s="544" t="str">
        <f t="shared" si="39"/>
        <v/>
      </c>
      <c r="R247" s="544" t="str">
        <f t="shared" si="39"/>
        <v/>
      </c>
      <c r="S247" s="544" t="str">
        <f t="shared" si="39"/>
        <v/>
      </c>
      <c r="T247" s="544">
        <f t="shared" si="39"/>
        <v>-14.288546579199172</v>
      </c>
      <c r="U247" s="544" t="str">
        <f t="shared" si="39"/>
        <v/>
      </c>
      <c r="V247" s="544" t="str">
        <f t="shared" si="39"/>
        <v/>
      </c>
      <c r="W247" s="544">
        <f t="shared" si="39"/>
        <v>-240.01458649314222</v>
      </c>
      <c r="X247" s="544" t="str">
        <f t="shared" si="39"/>
        <v/>
      </c>
      <c r="Y247" s="544" t="str">
        <f t="shared" si="39"/>
        <v/>
      </c>
      <c r="Z247" s="544">
        <f t="shared" si="39"/>
        <v>-3.3166229909875926</v>
      </c>
    </row>
    <row r="248" spans="1:26" s="428" customFormat="1" x14ac:dyDescent="0.25">
      <c r="A248" s="513"/>
      <c r="B248" s="534"/>
      <c r="C248" s="563"/>
      <c r="D248" s="563"/>
      <c r="E248" s="563"/>
      <c r="F248" s="1160">
        <f>F246+F210+45935+178543</f>
        <v>-3988494.9299999997</v>
      </c>
      <c r="G248" s="563"/>
      <c r="H248" s="563"/>
      <c r="I248" s="563"/>
      <c r="J248" s="563"/>
      <c r="K248" s="563"/>
      <c r="L248" s="563"/>
      <c r="M248" s="563"/>
      <c r="N248" s="563"/>
      <c r="O248" s="563"/>
      <c r="P248" s="563"/>
      <c r="Q248" s="563"/>
      <c r="R248" s="563"/>
      <c r="S248" s="563"/>
      <c r="T248" s="1160">
        <f>T246+T195</f>
        <v>-322578.27</v>
      </c>
      <c r="U248" s="563"/>
      <c r="V248" s="563"/>
      <c r="W248" s="563"/>
      <c r="X248" s="563"/>
      <c r="Y248" s="563"/>
      <c r="Z248" s="563"/>
    </row>
    <row r="249" spans="1:26" s="428" customFormat="1" ht="12.75" x14ac:dyDescent="0.2">
      <c r="A249" s="513"/>
      <c r="B249" s="516" t="s">
        <v>763</v>
      </c>
      <c r="C249" s="528"/>
      <c r="D249" s="528"/>
      <c r="E249" s="528"/>
      <c r="F249" s="528"/>
      <c r="G249" s="528"/>
      <c r="H249" s="528"/>
      <c r="I249" s="528"/>
      <c r="J249" s="528"/>
      <c r="K249" s="528"/>
      <c r="L249" s="528"/>
      <c r="M249" s="528"/>
      <c r="N249" s="528"/>
      <c r="O249" s="528"/>
      <c r="P249" s="528"/>
      <c r="Q249" s="528"/>
      <c r="R249" s="528"/>
      <c r="S249" s="528"/>
      <c r="T249" s="528"/>
      <c r="U249" s="528"/>
      <c r="V249" s="528"/>
      <c r="W249" s="528"/>
      <c r="X249" s="528"/>
      <c r="Y249" s="528"/>
      <c r="Z249" s="528"/>
    </row>
    <row r="250" spans="1:26" s="545" customFormat="1" ht="12.75" x14ac:dyDescent="0.2">
      <c r="A250" s="513">
        <v>85505</v>
      </c>
      <c r="B250" s="529" t="s">
        <v>764</v>
      </c>
      <c r="C250" s="530">
        <v>0</v>
      </c>
      <c r="D250" s="530">
        <v>0</v>
      </c>
      <c r="E250" s="530">
        <v>0</v>
      </c>
      <c r="F250" s="530">
        <v>0</v>
      </c>
      <c r="G250" s="530">
        <v>0</v>
      </c>
      <c r="H250" s="530">
        <v>0</v>
      </c>
      <c r="I250" s="530">
        <v>0</v>
      </c>
      <c r="J250" s="530">
        <v>0</v>
      </c>
      <c r="K250" s="530">
        <v>0</v>
      </c>
      <c r="L250" s="530">
        <v>0</v>
      </c>
      <c r="M250" s="530">
        <v>0</v>
      </c>
      <c r="N250" s="530">
        <v>0</v>
      </c>
      <c r="O250" s="530">
        <v>0</v>
      </c>
      <c r="P250" s="530">
        <v>0</v>
      </c>
      <c r="Q250" s="530">
        <v>0</v>
      </c>
      <c r="R250" s="530">
        <v>0</v>
      </c>
      <c r="S250" s="530">
        <v>0</v>
      </c>
      <c r="T250" s="530">
        <v>-157429.62</v>
      </c>
      <c r="U250" s="530">
        <v>0</v>
      </c>
      <c r="V250" s="530">
        <v>0</v>
      </c>
      <c r="W250" s="530">
        <v>0</v>
      </c>
      <c r="X250" s="530">
        <v>0</v>
      </c>
      <c r="Y250" s="530">
        <v>0</v>
      </c>
      <c r="Z250" s="530">
        <f t="shared" ref="Z250:Z260" si="40">SUM(C250:Y250)</f>
        <v>-157429.62</v>
      </c>
    </row>
    <row r="251" spans="1:26" s="545" customFormat="1" ht="12.75" x14ac:dyDescent="0.2">
      <c r="A251" s="513">
        <v>85506</v>
      </c>
      <c r="B251" s="529" t="s">
        <v>765</v>
      </c>
      <c r="C251" s="530">
        <v>0</v>
      </c>
      <c r="D251" s="530">
        <v>0</v>
      </c>
      <c r="E251" s="530">
        <v>0</v>
      </c>
      <c r="F251" s="530">
        <v>0</v>
      </c>
      <c r="G251" s="530">
        <v>0</v>
      </c>
      <c r="H251" s="530">
        <v>0</v>
      </c>
      <c r="I251" s="530">
        <v>0</v>
      </c>
      <c r="J251" s="530">
        <v>0</v>
      </c>
      <c r="K251" s="530">
        <v>0</v>
      </c>
      <c r="L251" s="530">
        <v>0</v>
      </c>
      <c r="M251" s="530">
        <v>0</v>
      </c>
      <c r="N251" s="530">
        <v>0</v>
      </c>
      <c r="O251" s="530">
        <v>0</v>
      </c>
      <c r="P251" s="530">
        <v>0</v>
      </c>
      <c r="Q251" s="530">
        <v>0</v>
      </c>
      <c r="R251" s="530">
        <v>0</v>
      </c>
      <c r="S251" s="530">
        <v>0</v>
      </c>
      <c r="T251" s="530">
        <v>0</v>
      </c>
      <c r="U251" s="530">
        <v>0</v>
      </c>
      <c r="V251" s="530">
        <v>0</v>
      </c>
      <c r="W251" s="530">
        <v>0</v>
      </c>
      <c r="X251" s="530">
        <v>0</v>
      </c>
      <c r="Y251" s="530">
        <v>0</v>
      </c>
      <c r="Z251" s="530">
        <f t="shared" si="40"/>
        <v>0</v>
      </c>
    </row>
    <row r="252" spans="1:26" s="545" customFormat="1" ht="12.75" x14ac:dyDescent="0.2">
      <c r="A252" s="513">
        <v>85510</v>
      </c>
      <c r="B252" s="529" t="s">
        <v>766</v>
      </c>
      <c r="C252" s="530">
        <v>0</v>
      </c>
      <c r="D252" s="530">
        <v>0</v>
      </c>
      <c r="E252" s="530">
        <v>0</v>
      </c>
      <c r="F252" s="530">
        <v>0</v>
      </c>
      <c r="G252" s="530">
        <v>0</v>
      </c>
      <c r="H252" s="530">
        <v>0</v>
      </c>
      <c r="I252" s="530">
        <v>0</v>
      </c>
      <c r="J252" s="530">
        <v>0</v>
      </c>
      <c r="K252" s="530">
        <v>0</v>
      </c>
      <c r="L252" s="530">
        <v>0</v>
      </c>
      <c r="M252" s="530">
        <v>0</v>
      </c>
      <c r="N252" s="530">
        <v>0</v>
      </c>
      <c r="O252" s="530">
        <v>0</v>
      </c>
      <c r="P252" s="530">
        <v>0</v>
      </c>
      <c r="Q252" s="530">
        <v>0</v>
      </c>
      <c r="R252" s="530">
        <v>0</v>
      </c>
      <c r="S252" s="530">
        <v>0</v>
      </c>
      <c r="T252" s="530">
        <v>-2491403.9499999997</v>
      </c>
      <c r="U252" s="530">
        <v>0</v>
      </c>
      <c r="V252" s="530">
        <v>0</v>
      </c>
      <c r="W252" s="530">
        <v>0</v>
      </c>
      <c r="X252" s="530">
        <v>0</v>
      </c>
      <c r="Y252" s="530">
        <v>0</v>
      </c>
      <c r="Z252" s="530">
        <f t="shared" si="40"/>
        <v>-2491403.9499999997</v>
      </c>
    </row>
    <row r="253" spans="1:26" s="545" customFormat="1" ht="12.75" x14ac:dyDescent="0.2">
      <c r="A253" s="513">
        <v>85520</v>
      </c>
      <c r="B253" s="529" t="s">
        <v>767</v>
      </c>
      <c r="C253" s="530">
        <v>0</v>
      </c>
      <c r="D253" s="530">
        <v>0</v>
      </c>
      <c r="E253" s="530">
        <v>0</v>
      </c>
      <c r="F253" s="530">
        <v>0</v>
      </c>
      <c r="G253" s="530">
        <v>0</v>
      </c>
      <c r="H253" s="530">
        <v>0</v>
      </c>
      <c r="I253" s="530">
        <v>0</v>
      </c>
      <c r="J253" s="530">
        <v>0</v>
      </c>
      <c r="K253" s="530">
        <v>0</v>
      </c>
      <c r="L253" s="530">
        <v>0</v>
      </c>
      <c r="M253" s="530">
        <v>0</v>
      </c>
      <c r="N253" s="530">
        <v>0</v>
      </c>
      <c r="O253" s="530">
        <v>0</v>
      </c>
      <c r="P253" s="530">
        <v>0</v>
      </c>
      <c r="Q253" s="530">
        <v>0</v>
      </c>
      <c r="R253" s="530">
        <v>0</v>
      </c>
      <c r="S253" s="530">
        <v>0</v>
      </c>
      <c r="T253" s="530">
        <v>413817.15</v>
      </c>
      <c r="U253" s="530">
        <v>0</v>
      </c>
      <c r="V253" s="530">
        <v>0</v>
      </c>
      <c r="W253" s="530">
        <v>0</v>
      </c>
      <c r="X253" s="530">
        <v>0</v>
      </c>
      <c r="Y253" s="530">
        <v>0</v>
      </c>
      <c r="Z253" s="530">
        <f t="shared" si="40"/>
        <v>413817.15</v>
      </c>
    </row>
    <row r="254" spans="1:26" s="545" customFormat="1" ht="12.75" x14ac:dyDescent="0.2">
      <c r="A254" s="513">
        <v>85530</v>
      </c>
      <c r="B254" s="529" t="s">
        <v>768</v>
      </c>
      <c r="C254" s="530">
        <v>0</v>
      </c>
      <c r="D254" s="530">
        <v>0</v>
      </c>
      <c r="E254" s="530">
        <v>0</v>
      </c>
      <c r="F254" s="530">
        <v>0</v>
      </c>
      <c r="G254" s="530">
        <v>0</v>
      </c>
      <c r="H254" s="530">
        <v>0</v>
      </c>
      <c r="I254" s="530">
        <v>0</v>
      </c>
      <c r="J254" s="530">
        <v>0</v>
      </c>
      <c r="K254" s="530">
        <v>0</v>
      </c>
      <c r="L254" s="530">
        <v>0</v>
      </c>
      <c r="M254" s="530">
        <v>0</v>
      </c>
      <c r="N254" s="530">
        <v>0</v>
      </c>
      <c r="O254" s="530">
        <v>0</v>
      </c>
      <c r="P254" s="530">
        <v>0</v>
      </c>
      <c r="Q254" s="530">
        <v>0</v>
      </c>
      <c r="R254" s="530">
        <v>0</v>
      </c>
      <c r="S254" s="530">
        <v>0</v>
      </c>
      <c r="T254" s="530">
        <v>2658389.87</v>
      </c>
      <c r="U254" s="530">
        <v>0</v>
      </c>
      <c r="V254" s="530">
        <v>0</v>
      </c>
      <c r="W254" s="530">
        <v>0</v>
      </c>
      <c r="X254" s="530">
        <v>0</v>
      </c>
      <c r="Y254" s="530">
        <v>0</v>
      </c>
      <c r="Z254" s="530">
        <f t="shared" si="40"/>
        <v>2658389.87</v>
      </c>
    </row>
    <row r="255" spans="1:26" s="545" customFormat="1" ht="12.75" x14ac:dyDescent="0.2">
      <c r="A255" s="513">
        <v>85540</v>
      </c>
      <c r="B255" s="529" t="s">
        <v>769</v>
      </c>
      <c r="C255" s="530">
        <v>0</v>
      </c>
      <c r="D255" s="530">
        <v>0</v>
      </c>
      <c r="E255" s="530">
        <v>0</v>
      </c>
      <c r="F255" s="530">
        <v>0</v>
      </c>
      <c r="G255" s="530">
        <v>0</v>
      </c>
      <c r="H255" s="530">
        <v>0</v>
      </c>
      <c r="I255" s="530">
        <v>0</v>
      </c>
      <c r="J255" s="530">
        <v>0</v>
      </c>
      <c r="K255" s="530">
        <v>0</v>
      </c>
      <c r="L255" s="530">
        <v>0</v>
      </c>
      <c r="M255" s="530">
        <v>0</v>
      </c>
      <c r="N255" s="530">
        <v>0</v>
      </c>
      <c r="O255" s="530">
        <v>0</v>
      </c>
      <c r="P255" s="530">
        <v>0</v>
      </c>
      <c r="Q255" s="530">
        <v>0</v>
      </c>
      <c r="R255" s="530">
        <v>0</v>
      </c>
      <c r="S255" s="530">
        <v>0</v>
      </c>
      <c r="T255" s="530">
        <v>152623.75999999998</v>
      </c>
      <c r="U255" s="530">
        <v>0</v>
      </c>
      <c r="V255" s="530">
        <v>0</v>
      </c>
      <c r="W255" s="530">
        <v>0</v>
      </c>
      <c r="X255" s="530">
        <v>0</v>
      </c>
      <c r="Y255" s="530">
        <v>0</v>
      </c>
      <c r="Z255" s="530">
        <f t="shared" si="40"/>
        <v>152623.75999999998</v>
      </c>
    </row>
    <row r="256" spans="1:26" s="545" customFormat="1" ht="12.75" x14ac:dyDescent="0.2">
      <c r="A256" s="513">
        <v>85545</v>
      </c>
      <c r="B256" s="529" t="s">
        <v>770</v>
      </c>
      <c r="C256" s="530">
        <v>0</v>
      </c>
      <c r="D256" s="530">
        <v>0</v>
      </c>
      <c r="E256" s="530">
        <v>0</v>
      </c>
      <c r="F256" s="530">
        <v>0</v>
      </c>
      <c r="G256" s="530">
        <v>0</v>
      </c>
      <c r="H256" s="530">
        <v>0</v>
      </c>
      <c r="I256" s="530">
        <v>0</v>
      </c>
      <c r="J256" s="530">
        <v>0</v>
      </c>
      <c r="K256" s="530">
        <v>0</v>
      </c>
      <c r="L256" s="530">
        <v>0</v>
      </c>
      <c r="M256" s="530">
        <v>0</v>
      </c>
      <c r="N256" s="530">
        <v>0</v>
      </c>
      <c r="O256" s="530">
        <v>0</v>
      </c>
      <c r="P256" s="530">
        <v>0</v>
      </c>
      <c r="Q256" s="530">
        <v>0</v>
      </c>
      <c r="R256" s="530">
        <v>0</v>
      </c>
      <c r="S256" s="530">
        <v>0</v>
      </c>
      <c r="T256" s="530">
        <v>208885.57</v>
      </c>
      <c r="U256" s="530">
        <v>0</v>
      </c>
      <c r="V256" s="530">
        <v>0</v>
      </c>
      <c r="W256" s="530">
        <v>0</v>
      </c>
      <c r="X256" s="530">
        <v>0</v>
      </c>
      <c r="Y256" s="530">
        <v>0</v>
      </c>
      <c r="Z256" s="530">
        <f t="shared" si="40"/>
        <v>208885.57</v>
      </c>
    </row>
    <row r="257" spans="1:27" s="545" customFormat="1" ht="12.75" x14ac:dyDescent="0.2">
      <c r="A257" s="513">
        <v>85546</v>
      </c>
      <c r="B257" s="529" t="s">
        <v>771</v>
      </c>
      <c r="C257" s="530">
        <v>0</v>
      </c>
      <c r="D257" s="530">
        <v>0</v>
      </c>
      <c r="E257" s="530">
        <v>0</v>
      </c>
      <c r="F257" s="530">
        <v>9587.32</v>
      </c>
      <c r="G257" s="530">
        <v>0</v>
      </c>
      <c r="H257" s="530">
        <v>0</v>
      </c>
      <c r="I257" s="530">
        <v>0</v>
      </c>
      <c r="J257" s="530">
        <v>0</v>
      </c>
      <c r="K257" s="530">
        <v>0</v>
      </c>
      <c r="L257" s="530">
        <v>0</v>
      </c>
      <c r="M257" s="530">
        <v>0</v>
      </c>
      <c r="N257" s="530">
        <v>0</v>
      </c>
      <c r="O257" s="530">
        <v>0</v>
      </c>
      <c r="P257" s="530">
        <v>0</v>
      </c>
      <c r="Q257" s="530">
        <v>0</v>
      </c>
      <c r="R257" s="530">
        <v>0</v>
      </c>
      <c r="S257" s="530">
        <v>0</v>
      </c>
      <c r="T257" s="530">
        <v>0</v>
      </c>
      <c r="U257" s="530">
        <v>0</v>
      </c>
      <c r="V257" s="530">
        <v>0</v>
      </c>
      <c r="W257" s="530">
        <v>0</v>
      </c>
      <c r="X257" s="530">
        <v>0</v>
      </c>
      <c r="Y257" s="530">
        <v>0</v>
      </c>
      <c r="Z257" s="530">
        <f t="shared" si="40"/>
        <v>9587.32</v>
      </c>
    </row>
    <row r="258" spans="1:27" s="545" customFormat="1" ht="12.75" x14ac:dyDescent="0.2">
      <c r="A258" s="513">
        <v>85550</v>
      </c>
      <c r="B258" s="529" t="s">
        <v>772</v>
      </c>
      <c r="C258" s="530">
        <v>0</v>
      </c>
      <c r="D258" s="530">
        <v>0</v>
      </c>
      <c r="E258" s="530">
        <v>0</v>
      </c>
      <c r="F258" s="530">
        <v>0</v>
      </c>
      <c r="G258" s="530">
        <v>0</v>
      </c>
      <c r="H258" s="530">
        <v>0</v>
      </c>
      <c r="I258" s="530">
        <v>0</v>
      </c>
      <c r="J258" s="530">
        <v>0</v>
      </c>
      <c r="K258" s="530">
        <v>0</v>
      </c>
      <c r="L258" s="530">
        <v>0</v>
      </c>
      <c r="M258" s="530">
        <v>0</v>
      </c>
      <c r="N258" s="530">
        <v>0</v>
      </c>
      <c r="O258" s="530">
        <v>0</v>
      </c>
      <c r="P258" s="530">
        <v>0</v>
      </c>
      <c r="Q258" s="530">
        <v>0</v>
      </c>
      <c r="R258" s="530">
        <v>0</v>
      </c>
      <c r="S258" s="530">
        <v>0</v>
      </c>
      <c r="T258" s="530">
        <v>0</v>
      </c>
      <c r="U258" s="530">
        <v>0</v>
      </c>
      <c r="V258" s="530">
        <v>0</v>
      </c>
      <c r="W258" s="530">
        <v>0</v>
      </c>
      <c r="X258" s="530">
        <v>0</v>
      </c>
      <c r="Y258" s="530">
        <v>0</v>
      </c>
      <c r="Z258" s="530">
        <f t="shared" si="40"/>
        <v>0</v>
      </c>
    </row>
    <row r="259" spans="1:27" s="545" customFormat="1" ht="12.75" x14ac:dyDescent="0.2">
      <c r="A259" s="513">
        <v>85554</v>
      </c>
      <c r="B259" s="529" t="s">
        <v>773</v>
      </c>
      <c r="C259" s="530">
        <v>0</v>
      </c>
      <c r="D259" s="530">
        <v>0</v>
      </c>
      <c r="E259" s="530">
        <v>0</v>
      </c>
      <c r="F259" s="530">
        <v>0</v>
      </c>
      <c r="G259" s="530">
        <v>0</v>
      </c>
      <c r="H259" s="530">
        <v>0</v>
      </c>
      <c r="I259" s="530">
        <v>0</v>
      </c>
      <c r="J259" s="530">
        <v>0</v>
      </c>
      <c r="K259" s="530">
        <v>0</v>
      </c>
      <c r="L259" s="530">
        <v>0</v>
      </c>
      <c r="M259" s="530">
        <v>0</v>
      </c>
      <c r="N259" s="530">
        <v>0</v>
      </c>
      <c r="O259" s="530">
        <v>0</v>
      </c>
      <c r="P259" s="530">
        <v>0</v>
      </c>
      <c r="Q259" s="530">
        <v>0</v>
      </c>
      <c r="R259" s="530">
        <v>0</v>
      </c>
      <c r="S259" s="530">
        <v>0</v>
      </c>
      <c r="T259" s="530">
        <v>0</v>
      </c>
      <c r="U259" s="530">
        <v>0</v>
      </c>
      <c r="V259" s="530">
        <v>0</v>
      </c>
      <c r="W259" s="530">
        <v>0</v>
      </c>
      <c r="X259" s="530">
        <v>0</v>
      </c>
      <c r="Y259" s="530">
        <v>0</v>
      </c>
      <c r="Z259" s="530">
        <f t="shared" si="40"/>
        <v>0</v>
      </c>
    </row>
    <row r="260" spans="1:27" s="545" customFormat="1" ht="12.75" x14ac:dyDescent="0.2">
      <c r="A260" s="513">
        <v>85560</v>
      </c>
      <c r="B260" s="529" t="s">
        <v>774</v>
      </c>
      <c r="C260" s="530">
        <v>0</v>
      </c>
      <c r="D260" s="530">
        <v>0</v>
      </c>
      <c r="E260" s="530">
        <v>0</v>
      </c>
      <c r="F260" s="530">
        <v>0</v>
      </c>
      <c r="G260" s="530">
        <v>0</v>
      </c>
      <c r="H260" s="530">
        <v>0</v>
      </c>
      <c r="I260" s="530">
        <v>0</v>
      </c>
      <c r="J260" s="530">
        <v>0</v>
      </c>
      <c r="K260" s="530">
        <v>0</v>
      </c>
      <c r="L260" s="530">
        <v>0</v>
      </c>
      <c r="M260" s="530">
        <v>0</v>
      </c>
      <c r="N260" s="530">
        <v>0</v>
      </c>
      <c r="O260" s="530">
        <v>0</v>
      </c>
      <c r="P260" s="530">
        <v>0</v>
      </c>
      <c r="Q260" s="530">
        <v>0</v>
      </c>
      <c r="R260" s="530">
        <v>0</v>
      </c>
      <c r="S260" s="530">
        <v>0</v>
      </c>
      <c r="T260" s="530">
        <v>1390379.99</v>
      </c>
      <c r="U260" s="530">
        <v>0</v>
      </c>
      <c r="V260" s="530">
        <v>0</v>
      </c>
      <c r="W260" s="530">
        <v>0</v>
      </c>
      <c r="X260" s="530">
        <v>0</v>
      </c>
      <c r="Y260" s="530">
        <v>0</v>
      </c>
      <c r="Z260" s="530">
        <f t="shared" si="40"/>
        <v>1390379.99</v>
      </c>
    </row>
    <row r="261" spans="1:27" s="428" customFormat="1" ht="12.75" x14ac:dyDescent="0.2">
      <c r="A261" s="513">
        <v>85950</v>
      </c>
      <c r="B261" s="536" t="s">
        <v>775</v>
      </c>
      <c r="C261" s="537">
        <f t="shared" ref="C261:Z261" si="41">SUM(C250:C260)</f>
        <v>0</v>
      </c>
      <c r="D261" s="537">
        <f t="shared" si="41"/>
        <v>0</v>
      </c>
      <c r="E261" s="537">
        <f t="shared" si="41"/>
        <v>0</v>
      </c>
      <c r="F261" s="537">
        <f t="shared" si="41"/>
        <v>9587.32</v>
      </c>
      <c r="G261" s="537">
        <f t="shared" si="41"/>
        <v>0</v>
      </c>
      <c r="H261" s="537">
        <f t="shared" si="41"/>
        <v>0</v>
      </c>
      <c r="I261" s="537">
        <f t="shared" si="41"/>
        <v>0</v>
      </c>
      <c r="J261" s="537">
        <f t="shared" si="41"/>
        <v>0</v>
      </c>
      <c r="K261" s="537">
        <f t="shared" si="41"/>
        <v>0</v>
      </c>
      <c r="L261" s="537">
        <f t="shared" si="41"/>
        <v>0</v>
      </c>
      <c r="M261" s="537">
        <f t="shared" si="41"/>
        <v>0</v>
      </c>
      <c r="N261" s="537">
        <f t="shared" si="41"/>
        <v>0</v>
      </c>
      <c r="O261" s="537">
        <f t="shared" si="41"/>
        <v>0</v>
      </c>
      <c r="P261" s="537">
        <f t="shared" si="41"/>
        <v>0</v>
      </c>
      <c r="Q261" s="537">
        <f t="shared" si="41"/>
        <v>0</v>
      </c>
      <c r="R261" s="537">
        <f t="shared" si="41"/>
        <v>0</v>
      </c>
      <c r="S261" s="537">
        <f t="shared" si="41"/>
        <v>0</v>
      </c>
      <c r="T261" s="537">
        <f t="shared" si="41"/>
        <v>2175262.7700000005</v>
      </c>
      <c r="U261" s="537">
        <f t="shared" si="41"/>
        <v>0</v>
      </c>
      <c r="V261" s="537">
        <f t="shared" si="41"/>
        <v>0</v>
      </c>
      <c r="W261" s="537">
        <f t="shared" si="41"/>
        <v>0</v>
      </c>
      <c r="X261" s="537">
        <f t="shared" si="41"/>
        <v>0</v>
      </c>
      <c r="Y261" s="537">
        <f t="shared" si="41"/>
        <v>0</v>
      </c>
      <c r="Z261" s="537">
        <f t="shared" si="41"/>
        <v>2184850.0900000003</v>
      </c>
    </row>
    <row r="262" spans="1:27" s="428" customFormat="1" ht="12.75" x14ac:dyDescent="0.2">
      <c r="A262" s="513"/>
      <c r="B262" s="516"/>
      <c r="C262" s="528"/>
      <c r="D262" s="528"/>
      <c r="E262" s="528"/>
      <c r="F262" s="528"/>
      <c r="G262" s="528"/>
      <c r="H262" s="528"/>
      <c r="I262" s="528"/>
      <c r="J262" s="528"/>
      <c r="K262" s="528"/>
      <c r="L262" s="528"/>
      <c r="M262" s="528"/>
      <c r="N262" s="528"/>
      <c r="O262" s="528"/>
      <c r="P262" s="528"/>
      <c r="Q262" s="528"/>
      <c r="R262" s="528"/>
      <c r="S262" s="528"/>
      <c r="T262" s="528"/>
      <c r="U262" s="528"/>
      <c r="V262" s="528"/>
      <c r="W262" s="528"/>
      <c r="X262" s="528"/>
      <c r="Y262" s="528"/>
      <c r="Z262" s="528"/>
    </row>
    <row r="263" spans="1:27" s="428" customFormat="1" ht="12.75" x14ac:dyDescent="0.2">
      <c r="A263" s="513"/>
      <c r="B263" s="516" t="s">
        <v>776</v>
      </c>
      <c r="C263" s="528"/>
      <c r="D263" s="528"/>
      <c r="E263" s="528"/>
      <c r="F263" s="528"/>
      <c r="G263" s="528"/>
      <c r="H263" s="528"/>
      <c r="I263" s="528"/>
      <c r="J263" s="528"/>
      <c r="K263" s="528"/>
      <c r="L263" s="528"/>
      <c r="M263" s="528"/>
      <c r="N263" s="528"/>
      <c r="O263" s="528"/>
      <c r="P263" s="528"/>
      <c r="Q263" s="528"/>
      <c r="R263" s="528"/>
      <c r="S263" s="528"/>
      <c r="T263" s="528"/>
      <c r="U263" s="528"/>
      <c r="V263" s="528"/>
      <c r="W263" s="528"/>
      <c r="X263" s="528"/>
      <c r="Y263" s="528"/>
      <c r="Z263" s="528"/>
    </row>
    <row r="264" spans="1:27" s="428" customFormat="1" ht="12.75" x14ac:dyDescent="0.2">
      <c r="A264" s="513">
        <v>86100</v>
      </c>
      <c r="B264" s="516" t="s">
        <v>777</v>
      </c>
      <c r="C264" s="528"/>
      <c r="D264" s="528"/>
      <c r="E264" s="528"/>
      <c r="F264" s="528"/>
      <c r="G264" s="528"/>
      <c r="H264" s="528"/>
      <c r="I264" s="528"/>
      <c r="J264" s="528"/>
      <c r="K264" s="528"/>
      <c r="L264" s="528"/>
      <c r="M264" s="528"/>
      <c r="N264" s="528"/>
      <c r="O264" s="528"/>
      <c r="P264" s="528"/>
      <c r="Q264" s="528"/>
      <c r="R264" s="528"/>
      <c r="S264" s="528"/>
      <c r="T264" s="528"/>
      <c r="U264" s="528"/>
      <c r="V264" s="528"/>
      <c r="W264" s="528"/>
      <c r="X264" s="528"/>
      <c r="Y264" s="528"/>
      <c r="Z264" s="528"/>
    </row>
    <row r="265" spans="1:27" s="545" customFormat="1" ht="12.75" x14ac:dyDescent="0.2">
      <c r="A265" s="513" t="s">
        <v>778</v>
      </c>
      <c r="B265" s="553" t="s">
        <v>779</v>
      </c>
      <c r="C265" s="530">
        <v>0</v>
      </c>
      <c r="D265" s="530">
        <v>0</v>
      </c>
      <c r="E265" s="530">
        <v>0</v>
      </c>
      <c r="F265" s="530">
        <v>0</v>
      </c>
      <c r="G265" s="530">
        <v>0</v>
      </c>
      <c r="H265" s="530">
        <v>0</v>
      </c>
      <c r="I265" s="530">
        <v>0</v>
      </c>
      <c r="J265" s="530">
        <v>0</v>
      </c>
      <c r="K265" s="530">
        <v>0</v>
      </c>
      <c r="L265" s="530">
        <v>0</v>
      </c>
      <c r="M265" s="530">
        <v>0</v>
      </c>
      <c r="N265" s="530">
        <v>0</v>
      </c>
      <c r="O265" s="530">
        <v>0</v>
      </c>
      <c r="P265" s="530">
        <v>0</v>
      </c>
      <c r="Q265" s="530">
        <v>0</v>
      </c>
      <c r="R265" s="530">
        <v>0</v>
      </c>
      <c r="S265" s="530">
        <v>0</v>
      </c>
      <c r="T265" s="530">
        <v>0</v>
      </c>
      <c r="U265" s="530">
        <v>0</v>
      </c>
      <c r="V265" s="530">
        <v>0</v>
      </c>
      <c r="W265" s="530">
        <v>0</v>
      </c>
      <c r="X265" s="530">
        <v>0</v>
      </c>
      <c r="Y265" s="530">
        <v>0</v>
      </c>
      <c r="Z265" s="530">
        <f>SUM(C265:Y265)</f>
        <v>0</v>
      </c>
    </row>
    <row r="266" spans="1:27" s="427" customFormat="1" x14ac:dyDescent="0.25">
      <c r="A266" s="513">
        <v>86300</v>
      </c>
      <c r="B266" s="537" t="s">
        <v>780</v>
      </c>
      <c r="C266" s="537">
        <f t="shared" ref="C266:Z266" si="42">SUM(C265)</f>
        <v>0</v>
      </c>
      <c r="D266" s="537">
        <f t="shared" si="42"/>
        <v>0</v>
      </c>
      <c r="E266" s="537">
        <f t="shared" si="42"/>
        <v>0</v>
      </c>
      <c r="F266" s="537">
        <f t="shared" si="42"/>
        <v>0</v>
      </c>
      <c r="G266" s="537">
        <f t="shared" si="42"/>
        <v>0</v>
      </c>
      <c r="H266" s="537">
        <f t="shared" si="42"/>
        <v>0</v>
      </c>
      <c r="I266" s="537">
        <f t="shared" si="42"/>
        <v>0</v>
      </c>
      <c r="J266" s="537">
        <f t="shared" si="42"/>
        <v>0</v>
      </c>
      <c r="K266" s="537">
        <f t="shared" si="42"/>
        <v>0</v>
      </c>
      <c r="L266" s="537">
        <f t="shared" si="42"/>
        <v>0</v>
      </c>
      <c r="M266" s="537">
        <f t="shared" si="42"/>
        <v>0</v>
      </c>
      <c r="N266" s="537">
        <f t="shared" si="42"/>
        <v>0</v>
      </c>
      <c r="O266" s="537">
        <f t="shared" si="42"/>
        <v>0</v>
      </c>
      <c r="P266" s="537">
        <f t="shared" si="42"/>
        <v>0</v>
      </c>
      <c r="Q266" s="537">
        <f t="shared" si="42"/>
        <v>0</v>
      </c>
      <c r="R266" s="537">
        <f t="shared" si="42"/>
        <v>0</v>
      </c>
      <c r="S266" s="537">
        <f t="shared" si="42"/>
        <v>0</v>
      </c>
      <c r="T266" s="537">
        <f t="shared" si="42"/>
        <v>0</v>
      </c>
      <c r="U266" s="537">
        <f t="shared" si="42"/>
        <v>0</v>
      </c>
      <c r="V266" s="537">
        <f t="shared" si="42"/>
        <v>0</v>
      </c>
      <c r="W266" s="537">
        <f t="shared" si="42"/>
        <v>0</v>
      </c>
      <c r="X266" s="537">
        <f t="shared" si="42"/>
        <v>0</v>
      </c>
      <c r="Y266" s="537">
        <f t="shared" si="42"/>
        <v>0</v>
      </c>
      <c r="Z266" s="537">
        <f t="shared" si="42"/>
        <v>0</v>
      </c>
    </row>
    <row r="267" spans="1:27" s="428" customFormat="1" ht="12.75" x14ac:dyDescent="0.2">
      <c r="A267" s="513"/>
      <c r="B267" s="565"/>
      <c r="C267" s="537"/>
      <c r="D267" s="537"/>
      <c r="E267" s="537"/>
      <c r="F267" s="537"/>
      <c r="G267" s="537"/>
      <c r="H267" s="537"/>
      <c r="I267" s="537"/>
      <c r="J267" s="537"/>
      <c r="K267" s="537"/>
      <c r="L267" s="537"/>
      <c r="M267" s="537"/>
      <c r="N267" s="537"/>
      <c r="O267" s="537"/>
      <c r="P267" s="537"/>
      <c r="Q267" s="537"/>
      <c r="R267" s="537"/>
      <c r="S267" s="537"/>
      <c r="T267" s="537"/>
      <c r="U267" s="537"/>
      <c r="V267" s="537"/>
      <c r="W267" s="537"/>
      <c r="X267" s="537"/>
      <c r="Y267" s="537"/>
      <c r="Z267" s="537"/>
    </row>
    <row r="268" spans="1:27" s="428" customFormat="1" ht="12.75" x14ac:dyDescent="0.2">
      <c r="A268" s="513">
        <v>99999</v>
      </c>
      <c r="B268" s="565" t="s">
        <v>781</v>
      </c>
      <c r="C268" s="537">
        <f t="shared" ref="C268:Z268" si="43">-C261+C246-C266</f>
        <v>-1385820.1</v>
      </c>
      <c r="D268" s="537">
        <f t="shared" si="43"/>
        <v>0</v>
      </c>
      <c r="E268" s="537">
        <f t="shared" si="43"/>
        <v>-375022.33</v>
      </c>
      <c r="F268" s="537">
        <f t="shared" si="43"/>
        <v>12622386.75</v>
      </c>
      <c r="G268" s="537">
        <f t="shared" si="43"/>
        <v>0</v>
      </c>
      <c r="H268" s="537">
        <f t="shared" si="43"/>
        <v>-3600346.48</v>
      </c>
      <c r="I268" s="537">
        <f t="shared" si="43"/>
        <v>-364587.33</v>
      </c>
      <c r="J268" s="537">
        <f t="shared" si="43"/>
        <v>-1590806.8000000003</v>
      </c>
      <c r="K268" s="537">
        <f t="shared" si="43"/>
        <v>7308.58</v>
      </c>
      <c r="L268" s="537">
        <f t="shared" si="43"/>
        <v>2211.69</v>
      </c>
      <c r="M268" s="537">
        <f t="shared" si="43"/>
        <v>-4356957.05</v>
      </c>
      <c r="N268" s="537">
        <f t="shared" si="43"/>
        <v>-66768.130000000019</v>
      </c>
      <c r="O268" s="537">
        <f t="shared" si="43"/>
        <v>-13037.89</v>
      </c>
      <c r="P268" s="537">
        <f t="shared" si="43"/>
        <v>-1153459.0799999996</v>
      </c>
      <c r="Q268" s="537">
        <f t="shared" si="43"/>
        <v>-293575.67999999993</v>
      </c>
      <c r="R268" s="537">
        <f t="shared" si="43"/>
        <v>25662.67</v>
      </c>
      <c r="S268" s="537">
        <f t="shared" si="43"/>
        <v>-881802.3899999999</v>
      </c>
      <c r="T268" s="537">
        <f t="shared" si="43"/>
        <v>-2569043.5400000005</v>
      </c>
      <c r="U268" s="537">
        <f t="shared" si="43"/>
        <v>-127101.45999999999</v>
      </c>
      <c r="V268" s="537">
        <f t="shared" si="43"/>
        <v>-5111.1400000000003</v>
      </c>
      <c r="W268" s="537">
        <f t="shared" si="43"/>
        <v>-735848.72000000009</v>
      </c>
      <c r="X268" s="537">
        <f t="shared" si="43"/>
        <v>-1105655.7400000002</v>
      </c>
      <c r="Y268" s="537">
        <f t="shared" si="43"/>
        <v>0</v>
      </c>
      <c r="Z268" s="537">
        <f t="shared" si="43"/>
        <v>-5967374.1699999999</v>
      </c>
      <c r="AA268" s="1161" t="s">
        <v>1122</v>
      </c>
    </row>
    <row r="269" spans="1:27" s="428" customFormat="1" ht="12.75" x14ac:dyDescent="0.2">
      <c r="A269" s="513"/>
      <c r="B269" s="566" t="s">
        <v>128</v>
      </c>
      <c r="C269" s="544" t="str">
        <f t="shared" ref="C269:Z269" si="44">IF(ISERROR(C268/C23),"",(C268/C23))</f>
        <v/>
      </c>
      <c r="D269" s="544" t="str">
        <f t="shared" si="44"/>
        <v/>
      </c>
      <c r="E269" s="544" t="str">
        <f t="shared" si="44"/>
        <v/>
      </c>
      <c r="F269" s="544">
        <f t="shared" si="44"/>
        <v>14.005291190452441</v>
      </c>
      <c r="G269" s="544" t="str">
        <f t="shared" si="44"/>
        <v/>
      </c>
      <c r="H269" s="544">
        <f t="shared" si="44"/>
        <v>-87663.659118578042</v>
      </c>
      <c r="I269" s="544" t="str">
        <f t="shared" si="44"/>
        <v/>
      </c>
      <c r="J269" s="544" t="str">
        <f t="shared" si="44"/>
        <v/>
      </c>
      <c r="K269" s="544" t="str">
        <f t="shared" si="44"/>
        <v/>
      </c>
      <c r="L269" s="544" t="str">
        <f t="shared" si="44"/>
        <v/>
      </c>
      <c r="M269" s="544">
        <f t="shared" si="44"/>
        <v>-20.906703694817658</v>
      </c>
      <c r="N269" s="544" t="str">
        <f t="shared" si="44"/>
        <v/>
      </c>
      <c r="O269" s="544" t="str">
        <f t="shared" si="44"/>
        <v/>
      </c>
      <c r="P269" s="544">
        <f t="shared" si="44"/>
        <v>-7689.7271999999975</v>
      </c>
      <c r="Q269" s="544" t="str">
        <f t="shared" si="44"/>
        <v/>
      </c>
      <c r="R269" s="544" t="str">
        <f t="shared" si="44"/>
        <v/>
      </c>
      <c r="S269" s="544" t="str">
        <f t="shared" si="44"/>
        <v/>
      </c>
      <c r="T269" s="544">
        <f t="shared" si="44"/>
        <v>-93.219123638974892</v>
      </c>
      <c r="U269" s="544" t="str">
        <f t="shared" si="44"/>
        <v/>
      </c>
      <c r="V269" s="544" t="str">
        <f t="shared" si="44"/>
        <v/>
      </c>
      <c r="W269" s="544">
        <f t="shared" si="44"/>
        <v>-240.01458649314222</v>
      </c>
      <c r="X269" s="544" t="str">
        <f t="shared" si="44"/>
        <v/>
      </c>
      <c r="Y269" s="544" t="str">
        <f t="shared" si="44"/>
        <v/>
      </c>
      <c r="Z269" s="544">
        <f t="shared" si="44"/>
        <v>-5.2323607066230515</v>
      </c>
    </row>
    <row r="270" spans="1:27" s="428" customFormat="1" ht="12.75" x14ac:dyDescent="0.2">
      <c r="A270" s="513">
        <v>99999</v>
      </c>
      <c r="B270" s="567" t="s">
        <v>96</v>
      </c>
      <c r="C270" s="568">
        <v>0</v>
      </c>
      <c r="D270" s="568">
        <v>0</v>
      </c>
      <c r="E270" s="568">
        <v>0</v>
      </c>
      <c r="F270" s="568">
        <v>0</v>
      </c>
      <c r="G270" s="568">
        <v>0</v>
      </c>
      <c r="H270" s="568">
        <v>0</v>
      </c>
      <c r="I270" s="568">
        <v>0</v>
      </c>
      <c r="J270" s="568">
        <v>0</v>
      </c>
      <c r="K270" s="568">
        <v>0</v>
      </c>
      <c r="L270" s="568">
        <v>0</v>
      </c>
      <c r="M270" s="568">
        <v>0</v>
      </c>
      <c r="N270" s="568">
        <v>0</v>
      </c>
      <c r="O270" s="568">
        <v>0</v>
      </c>
      <c r="P270" s="568">
        <v>0</v>
      </c>
      <c r="Q270" s="568">
        <v>0</v>
      </c>
      <c r="R270" s="568">
        <v>0</v>
      </c>
      <c r="S270" s="568">
        <v>0</v>
      </c>
      <c r="T270" s="568">
        <v>0</v>
      </c>
      <c r="U270" s="568">
        <v>0</v>
      </c>
      <c r="V270" s="568">
        <v>0</v>
      </c>
      <c r="W270" s="568">
        <v>0</v>
      </c>
      <c r="X270" s="568">
        <v>0</v>
      </c>
      <c r="Y270" s="568">
        <v>0</v>
      </c>
      <c r="Z270" s="568">
        <v>0</v>
      </c>
    </row>
    <row r="271" spans="1:27" s="428" customFormat="1" x14ac:dyDescent="0.25">
      <c r="A271" s="513"/>
      <c r="B271" s="569"/>
      <c r="C271" s="563"/>
      <c r="D271" s="563"/>
      <c r="E271" s="563"/>
      <c r="F271" s="563"/>
      <c r="G271" s="563"/>
      <c r="H271" s="563"/>
      <c r="I271" s="563"/>
      <c r="J271" s="563"/>
      <c r="K271" s="563"/>
      <c r="L271" s="563"/>
      <c r="M271" s="563"/>
      <c r="N271" s="563"/>
      <c r="O271" s="563"/>
      <c r="P271" s="563"/>
      <c r="Q271" s="563"/>
      <c r="R271" s="563"/>
      <c r="S271" s="563"/>
      <c r="T271" s="563"/>
      <c r="U271" s="563"/>
      <c r="V271" s="563"/>
      <c r="W271" s="563"/>
      <c r="X271" s="563"/>
      <c r="Y271" s="563"/>
      <c r="Z271" s="563"/>
    </row>
    <row r="272" spans="1:27" s="428" customFormat="1" x14ac:dyDescent="0.25">
      <c r="A272" s="513"/>
      <c r="B272" s="413"/>
      <c r="C272" s="427"/>
      <c r="D272" s="427"/>
      <c r="E272" s="427"/>
      <c r="F272" s="427"/>
      <c r="G272" s="427"/>
      <c r="H272" s="427"/>
      <c r="I272" s="427"/>
      <c r="J272" s="427"/>
      <c r="K272" s="427"/>
      <c r="L272" s="427"/>
      <c r="M272" s="427"/>
      <c r="N272" s="427"/>
      <c r="O272" s="427"/>
      <c r="P272" s="427"/>
      <c r="Q272" s="427"/>
      <c r="R272" s="427"/>
      <c r="S272" s="427"/>
      <c r="T272" s="427"/>
      <c r="U272" s="427"/>
      <c r="V272" s="427"/>
      <c r="W272" s="427"/>
      <c r="X272" s="427"/>
      <c r="Y272" s="427"/>
      <c r="Z272" s="427"/>
    </row>
    <row r="273" spans="1:27" s="428" customFormat="1" ht="15.75" thickBot="1" x14ac:dyDescent="0.3">
      <c r="A273" s="513"/>
      <c r="B273" s="413"/>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c r="Z273" s="427"/>
    </row>
    <row r="274" spans="1:27" s="428" customFormat="1" ht="15.75" thickBot="1" x14ac:dyDescent="0.3">
      <c r="A274" s="513"/>
      <c r="B274" s="570" t="s">
        <v>782</v>
      </c>
      <c r="C274" s="571">
        <f t="shared" ref="C274:Q274" si="45">C246+C210+C195</f>
        <v>-1385820.1</v>
      </c>
      <c r="D274" s="571">
        <f t="shared" si="45"/>
        <v>0</v>
      </c>
      <c r="E274" s="571">
        <f t="shared" si="45"/>
        <v>-375022.33</v>
      </c>
      <c r="F274" s="571">
        <f>F246+F210+F195-F20</f>
        <v>-5112972.93</v>
      </c>
      <c r="G274" s="571">
        <f t="shared" si="45"/>
        <v>0</v>
      </c>
      <c r="H274" s="571">
        <f t="shared" si="45"/>
        <v>-3600346.48</v>
      </c>
      <c r="I274" s="571">
        <f t="shared" si="45"/>
        <v>-364587.33</v>
      </c>
      <c r="J274" s="571">
        <f t="shared" si="45"/>
        <v>-1590806.8000000003</v>
      </c>
      <c r="K274" s="571">
        <f t="shared" si="45"/>
        <v>7308.58</v>
      </c>
      <c r="L274" s="571">
        <f t="shared" si="45"/>
        <v>2211.69</v>
      </c>
      <c r="M274" s="571">
        <f t="shared" si="45"/>
        <v>-4356957.05</v>
      </c>
      <c r="N274" s="571">
        <f t="shared" si="45"/>
        <v>-66768.140000000014</v>
      </c>
      <c r="O274" s="571">
        <f t="shared" si="45"/>
        <v>-13037.89</v>
      </c>
      <c r="P274" s="571">
        <f t="shared" si="45"/>
        <v>-1153459.0799999996</v>
      </c>
      <c r="Q274" s="571">
        <f t="shared" si="45"/>
        <v>-293575.67999999993</v>
      </c>
      <c r="R274" s="1162" t="s">
        <v>1080</v>
      </c>
      <c r="S274" s="571">
        <f>S246+S210+S195</f>
        <v>-881802.37999999989</v>
      </c>
      <c r="T274" s="571">
        <f>T246+T210+T195</f>
        <v>-322578.27</v>
      </c>
      <c r="U274" s="571">
        <f>U246+U210+U195</f>
        <v>-127101.45999999999</v>
      </c>
      <c r="V274" s="1162" t="s">
        <v>1080</v>
      </c>
      <c r="W274" s="571">
        <f>W246+W210+W195</f>
        <v>-735848.72000000009</v>
      </c>
      <c r="X274" s="571">
        <f>X246+X210+X195</f>
        <v>-1105655.7400000002</v>
      </c>
      <c r="Y274" s="571">
        <f>Y246+Y210+Y195</f>
        <v>0</v>
      </c>
      <c r="Z274" s="572">
        <f>SUM(C274:Y274)</f>
        <v>-21476820.109999999</v>
      </c>
    </row>
    <row r="275" spans="1:27" s="428" customFormat="1" x14ac:dyDescent="0.25">
      <c r="A275" s="513"/>
      <c r="B275" s="413"/>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c r="AA275" s="427"/>
    </row>
    <row r="276" spans="1:27" s="428" customFormat="1" x14ac:dyDescent="0.25">
      <c r="A276" s="513"/>
      <c r="B276" s="413"/>
      <c r="C276" s="1163">
        <f>C274+'RU Summary Q4 2019'!F5</f>
        <v>0</v>
      </c>
      <c r="D276" s="1163"/>
      <c r="E276" s="1163">
        <f>E274+'RU Summary Q4 2019'!F6</f>
        <v>0</v>
      </c>
      <c r="F276" s="1163">
        <f>F274+'RU Summary Q4 2019'!C7+'RU Summary Q4 2019'!C8+'RU Summary Q4 2019'!D7</f>
        <v>-2.6193447411060333E-10</v>
      </c>
      <c r="G276" s="1163"/>
      <c r="H276" s="1163">
        <f>H274+'RU Summary Q4 2019'!F9</f>
        <v>0</v>
      </c>
      <c r="I276" s="1163"/>
      <c r="J276" s="1163">
        <f>J274+O274+'RU Summary Q4 2019'!F10</f>
        <v>0</v>
      </c>
      <c r="K276" s="1163"/>
      <c r="L276" s="1163"/>
      <c r="M276" s="1163"/>
      <c r="N276" s="1163"/>
      <c r="O276" s="1163">
        <f>O274+J274+'RU Summary Q4 2019'!F10</f>
        <v>0</v>
      </c>
      <c r="P276" s="1163">
        <f>P274+'RU Summary Q4 2019'!F11</f>
        <v>0</v>
      </c>
      <c r="Q276" s="1163"/>
      <c r="R276" s="1163"/>
      <c r="S276" s="1163">
        <f>S274+'RU Summary Q4 2019'!F12</f>
        <v>0</v>
      </c>
      <c r="T276" s="1163">
        <f>T274+'RU Summary Q4 2019'!F13</f>
        <v>0</v>
      </c>
      <c r="U276" s="1163">
        <f>U274+'RU Summary Q4 2019'!F14</f>
        <v>0</v>
      </c>
      <c r="V276" s="1163"/>
      <c r="W276" s="1163">
        <f>W274+'RU Summary Q4 2019'!F15</f>
        <v>0</v>
      </c>
      <c r="X276" s="1163">
        <f>X274+'RU Summary Q4 2019'!F16</f>
        <v>0</v>
      </c>
      <c r="Y276" s="427"/>
    </row>
    <row r="277" spans="1:27" s="428" customFormat="1" x14ac:dyDescent="0.25">
      <c r="A277" s="513"/>
      <c r="B277" s="413"/>
      <c r="C277" s="427"/>
      <c r="D277" s="427"/>
      <c r="E277" s="427"/>
      <c r="F277" s="427"/>
      <c r="G277" s="427"/>
      <c r="H277" s="427"/>
      <c r="I277" s="427"/>
      <c r="J277" s="427"/>
      <c r="K277" s="427"/>
      <c r="L277" s="427"/>
      <c r="M277" s="427"/>
      <c r="N277" s="427"/>
      <c r="O277" s="427"/>
      <c r="P277" s="427"/>
      <c r="Q277" s="427"/>
      <c r="R277" s="427"/>
      <c r="S277" s="427"/>
      <c r="T277" s="427"/>
      <c r="U277" s="427"/>
      <c r="V277" s="427"/>
      <c r="W277" s="427"/>
      <c r="X277" s="427"/>
      <c r="Y277" s="427"/>
      <c r="AA277" s="427"/>
    </row>
    <row r="278" spans="1:27" s="428" customFormat="1" x14ac:dyDescent="0.25">
      <c r="A278" s="513"/>
      <c r="B278" s="413"/>
      <c r="C278" s="427"/>
      <c r="D278" s="427"/>
      <c r="E278" s="427"/>
      <c r="F278" s="427"/>
      <c r="G278" s="427"/>
      <c r="H278" s="427"/>
      <c r="I278" s="427"/>
      <c r="J278" s="427"/>
      <c r="K278" s="427"/>
      <c r="L278" s="427"/>
      <c r="M278" s="427"/>
      <c r="N278" s="427"/>
      <c r="O278" s="427"/>
      <c r="P278" s="427"/>
      <c r="Q278" s="427"/>
      <c r="R278" s="427"/>
      <c r="S278" s="427"/>
      <c r="T278" s="427"/>
      <c r="U278" s="427"/>
      <c r="V278" s="427"/>
      <c r="W278" s="427"/>
      <c r="X278" s="427"/>
      <c r="Y278" s="1237" t="s">
        <v>1123</v>
      </c>
      <c r="Z278" s="427">
        <f>I274</f>
        <v>-364587.33</v>
      </c>
      <c r="AA278" s="560" t="str">
        <f>I7</f>
        <v>8025-FINANCE SS</v>
      </c>
    </row>
    <row r="279" spans="1:27" s="428" customFormat="1" x14ac:dyDescent="0.25">
      <c r="A279" s="513"/>
      <c r="B279" s="413"/>
      <c r="C279" s="427"/>
      <c r="D279" s="427"/>
      <c r="E279" s="427"/>
      <c r="F279" s="427"/>
      <c r="G279" s="427"/>
      <c r="H279" s="427"/>
      <c r="I279" s="427"/>
      <c r="J279" s="427"/>
      <c r="K279" s="427"/>
      <c r="L279" s="427"/>
      <c r="M279" s="427"/>
      <c r="N279" s="427"/>
      <c r="O279" s="427"/>
      <c r="P279" s="427"/>
      <c r="Q279" s="427"/>
      <c r="R279" s="427"/>
      <c r="S279" s="427"/>
      <c r="T279" s="427"/>
      <c r="U279" s="427"/>
      <c r="V279" s="427"/>
      <c r="W279" s="427"/>
      <c r="X279" s="427"/>
      <c r="Y279" s="427"/>
      <c r="Z279" s="427">
        <f>K274</f>
        <v>7308.58</v>
      </c>
      <c r="AA279" s="560" t="str">
        <f>K7</f>
        <v>8031-IT TS</v>
      </c>
    </row>
    <row r="280" spans="1:27" s="428" customFormat="1" x14ac:dyDescent="0.25">
      <c r="A280" s="513"/>
      <c r="B280" s="413"/>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f>L274</f>
        <v>2211.69</v>
      </c>
      <c r="AA280" s="560" t="str">
        <f>L7</f>
        <v>8032-IT PS</v>
      </c>
    </row>
    <row r="281" spans="1:27" s="428" customFormat="1" x14ac:dyDescent="0.25">
      <c r="A281" s="513"/>
      <c r="B281" s="413"/>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f>M274</f>
        <v>-4356957.05</v>
      </c>
      <c r="AA281" s="560" t="str">
        <f>M7</f>
        <v>8033-IT SS</v>
      </c>
    </row>
    <row r="282" spans="1:27" s="428" customFormat="1" x14ac:dyDescent="0.25">
      <c r="A282" s="513"/>
      <c r="B282" s="413"/>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f>N274</f>
        <v>-66768.140000000014</v>
      </c>
      <c r="AA282" s="560" t="str">
        <f>N7</f>
        <v>8034-IT IS</v>
      </c>
    </row>
    <row r="283" spans="1:27" s="428" customFormat="1" x14ac:dyDescent="0.25">
      <c r="A283" s="513"/>
      <c r="B283" s="413"/>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f>Q274</f>
        <v>-293575.67999999993</v>
      </c>
      <c r="AA283" s="560" t="str">
        <f>Q7</f>
        <v>8045-HR SS</v>
      </c>
    </row>
    <row r="284" spans="1:27" s="428" customFormat="1" x14ac:dyDescent="0.25">
      <c r="A284" s="513"/>
      <c r="B284" s="413"/>
      <c r="C284" s="427"/>
      <c r="D284" s="427"/>
      <c r="E284" s="427"/>
      <c r="F284" s="427"/>
      <c r="G284" s="427"/>
      <c r="H284" s="427"/>
      <c r="I284" s="427"/>
      <c r="J284" s="427"/>
      <c r="K284" s="427"/>
      <c r="L284" s="427"/>
      <c r="M284" s="427"/>
      <c r="N284" s="427"/>
      <c r="O284" s="427"/>
      <c r="P284" s="427"/>
      <c r="Q284" s="427"/>
      <c r="R284" s="427"/>
      <c r="S284" s="427"/>
      <c r="T284" s="427"/>
      <c r="U284" s="427"/>
      <c r="V284" s="427"/>
      <c r="W284" s="427"/>
      <c r="X284" s="427"/>
      <c r="Y284" s="427"/>
      <c r="Z284" s="427">
        <f>'RU Summary Q4 2019'!E7</f>
        <v>-45935.029999999992</v>
      </c>
      <c r="AA284" s="427" t="s">
        <v>1124</v>
      </c>
    </row>
    <row r="285" spans="1:27" s="428" customFormat="1" x14ac:dyDescent="0.25">
      <c r="A285" s="513"/>
      <c r="B285" s="413"/>
      <c r="C285" s="427"/>
      <c r="D285" s="427"/>
      <c r="E285" s="427"/>
      <c r="F285" s="427"/>
      <c r="G285" s="427"/>
      <c r="H285" s="427"/>
      <c r="I285" s="427"/>
      <c r="J285" s="427"/>
      <c r="K285" s="427"/>
      <c r="L285" s="427"/>
      <c r="M285" s="427"/>
      <c r="N285" s="427"/>
      <c r="O285" s="427"/>
      <c r="P285" s="427"/>
      <c r="Q285" s="427"/>
      <c r="R285" s="427"/>
      <c r="S285" s="427"/>
      <c r="T285" s="427"/>
      <c r="U285" s="427"/>
      <c r="V285" s="427"/>
      <c r="W285" s="427"/>
      <c r="X285" s="427"/>
      <c r="Y285" s="427"/>
      <c r="Z285" s="427">
        <f>'RU Summary Q4 2019'!E8</f>
        <v>-178543</v>
      </c>
      <c r="AA285" s="427" t="s">
        <v>1125</v>
      </c>
    </row>
    <row r="286" spans="1:27" s="428" customFormat="1" ht="15.75" thickBot="1" x14ac:dyDescent="0.3">
      <c r="A286" s="513"/>
      <c r="B286" s="413"/>
      <c r="C286" s="427"/>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1238">
        <f>Z274-SUM(Z278:Z285)</f>
        <v>-16179974.15</v>
      </c>
      <c r="AA286" s="427"/>
    </row>
    <row r="287" spans="1:27" s="428" customFormat="1" ht="15.75" thickTop="1" x14ac:dyDescent="0.25">
      <c r="A287" s="513"/>
      <c r="B287" s="413"/>
      <c r="C287" s="427"/>
      <c r="D287" s="427"/>
      <c r="E287" s="427"/>
      <c r="F287" s="427"/>
      <c r="G287" s="427"/>
      <c r="H287" s="427"/>
      <c r="I287" s="427"/>
      <c r="J287" s="427"/>
      <c r="K287" s="427"/>
      <c r="L287" s="427"/>
      <c r="M287" s="427"/>
      <c r="N287" s="427"/>
      <c r="O287" s="427"/>
      <c r="P287" s="427"/>
      <c r="Q287" s="427"/>
      <c r="R287" s="427"/>
      <c r="S287" s="427"/>
      <c r="T287" s="427"/>
      <c r="U287" s="427"/>
      <c r="V287" s="427"/>
      <c r="W287" s="427"/>
      <c r="X287" s="427"/>
      <c r="Y287" s="427"/>
      <c r="Z287" s="427"/>
      <c r="AA287" s="427"/>
    </row>
    <row r="288" spans="1:27" s="428" customFormat="1" x14ac:dyDescent="0.25">
      <c r="A288" s="513"/>
      <c r="B288" s="413"/>
      <c r="C288" s="427"/>
      <c r="D288" s="427"/>
      <c r="E288" s="427"/>
      <c r="F288" s="427"/>
      <c r="G288" s="427"/>
      <c r="H288" s="427"/>
      <c r="I288" s="427"/>
      <c r="J288" s="427"/>
      <c r="K288" s="427"/>
      <c r="L288" s="427"/>
      <c r="M288" s="427"/>
      <c r="N288" s="427"/>
      <c r="O288" s="427"/>
      <c r="P288" s="427"/>
      <c r="Q288" s="427"/>
      <c r="R288" s="427"/>
      <c r="S288" s="427"/>
      <c r="T288" s="427"/>
      <c r="U288" s="427"/>
      <c r="V288" s="427"/>
      <c r="W288" s="427"/>
      <c r="X288" s="427"/>
      <c r="Y288" s="427"/>
      <c r="Z288" s="427"/>
      <c r="AA288" s="427"/>
    </row>
    <row r="289" spans="1:27" s="428" customFormat="1" x14ac:dyDescent="0.25">
      <c r="A289" s="513"/>
      <c r="B289" s="413"/>
      <c r="C289" s="427"/>
      <c r="D289" s="427"/>
      <c r="E289" s="427"/>
      <c r="F289" s="427"/>
      <c r="G289" s="427"/>
      <c r="H289" s="427"/>
      <c r="I289" s="427"/>
      <c r="J289" s="427"/>
      <c r="K289" s="427"/>
      <c r="L289" s="427"/>
      <c r="M289" s="427"/>
      <c r="N289" s="427"/>
      <c r="O289" s="427"/>
      <c r="P289" s="427"/>
      <c r="Q289" s="427"/>
      <c r="R289" s="427"/>
      <c r="S289" s="427"/>
      <c r="T289" s="427"/>
      <c r="U289" s="427"/>
      <c r="V289" s="427"/>
      <c r="W289" s="427"/>
      <c r="X289" s="427"/>
      <c r="Y289" s="427"/>
      <c r="Z289" s="427"/>
      <c r="AA289" s="427"/>
    </row>
    <row r="290" spans="1:27" s="428" customFormat="1" x14ac:dyDescent="0.25">
      <c r="A290" s="513"/>
      <c r="B290" s="413"/>
      <c r="C290" s="427"/>
      <c r="D290" s="427"/>
      <c r="E290" s="427"/>
      <c r="F290" s="427"/>
      <c r="G290" s="427"/>
      <c r="H290" s="427"/>
      <c r="I290" s="427"/>
      <c r="J290" s="427"/>
      <c r="K290" s="427"/>
      <c r="L290" s="427"/>
      <c r="M290" s="427"/>
      <c r="N290" s="427"/>
      <c r="O290" s="427"/>
      <c r="P290" s="427"/>
      <c r="Q290" s="427"/>
      <c r="R290" s="427"/>
      <c r="S290" s="427"/>
      <c r="T290" s="427"/>
      <c r="U290" s="427"/>
      <c r="V290" s="427"/>
      <c r="W290" s="427"/>
      <c r="X290" s="427"/>
      <c r="Y290" s="427"/>
      <c r="Z290" s="427"/>
      <c r="AA290" s="427"/>
    </row>
  </sheetData>
  <pageMargins left="0.75" right="0.75" top="1" bottom="1" header="0.5" footer="0.5"/>
  <pageSetup orientation="landscape" r:id="rId1"/>
  <headerFooter alignWithMargins="0">
    <oddHeader>&amp;R&amp;D
akim
Page &amp;P</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
  <sheetViews>
    <sheetView workbookViewId="0"/>
  </sheetViews>
  <sheetFormatPr defaultRowHeight="15" x14ac:dyDescent="0.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288"/>
  <sheetViews>
    <sheetView zoomScale="85" zoomScaleNormal="85" workbookViewId="0">
      <pane xSplit="2" ySplit="8" topLeftCell="C180" activePane="bottomRight" state="frozen"/>
      <selection activeCell="C27" sqref="C27"/>
      <selection pane="topRight" activeCell="C27" sqref="C27"/>
      <selection pane="bottomLeft" activeCell="C27" sqref="C27"/>
      <selection pane="bottomRight" activeCell="E187" sqref="E187"/>
    </sheetView>
  </sheetViews>
  <sheetFormatPr defaultRowHeight="15" x14ac:dyDescent="0.25"/>
  <cols>
    <col min="1" max="1" width="13" style="513" hidden="1" customWidth="1"/>
    <col min="2" max="2" width="40.5703125" style="413" customWidth="1"/>
    <col min="3" max="3" width="15.5703125" style="414" customWidth="1"/>
    <col min="4" max="11" width="13.7109375" style="414" customWidth="1"/>
    <col min="12" max="13" width="14.5703125" style="414" customWidth="1"/>
    <col min="14" max="14" width="13.7109375" style="414" hidden="1" customWidth="1"/>
    <col min="15" max="15" width="16" style="414" customWidth="1"/>
    <col min="16" max="18" width="13.7109375" style="414" customWidth="1"/>
    <col min="19" max="16384" width="9.140625" style="413"/>
  </cols>
  <sheetData>
    <row r="1" spans="1:18" s="511" customFormat="1" ht="12.75" hidden="1" x14ac:dyDescent="0.2">
      <c r="A1" s="510" t="s">
        <v>1126</v>
      </c>
      <c r="C1" s="512"/>
      <c r="D1" s="512"/>
      <c r="E1" s="512"/>
      <c r="F1" s="512"/>
      <c r="G1" s="512"/>
      <c r="H1" s="512"/>
      <c r="I1" s="512"/>
      <c r="J1" s="512"/>
      <c r="K1" s="512"/>
      <c r="L1" s="512"/>
      <c r="M1" s="512"/>
      <c r="N1" s="512" t="s">
        <v>512</v>
      </c>
      <c r="O1" s="512"/>
      <c r="P1" s="512"/>
      <c r="Q1" s="512"/>
      <c r="R1" s="512"/>
    </row>
    <row r="2" spans="1:18" hidden="1" x14ac:dyDescent="0.25">
      <c r="A2" s="513" t="s">
        <v>512</v>
      </c>
      <c r="B2" s="514" t="s">
        <v>513</v>
      </c>
    </row>
    <row r="3" spans="1:18" s="415" customFormat="1" ht="12.75" x14ac:dyDescent="0.2">
      <c r="A3" s="515"/>
      <c r="B3" s="516" t="s">
        <v>514</v>
      </c>
      <c r="C3" s="517" t="s">
        <v>1157</v>
      </c>
      <c r="D3" s="518"/>
      <c r="E3" s="518"/>
      <c r="F3" s="518"/>
      <c r="G3" s="518"/>
      <c r="H3" s="518"/>
      <c r="I3" s="518"/>
      <c r="J3" s="518"/>
      <c r="K3" s="518"/>
      <c r="L3" s="518"/>
      <c r="M3" s="518"/>
      <c r="N3" s="519"/>
      <c r="O3" s="519"/>
      <c r="P3" s="519"/>
      <c r="Q3" s="519"/>
      <c r="R3" s="519"/>
    </row>
    <row r="4" spans="1:18" s="415" customFormat="1" ht="12.75" x14ac:dyDescent="0.2">
      <c r="A4" s="515"/>
      <c r="B4" s="516" t="s">
        <v>515</v>
      </c>
      <c r="C4" s="520" t="s">
        <v>516</v>
      </c>
      <c r="D4" s="518"/>
      <c r="E4" s="518"/>
      <c r="F4" s="518"/>
      <c r="G4" s="518"/>
      <c r="H4" s="518"/>
      <c r="I4" s="518"/>
      <c r="J4" s="518"/>
      <c r="K4" s="518"/>
      <c r="L4" s="518"/>
      <c r="M4" s="518"/>
      <c r="N4" s="518"/>
      <c r="O4" s="518"/>
      <c r="P4" s="518"/>
      <c r="Q4" s="518"/>
      <c r="R4" s="518"/>
    </row>
    <row r="5" spans="1:18" s="415" customFormat="1" ht="12.75" x14ac:dyDescent="0.2">
      <c r="A5" s="515"/>
      <c r="B5" s="516" t="s">
        <v>783</v>
      </c>
      <c r="C5" s="518" t="s">
        <v>784</v>
      </c>
      <c r="D5" s="518"/>
      <c r="E5" s="518"/>
      <c r="F5" s="518"/>
      <c r="G5" s="518"/>
      <c r="H5" s="518"/>
      <c r="I5" s="518"/>
      <c r="J5" s="518"/>
      <c r="K5" s="518"/>
      <c r="L5" s="518"/>
      <c r="M5" s="518"/>
      <c r="N5" s="518"/>
      <c r="O5" s="518"/>
      <c r="P5" s="518"/>
      <c r="Q5" s="518"/>
      <c r="R5" s="518"/>
    </row>
    <row r="6" spans="1:18" s="415" customFormat="1" ht="12.75" x14ac:dyDescent="0.2">
      <c r="A6" s="515"/>
      <c r="B6" s="516" t="s">
        <v>179</v>
      </c>
      <c r="C6" s="522" t="s">
        <v>166</v>
      </c>
      <c r="D6" s="518"/>
      <c r="E6" s="518"/>
      <c r="F6" s="518"/>
      <c r="G6" s="518"/>
      <c r="H6" s="518"/>
      <c r="I6" s="518"/>
      <c r="J6" s="518"/>
      <c r="K6" s="518"/>
      <c r="L6" s="518"/>
      <c r="M6" s="518"/>
      <c r="N6" s="518"/>
      <c r="O6" s="518"/>
      <c r="P6" s="518"/>
      <c r="Q6" s="518"/>
      <c r="R6" s="518"/>
    </row>
    <row r="7" spans="1:18" s="415" customFormat="1" ht="12.75" x14ac:dyDescent="0.2">
      <c r="A7" s="515"/>
      <c r="B7" s="516" t="s">
        <v>518</v>
      </c>
      <c r="C7" s="573" t="s">
        <v>519</v>
      </c>
      <c r="D7" s="573" t="s">
        <v>521</v>
      </c>
      <c r="E7" s="573" t="s">
        <v>522</v>
      </c>
      <c r="F7" s="573" t="s">
        <v>1091</v>
      </c>
      <c r="G7" s="573" t="s">
        <v>524</v>
      </c>
      <c r="H7" s="573" t="s">
        <v>1093</v>
      </c>
      <c r="I7" s="573" t="s">
        <v>526</v>
      </c>
      <c r="J7" s="573" t="s">
        <v>531</v>
      </c>
      <c r="K7" s="573" t="s">
        <v>1094</v>
      </c>
      <c r="L7" s="573" t="s">
        <v>536</v>
      </c>
      <c r="M7" s="573" t="s">
        <v>1095</v>
      </c>
      <c r="N7" s="573" t="s">
        <v>537</v>
      </c>
      <c r="O7" s="573" t="s">
        <v>785</v>
      </c>
      <c r="P7" s="573" t="s">
        <v>540</v>
      </c>
      <c r="Q7" s="528"/>
    </row>
    <row r="8" spans="1:18" s="415" customFormat="1" ht="12.75" x14ac:dyDescent="0.2">
      <c r="A8" s="515"/>
      <c r="B8" s="516" t="s">
        <v>541</v>
      </c>
      <c r="C8" s="573"/>
      <c r="D8" s="573"/>
      <c r="E8" s="573"/>
      <c r="F8" s="573"/>
      <c r="G8" s="573"/>
      <c r="H8" s="573"/>
      <c r="I8" s="573"/>
      <c r="J8" s="573"/>
      <c r="K8" s="573"/>
      <c r="L8" s="573"/>
      <c r="M8" s="573"/>
      <c r="N8" s="573"/>
      <c r="O8" s="573"/>
      <c r="P8" s="573" t="s">
        <v>542</v>
      </c>
      <c r="Q8" s="528"/>
    </row>
    <row r="9" spans="1:18" ht="12.75" x14ac:dyDescent="0.2">
      <c r="B9" s="516" t="s">
        <v>543</v>
      </c>
      <c r="C9" s="522"/>
      <c r="D9" s="522"/>
      <c r="E9" s="522"/>
      <c r="F9" s="522"/>
      <c r="G9" s="522"/>
      <c r="H9" s="522"/>
      <c r="I9" s="522"/>
      <c r="J9" s="522"/>
      <c r="K9" s="522"/>
      <c r="L9" s="522"/>
      <c r="M9" s="522"/>
      <c r="N9" s="522"/>
      <c r="O9" s="522"/>
      <c r="P9" s="522"/>
      <c r="Q9" s="522"/>
      <c r="R9" s="413"/>
    </row>
    <row r="10" spans="1:18" s="428" customFormat="1" ht="12.75" x14ac:dyDescent="0.2">
      <c r="A10" s="513"/>
      <c r="B10" s="516" t="s">
        <v>544</v>
      </c>
      <c r="C10" s="528"/>
      <c r="D10" s="528"/>
      <c r="E10" s="528"/>
      <c r="F10" s="528"/>
      <c r="G10" s="528"/>
      <c r="H10" s="528"/>
      <c r="I10" s="528"/>
      <c r="J10" s="528"/>
      <c r="K10" s="528"/>
      <c r="L10" s="528"/>
      <c r="M10" s="528"/>
      <c r="N10" s="528"/>
      <c r="O10" s="528"/>
      <c r="P10" s="528"/>
      <c r="Q10" s="528"/>
    </row>
    <row r="11" spans="1:18" s="428" customFormat="1" ht="12.75" x14ac:dyDescent="0.2">
      <c r="A11" s="513">
        <v>42000</v>
      </c>
      <c r="B11" s="529" t="s">
        <v>545</v>
      </c>
      <c r="C11" s="530">
        <v>0</v>
      </c>
      <c r="D11" s="530">
        <v>0</v>
      </c>
      <c r="E11" s="530">
        <v>0</v>
      </c>
      <c r="F11" s="530">
        <v>0</v>
      </c>
      <c r="G11" s="530">
        <v>0</v>
      </c>
      <c r="H11" s="530">
        <v>0</v>
      </c>
      <c r="I11" s="530">
        <v>0</v>
      </c>
      <c r="J11" s="530">
        <v>0</v>
      </c>
      <c r="K11" s="530">
        <v>0</v>
      </c>
      <c r="L11" s="530">
        <v>0</v>
      </c>
      <c r="M11" s="530">
        <v>0</v>
      </c>
      <c r="N11" s="530">
        <v>0</v>
      </c>
      <c r="O11" s="530">
        <v>0</v>
      </c>
      <c r="P11" s="530">
        <v>0</v>
      </c>
      <c r="Q11" s="530">
        <f>SUM(C11:P11)</f>
        <v>0</v>
      </c>
    </row>
    <row r="12" spans="1:18" s="428" customFormat="1" ht="12.75" x14ac:dyDescent="0.2">
      <c r="A12" s="513">
        <v>42099</v>
      </c>
      <c r="B12" s="514" t="s">
        <v>546</v>
      </c>
      <c r="C12" s="531">
        <v>0</v>
      </c>
      <c r="D12" s="531">
        <v>0</v>
      </c>
      <c r="E12" s="531">
        <v>0</v>
      </c>
      <c r="F12" s="531">
        <v>0</v>
      </c>
      <c r="G12" s="531">
        <v>0</v>
      </c>
      <c r="H12" s="531">
        <v>0</v>
      </c>
      <c r="I12" s="531">
        <v>0</v>
      </c>
      <c r="J12" s="531">
        <v>0</v>
      </c>
      <c r="K12" s="531">
        <v>0</v>
      </c>
      <c r="L12" s="531">
        <v>0</v>
      </c>
      <c r="M12" s="531">
        <v>0</v>
      </c>
      <c r="N12" s="531">
        <v>0</v>
      </c>
      <c r="O12" s="531">
        <v>0</v>
      </c>
      <c r="P12" s="531">
        <v>0</v>
      </c>
      <c r="Q12" s="531">
        <f>SUM(C12:P12)</f>
        <v>0</v>
      </c>
    </row>
    <row r="13" spans="1:18" s="521" customFormat="1" ht="12.75" x14ac:dyDescent="0.2">
      <c r="A13" s="513">
        <v>42999</v>
      </c>
      <c r="B13" s="532" t="s">
        <v>547</v>
      </c>
      <c r="C13" s="533">
        <f t="shared" ref="C13:Q13" si="0">SUM(C11:C12)</f>
        <v>0</v>
      </c>
      <c r="D13" s="533">
        <f t="shared" si="0"/>
        <v>0</v>
      </c>
      <c r="E13" s="533">
        <f t="shared" si="0"/>
        <v>0</v>
      </c>
      <c r="F13" s="533">
        <f t="shared" si="0"/>
        <v>0</v>
      </c>
      <c r="G13" s="533">
        <f t="shared" si="0"/>
        <v>0</v>
      </c>
      <c r="H13" s="533">
        <f t="shared" si="0"/>
        <v>0</v>
      </c>
      <c r="I13" s="533">
        <f t="shared" si="0"/>
        <v>0</v>
      </c>
      <c r="J13" s="533">
        <f t="shared" si="0"/>
        <v>0</v>
      </c>
      <c r="K13" s="533">
        <f t="shared" si="0"/>
        <v>0</v>
      </c>
      <c r="L13" s="533">
        <f t="shared" si="0"/>
        <v>0</v>
      </c>
      <c r="M13" s="533">
        <f t="shared" si="0"/>
        <v>0</v>
      </c>
      <c r="N13" s="533">
        <f t="shared" si="0"/>
        <v>0</v>
      </c>
      <c r="O13" s="533">
        <f t="shared" si="0"/>
        <v>0</v>
      </c>
      <c r="P13" s="533">
        <f t="shared" si="0"/>
        <v>0</v>
      </c>
      <c r="Q13" s="533">
        <f t="shared" si="0"/>
        <v>0</v>
      </c>
    </row>
    <row r="14" spans="1:18" s="428" customFormat="1" ht="12.75" x14ac:dyDescent="0.2">
      <c r="A14" s="513"/>
      <c r="B14" s="516"/>
      <c r="C14" s="528"/>
      <c r="D14" s="528"/>
      <c r="E14" s="528"/>
      <c r="F14" s="528"/>
      <c r="G14" s="528"/>
      <c r="H14" s="528"/>
      <c r="I14" s="528"/>
      <c r="J14" s="528"/>
      <c r="K14" s="528"/>
      <c r="L14" s="528"/>
      <c r="M14" s="528"/>
      <c r="N14" s="528"/>
      <c r="O14" s="528"/>
      <c r="P14" s="528"/>
      <c r="Q14" s="528"/>
    </row>
    <row r="15" spans="1:18" s="428" customFormat="1" ht="12.75" x14ac:dyDescent="0.2">
      <c r="A15" s="513"/>
      <c r="B15" s="516" t="s">
        <v>548</v>
      </c>
      <c r="C15" s="528"/>
      <c r="D15" s="528"/>
      <c r="E15" s="528"/>
      <c r="F15" s="528"/>
      <c r="G15" s="528"/>
      <c r="H15" s="528"/>
      <c r="I15" s="528"/>
      <c r="J15" s="528"/>
      <c r="K15" s="528"/>
      <c r="L15" s="528"/>
      <c r="M15" s="528"/>
      <c r="N15" s="528"/>
      <c r="O15" s="528"/>
      <c r="P15" s="528"/>
      <c r="Q15" s="528"/>
    </row>
    <row r="16" spans="1:18" s="428" customFormat="1" ht="12.75" x14ac:dyDescent="0.2">
      <c r="A16" s="513">
        <v>48100</v>
      </c>
      <c r="B16" s="529" t="s">
        <v>549</v>
      </c>
      <c r="C16" s="530">
        <v>0</v>
      </c>
      <c r="D16" s="530">
        <v>0</v>
      </c>
      <c r="E16" s="530">
        <v>0</v>
      </c>
      <c r="F16" s="530">
        <v>0</v>
      </c>
      <c r="G16" s="530">
        <v>0</v>
      </c>
      <c r="H16" s="530">
        <v>0</v>
      </c>
      <c r="I16" s="530">
        <v>0</v>
      </c>
      <c r="J16" s="530">
        <v>0</v>
      </c>
      <c r="K16" s="530">
        <v>0</v>
      </c>
      <c r="L16" s="530">
        <v>0</v>
      </c>
      <c r="M16" s="530">
        <v>0</v>
      </c>
      <c r="N16" s="530">
        <v>0</v>
      </c>
      <c r="O16" s="530">
        <v>0</v>
      </c>
      <c r="P16" s="530">
        <v>0</v>
      </c>
      <c r="Q16" s="530">
        <f>SUM(C16:P16)</f>
        <v>0</v>
      </c>
    </row>
    <row r="17" spans="1:17" s="428" customFormat="1" ht="12.75" x14ac:dyDescent="0.2">
      <c r="A17" s="513">
        <v>48095</v>
      </c>
      <c r="B17" s="534" t="s">
        <v>550</v>
      </c>
      <c r="C17" s="530">
        <v>0</v>
      </c>
      <c r="D17" s="530">
        <v>0</v>
      </c>
      <c r="E17" s="530">
        <v>0</v>
      </c>
      <c r="F17" s="530">
        <v>0</v>
      </c>
      <c r="G17" s="530">
        <v>0</v>
      </c>
      <c r="H17" s="530">
        <v>0</v>
      </c>
      <c r="I17" s="530">
        <v>0</v>
      </c>
      <c r="J17" s="530">
        <v>0</v>
      </c>
      <c r="K17" s="530">
        <v>0</v>
      </c>
      <c r="L17" s="530">
        <v>0</v>
      </c>
      <c r="M17" s="530">
        <v>0</v>
      </c>
      <c r="N17" s="530">
        <v>0</v>
      </c>
      <c r="O17" s="530">
        <v>0</v>
      </c>
      <c r="P17" s="530">
        <v>0</v>
      </c>
      <c r="Q17" s="530">
        <f>SUM(C17:P17)</f>
        <v>0</v>
      </c>
    </row>
    <row r="18" spans="1:17" s="428" customFormat="1" ht="12.75" x14ac:dyDescent="0.2">
      <c r="A18" s="513" t="s">
        <v>551</v>
      </c>
      <c r="B18" s="534" t="s">
        <v>552</v>
      </c>
      <c r="C18" s="530">
        <v>0</v>
      </c>
      <c r="D18" s="530">
        <v>0</v>
      </c>
      <c r="E18" s="530">
        <v>0</v>
      </c>
      <c r="F18" s="530">
        <v>0</v>
      </c>
      <c r="G18" s="530">
        <v>0</v>
      </c>
      <c r="H18" s="530">
        <v>0</v>
      </c>
      <c r="I18" s="530">
        <v>0</v>
      </c>
      <c r="J18" s="530">
        <v>0</v>
      </c>
      <c r="K18" s="530">
        <v>0</v>
      </c>
      <c r="L18" s="530">
        <v>0</v>
      </c>
      <c r="M18" s="530">
        <v>0</v>
      </c>
      <c r="N18" s="530">
        <v>0</v>
      </c>
      <c r="O18" s="530">
        <v>0</v>
      </c>
      <c r="P18" s="530">
        <v>0</v>
      </c>
      <c r="Q18" s="530">
        <f>SUM(C18:P18)</f>
        <v>0</v>
      </c>
    </row>
    <row r="19" spans="1:17" s="428" customFormat="1" ht="12.75" x14ac:dyDescent="0.2">
      <c r="A19" s="513">
        <v>48070</v>
      </c>
      <c r="B19" s="535" t="s">
        <v>553</v>
      </c>
      <c r="C19" s="530">
        <v>0</v>
      </c>
      <c r="D19" s="530">
        <v>0</v>
      </c>
      <c r="E19" s="530">
        <v>0</v>
      </c>
      <c r="F19" s="530">
        <v>0</v>
      </c>
      <c r="G19" s="530">
        <v>0</v>
      </c>
      <c r="H19" s="530">
        <v>0</v>
      </c>
      <c r="I19" s="530">
        <v>0</v>
      </c>
      <c r="J19" s="530">
        <v>0</v>
      </c>
      <c r="K19" s="530">
        <v>0</v>
      </c>
      <c r="L19" s="530">
        <v>0</v>
      </c>
      <c r="M19" s="530">
        <v>0</v>
      </c>
      <c r="N19" s="530">
        <v>0</v>
      </c>
      <c r="O19" s="530">
        <v>0</v>
      </c>
      <c r="P19" s="530">
        <v>0</v>
      </c>
      <c r="Q19" s="530">
        <f>SUM(C19:P19)</f>
        <v>0</v>
      </c>
    </row>
    <row r="20" spans="1:17" s="428" customFormat="1" ht="12.75" x14ac:dyDescent="0.2">
      <c r="A20" s="513">
        <v>48300</v>
      </c>
      <c r="B20" s="514" t="s">
        <v>554</v>
      </c>
      <c r="C20" s="531">
        <v>0</v>
      </c>
      <c r="D20" s="531">
        <v>0</v>
      </c>
      <c r="E20" s="531">
        <v>0</v>
      </c>
      <c r="F20" s="531">
        <v>0</v>
      </c>
      <c r="G20" s="531">
        <v>0</v>
      </c>
      <c r="H20" s="531">
        <v>0</v>
      </c>
      <c r="I20" s="531">
        <v>0</v>
      </c>
      <c r="J20" s="531">
        <v>0</v>
      </c>
      <c r="K20" s="531">
        <v>0</v>
      </c>
      <c r="L20" s="531">
        <v>0</v>
      </c>
      <c r="M20" s="531">
        <v>0</v>
      </c>
      <c r="N20" s="531">
        <v>0</v>
      </c>
      <c r="O20" s="531">
        <v>0</v>
      </c>
      <c r="P20" s="531">
        <v>0</v>
      </c>
      <c r="Q20" s="531">
        <f>SUM(C20:P20)</f>
        <v>0</v>
      </c>
    </row>
    <row r="21" spans="1:17" s="521" customFormat="1" ht="12.75" x14ac:dyDescent="0.2">
      <c r="A21" s="513">
        <v>48500</v>
      </c>
      <c r="B21" s="532" t="s">
        <v>555</v>
      </c>
      <c r="C21" s="533">
        <f t="shared" ref="C21:Q21" si="1">SUM(C16:C20)</f>
        <v>0</v>
      </c>
      <c r="D21" s="533">
        <f t="shared" si="1"/>
        <v>0</v>
      </c>
      <c r="E21" s="533">
        <f t="shared" si="1"/>
        <v>0</v>
      </c>
      <c r="F21" s="533">
        <f t="shared" si="1"/>
        <v>0</v>
      </c>
      <c r="G21" s="533">
        <f t="shared" si="1"/>
        <v>0</v>
      </c>
      <c r="H21" s="533">
        <f t="shared" si="1"/>
        <v>0</v>
      </c>
      <c r="I21" s="533">
        <f t="shared" si="1"/>
        <v>0</v>
      </c>
      <c r="J21" s="533">
        <f t="shared" si="1"/>
        <v>0</v>
      </c>
      <c r="K21" s="533">
        <f t="shared" si="1"/>
        <v>0</v>
      </c>
      <c r="L21" s="533">
        <f t="shared" si="1"/>
        <v>0</v>
      </c>
      <c r="M21" s="533">
        <f t="shared" si="1"/>
        <v>0</v>
      </c>
      <c r="N21" s="533">
        <f t="shared" si="1"/>
        <v>0</v>
      </c>
      <c r="O21" s="533">
        <f t="shared" si="1"/>
        <v>0</v>
      </c>
      <c r="P21" s="533">
        <f t="shared" si="1"/>
        <v>0</v>
      </c>
      <c r="Q21" s="533">
        <f t="shared" si="1"/>
        <v>0</v>
      </c>
    </row>
    <row r="22" spans="1:17" s="428" customFormat="1" ht="12.75" x14ac:dyDescent="0.2">
      <c r="A22" s="513"/>
      <c r="B22" s="536"/>
      <c r="C22" s="537"/>
      <c r="D22" s="537"/>
      <c r="E22" s="537"/>
      <c r="F22" s="537"/>
      <c r="G22" s="537"/>
      <c r="H22" s="537"/>
      <c r="I22" s="537"/>
      <c r="J22" s="537"/>
      <c r="K22" s="537"/>
      <c r="L22" s="537"/>
      <c r="M22" s="537"/>
      <c r="N22" s="537"/>
      <c r="O22" s="537"/>
      <c r="P22" s="537"/>
      <c r="Q22" s="537"/>
    </row>
    <row r="23" spans="1:17" s="521" customFormat="1" ht="12.75" x14ac:dyDescent="0.2">
      <c r="A23" s="513">
        <v>49900</v>
      </c>
      <c r="B23" s="536" t="s">
        <v>556</v>
      </c>
      <c r="C23" s="537">
        <f t="shared" ref="C23:Q23" si="2">C13+C21</f>
        <v>0</v>
      </c>
      <c r="D23" s="537">
        <f t="shared" si="2"/>
        <v>0</v>
      </c>
      <c r="E23" s="537">
        <f t="shared" si="2"/>
        <v>0</v>
      </c>
      <c r="F23" s="537">
        <f t="shared" si="2"/>
        <v>0</v>
      </c>
      <c r="G23" s="537">
        <f t="shared" si="2"/>
        <v>0</v>
      </c>
      <c r="H23" s="537">
        <f t="shared" si="2"/>
        <v>0</v>
      </c>
      <c r="I23" s="537">
        <f t="shared" si="2"/>
        <v>0</v>
      </c>
      <c r="J23" s="537">
        <f t="shared" si="2"/>
        <v>0</v>
      </c>
      <c r="K23" s="537">
        <f t="shared" si="2"/>
        <v>0</v>
      </c>
      <c r="L23" s="537">
        <f t="shared" si="2"/>
        <v>0</v>
      </c>
      <c r="M23" s="537">
        <f t="shared" si="2"/>
        <v>0</v>
      </c>
      <c r="N23" s="537">
        <f t="shared" si="2"/>
        <v>0</v>
      </c>
      <c r="O23" s="537">
        <f t="shared" si="2"/>
        <v>0</v>
      </c>
      <c r="P23" s="537">
        <f t="shared" si="2"/>
        <v>0</v>
      </c>
      <c r="Q23" s="537">
        <f t="shared" si="2"/>
        <v>0</v>
      </c>
    </row>
    <row r="24" spans="1:17" s="428" customFormat="1" ht="12.75" x14ac:dyDescent="0.2">
      <c r="A24" s="513"/>
      <c r="B24" s="516"/>
      <c r="C24" s="528"/>
      <c r="D24" s="528"/>
      <c r="E24" s="528"/>
      <c r="F24" s="528"/>
      <c r="G24" s="528"/>
      <c r="H24" s="528"/>
      <c r="I24" s="528"/>
      <c r="J24" s="528"/>
      <c r="K24" s="528"/>
      <c r="L24" s="528"/>
      <c r="M24" s="528"/>
      <c r="N24" s="528"/>
      <c r="O24" s="528"/>
      <c r="P24" s="528"/>
      <c r="Q24" s="528"/>
    </row>
    <row r="25" spans="1:17" s="428" customFormat="1" ht="12.75" x14ac:dyDescent="0.2">
      <c r="A25" s="513"/>
      <c r="B25" s="516" t="s">
        <v>557</v>
      </c>
      <c r="C25" s="528"/>
      <c r="D25" s="528"/>
      <c r="E25" s="528"/>
      <c r="F25" s="528"/>
      <c r="G25" s="528"/>
      <c r="H25" s="528"/>
      <c r="I25" s="528"/>
      <c r="J25" s="528"/>
      <c r="K25" s="528"/>
      <c r="L25" s="528"/>
      <c r="M25" s="528"/>
      <c r="N25" s="528"/>
      <c r="O25" s="528"/>
      <c r="P25" s="528"/>
      <c r="Q25" s="528"/>
    </row>
    <row r="26" spans="1:17" s="428" customFormat="1" ht="12.75" x14ac:dyDescent="0.2">
      <c r="A26" s="513">
        <v>51000</v>
      </c>
      <c r="B26" s="529" t="s">
        <v>558</v>
      </c>
      <c r="C26" s="538"/>
      <c r="D26" s="538"/>
      <c r="E26" s="538"/>
      <c r="F26" s="538"/>
      <c r="G26" s="538"/>
      <c r="H26" s="538"/>
      <c r="I26" s="538"/>
      <c r="J26" s="538"/>
      <c r="K26" s="538"/>
      <c r="L26" s="539"/>
      <c r="M26" s="539"/>
      <c r="N26" s="539"/>
      <c r="O26" s="539"/>
      <c r="P26" s="539"/>
      <c r="Q26" s="539"/>
    </row>
    <row r="27" spans="1:17" s="428" customFormat="1" ht="12.75" x14ac:dyDescent="0.2">
      <c r="A27" s="513">
        <v>52000</v>
      </c>
      <c r="B27" s="534" t="s">
        <v>559</v>
      </c>
      <c r="C27" s="538"/>
      <c r="D27" s="538"/>
      <c r="E27" s="538"/>
      <c r="F27" s="538"/>
      <c r="G27" s="538"/>
      <c r="H27" s="538"/>
      <c r="I27" s="538"/>
      <c r="J27" s="538"/>
      <c r="K27" s="538"/>
      <c r="L27" s="539"/>
      <c r="M27" s="539"/>
      <c r="N27" s="539"/>
      <c r="O27" s="539"/>
      <c r="P27" s="539"/>
      <c r="Q27" s="539"/>
    </row>
    <row r="28" spans="1:17" s="428" customFormat="1" ht="12.75" x14ac:dyDescent="0.2">
      <c r="A28" s="513">
        <v>52010</v>
      </c>
      <c r="B28" s="534" t="s">
        <v>560</v>
      </c>
      <c r="C28" s="538"/>
      <c r="D28" s="538"/>
      <c r="E28" s="538"/>
      <c r="F28" s="538"/>
      <c r="G28" s="538"/>
      <c r="H28" s="538"/>
      <c r="I28" s="538"/>
      <c r="J28" s="538"/>
      <c r="K28" s="538"/>
      <c r="L28" s="539"/>
      <c r="M28" s="539"/>
      <c r="N28" s="539"/>
      <c r="O28" s="539"/>
      <c r="P28" s="539"/>
      <c r="Q28" s="539"/>
    </row>
    <row r="29" spans="1:17" s="428" customFormat="1" ht="12.75" x14ac:dyDescent="0.2">
      <c r="A29" s="513">
        <v>52015</v>
      </c>
      <c r="B29" s="534" t="s">
        <v>561</v>
      </c>
      <c r="C29" s="538"/>
      <c r="D29" s="538"/>
      <c r="E29" s="538"/>
      <c r="F29" s="538"/>
      <c r="G29" s="538"/>
      <c r="H29" s="538"/>
      <c r="I29" s="538"/>
      <c r="J29" s="538"/>
      <c r="K29" s="538"/>
      <c r="L29" s="539"/>
      <c r="M29" s="539"/>
      <c r="N29" s="539"/>
      <c r="O29" s="539"/>
      <c r="P29" s="539"/>
      <c r="Q29" s="539"/>
    </row>
    <row r="30" spans="1:17" s="428" customFormat="1" ht="12.75" x14ac:dyDescent="0.2">
      <c r="A30" s="513">
        <v>52020</v>
      </c>
      <c r="B30" s="534" t="s">
        <v>562</v>
      </c>
      <c r="C30" s="538"/>
      <c r="D30" s="538"/>
      <c r="E30" s="538"/>
      <c r="F30" s="538"/>
      <c r="G30" s="538"/>
      <c r="H30" s="538"/>
      <c r="I30" s="538"/>
      <c r="J30" s="538"/>
      <c r="K30" s="538"/>
      <c r="L30" s="539"/>
      <c r="M30" s="539"/>
      <c r="N30" s="539"/>
      <c r="O30" s="539"/>
      <c r="P30" s="539"/>
      <c r="Q30" s="539"/>
    </row>
    <row r="31" spans="1:17" s="428" customFormat="1" ht="12.75" x14ac:dyDescent="0.2">
      <c r="A31" s="513">
        <v>52030</v>
      </c>
      <c r="B31" s="534" t="s">
        <v>563</v>
      </c>
      <c r="C31" s="538"/>
      <c r="D31" s="538"/>
      <c r="E31" s="538"/>
      <c r="F31" s="538"/>
      <c r="G31" s="538"/>
      <c r="H31" s="538"/>
      <c r="I31" s="538"/>
      <c r="J31" s="538"/>
      <c r="K31" s="538"/>
      <c r="L31" s="539"/>
      <c r="M31" s="539"/>
      <c r="N31" s="539"/>
      <c r="O31" s="539"/>
      <c r="P31" s="539"/>
      <c r="Q31" s="539"/>
    </row>
    <row r="32" spans="1:17" s="428" customFormat="1" ht="12.75" x14ac:dyDescent="0.2">
      <c r="A32" s="540">
        <v>52031</v>
      </c>
      <c r="B32" s="541" t="s">
        <v>564</v>
      </c>
      <c r="C32" s="538"/>
      <c r="D32" s="538"/>
      <c r="E32" s="538"/>
      <c r="F32" s="538"/>
      <c r="G32" s="538"/>
      <c r="H32" s="538"/>
      <c r="I32" s="538"/>
      <c r="J32" s="538"/>
      <c r="K32" s="538"/>
      <c r="L32" s="539"/>
      <c r="M32" s="539"/>
      <c r="N32" s="539"/>
      <c r="O32" s="539"/>
      <c r="P32" s="539"/>
      <c r="Q32" s="539"/>
    </row>
    <row r="33" spans="1:17" s="428" customFormat="1" ht="12.75" x14ac:dyDescent="0.2">
      <c r="A33" s="513">
        <v>52035</v>
      </c>
      <c r="B33" s="534" t="s">
        <v>565</v>
      </c>
      <c r="C33" s="538"/>
      <c r="D33" s="538"/>
      <c r="E33" s="538"/>
      <c r="F33" s="538"/>
      <c r="G33" s="538"/>
      <c r="H33" s="538"/>
      <c r="I33" s="538"/>
      <c r="J33" s="538"/>
      <c r="K33" s="538"/>
      <c r="L33" s="539"/>
      <c r="M33" s="539"/>
      <c r="N33" s="539"/>
      <c r="O33" s="539"/>
      <c r="P33" s="539"/>
      <c r="Q33" s="539"/>
    </row>
    <row r="34" spans="1:17" s="428" customFormat="1" ht="12.75" x14ac:dyDescent="0.2">
      <c r="A34" s="513">
        <v>52040</v>
      </c>
      <c r="B34" s="534" t="s">
        <v>566</v>
      </c>
      <c r="C34" s="538"/>
      <c r="D34" s="538"/>
      <c r="E34" s="538"/>
      <c r="F34" s="538"/>
      <c r="G34" s="538"/>
      <c r="H34" s="538"/>
      <c r="I34" s="538"/>
      <c r="J34" s="538"/>
      <c r="K34" s="538"/>
      <c r="L34" s="539"/>
      <c r="M34" s="539"/>
      <c r="N34" s="539"/>
      <c r="O34" s="539"/>
      <c r="P34" s="539"/>
      <c r="Q34" s="539"/>
    </row>
    <row r="35" spans="1:17" s="428" customFormat="1" ht="12.75" x14ac:dyDescent="0.2">
      <c r="A35" s="540">
        <v>52525</v>
      </c>
      <c r="B35" s="541" t="s">
        <v>567</v>
      </c>
      <c r="C35" s="538"/>
      <c r="D35" s="538"/>
      <c r="E35" s="538"/>
      <c r="F35" s="538"/>
      <c r="G35" s="538"/>
      <c r="H35" s="538"/>
      <c r="I35" s="538"/>
      <c r="J35" s="538"/>
      <c r="K35" s="538"/>
      <c r="L35" s="539"/>
      <c r="M35" s="539"/>
      <c r="N35" s="539"/>
      <c r="O35" s="539"/>
      <c r="P35" s="539"/>
      <c r="Q35" s="539"/>
    </row>
    <row r="36" spans="1:17" s="428" customFormat="1" ht="12.75" x14ac:dyDescent="0.2">
      <c r="A36" s="540">
        <v>52601</v>
      </c>
      <c r="B36" s="541" t="s">
        <v>568</v>
      </c>
      <c r="C36" s="538"/>
      <c r="D36" s="538"/>
      <c r="E36" s="538"/>
      <c r="F36" s="538"/>
      <c r="G36" s="538"/>
      <c r="H36" s="538"/>
      <c r="I36" s="538"/>
      <c r="J36" s="538"/>
      <c r="K36" s="538"/>
      <c r="L36" s="539"/>
      <c r="M36" s="539"/>
      <c r="N36" s="539"/>
      <c r="O36" s="539"/>
      <c r="P36" s="539"/>
      <c r="Q36" s="539"/>
    </row>
    <row r="37" spans="1:17" s="428" customFormat="1" ht="12.75" x14ac:dyDescent="0.2">
      <c r="A37" s="540">
        <v>52602</v>
      </c>
      <c r="B37" s="541" t="s">
        <v>569</v>
      </c>
      <c r="C37" s="538"/>
      <c r="D37" s="538"/>
      <c r="E37" s="538"/>
      <c r="F37" s="538"/>
      <c r="G37" s="538"/>
      <c r="H37" s="538"/>
      <c r="I37" s="538"/>
      <c r="J37" s="538"/>
      <c r="K37" s="538"/>
      <c r="L37" s="539"/>
      <c r="M37" s="539"/>
      <c r="N37" s="539"/>
      <c r="O37" s="539"/>
      <c r="P37" s="539"/>
      <c r="Q37" s="539"/>
    </row>
    <row r="38" spans="1:17" s="428" customFormat="1" ht="12.75" x14ac:dyDescent="0.2">
      <c r="A38" s="540">
        <v>52613</v>
      </c>
      <c r="B38" s="541" t="s">
        <v>570</v>
      </c>
      <c r="C38" s="538"/>
      <c r="D38" s="538"/>
      <c r="E38" s="538"/>
      <c r="F38" s="538"/>
      <c r="G38" s="538"/>
      <c r="H38" s="538"/>
      <c r="I38" s="538"/>
      <c r="J38" s="538"/>
      <c r="K38" s="538"/>
      <c r="L38" s="539"/>
      <c r="M38" s="539"/>
      <c r="N38" s="539"/>
      <c r="O38" s="539"/>
      <c r="P38" s="539"/>
      <c r="Q38" s="539"/>
    </row>
    <row r="39" spans="1:17" s="428" customFormat="1" ht="12.75" x14ac:dyDescent="0.2">
      <c r="A39" s="513">
        <v>52090</v>
      </c>
      <c r="B39" s="534" t="s">
        <v>571</v>
      </c>
      <c r="C39" s="538"/>
      <c r="D39" s="538"/>
      <c r="E39" s="538"/>
      <c r="F39" s="538"/>
      <c r="G39" s="538"/>
      <c r="H39" s="538"/>
      <c r="I39" s="538"/>
      <c r="J39" s="538"/>
      <c r="K39" s="538"/>
      <c r="L39" s="539"/>
      <c r="M39" s="539"/>
      <c r="N39" s="539"/>
      <c r="O39" s="539"/>
      <c r="P39" s="539"/>
      <c r="Q39" s="539"/>
    </row>
    <row r="40" spans="1:17" s="428" customFormat="1" ht="12.75" x14ac:dyDescent="0.2">
      <c r="A40" s="513">
        <v>52099</v>
      </c>
      <c r="B40" s="514" t="s">
        <v>572</v>
      </c>
      <c r="C40" s="542"/>
      <c r="D40" s="542"/>
      <c r="E40" s="542"/>
      <c r="F40" s="542"/>
      <c r="G40" s="542"/>
      <c r="H40" s="542"/>
      <c r="I40" s="542"/>
      <c r="J40" s="542"/>
      <c r="K40" s="542"/>
      <c r="L40" s="543"/>
      <c r="M40" s="543"/>
      <c r="N40" s="543"/>
      <c r="O40" s="543"/>
      <c r="P40" s="543"/>
      <c r="Q40" s="543"/>
    </row>
    <row r="41" spans="1:17" s="428" customFormat="1" ht="12.75" x14ac:dyDescent="0.2">
      <c r="A41" s="513">
        <v>56900</v>
      </c>
      <c r="B41" s="532" t="s">
        <v>573</v>
      </c>
      <c r="C41" s="533">
        <f t="shared" ref="C41:Q41" si="3">SUM(C26:C40)</f>
        <v>0</v>
      </c>
      <c r="D41" s="533">
        <f t="shared" si="3"/>
        <v>0</v>
      </c>
      <c r="E41" s="533">
        <f t="shared" si="3"/>
        <v>0</v>
      </c>
      <c r="F41" s="533">
        <f t="shared" si="3"/>
        <v>0</v>
      </c>
      <c r="G41" s="533">
        <f t="shared" si="3"/>
        <v>0</v>
      </c>
      <c r="H41" s="533">
        <f t="shared" si="3"/>
        <v>0</v>
      </c>
      <c r="I41" s="533">
        <f t="shared" si="3"/>
        <v>0</v>
      </c>
      <c r="J41" s="533">
        <f t="shared" si="3"/>
        <v>0</v>
      </c>
      <c r="K41" s="533">
        <f t="shared" si="3"/>
        <v>0</v>
      </c>
      <c r="L41" s="533">
        <f t="shared" si="3"/>
        <v>0</v>
      </c>
      <c r="M41" s="533">
        <f t="shared" si="3"/>
        <v>0</v>
      </c>
      <c r="N41" s="533">
        <f t="shared" si="3"/>
        <v>0</v>
      </c>
      <c r="O41" s="533">
        <f t="shared" si="3"/>
        <v>0</v>
      </c>
      <c r="P41" s="533">
        <f t="shared" si="3"/>
        <v>0</v>
      </c>
      <c r="Q41" s="533">
        <f t="shared" si="3"/>
        <v>0</v>
      </c>
    </row>
    <row r="42" spans="1:17" s="428" customFormat="1" ht="12.75" x14ac:dyDescent="0.2">
      <c r="A42" s="513"/>
      <c r="B42" s="516"/>
      <c r="C42" s="528"/>
      <c r="D42" s="528"/>
      <c r="E42" s="528"/>
      <c r="F42" s="528"/>
      <c r="G42" s="528"/>
      <c r="H42" s="528"/>
      <c r="I42" s="528"/>
      <c r="J42" s="528"/>
      <c r="K42" s="528"/>
      <c r="L42" s="528"/>
      <c r="M42" s="528"/>
      <c r="N42" s="528"/>
      <c r="O42" s="528"/>
      <c r="P42" s="528"/>
      <c r="Q42" s="528"/>
    </row>
    <row r="43" spans="1:17" s="521" customFormat="1" ht="12.75" x14ac:dyDescent="0.2">
      <c r="A43" s="513">
        <v>57900</v>
      </c>
      <c r="B43" s="532" t="s">
        <v>574</v>
      </c>
      <c r="C43" s="533">
        <f t="shared" ref="C43:Q43" si="4">C23-C41</f>
        <v>0</v>
      </c>
      <c r="D43" s="533">
        <f t="shared" si="4"/>
        <v>0</v>
      </c>
      <c r="E43" s="533">
        <f t="shared" si="4"/>
        <v>0</v>
      </c>
      <c r="F43" s="533">
        <f t="shared" si="4"/>
        <v>0</v>
      </c>
      <c r="G43" s="533">
        <f t="shared" si="4"/>
        <v>0</v>
      </c>
      <c r="H43" s="533">
        <f t="shared" si="4"/>
        <v>0</v>
      </c>
      <c r="I43" s="533">
        <f t="shared" si="4"/>
        <v>0</v>
      </c>
      <c r="J43" s="533">
        <f t="shared" si="4"/>
        <v>0</v>
      </c>
      <c r="K43" s="533">
        <f t="shared" si="4"/>
        <v>0</v>
      </c>
      <c r="L43" s="533">
        <f t="shared" si="4"/>
        <v>0</v>
      </c>
      <c r="M43" s="533">
        <f t="shared" si="4"/>
        <v>0</v>
      </c>
      <c r="N43" s="533">
        <f t="shared" si="4"/>
        <v>0</v>
      </c>
      <c r="O43" s="533">
        <f t="shared" si="4"/>
        <v>0</v>
      </c>
      <c r="P43" s="533">
        <f t="shared" si="4"/>
        <v>0</v>
      </c>
      <c r="Q43" s="533">
        <f t="shared" si="4"/>
        <v>0</v>
      </c>
    </row>
    <row r="44" spans="1:17" s="428" customFormat="1" ht="12.75" x14ac:dyDescent="0.2">
      <c r="A44" s="513" t="s">
        <v>575</v>
      </c>
      <c r="B44" s="516" t="s">
        <v>576</v>
      </c>
      <c r="C44" s="544" t="str">
        <f t="shared" ref="C44:Q44" si="5">IF(ISERROR(C43/C23),"",(C43/C23))</f>
        <v/>
      </c>
      <c r="D44" s="544" t="str">
        <f t="shared" si="5"/>
        <v/>
      </c>
      <c r="E44" s="544" t="str">
        <f t="shared" si="5"/>
        <v/>
      </c>
      <c r="F44" s="544" t="str">
        <f t="shared" si="5"/>
        <v/>
      </c>
      <c r="G44" s="544" t="str">
        <f t="shared" si="5"/>
        <v/>
      </c>
      <c r="H44" s="544" t="str">
        <f t="shared" si="5"/>
        <v/>
      </c>
      <c r="I44" s="544" t="str">
        <f t="shared" si="5"/>
        <v/>
      </c>
      <c r="J44" s="544" t="str">
        <f t="shared" si="5"/>
        <v/>
      </c>
      <c r="K44" s="544" t="str">
        <f t="shared" si="5"/>
        <v/>
      </c>
      <c r="L44" s="544" t="str">
        <f t="shared" si="5"/>
        <v/>
      </c>
      <c r="M44" s="544" t="str">
        <f t="shared" si="5"/>
        <v/>
      </c>
      <c r="N44" s="544" t="str">
        <f t="shared" si="5"/>
        <v/>
      </c>
      <c r="O44" s="544" t="str">
        <f t="shared" si="5"/>
        <v/>
      </c>
      <c r="P44" s="544" t="str">
        <f t="shared" si="5"/>
        <v/>
      </c>
      <c r="Q44" s="544" t="str">
        <f t="shared" si="5"/>
        <v/>
      </c>
    </row>
    <row r="45" spans="1:17" s="428" customFormat="1" ht="12.75" x14ac:dyDescent="0.2">
      <c r="A45" s="513"/>
      <c r="B45" s="516"/>
      <c r="C45" s="528"/>
      <c r="D45" s="528"/>
      <c r="E45" s="528"/>
      <c r="F45" s="528"/>
      <c r="G45" s="528"/>
      <c r="H45" s="528"/>
      <c r="I45" s="528"/>
      <c r="J45" s="528"/>
      <c r="K45" s="528"/>
      <c r="L45" s="528"/>
      <c r="M45" s="528"/>
      <c r="N45" s="528"/>
      <c r="O45" s="528"/>
      <c r="P45" s="528"/>
      <c r="Q45" s="528"/>
    </row>
    <row r="46" spans="1:17" s="428" customFormat="1" ht="12.75" x14ac:dyDescent="0.2">
      <c r="A46" s="513"/>
      <c r="B46" s="516" t="s">
        <v>577</v>
      </c>
      <c r="C46" s="528"/>
      <c r="D46" s="528"/>
      <c r="E46" s="528"/>
      <c r="F46" s="528"/>
      <c r="G46" s="528"/>
      <c r="H46" s="528"/>
      <c r="I46" s="528"/>
      <c r="J46" s="528"/>
      <c r="K46" s="528"/>
      <c r="L46" s="528"/>
      <c r="M46" s="528"/>
      <c r="N46" s="528"/>
      <c r="O46" s="528"/>
      <c r="P46" s="528"/>
      <c r="Q46" s="528"/>
    </row>
    <row r="47" spans="1:17" s="428" customFormat="1" ht="12.75" x14ac:dyDescent="0.2">
      <c r="A47" s="513">
        <v>58001</v>
      </c>
      <c r="B47" s="529" t="s">
        <v>578</v>
      </c>
      <c r="C47" s="538"/>
      <c r="D47" s="538"/>
      <c r="E47" s="538"/>
      <c r="F47" s="538"/>
      <c r="G47" s="538"/>
      <c r="H47" s="538"/>
      <c r="I47" s="538"/>
      <c r="J47" s="538"/>
      <c r="K47" s="538"/>
      <c r="L47" s="539"/>
      <c r="M47" s="539"/>
      <c r="N47" s="539"/>
      <c r="O47" s="539"/>
      <c r="P47" s="539"/>
      <c r="Q47" s="539"/>
    </row>
    <row r="48" spans="1:17" s="428" customFormat="1" ht="12.75" x14ac:dyDescent="0.2">
      <c r="A48" s="513">
        <v>58002</v>
      </c>
      <c r="B48" s="534" t="s">
        <v>579</v>
      </c>
      <c r="C48" s="538"/>
      <c r="D48" s="538"/>
      <c r="E48" s="538"/>
      <c r="F48" s="538"/>
      <c r="G48" s="538"/>
      <c r="H48" s="538"/>
      <c r="I48" s="538"/>
      <c r="J48" s="538"/>
      <c r="K48" s="538"/>
      <c r="L48" s="539"/>
      <c r="M48" s="539"/>
      <c r="N48" s="539"/>
      <c r="O48" s="539"/>
      <c r="P48" s="539"/>
      <c r="Q48" s="539"/>
    </row>
    <row r="49" spans="1:17" s="428" customFormat="1" ht="12.75" x14ac:dyDescent="0.2">
      <c r="A49" s="513">
        <v>58003</v>
      </c>
      <c r="B49" s="534" t="s">
        <v>580</v>
      </c>
      <c r="C49" s="538"/>
      <c r="D49" s="538"/>
      <c r="E49" s="538"/>
      <c r="F49" s="538"/>
      <c r="G49" s="538"/>
      <c r="H49" s="538"/>
      <c r="I49" s="538"/>
      <c r="J49" s="538"/>
      <c r="K49" s="538"/>
      <c r="L49" s="539"/>
      <c r="M49" s="539"/>
      <c r="N49" s="539"/>
      <c r="O49" s="539"/>
      <c r="P49" s="539"/>
      <c r="Q49" s="539"/>
    </row>
    <row r="50" spans="1:17" s="428" customFormat="1" ht="12.75" x14ac:dyDescent="0.2">
      <c r="A50" s="513">
        <v>58004</v>
      </c>
      <c r="B50" s="534" t="s">
        <v>581</v>
      </c>
      <c r="C50" s="538"/>
      <c r="D50" s="538"/>
      <c r="E50" s="538"/>
      <c r="F50" s="538"/>
      <c r="G50" s="538"/>
      <c r="H50" s="538"/>
      <c r="I50" s="538"/>
      <c r="J50" s="538"/>
      <c r="K50" s="538"/>
      <c r="L50" s="539"/>
      <c r="M50" s="539"/>
      <c r="N50" s="539"/>
      <c r="O50" s="539"/>
      <c r="P50" s="539"/>
      <c r="Q50" s="539"/>
    </row>
    <row r="51" spans="1:17" s="428" customFormat="1" ht="12.75" x14ac:dyDescent="0.2">
      <c r="A51" s="513">
        <v>58100</v>
      </c>
      <c r="B51" s="534" t="s">
        <v>582</v>
      </c>
      <c r="C51" s="538"/>
      <c r="D51" s="538"/>
      <c r="E51" s="538"/>
      <c r="F51" s="538"/>
      <c r="G51" s="538"/>
      <c r="H51" s="538"/>
      <c r="I51" s="538"/>
      <c r="J51" s="538"/>
      <c r="K51" s="538"/>
      <c r="L51" s="539"/>
      <c r="M51" s="539"/>
      <c r="N51" s="539"/>
      <c r="O51" s="539"/>
      <c r="P51" s="539"/>
      <c r="Q51" s="539"/>
    </row>
    <row r="52" spans="1:17" s="428" customFormat="1" ht="12.75" x14ac:dyDescent="0.2">
      <c r="A52" s="513">
        <v>58380</v>
      </c>
      <c r="B52" s="536" t="s">
        <v>583</v>
      </c>
      <c r="C52" s="537">
        <f t="shared" ref="C52:Q52" si="6">SUM(C47:C51)</f>
        <v>0</v>
      </c>
      <c r="D52" s="537">
        <f t="shared" si="6"/>
        <v>0</v>
      </c>
      <c r="E52" s="537">
        <f t="shared" si="6"/>
        <v>0</v>
      </c>
      <c r="F52" s="537">
        <f t="shared" si="6"/>
        <v>0</v>
      </c>
      <c r="G52" s="537">
        <f t="shared" si="6"/>
        <v>0</v>
      </c>
      <c r="H52" s="537">
        <f t="shared" si="6"/>
        <v>0</v>
      </c>
      <c r="I52" s="537">
        <f t="shared" si="6"/>
        <v>0</v>
      </c>
      <c r="J52" s="537">
        <f t="shared" si="6"/>
        <v>0</v>
      </c>
      <c r="K52" s="537">
        <f t="shared" si="6"/>
        <v>0</v>
      </c>
      <c r="L52" s="537">
        <f t="shared" si="6"/>
        <v>0</v>
      </c>
      <c r="M52" s="537">
        <f t="shared" si="6"/>
        <v>0</v>
      </c>
      <c r="N52" s="537">
        <f t="shared" si="6"/>
        <v>0</v>
      </c>
      <c r="O52" s="537">
        <f t="shared" si="6"/>
        <v>0</v>
      </c>
      <c r="P52" s="537">
        <f t="shared" si="6"/>
        <v>0</v>
      </c>
      <c r="Q52" s="537">
        <f t="shared" si="6"/>
        <v>0</v>
      </c>
    </row>
    <row r="53" spans="1:17" s="428" customFormat="1" ht="12.75" x14ac:dyDescent="0.2">
      <c r="A53" s="513"/>
      <c r="B53" s="516"/>
      <c r="C53" s="528"/>
      <c r="D53" s="528"/>
      <c r="E53" s="528"/>
      <c r="F53" s="528"/>
      <c r="G53" s="528"/>
      <c r="H53" s="528"/>
      <c r="I53" s="528"/>
      <c r="J53" s="528"/>
      <c r="K53" s="528"/>
      <c r="L53" s="528"/>
      <c r="M53" s="528"/>
      <c r="N53" s="528"/>
      <c r="O53" s="528"/>
      <c r="P53" s="528"/>
      <c r="Q53" s="528"/>
    </row>
    <row r="54" spans="1:17" s="428" customFormat="1" ht="12.75" x14ac:dyDescent="0.2">
      <c r="A54" s="513"/>
      <c r="B54" s="516" t="s">
        <v>584</v>
      </c>
      <c r="C54" s="528"/>
      <c r="D54" s="528"/>
      <c r="E54" s="528"/>
      <c r="F54" s="528"/>
      <c r="G54" s="528"/>
      <c r="H54" s="528"/>
      <c r="I54" s="528"/>
      <c r="J54" s="528"/>
      <c r="K54" s="528"/>
      <c r="L54" s="528"/>
      <c r="M54" s="528"/>
      <c r="N54" s="528"/>
      <c r="O54" s="528"/>
      <c r="P54" s="528"/>
      <c r="Q54" s="528"/>
    </row>
    <row r="55" spans="1:17" s="428" customFormat="1" ht="12.75" x14ac:dyDescent="0.2">
      <c r="A55" s="513">
        <v>58403</v>
      </c>
      <c r="B55" s="529" t="s">
        <v>585</v>
      </c>
      <c r="C55" s="538"/>
      <c r="D55" s="538"/>
      <c r="E55" s="538"/>
      <c r="F55" s="538"/>
      <c r="G55" s="538"/>
      <c r="H55" s="538"/>
      <c r="I55" s="538"/>
      <c r="J55" s="538"/>
      <c r="K55" s="538"/>
      <c r="L55" s="538"/>
      <c r="M55" s="538"/>
      <c r="N55" s="538"/>
      <c r="O55" s="538"/>
      <c r="P55" s="538"/>
      <c r="Q55" s="538"/>
    </row>
    <row r="56" spans="1:17" s="428" customFormat="1" ht="12.75" x14ac:dyDescent="0.2">
      <c r="A56" s="513">
        <v>58406</v>
      </c>
      <c r="B56" s="514" t="s">
        <v>586</v>
      </c>
      <c r="C56" s="538"/>
      <c r="D56" s="538"/>
      <c r="E56" s="538"/>
      <c r="F56" s="538"/>
      <c r="G56" s="538"/>
      <c r="H56" s="538"/>
      <c r="I56" s="538"/>
      <c r="J56" s="538"/>
      <c r="K56" s="538"/>
      <c r="L56" s="538"/>
      <c r="M56" s="538"/>
      <c r="N56" s="538"/>
      <c r="O56" s="538"/>
      <c r="P56" s="538"/>
      <c r="Q56" s="538"/>
    </row>
    <row r="57" spans="1:17" s="428" customFormat="1" ht="12.75" x14ac:dyDescent="0.2">
      <c r="A57" s="513">
        <v>58450</v>
      </c>
      <c r="B57" s="536" t="s">
        <v>587</v>
      </c>
      <c r="C57" s="537">
        <f t="shared" ref="C57:Q57" si="7">SUM(C55:C56)</f>
        <v>0</v>
      </c>
      <c r="D57" s="537">
        <f t="shared" si="7"/>
        <v>0</v>
      </c>
      <c r="E57" s="537">
        <f t="shared" si="7"/>
        <v>0</v>
      </c>
      <c r="F57" s="537">
        <f t="shared" si="7"/>
        <v>0</v>
      </c>
      <c r="G57" s="537">
        <f t="shared" si="7"/>
        <v>0</v>
      </c>
      <c r="H57" s="537">
        <f t="shared" si="7"/>
        <v>0</v>
      </c>
      <c r="I57" s="537">
        <f t="shared" si="7"/>
        <v>0</v>
      </c>
      <c r="J57" s="537">
        <f t="shared" si="7"/>
        <v>0</v>
      </c>
      <c r="K57" s="537">
        <f t="shared" si="7"/>
        <v>0</v>
      </c>
      <c r="L57" s="537">
        <f t="shared" si="7"/>
        <v>0</v>
      </c>
      <c r="M57" s="537">
        <f t="shared" si="7"/>
        <v>0</v>
      </c>
      <c r="N57" s="537">
        <f t="shared" si="7"/>
        <v>0</v>
      </c>
      <c r="O57" s="537">
        <f t="shared" si="7"/>
        <v>0</v>
      </c>
      <c r="P57" s="537">
        <f t="shared" si="7"/>
        <v>0</v>
      </c>
      <c r="Q57" s="537">
        <f t="shared" si="7"/>
        <v>0</v>
      </c>
    </row>
    <row r="58" spans="1:17" s="428" customFormat="1" ht="12.75" x14ac:dyDescent="0.2">
      <c r="A58" s="513"/>
      <c r="B58" s="532"/>
      <c r="C58" s="533"/>
      <c r="D58" s="533"/>
      <c r="E58" s="533"/>
      <c r="F58" s="533"/>
      <c r="G58" s="533"/>
      <c r="H58" s="533"/>
      <c r="I58" s="533"/>
      <c r="J58" s="533"/>
      <c r="K58" s="533"/>
      <c r="L58" s="533"/>
      <c r="M58" s="533"/>
      <c r="N58" s="533"/>
      <c r="O58" s="533"/>
      <c r="P58" s="533"/>
      <c r="Q58" s="533"/>
    </row>
    <row r="59" spans="1:17" s="428" customFormat="1" ht="12.75" x14ac:dyDescent="0.2">
      <c r="A59" s="513">
        <v>58580</v>
      </c>
      <c r="B59" s="536" t="s">
        <v>588</v>
      </c>
      <c r="C59" s="537">
        <f t="shared" ref="C59:Q59" si="8">C52+C57</f>
        <v>0</v>
      </c>
      <c r="D59" s="537">
        <f t="shared" si="8"/>
        <v>0</v>
      </c>
      <c r="E59" s="537">
        <f t="shared" si="8"/>
        <v>0</v>
      </c>
      <c r="F59" s="537">
        <f t="shared" si="8"/>
        <v>0</v>
      </c>
      <c r="G59" s="537">
        <f t="shared" si="8"/>
        <v>0</v>
      </c>
      <c r="H59" s="537">
        <f t="shared" si="8"/>
        <v>0</v>
      </c>
      <c r="I59" s="537">
        <f t="shared" si="8"/>
        <v>0</v>
      </c>
      <c r="J59" s="537">
        <f t="shared" si="8"/>
        <v>0</v>
      </c>
      <c r="K59" s="537">
        <f t="shared" si="8"/>
        <v>0</v>
      </c>
      <c r="L59" s="537">
        <f t="shared" si="8"/>
        <v>0</v>
      </c>
      <c r="M59" s="537">
        <f t="shared" si="8"/>
        <v>0</v>
      </c>
      <c r="N59" s="537">
        <f t="shared" si="8"/>
        <v>0</v>
      </c>
      <c r="O59" s="537">
        <f t="shared" si="8"/>
        <v>0</v>
      </c>
      <c r="P59" s="537">
        <f t="shared" si="8"/>
        <v>0</v>
      </c>
      <c r="Q59" s="537">
        <f t="shared" si="8"/>
        <v>0</v>
      </c>
    </row>
    <row r="60" spans="1:17" s="428" customFormat="1" ht="12.75" x14ac:dyDescent="0.2">
      <c r="A60" s="513"/>
      <c r="B60" s="536"/>
      <c r="C60" s="537"/>
      <c r="D60" s="537"/>
      <c r="E60" s="537"/>
      <c r="F60" s="537"/>
      <c r="G60" s="537"/>
      <c r="H60" s="537"/>
      <c r="I60" s="537"/>
      <c r="J60" s="537"/>
      <c r="K60" s="537"/>
      <c r="L60" s="537"/>
      <c r="M60" s="537"/>
      <c r="N60" s="537"/>
      <c r="O60" s="537"/>
      <c r="P60" s="537"/>
      <c r="Q60" s="537"/>
    </row>
    <row r="61" spans="1:17" s="428" customFormat="1" ht="12.75" x14ac:dyDescent="0.2">
      <c r="A61" s="513">
        <v>58599</v>
      </c>
      <c r="B61" s="536" t="s">
        <v>589</v>
      </c>
      <c r="C61" s="537">
        <f t="shared" ref="C61:Q61" si="9">C43-C59</f>
        <v>0</v>
      </c>
      <c r="D61" s="537">
        <f t="shared" si="9"/>
        <v>0</v>
      </c>
      <c r="E61" s="537">
        <f t="shared" si="9"/>
        <v>0</v>
      </c>
      <c r="F61" s="537">
        <f t="shared" si="9"/>
        <v>0</v>
      </c>
      <c r="G61" s="537">
        <f t="shared" si="9"/>
        <v>0</v>
      </c>
      <c r="H61" s="537">
        <f t="shared" si="9"/>
        <v>0</v>
      </c>
      <c r="I61" s="537">
        <f t="shared" si="9"/>
        <v>0</v>
      </c>
      <c r="J61" s="537">
        <f t="shared" si="9"/>
        <v>0</v>
      </c>
      <c r="K61" s="537">
        <f t="shared" si="9"/>
        <v>0</v>
      </c>
      <c r="L61" s="537">
        <f t="shared" si="9"/>
        <v>0</v>
      </c>
      <c r="M61" s="537">
        <f t="shared" si="9"/>
        <v>0</v>
      </c>
      <c r="N61" s="537">
        <f t="shared" si="9"/>
        <v>0</v>
      </c>
      <c r="O61" s="537">
        <f t="shared" si="9"/>
        <v>0</v>
      </c>
      <c r="P61" s="537">
        <f t="shared" si="9"/>
        <v>0</v>
      </c>
      <c r="Q61" s="537">
        <f t="shared" si="9"/>
        <v>0</v>
      </c>
    </row>
    <row r="62" spans="1:17" s="428" customFormat="1" ht="12.75" x14ac:dyDescent="0.2">
      <c r="A62" s="513"/>
      <c r="B62" s="516"/>
      <c r="C62" s="528"/>
      <c r="D62" s="528"/>
      <c r="E62" s="528"/>
      <c r="F62" s="528"/>
      <c r="G62" s="528"/>
      <c r="H62" s="528"/>
      <c r="I62" s="528"/>
      <c r="J62" s="528"/>
      <c r="K62" s="528"/>
      <c r="L62" s="528"/>
      <c r="M62" s="528"/>
      <c r="N62" s="528"/>
      <c r="O62" s="528"/>
      <c r="P62" s="528"/>
      <c r="Q62" s="528"/>
    </row>
    <row r="63" spans="1:17" s="428" customFormat="1" ht="12.75" x14ac:dyDescent="0.2">
      <c r="A63" s="513"/>
      <c r="B63" s="516" t="s">
        <v>590</v>
      </c>
      <c r="C63" s="528"/>
      <c r="D63" s="528"/>
      <c r="E63" s="528"/>
      <c r="F63" s="528"/>
      <c r="G63" s="528"/>
      <c r="H63" s="528"/>
      <c r="I63" s="528"/>
      <c r="J63" s="528"/>
      <c r="K63" s="528"/>
      <c r="L63" s="528"/>
      <c r="M63" s="528"/>
      <c r="N63" s="528"/>
      <c r="O63" s="528"/>
      <c r="P63" s="528"/>
      <c r="Q63" s="528"/>
    </row>
    <row r="64" spans="1:17" s="428" customFormat="1" ht="12.75" x14ac:dyDescent="0.2">
      <c r="A64" s="513">
        <v>58601</v>
      </c>
      <c r="B64" s="529" t="s">
        <v>591</v>
      </c>
      <c r="C64" s="538"/>
      <c r="D64" s="538"/>
      <c r="E64" s="538"/>
      <c r="F64" s="538"/>
      <c r="G64" s="538"/>
      <c r="H64" s="538"/>
      <c r="I64" s="538"/>
      <c r="J64" s="538"/>
      <c r="K64" s="538"/>
      <c r="L64" s="538"/>
      <c r="M64" s="538"/>
      <c r="N64" s="538"/>
      <c r="O64" s="538"/>
      <c r="P64" s="538"/>
      <c r="Q64" s="538"/>
    </row>
    <row r="65" spans="1:17" s="428" customFormat="1" ht="12.75" x14ac:dyDescent="0.2">
      <c r="A65" s="513">
        <v>58602</v>
      </c>
      <c r="B65" s="514" t="s">
        <v>592</v>
      </c>
      <c r="C65" s="538"/>
      <c r="D65" s="538"/>
      <c r="E65" s="538"/>
      <c r="F65" s="538"/>
      <c r="G65" s="538"/>
      <c r="H65" s="538"/>
      <c r="I65" s="538"/>
      <c r="J65" s="538"/>
      <c r="K65" s="538"/>
      <c r="L65" s="538"/>
      <c r="M65" s="538"/>
      <c r="N65" s="538"/>
      <c r="O65" s="538"/>
      <c r="P65" s="538"/>
      <c r="Q65" s="538"/>
    </row>
    <row r="66" spans="1:17" s="428" customFormat="1" ht="12.75" x14ac:dyDescent="0.2">
      <c r="A66" s="513">
        <v>58699</v>
      </c>
      <c r="B66" s="536" t="s">
        <v>593</v>
      </c>
      <c r="C66" s="537">
        <f t="shared" ref="C66:Q66" si="10">SUM(C64:C65)</f>
        <v>0</v>
      </c>
      <c r="D66" s="537">
        <f t="shared" si="10"/>
        <v>0</v>
      </c>
      <c r="E66" s="537">
        <f t="shared" si="10"/>
        <v>0</v>
      </c>
      <c r="F66" s="537">
        <f t="shared" si="10"/>
        <v>0</v>
      </c>
      <c r="G66" s="537">
        <f t="shared" si="10"/>
        <v>0</v>
      </c>
      <c r="H66" s="537">
        <f t="shared" si="10"/>
        <v>0</v>
      </c>
      <c r="I66" s="537">
        <f t="shared" si="10"/>
        <v>0</v>
      </c>
      <c r="J66" s="537">
        <f t="shared" si="10"/>
        <v>0</v>
      </c>
      <c r="K66" s="537">
        <f t="shared" si="10"/>
        <v>0</v>
      </c>
      <c r="L66" s="537">
        <f t="shared" si="10"/>
        <v>0</v>
      </c>
      <c r="M66" s="537">
        <f t="shared" si="10"/>
        <v>0</v>
      </c>
      <c r="N66" s="537">
        <f t="shared" si="10"/>
        <v>0</v>
      </c>
      <c r="O66" s="537">
        <f t="shared" si="10"/>
        <v>0</v>
      </c>
      <c r="P66" s="537">
        <f t="shared" si="10"/>
        <v>0</v>
      </c>
      <c r="Q66" s="537">
        <f t="shared" si="10"/>
        <v>0</v>
      </c>
    </row>
    <row r="67" spans="1:17" s="428" customFormat="1" ht="12.75" x14ac:dyDescent="0.2">
      <c r="A67" s="513"/>
      <c r="B67" s="536"/>
      <c r="C67" s="537"/>
      <c r="D67" s="537"/>
      <c r="E67" s="537"/>
      <c r="F67" s="537"/>
      <c r="G67" s="537"/>
      <c r="H67" s="537"/>
      <c r="I67" s="537"/>
      <c r="J67" s="537"/>
      <c r="K67" s="537"/>
      <c r="L67" s="537"/>
      <c r="M67" s="537"/>
      <c r="N67" s="537"/>
      <c r="O67" s="537"/>
      <c r="P67" s="537"/>
      <c r="Q67" s="537"/>
    </row>
    <row r="68" spans="1:17" s="428" customFormat="1" ht="12.75" x14ac:dyDescent="0.2">
      <c r="A68" s="513">
        <v>59999</v>
      </c>
      <c r="B68" s="536" t="s">
        <v>594</v>
      </c>
      <c r="C68" s="537">
        <f t="shared" ref="C68:Q68" si="11">C61-C66</f>
        <v>0</v>
      </c>
      <c r="D68" s="537">
        <f t="shared" si="11"/>
        <v>0</v>
      </c>
      <c r="E68" s="537">
        <f t="shared" si="11"/>
        <v>0</v>
      </c>
      <c r="F68" s="537">
        <f t="shared" si="11"/>
        <v>0</v>
      </c>
      <c r="G68" s="537">
        <f t="shared" si="11"/>
        <v>0</v>
      </c>
      <c r="H68" s="537">
        <f t="shared" si="11"/>
        <v>0</v>
      </c>
      <c r="I68" s="537">
        <f t="shared" si="11"/>
        <v>0</v>
      </c>
      <c r="J68" s="537">
        <f t="shared" si="11"/>
        <v>0</v>
      </c>
      <c r="K68" s="537">
        <f t="shared" si="11"/>
        <v>0</v>
      </c>
      <c r="L68" s="537">
        <f t="shared" si="11"/>
        <v>0</v>
      </c>
      <c r="M68" s="537">
        <f t="shared" si="11"/>
        <v>0</v>
      </c>
      <c r="N68" s="537">
        <f t="shared" si="11"/>
        <v>0</v>
      </c>
      <c r="O68" s="537">
        <f t="shared" si="11"/>
        <v>0</v>
      </c>
      <c r="P68" s="537">
        <f t="shared" si="11"/>
        <v>0</v>
      </c>
      <c r="Q68" s="537">
        <f t="shared" si="11"/>
        <v>0</v>
      </c>
    </row>
    <row r="69" spans="1:17" s="428" customFormat="1" ht="12.75" x14ac:dyDescent="0.2">
      <c r="A69" s="513" t="s">
        <v>595</v>
      </c>
      <c r="B69" s="516" t="s">
        <v>596</v>
      </c>
      <c r="C69" s="544" t="str">
        <f t="shared" ref="C69:Q69" si="12">IF(ISERROR(C68/C23),"",(C68/C23))</f>
        <v/>
      </c>
      <c r="D69" s="544" t="str">
        <f t="shared" si="12"/>
        <v/>
      </c>
      <c r="E69" s="544" t="str">
        <f t="shared" si="12"/>
        <v/>
      </c>
      <c r="F69" s="544" t="str">
        <f t="shared" si="12"/>
        <v/>
      </c>
      <c r="G69" s="544" t="str">
        <f t="shared" si="12"/>
        <v/>
      </c>
      <c r="H69" s="544" t="str">
        <f t="shared" si="12"/>
        <v/>
      </c>
      <c r="I69" s="544" t="str">
        <f t="shared" si="12"/>
        <v/>
      </c>
      <c r="J69" s="544" t="str">
        <f t="shared" si="12"/>
        <v/>
      </c>
      <c r="K69" s="544" t="str">
        <f t="shared" si="12"/>
        <v/>
      </c>
      <c r="L69" s="544" t="str">
        <f t="shared" si="12"/>
        <v/>
      </c>
      <c r="M69" s="544" t="str">
        <f t="shared" si="12"/>
        <v/>
      </c>
      <c r="N69" s="544" t="str">
        <f t="shared" si="12"/>
        <v/>
      </c>
      <c r="O69" s="544" t="str">
        <f t="shared" si="12"/>
        <v/>
      </c>
      <c r="P69" s="544" t="str">
        <f t="shared" si="12"/>
        <v/>
      </c>
      <c r="Q69" s="544" t="str">
        <f t="shared" si="12"/>
        <v/>
      </c>
    </row>
    <row r="70" spans="1:17" s="428" customFormat="1" ht="12.75" x14ac:dyDescent="0.2">
      <c r="A70" s="513"/>
      <c r="B70" s="516"/>
      <c r="C70" s="528"/>
      <c r="D70" s="528"/>
      <c r="E70" s="528"/>
      <c r="F70" s="528"/>
      <c r="G70" s="528"/>
      <c r="H70" s="528"/>
      <c r="I70" s="528"/>
      <c r="J70" s="528"/>
      <c r="K70" s="528"/>
      <c r="L70" s="528"/>
      <c r="M70" s="528"/>
      <c r="N70" s="528"/>
      <c r="O70" s="528"/>
      <c r="P70" s="528"/>
      <c r="Q70" s="528"/>
    </row>
    <row r="71" spans="1:17" s="428" customFormat="1" ht="12.75" x14ac:dyDescent="0.2">
      <c r="A71" s="513"/>
      <c r="B71" s="516" t="s">
        <v>597</v>
      </c>
      <c r="C71" s="528"/>
      <c r="D71" s="528"/>
      <c r="E71" s="528"/>
      <c r="F71" s="528"/>
      <c r="G71" s="528"/>
      <c r="H71" s="528"/>
      <c r="I71" s="528"/>
      <c r="J71" s="528"/>
      <c r="K71" s="528"/>
      <c r="L71" s="528"/>
      <c r="M71" s="528"/>
      <c r="N71" s="528"/>
      <c r="O71" s="528"/>
      <c r="P71" s="528"/>
      <c r="Q71" s="528"/>
    </row>
    <row r="72" spans="1:17" s="428" customFormat="1" ht="12.75" x14ac:dyDescent="0.2">
      <c r="A72" s="513"/>
      <c r="B72" s="516" t="s">
        <v>1076</v>
      </c>
      <c r="C72" s="528"/>
      <c r="D72" s="528"/>
      <c r="E72" s="528"/>
      <c r="F72" s="528"/>
      <c r="G72" s="528"/>
      <c r="H72" s="528"/>
      <c r="I72" s="528"/>
      <c r="J72" s="528"/>
      <c r="K72" s="528"/>
      <c r="L72" s="528"/>
      <c r="M72" s="528"/>
      <c r="N72" s="528"/>
      <c r="O72" s="528"/>
      <c r="P72" s="528"/>
      <c r="Q72" s="528"/>
    </row>
    <row r="73" spans="1:17" s="545" customFormat="1" ht="12.75" x14ac:dyDescent="0.2">
      <c r="A73" s="513">
        <v>61100</v>
      </c>
      <c r="B73" s="529" t="s">
        <v>599</v>
      </c>
      <c r="C73" s="530">
        <v>0</v>
      </c>
      <c r="D73" s="530">
        <v>0</v>
      </c>
      <c r="E73" s="530">
        <v>0</v>
      </c>
      <c r="F73" s="530">
        <v>0</v>
      </c>
      <c r="G73" s="530">
        <v>0</v>
      </c>
      <c r="H73" s="530">
        <v>0</v>
      </c>
      <c r="I73" s="530">
        <v>0</v>
      </c>
      <c r="J73" s="530">
        <v>0</v>
      </c>
      <c r="K73" s="530">
        <v>0</v>
      </c>
      <c r="L73" s="530">
        <v>0</v>
      </c>
      <c r="M73" s="530">
        <v>0</v>
      </c>
      <c r="N73" s="530">
        <v>0</v>
      </c>
      <c r="O73" s="530">
        <v>0</v>
      </c>
      <c r="P73" s="530">
        <v>0</v>
      </c>
      <c r="Q73" s="530">
        <f>SUM(C73:P73)</f>
        <v>0</v>
      </c>
    </row>
    <row r="74" spans="1:17" s="545" customFormat="1" ht="12.75" x14ac:dyDescent="0.2">
      <c r="A74" s="513" t="s">
        <v>600</v>
      </c>
      <c r="B74" s="529" t="s">
        <v>1077</v>
      </c>
      <c r="C74" s="530">
        <v>0</v>
      </c>
      <c r="D74" s="530">
        <v>0</v>
      </c>
      <c r="E74" s="530">
        <v>0</v>
      </c>
      <c r="F74" s="530">
        <v>0</v>
      </c>
      <c r="G74" s="530">
        <v>0</v>
      </c>
      <c r="H74" s="530">
        <v>0</v>
      </c>
      <c r="I74" s="530">
        <v>0</v>
      </c>
      <c r="J74" s="530">
        <v>0</v>
      </c>
      <c r="K74" s="530">
        <v>0</v>
      </c>
      <c r="L74" s="530">
        <v>0</v>
      </c>
      <c r="M74" s="530">
        <v>0</v>
      </c>
      <c r="N74" s="530">
        <v>0</v>
      </c>
      <c r="O74" s="530">
        <v>0</v>
      </c>
      <c r="P74" s="530">
        <v>0</v>
      </c>
      <c r="Q74" s="530">
        <f>SUM(C74:P74)</f>
        <v>0</v>
      </c>
    </row>
    <row r="75" spans="1:17" s="545" customFormat="1" ht="12.75" x14ac:dyDescent="0.2">
      <c r="A75" s="513">
        <v>61300</v>
      </c>
      <c r="B75" s="553" t="s">
        <v>602</v>
      </c>
      <c r="C75" s="530">
        <v>0</v>
      </c>
      <c r="D75" s="530">
        <v>0</v>
      </c>
      <c r="E75" s="530">
        <v>0</v>
      </c>
      <c r="F75" s="530">
        <v>0</v>
      </c>
      <c r="G75" s="530">
        <v>0</v>
      </c>
      <c r="H75" s="530">
        <v>0</v>
      </c>
      <c r="I75" s="530">
        <v>0</v>
      </c>
      <c r="J75" s="530">
        <v>0</v>
      </c>
      <c r="K75" s="530">
        <v>0</v>
      </c>
      <c r="L75" s="530">
        <v>0</v>
      </c>
      <c r="M75" s="530">
        <v>0</v>
      </c>
      <c r="N75" s="530">
        <v>0</v>
      </c>
      <c r="O75" s="530">
        <v>0</v>
      </c>
      <c r="P75" s="530">
        <v>0</v>
      </c>
      <c r="Q75" s="530">
        <f>SUM(C75:P75)</f>
        <v>0</v>
      </c>
    </row>
    <row r="76" spans="1:17" s="428" customFormat="1" ht="12.75" x14ac:dyDescent="0.2">
      <c r="A76" s="513">
        <v>61400</v>
      </c>
      <c r="B76" s="536" t="s">
        <v>1078</v>
      </c>
      <c r="C76" s="537">
        <f t="shared" ref="C76:Q76" si="13">SUM(C73:C75)</f>
        <v>0</v>
      </c>
      <c r="D76" s="537">
        <f t="shared" si="13"/>
        <v>0</v>
      </c>
      <c r="E76" s="537">
        <f t="shared" si="13"/>
        <v>0</v>
      </c>
      <c r="F76" s="537">
        <f t="shared" si="13"/>
        <v>0</v>
      </c>
      <c r="G76" s="537">
        <f t="shared" si="13"/>
        <v>0</v>
      </c>
      <c r="H76" s="537">
        <f t="shared" si="13"/>
        <v>0</v>
      </c>
      <c r="I76" s="537">
        <f t="shared" si="13"/>
        <v>0</v>
      </c>
      <c r="J76" s="537">
        <f t="shared" si="13"/>
        <v>0</v>
      </c>
      <c r="K76" s="537">
        <f t="shared" si="13"/>
        <v>0</v>
      </c>
      <c r="L76" s="537">
        <f t="shared" si="13"/>
        <v>0</v>
      </c>
      <c r="M76" s="537">
        <f t="shared" si="13"/>
        <v>0</v>
      </c>
      <c r="N76" s="537">
        <f t="shared" si="13"/>
        <v>0</v>
      </c>
      <c r="O76" s="537">
        <f t="shared" si="13"/>
        <v>0</v>
      </c>
      <c r="P76" s="537">
        <f t="shared" si="13"/>
        <v>0</v>
      </c>
      <c r="Q76" s="537">
        <f t="shared" si="13"/>
        <v>0</v>
      </c>
    </row>
    <row r="77" spans="1:17" s="428" customFormat="1" ht="12.75" x14ac:dyDescent="0.2">
      <c r="A77" s="513"/>
      <c r="B77" s="516"/>
      <c r="C77" s="528"/>
      <c r="D77" s="528"/>
      <c r="E77" s="528"/>
      <c r="F77" s="528"/>
      <c r="G77" s="528"/>
      <c r="H77" s="528"/>
      <c r="I77" s="528"/>
      <c r="J77" s="528"/>
      <c r="K77" s="528"/>
      <c r="L77" s="528"/>
      <c r="M77" s="528"/>
      <c r="N77" s="528"/>
      <c r="O77" s="528"/>
      <c r="P77" s="528"/>
      <c r="Q77" s="528"/>
    </row>
    <row r="78" spans="1:17" s="428" customFormat="1" ht="12.75" x14ac:dyDescent="0.2">
      <c r="A78" s="513"/>
      <c r="B78" s="516" t="s">
        <v>604</v>
      </c>
      <c r="C78" s="528"/>
      <c r="D78" s="528"/>
      <c r="E78" s="528"/>
      <c r="F78" s="528"/>
      <c r="G78" s="528"/>
      <c r="H78" s="528"/>
      <c r="I78" s="528"/>
      <c r="J78" s="528"/>
      <c r="K78" s="528"/>
      <c r="L78" s="528"/>
      <c r="M78" s="528"/>
      <c r="N78" s="528"/>
      <c r="O78" s="528"/>
      <c r="P78" s="528"/>
      <c r="Q78" s="528"/>
    </row>
    <row r="79" spans="1:17" s="545" customFormat="1" ht="12.75" x14ac:dyDescent="0.2">
      <c r="A79" s="513">
        <v>62100</v>
      </c>
      <c r="B79" s="529" t="s">
        <v>605</v>
      </c>
      <c r="C79" s="530">
        <v>249968.89</v>
      </c>
      <c r="D79" s="530">
        <v>0</v>
      </c>
      <c r="E79" s="530">
        <v>0</v>
      </c>
      <c r="F79" s="530">
        <v>0</v>
      </c>
      <c r="G79" s="530">
        <v>182913.24</v>
      </c>
      <c r="H79" s="530">
        <v>0</v>
      </c>
      <c r="I79" s="530">
        <v>0</v>
      </c>
      <c r="J79" s="530">
        <v>1285.23</v>
      </c>
      <c r="K79" s="530">
        <v>0</v>
      </c>
      <c r="L79" s="530">
        <v>159643.85999999999</v>
      </c>
      <c r="M79" s="530">
        <v>0</v>
      </c>
      <c r="N79" s="530">
        <v>0</v>
      </c>
      <c r="O79" s="530">
        <v>0</v>
      </c>
      <c r="P79" s="530">
        <v>0</v>
      </c>
      <c r="Q79" s="530">
        <f t="shared" ref="Q79:Q104" si="14">SUM(C79:P79)</f>
        <v>593811.22</v>
      </c>
    </row>
    <row r="80" spans="1:17" s="545" customFormat="1" ht="12.75" x14ac:dyDescent="0.2">
      <c r="A80" s="513">
        <v>62110</v>
      </c>
      <c r="B80" s="428" t="s">
        <v>606</v>
      </c>
      <c r="C80" s="530">
        <v>0</v>
      </c>
      <c r="D80" s="530">
        <v>0</v>
      </c>
      <c r="E80" s="530">
        <v>0</v>
      </c>
      <c r="F80" s="530">
        <v>0</v>
      </c>
      <c r="G80" s="530">
        <v>0</v>
      </c>
      <c r="H80" s="530">
        <v>0</v>
      </c>
      <c r="I80" s="530">
        <v>0</v>
      </c>
      <c r="J80" s="530">
        <v>0</v>
      </c>
      <c r="K80" s="530">
        <v>0</v>
      </c>
      <c r="L80" s="530">
        <v>0</v>
      </c>
      <c r="M80" s="530">
        <v>0</v>
      </c>
      <c r="N80" s="530">
        <v>0</v>
      </c>
      <c r="O80" s="530">
        <v>0</v>
      </c>
      <c r="P80" s="530">
        <v>0</v>
      </c>
      <c r="Q80" s="530">
        <f t="shared" si="14"/>
        <v>0</v>
      </c>
    </row>
    <row r="81" spans="1:17" s="545" customFormat="1" ht="12.75" x14ac:dyDescent="0.2">
      <c r="A81" s="513" t="s">
        <v>607</v>
      </c>
      <c r="B81" s="428" t="s">
        <v>608</v>
      </c>
      <c r="C81" s="530">
        <v>0</v>
      </c>
      <c r="D81" s="530">
        <v>0</v>
      </c>
      <c r="E81" s="530">
        <v>0</v>
      </c>
      <c r="F81" s="530">
        <v>0</v>
      </c>
      <c r="G81" s="530">
        <v>0</v>
      </c>
      <c r="H81" s="530">
        <v>0</v>
      </c>
      <c r="I81" s="530">
        <v>0</v>
      </c>
      <c r="J81" s="530">
        <v>0</v>
      </c>
      <c r="K81" s="530">
        <v>0</v>
      </c>
      <c r="L81" s="530">
        <v>0</v>
      </c>
      <c r="M81" s="530">
        <v>0</v>
      </c>
      <c r="N81" s="530">
        <v>0</v>
      </c>
      <c r="O81" s="530">
        <v>0</v>
      </c>
      <c r="P81" s="530">
        <v>0</v>
      </c>
      <c r="Q81" s="530">
        <f t="shared" si="14"/>
        <v>0</v>
      </c>
    </row>
    <row r="82" spans="1:17" s="545" customFormat="1" ht="12.75" x14ac:dyDescent="0.2">
      <c r="A82" s="513">
        <v>62120</v>
      </c>
      <c r="B82" s="529" t="s">
        <v>609</v>
      </c>
      <c r="C82" s="530">
        <v>0</v>
      </c>
      <c r="D82" s="530">
        <v>0</v>
      </c>
      <c r="E82" s="530">
        <v>0</v>
      </c>
      <c r="F82" s="530">
        <v>0</v>
      </c>
      <c r="G82" s="530">
        <v>0</v>
      </c>
      <c r="H82" s="530">
        <v>0</v>
      </c>
      <c r="I82" s="530">
        <v>0</v>
      </c>
      <c r="J82" s="530">
        <v>0</v>
      </c>
      <c r="K82" s="530">
        <v>0</v>
      </c>
      <c r="L82" s="530">
        <v>0</v>
      </c>
      <c r="M82" s="530">
        <v>0</v>
      </c>
      <c r="N82" s="530">
        <v>0</v>
      </c>
      <c r="O82" s="530">
        <v>0</v>
      </c>
      <c r="P82" s="530">
        <v>0</v>
      </c>
      <c r="Q82" s="530">
        <f t="shared" si="14"/>
        <v>0</v>
      </c>
    </row>
    <row r="83" spans="1:17" s="545" customFormat="1" ht="12.75" x14ac:dyDescent="0.2">
      <c r="A83" s="513">
        <v>62122</v>
      </c>
      <c r="B83" s="529" t="s">
        <v>610</v>
      </c>
      <c r="C83" s="530">
        <v>0</v>
      </c>
      <c r="D83" s="530">
        <v>0</v>
      </c>
      <c r="E83" s="530">
        <v>0</v>
      </c>
      <c r="F83" s="530">
        <v>0</v>
      </c>
      <c r="G83" s="530">
        <v>0</v>
      </c>
      <c r="H83" s="530">
        <v>0</v>
      </c>
      <c r="I83" s="530">
        <v>0</v>
      </c>
      <c r="J83" s="530">
        <v>0</v>
      </c>
      <c r="K83" s="530">
        <v>0</v>
      </c>
      <c r="L83" s="530">
        <v>0</v>
      </c>
      <c r="M83" s="530">
        <v>0</v>
      </c>
      <c r="N83" s="530">
        <v>0</v>
      </c>
      <c r="O83" s="530">
        <v>0</v>
      </c>
      <c r="P83" s="530">
        <v>0</v>
      </c>
      <c r="Q83" s="530">
        <f t="shared" si="14"/>
        <v>0</v>
      </c>
    </row>
    <row r="84" spans="1:17" s="545" customFormat="1" ht="12.75" x14ac:dyDescent="0.2">
      <c r="A84" s="513">
        <v>62130</v>
      </c>
      <c r="B84" s="529" t="s">
        <v>611</v>
      </c>
      <c r="C84" s="530">
        <v>0</v>
      </c>
      <c r="D84" s="530">
        <v>0</v>
      </c>
      <c r="E84" s="530">
        <v>0</v>
      </c>
      <c r="F84" s="530">
        <v>0</v>
      </c>
      <c r="G84" s="530">
        <v>0</v>
      </c>
      <c r="H84" s="530">
        <v>0</v>
      </c>
      <c r="I84" s="530">
        <v>0</v>
      </c>
      <c r="J84" s="530">
        <v>0</v>
      </c>
      <c r="K84" s="530">
        <v>0</v>
      </c>
      <c r="L84" s="530">
        <v>0</v>
      </c>
      <c r="M84" s="530">
        <v>0</v>
      </c>
      <c r="N84" s="530">
        <v>0</v>
      </c>
      <c r="O84" s="530">
        <v>0</v>
      </c>
      <c r="P84" s="530">
        <v>0</v>
      </c>
      <c r="Q84" s="530">
        <f t="shared" si="14"/>
        <v>0</v>
      </c>
    </row>
    <row r="85" spans="1:17" s="545" customFormat="1" ht="12.75" x14ac:dyDescent="0.2">
      <c r="A85" s="513">
        <v>62131</v>
      </c>
      <c r="B85" s="529" t="s">
        <v>612</v>
      </c>
      <c r="C85" s="530">
        <v>0</v>
      </c>
      <c r="D85" s="530">
        <v>0</v>
      </c>
      <c r="E85" s="530">
        <v>0</v>
      </c>
      <c r="F85" s="530">
        <v>0</v>
      </c>
      <c r="G85" s="530">
        <v>0</v>
      </c>
      <c r="H85" s="530">
        <v>0</v>
      </c>
      <c r="I85" s="530">
        <v>0</v>
      </c>
      <c r="J85" s="530">
        <v>0</v>
      </c>
      <c r="K85" s="530">
        <v>0</v>
      </c>
      <c r="L85" s="530">
        <v>0</v>
      </c>
      <c r="M85" s="530">
        <v>0</v>
      </c>
      <c r="N85" s="530">
        <v>0</v>
      </c>
      <c r="O85" s="530">
        <v>0</v>
      </c>
      <c r="P85" s="530">
        <v>0</v>
      </c>
      <c r="Q85" s="530">
        <f t="shared" si="14"/>
        <v>0</v>
      </c>
    </row>
    <row r="86" spans="1:17" s="545" customFormat="1" ht="12.75" x14ac:dyDescent="0.2">
      <c r="A86" s="513">
        <v>62132</v>
      </c>
      <c r="B86" s="529" t="s">
        <v>613</v>
      </c>
      <c r="C86" s="530">
        <v>0</v>
      </c>
      <c r="D86" s="530">
        <v>0</v>
      </c>
      <c r="E86" s="530">
        <v>0</v>
      </c>
      <c r="F86" s="530">
        <v>0</v>
      </c>
      <c r="G86" s="530">
        <v>0</v>
      </c>
      <c r="H86" s="530">
        <v>0</v>
      </c>
      <c r="I86" s="530">
        <v>0</v>
      </c>
      <c r="J86" s="530">
        <v>0</v>
      </c>
      <c r="K86" s="530">
        <v>0</v>
      </c>
      <c r="L86" s="530">
        <v>0</v>
      </c>
      <c r="M86" s="530">
        <v>0</v>
      </c>
      <c r="N86" s="530">
        <v>0</v>
      </c>
      <c r="O86" s="530">
        <v>0</v>
      </c>
      <c r="P86" s="530">
        <v>0</v>
      </c>
      <c r="Q86" s="530">
        <f t="shared" si="14"/>
        <v>0</v>
      </c>
    </row>
    <row r="87" spans="1:17" s="545" customFormat="1" ht="12.75" x14ac:dyDescent="0.2">
      <c r="A87" s="513">
        <v>62133</v>
      </c>
      <c r="B87" s="529" t="s">
        <v>614</v>
      </c>
      <c r="C87" s="530">
        <v>0</v>
      </c>
      <c r="D87" s="530">
        <v>0</v>
      </c>
      <c r="E87" s="530">
        <v>0</v>
      </c>
      <c r="F87" s="530">
        <v>0</v>
      </c>
      <c r="G87" s="530">
        <v>0</v>
      </c>
      <c r="H87" s="530">
        <v>0</v>
      </c>
      <c r="I87" s="530">
        <v>0</v>
      </c>
      <c r="J87" s="530">
        <v>0</v>
      </c>
      <c r="K87" s="530">
        <v>0</v>
      </c>
      <c r="L87" s="530">
        <v>0</v>
      </c>
      <c r="M87" s="530">
        <v>0</v>
      </c>
      <c r="N87" s="530">
        <v>0</v>
      </c>
      <c r="O87" s="530">
        <v>0</v>
      </c>
      <c r="P87" s="530">
        <v>0</v>
      </c>
      <c r="Q87" s="530">
        <f t="shared" si="14"/>
        <v>0</v>
      </c>
    </row>
    <row r="88" spans="1:17" s="545" customFormat="1" ht="12.75" x14ac:dyDescent="0.2">
      <c r="A88" s="513" t="s">
        <v>615</v>
      </c>
      <c r="B88" s="529" t="s">
        <v>616</v>
      </c>
      <c r="C88" s="530">
        <v>0</v>
      </c>
      <c r="D88" s="530">
        <v>0</v>
      </c>
      <c r="E88" s="530">
        <v>0</v>
      </c>
      <c r="F88" s="530">
        <v>0</v>
      </c>
      <c r="G88" s="530">
        <v>0</v>
      </c>
      <c r="H88" s="530">
        <v>0</v>
      </c>
      <c r="I88" s="530">
        <v>0</v>
      </c>
      <c r="J88" s="530">
        <v>0</v>
      </c>
      <c r="K88" s="530">
        <v>0</v>
      </c>
      <c r="L88" s="530">
        <v>0</v>
      </c>
      <c r="M88" s="530">
        <v>0</v>
      </c>
      <c r="N88" s="530">
        <v>0</v>
      </c>
      <c r="O88" s="530">
        <v>0</v>
      </c>
      <c r="P88" s="530">
        <v>0</v>
      </c>
      <c r="Q88" s="530">
        <f t="shared" si="14"/>
        <v>0</v>
      </c>
    </row>
    <row r="89" spans="1:17" s="545" customFormat="1" ht="12.75" x14ac:dyDescent="0.2">
      <c r="A89" s="513">
        <v>62151</v>
      </c>
      <c r="B89" s="529" t="s">
        <v>617</v>
      </c>
      <c r="C89" s="530">
        <v>0</v>
      </c>
      <c r="D89" s="530">
        <v>0</v>
      </c>
      <c r="E89" s="530">
        <v>0</v>
      </c>
      <c r="F89" s="530">
        <v>0</v>
      </c>
      <c r="G89" s="530">
        <v>0</v>
      </c>
      <c r="H89" s="530">
        <v>0</v>
      </c>
      <c r="I89" s="530">
        <v>0</v>
      </c>
      <c r="J89" s="530">
        <v>0</v>
      </c>
      <c r="K89" s="530">
        <v>0</v>
      </c>
      <c r="L89" s="530">
        <v>0</v>
      </c>
      <c r="M89" s="530">
        <v>0</v>
      </c>
      <c r="N89" s="530">
        <v>0</v>
      </c>
      <c r="O89" s="530">
        <v>0</v>
      </c>
      <c r="P89" s="530">
        <v>0</v>
      </c>
      <c r="Q89" s="530">
        <f t="shared" si="14"/>
        <v>0</v>
      </c>
    </row>
    <row r="90" spans="1:17" s="545" customFormat="1" ht="12.75" x14ac:dyDescent="0.2">
      <c r="A90" s="513">
        <v>62151.1</v>
      </c>
      <c r="B90" s="529" t="s">
        <v>618</v>
      </c>
      <c r="C90" s="530">
        <v>0</v>
      </c>
      <c r="D90" s="530">
        <v>0</v>
      </c>
      <c r="E90" s="530">
        <v>0</v>
      </c>
      <c r="F90" s="530">
        <v>0</v>
      </c>
      <c r="G90" s="530">
        <v>0</v>
      </c>
      <c r="H90" s="530">
        <v>0</v>
      </c>
      <c r="I90" s="530">
        <v>0</v>
      </c>
      <c r="J90" s="530">
        <v>0</v>
      </c>
      <c r="K90" s="530">
        <v>0</v>
      </c>
      <c r="L90" s="530">
        <v>0</v>
      </c>
      <c r="M90" s="530">
        <v>0</v>
      </c>
      <c r="N90" s="530">
        <v>0</v>
      </c>
      <c r="O90" s="530">
        <v>0</v>
      </c>
      <c r="P90" s="530">
        <v>0</v>
      </c>
      <c r="Q90" s="530">
        <f t="shared" si="14"/>
        <v>0</v>
      </c>
    </row>
    <row r="91" spans="1:17" s="545" customFormat="1" ht="12.75" x14ac:dyDescent="0.2">
      <c r="A91" s="513">
        <v>62200</v>
      </c>
      <c r="B91" s="529" t="s">
        <v>619</v>
      </c>
      <c r="C91" s="530">
        <v>0</v>
      </c>
      <c r="D91" s="530">
        <v>0</v>
      </c>
      <c r="E91" s="530">
        <v>0</v>
      </c>
      <c r="F91" s="530">
        <v>0</v>
      </c>
      <c r="G91" s="530">
        <v>0</v>
      </c>
      <c r="H91" s="530">
        <v>0</v>
      </c>
      <c r="I91" s="530">
        <v>0</v>
      </c>
      <c r="J91" s="530">
        <v>0</v>
      </c>
      <c r="K91" s="530">
        <v>0</v>
      </c>
      <c r="L91" s="530">
        <v>0</v>
      </c>
      <c r="M91" s="530">
        <v>0</v>
      </c>
      <c r="N91" s="530">
        <v>0</v>
      </c>
      <c r="O91" s="530">
        <v>0</v>
      </c>
      <c r="P91" s="530">
        <v>0</v>
      </c>
      <c r="Q91" s="530">
        <f t="shared" si="14"/>
        <v>0</v>
      </c>
    </row>
    <row r="92" spans="1:17" s="545" customFormat="1" ht="12.75" x14ac:dyDescent="0.2">
      <c r="A92" s="513">
        <v>62201</v>
      </c>
      <c r="B92" s="529" t="s">
        <v>620</v>
      </c>
      <c r="C92" s="530">
        <v>0</v>
      </c>
      <c r="D92" s="530">
        <v>0</v>
      </c>
      <c r="E92" s="530">
        <v>0</v>
      </c>
      <c r="F92" s="530">
        <v>0</v>
      </c>
      <c r="G92" s="530">
        <v>0</v>
      </c>
      <c r="H92" s="530">
        <v>0</v>
      </c>
      <c r="I92" s="530">
        <v>0</v>
      </c>
      <c r="J92" s="530">
        <v>0</v>
      </c>
      <c r="K92" s="530">
        <v>0</v>
      </c>
      <c r="L92" s="530">
        <v>0</v>
      </c>
      <c r="M92" s="530">
        <v>0</v>
      </c>
      <c r="N92" s="530">
        <v>0</v>
      </c>
      <c r="O92" s="530">
        <v>0</v>
      </c>
      <c r="P92" s="530">
        <v>0</v>
      </c>
      <c r="Q92" s="530">
        <f t="shared" si="14"/>
        <v>0</v>
      </c>
    </row>
    <row r="93" spans="1:17" s="545" customFormat="1" ht="12.75" x14ac:dyDescent="0.2">
      <c r="A93" s="513">
        <v>62202</v>
      </c>
      <c r="B93" s="529" t="s">
        <v>621</v>
      </c>
      <c r="C93" s="530">
        <v>0</v>
      </c>
      <c r="D93" s="530">
        <v>0</v>
      </c>
      <c r="E93" s="530">
        <v>0</v>
      </c>
      <c r="F93" s="530">
        <v>0</v>
      </c>
      <c r="G93" s="530">
        <v>0</v>
      </c>
      <c r="H93" s="530">
        <v>0</v>
      </c>
      <c r="I93" s="530">
        <v>0</v>
      </c>
      <c r="J93" s="530">
        <v>0</v>
      </c>
      <c r="K93" s="530">
        <v>0</v>
      </c>
      <c r="L93" s="530">
        <v>0</v>
      </c>
      <c r="M93" s="530">
        <v>0</v>
      </c>
      <c r="N93" s="530">
        <v>0</v>
      </c>
      <c r="O93" s="530">
        <v>0</v>
      </c>
      <c r="P93" s="530">
        <v>0</v>
      </c>
      <c r="Q93" s="530">
        <f t="shared" si="14"/>
        <v>0</v>
      </c>
    </row>
    <row r="94" spans="1:17" s="545" customFormat="1" ht="12.75" x14ac:dyDescent="0.2">
      <c r="A94" s="513">
        <v>62205</v>
      </c>
      <c r="B94" s="529" t="s">
        <v>622</v>
      </c>
      <c r="C94" s="530">
        <v>0</v>
      </c>
      <c r="D94" s="530">
        <v>0</v>
      </c>
      <c r="E94" s="530">
        <v>0</v>
      </c>
      <c r="F94" s="530">
        <v>0</v>
      </c>
      <c r="G94" s="530">
        <v>0</v>
      </c>
      <c r="H94" s="530">
        <v>0</v>
      </c>
      <c r="I94" s="530">
        <v>0</v>
      </c>
      <c r="J94" s="530">
        <v>0</v>
      </c>
      <c r="K94" s="530">
        <v>0</v>
      </c>
      <c r="L94" s="530">
        <v>0</v>
      </c>
      <c r="M94" s="530">
        <v>0</v>
      </c>
      <c r="N94" s="530">
        <v>0</v>
      </c>
      <c r="O94" s="530">
        <v>0</v>
      </c>
      <c r="P94" s="530">
        <v>0</v>
      </c>
      <c r="Q94" s="530">
        <f t="shared" si="14"/>
        <v>0</v>
      </c>
    </row>
    <row r="95" spans="1:17" s="545" customFormat="1" ht="12.75" x14ac:dyDescent="0.2">
      <c r="A95" s="513">
        <v>62300</v>
      </c>
      <c r="B95" s="529" t="s">
        <v>623</v>
      </c>
      <c r="C95" s="530">
        <v>27531.34</v>
      </c>
      <c r="D95" s="530">
        <v>0</v>
      </c>
      <c r="E95" s="530">
        <v>1723.01</v>
      </c>
      <c r="F95" s="530">
        <v>0</v>
      </c>
      <c r="G95" s="530">
        <v>16350.910000000002</v>
      </c>
      <c r="H95" s="530">
        <v>0</v>
      </c>
      <c r="I95" s="530">
        <v>0</v>
      </c>
      <c r="J95" s="530">
        <v>179.85</v>
      </c>
      <c r="K95" s="530">
        <v>0</v>
      </c>
      <c r="L95" s="530">
        <v>17503.259999999998</v>
      </c>
      <c r="M95" s="530">
        <v>0</v>
      </c>
      <c r="N95" s="530">
        <v>0</v>
      </c>
      <c r="O95" s="530">
        <v>0</v>
      </c>
      <c r="P95" s="530">
        <v>0</v>
      </c>
      <c r="Q95" s="530">
        <f t="shared" si="14"/>
        <v>63288.369999999995</v>
      </c>
    </row>
    <row r="96" spans="1:17" s="545" customFormat="1" ht="12.75" x14ac:dyDescent="0.2">
      <c r="A96" s="513">
        <v>62301</v>
      </c>
      <c r="B96" s="529" t="s">
        <v>624</v>
      </c>
      <c r="C96" s="530">
        <v>0</v>
      </c>
      <c r="D96" s="530">
        <v>0</v>
      </c>
      <c r="E96" s="530">
        <v>0</v>
      </c>
      <c r="F96" s="530">
        <v>0</v>
      </c>
      <c r="G96" s="530">
        <v>0</v>
      </c>
      <c r="H96" s="530">
        <v>0</v>
      </c>
      <c r="I96" s="530">
        <v>0</v>
      </c>
      <c r="J96" s="530">
        <v>0</v>
      </c>
      <c r="K96" s="530">
        <v>0</v>
      </c>
      <c r="L96" s="530">
        <v>0</v>
      </c>
      <c r="M96" s="530">
        <v>0</v>
      </c>
      <c r="N96" s="530">
        <v>0</v>
      </c>
      <c r="O96" s="530">
        <v>0</v>
      </c>
      <c r="P96" s="530">
        <v>0</v>
      </c>
      <c r="Q96" s="530">
        <f t="shared" si="14"/>
        <v>0</v>
      </c>
    </row>
    <row r="97" spans="1:17" s="545" customFormat="1" ht="12.75" x14ac:dyDescent="0.2">
      <c r="A97" s="513">
        <v>62302</v>
      </c>
      <c r="B97" s="529" t="s">
        <v>625</v>
      </c>
      <c r="C97" s="530">
        <v>0</v>
      </c>
      <c r="D97" s="530">
        <v>0</v>
      </c>
      <c r="E97" s="530">
        <v>0</v>
      </c>
      <c r="F97" s="530">
        <v>0</v>
      </c>
      <c r="G97" s="530">
        <v>0</v>
      </c>
      <c r="H97" s="530">
        <v>0</v>
      </c>
      <c r="I97" s="530">
        <v>0</v>
      </c>
      <c r="J97" s="530">
        <v>0</v>
      </c>
      <c r="K97" s="530">
        <v>0</v>
      </c>
      <c r="L97" s="530">
        <v>0</v>
      </c>
      <c r="M97" s="530">
        <v>0</v>
      </c>
      <c r="N97" s="530">
        <v>0</v>
      </c>
      <c r="O97" s="530">
        <v>0</v>
      </c>
      <c r="P97" s="530">
        <v>0</v>
      </c>
      <c r="Q97" s="530">
        <f t="shared" si="14"/>
        <v>0</v>
      </c>
    </row>
    <row r="98" spans="1:17" s="545" customFormat="1" ht="12.75" x14ac:dyDescent="0.2">
      <c r="A98" s="513">
        <v>62303</v>
      </c>
      <c r="B98" s="529" t="s">
        <v>626</v>
      </c>
      <c r="C98" s="530">
        <v>0</v>
      </c>
      <c r="D98" s="530">
        <v>0</v>
      </c>
      <c r="E98" s="530">
        <v>0</v>
      </c>
      <c r="F98" s="530">
        <v>0</v>
      </c>
      <c r="G98" s="530">
        <v>0</v>
      </c>
      <c r="H98" s="530">
        <v>0</v>
      </c>
      <c r="I98" s="530">
        <v>0</v>
      </c>
      <c r="J98" s="530">
        <v>0</v>
      </c>
      <c r="K98" s="530">
        <v>0</v>
      </c>
      <c r="L98" s="530">
        <v>0</v>
      </c>
      <c r="M98" s="530">
        <v>0</v>
      </c>
      <c r="N98" s="530">
        <v>0</v>
      </c>
      <c r="O98" s="530">
        <v>0</v>
      </c>
      <c r="P98" s="530">
        <v>0</v>
      </c>
      <c r="Q98" s="530">
        <f t="shared" si="14"/>
        <v>0</v>
      </c>
    </row>
    <row r="99" spans="1:17" s="545" customFormat="1" ht="12.75" x14ac:dyDescent="0.2">
      <c r="A99" s="513">
        <v>62304</v>
      </c>
      <c r="B99" s="529" t="s">
        <v>627</v>
      </c>
      <c r="C99" s="530">
        <v>21858.84</v>
      </c>
      <c r="D99" s="530">
        <v>0</v>
      </c>
      <c r="E99" s="530">
        <v>-5015.4400000000005</v>
      </c>
      <c r="F99" s="530">
        <v>0</v>
      </c>
      <c r="G99" s="530">
        <v>15377.67</v>
      </c>
      <c r="H99" s="530">
        <v>0</v>
      </c>
      <c r="I99" s="530">
        <v>0</v>
      </c>
      <c r="J99" s="530">
        <v>18.61</v>
      </c>
      <c r="K99" s="530">
        <v>0</v>
      </c>
      <c r="L99" s="530">
        <v>27944.230000000003</v>
      </c>
      <c r="M99" s="530">
        <v>0</v>
      </c>
      <c r="N99" s="530">
        <v>0</v>
      </c>
      <c r="O99" s="530">
        <v>0</v>
      </c>
      <c r="P99" s="530">
        <v>0</v>
      </c>
      <c r="Q99" s="530">
        <f t="shared" si="14"/>
        <v>60183.91</v>
      </c>
    </row>
    <row r="100" spans="1:17" s="545" customFormat="1" ht="12.75" x14ac:dyDescent="0.2">
      <c r="A100" s="513">
        <v>62305</v>
      </c>
      <c r="B100" s="529" t="s">
        <v>628</v>
      </c>
      <c r="C100" s="530">
        <v>16360.35</v>
      </c>
      <c r="D100" s="530">
        <v>0</v>
      </c>
      <c r="E100" s="530">
        <v>981.64</v>
      </c>
      <c r="F100" s="530">
        <v>9138.6099999999988</v>
      </c>
      <c r="G100" s="530">
        <v>8717.4500000000007</v>
      </c>
      <c r="H100" s="530">
        <v>1380.6699999999998</v>
      </c>
      <c r="I100" s="530">
        <v>0</v>
      </c>
      <c r="J100" s="530">
        <v>72.569999999999993</v>
      </c>
      <c r="K100" s="530">
        <v>0</v>
      </c>
      <c r="L100" s="530">
        <v>10656.960000000001</v>
      </c>
      <c r="M100" s="530">
        <v>0</v>
      </c>
      <c r="N100" s="530">
        <v>0</v>
      </c>
      <c r="O100" s="530">
        <v>0</v>
      </c>
      <c r="P100" s="530">
        <v>0</v>
      </c>
      <c r="Q100" s="530">
        <f t="shared" si="14"/>
        <v>47308.25</v>
      </c>
    </row>
    <row r="101" spans="1:17" s="545" customFormat="1" ht="12.75" x14ac:dyDescent="0.2">
      <c r="A101" s="513">
        <v>62306</v>
      </c>
      <c r="B101" s="529" t="s">
        <v>629</v>
      </c>
      <c r="C101" s="530">
        <v>3147.14</v>
      </c>
      <c r="D101" s="530">
        <v>0</v>
      </c>
      <c r="E101" s="530">
        <v>6804.9599999999991</v>
      </c>
      <c r="F101" s="530">
        <v>0</v>
      </c>
      <c r="G101" s="530">
        <v>2423.04</v>
      </c>
      <c r="H101" s="530">
        <v>0</v>
      </c>
      <c r="I101" s="530">
        <v>0</v>
      </c>
      <c r="J101" s="530">
        <v>-104.79</v>
      </c>
      <c r="K101" s="530">
        <v>0</v>
      </c>
      <c r="L101" s="530">
        <v>2033.12</v>
      </c>
      <c r="M101" s="530">
        <v>0</v>
      </c>
      <c r="N101" s="530">
        <v>0</v>
      </c>
      <c r="O101" s="530">
        <v>0</v>
      </c>
      <c r="P101" s="530">
        <v>0</v>
      </c>
      <c r="Q101" s="530">
        <f t="shared" si="14"/>
        <v>14303.469999999998</v>
      </c>
    </row>
    <row r="102" spans="1:17" s="545" customFormat="1" ht="12.75" x14ac:dyDescent="0.2">
      <c r="A102" s="513">
        <v>62600</v>
      </c>
      <c r="B102" s="529" t="s">
        <v>630</v>
      </c>
      <c r="C102" s="530">
        <v>85622.55</v>
      </c>
      <c r="D102" s="530">
        <v>0</v>
      </c>
      <c r="E102" s="530">
        <v>-39028.82</v>
      </c>
      <c r="F102" s="530">
        <v>0</v>
      </c>
      <c r="G102" s="530">
        <v>15747.15</v>
      </c>
      <c r="H102" s="530">
        <v>0</v>
      </c>
      <c r="I102" s="530">
        <v>0</v>
      </c>
      <c r="J102" s="530">
        <v>7807.9100000000008</v>
      </c>
      <c r="K102" s="530">
        <v>0</v>
      </c>
      <c r="L102" s="530">
        <v>36614.579999999994</v>
      </c>
      <c r="M102" s="530">
        <v>0</v>
      </c>
      <c r="N102" s="530">
        <v>0</v>
      </c>
      <c r="O102" s="530">
        <v>0</v>
      </c>
      <c r="P102" s="530">
        <v>0</v>
      </c>
      <c r="Q102" s="530">
        <f t="shared" si="14"/>
        <v>106763.37</v>
      </c>
    </row>
    <row r="103" spans="1:17" s="545" customFormat="1" ht="12.75" x14ac:dyDescent="0.2">
      <c r="A103" s="513">
        <v>62601</v>
      </c>
      <c r="B103" s="529" t="s">
        <v>631</v>
      </c>
      <c r="C103" s="530">
        <v>0</v>
      </c>
      <c r="D103" s="530">
        <v>0</v>
      </c>
      <c r="E103" s="1189">
        <v>67657</v>
      </c>
      <c r="F103" s="530">
        <v>0</v>
      </c>
      <c r="G103" s="530">
        <v>0</v>
      </c>
      <c r="H103" s="530">
        <v>0</v>
      </c>
      <c r="I103" s="530">
        <v>0</v>
      </c>
      <c r="J103" s="530">
        <v>0</v>
      </c>
      <c r="K103" s="530">
        <v>0</v>
      </c>
      <c r="L103" s="530">
        <v>0</v>
      </c>
      <c r="M103" s="530">
        <v>0</v>
      </c>
      <c r="N103" s="530">
        <v>0</v>
      </c>
      <c r="O103" s="530">
        <v>0</v>
      </c>
      <c r="P103" s="530">
        <v>0</v>
      </c>
      <c r="Q103" s="530">
        <f t="shared" si="14"/>
        <v>67657</v>
      </c>
    </row>
    <row r="104" spans="1:17" s="545" customFormat="1" ht="12.75" x14ac:dyDescent="0.2">
      <c r="A104" s="513">
        <v>62400</v>
      </c>
      <c r="B104" s="553" t="s">
        <v>632</v>
      </c>
      <c r="C104" s="531">
        <v>0</v>
      </c>
      <c r="D104" s="531">
        <v>0</v>
      </c>
      <c r="E104" s="531">
        <v>0</v>
      </c>
      <c r="F104" s="531">
        <v>0</v>
      </c>
      <c r="G104" s="531">
        <v>0</v>
      </c>
      <c r="H104" s="531">
        <v>0</v>
      </c>
      <c r="I104" s="531">
        <v>0</v>
      </c>
      <c r="J104" s="531">
        <v>0</v>
      </c>
      <c r="K104" s="531">
        <v>0</v>
      </c>
      <c r="L104" s="531">
        <v>0</v>
      </c>
      <c r="M104" s="531">
        <v>0</v>
      </c>
      <c r="N104" s="531">
        <v>0</v>
      </c>
      <c r="O104" s="531">
        <v>0</v>
      </c>
      <c r="P104" s="531">
        <v>0</v>
      </c>
      <c r="Q104" s="531">
        <f t="shared" si="14"/>
        <v>0</v>
      </c>
    </row>
    <row r="105" spans="1:17" s="428" customFormat="1" ht="12.75" x14ac:dyDescent="0.2">
      <c r="A105" s="513">
        <v>62950</v>
      </c>
      <c r="B105" s="532" t="s">
        <v>633</v>
      </c>
      <c r="C105" s="533">
        <f t="shared" ref="C105:Q105" si="15">SUM(C79:C104)</f>
        <v>404489.11000000004</v>
      </c>
      <c r="D105" s="533">
        <f t="shared" si="15"/>
        <v>0</v>
      </c>
      <c r="E105" s="533">
        <f t="shared" si="15"/>
        <v>33122.35</v>
      </c>
      <c r="F105" s="533">
        <f t="shared" si="15"/>
        <v>9138.6099999999988</v>
      </c>
      <c r="G105" s="533">
        <f t="shared" si="15"/>
        <v>241529.46000000002</v>
      </c>
      <c r="H105" s="533">
        <f t="shared" si="15"/>
        <v>1380.6699999999998</v>
      </c>
      <c r="I105" s="533">
        <f t="shared" si="15"/>
        <v>0</v>
      </c>
      <c r="J105" s="533">
        <f t="shared" si="15"/>
        <v>9259.380000000001</v>
      </c>
      <c r="K105" s="533">
        <f t="shared" si="15"/>
        <v>0</v>
      </c>
      <c r="L105" s="533">
        <f t="shared" si="15"/>
        <v>254396.00999999998</v>
      </c>
      <c r="M105" s="533">
        <f t="shared" si="15"/>
        <v>0</v>
      </c>
      <c r="N105" s="533">
        <f t="shared" si="15"/>
        <v>0</v>
      </c>
      <c r="O105" s="533">
        <f t="shared" si="15"/>
        <v>0</v>
      </c>
      <c r="P105" s="533">
        <f t="shared" si="15"/>
        <v>0</v>
      </c>
      <c r="Q105" s="533">
        <f t="shared" si="15"/>
        <v>953315.59</v>
      </c>
    </row>
    <row r="106" spans="1:17" s="428" customFormat="1" ht="12.75" x14ac:dyDescent="0.2">
      <c r="A106" s="513"/>
      <c r="B106" s="516"/>
      <c r="C106" s="528"/>
      <c r="D106" s="528"/>
      <c r="E106" s="528"/>
      <c r="F106" s="528"/>
      <c r="G106" s="528"/>
      <c r="H106" s="528"/>
      <c r="I106" s="528"/>
      <c r="J106" s="528"/>
      <c r="K106" s="528"/>
      <c r="L106" s="528"/>
      <c r="M106" s="528"/>
      <c r="N106" s="528"/>
      <c r="O106" s="528"/>
      <c r="P106" s="528"/>
      <c r="Q106" s="528"/>
    </row>
    <row r="107" spans="1:17" s="428" customFormat="1" ht="12.75" x14ac:dyDescent="0.2">
      <c r="A107" s="513"/>
      <c r="B107" s="516" t="s">
        <v>634</v>
      </c>
      <c r="C107" s="528"/>
      <c r="D107" s="528"/>
      <c r="E107" s="528"/>
      <c r="F107" s="528"/>
      <c r="G107" s="528"/>
      <c r="H107" s="528"/>
      <c r="I107" s="528"/>
      <c r="J107" s="528"/>
      <c r="K107" s="528"/>
      <c r="L107" s="528"/>
      <c r="M107" s="528"/>
      <c r="N107" s="528"/>
      <c r="O107" s="528"/>
      <c r="P107" s="528"/>
      <c r="Q107" s="528"/>
    </row>
    <row r="108" spans="1:17" s="545" customFormat="1" ht="12.75" x14ac:dyDescent="0.2">
      <c r="A108" s="513">
        <v>63100</v>
      </c>
      <c r="B108" s="529" t="s">
        <v>635</v>
      </c>
      <c r="C108" s="530">
        <v>322.68</v>
      </c>
      <c r="D108" s="530">
        <v>0</v>
      </c>
      <c r="E108" s="530">
        <v>0</v>
      </c>
      <c r="F108" s="530">
        <v>0</v>
      </c>
      <c r="G108" s="530">
        <v>0</v>
      </c>
      <c r="H108" s="530">
        <v>0</v>
      </c>
      <c r="I108" s="530">
        <v>0</v>
      </c>
      <c r="J108" s="530">
        <v>0</v>
      </c>
      <c r="K108" s="530">
        <v>0</v>
      </c>
      <c r="L108" s="530">
        <v>0</v>
      </c>
      <c r="M108" s="530">
        <v>0</v>
      </c>
      <c r="N108" s="530">
        <v>0</v>
      </c>
      <c r="O108" s="530">
        <v>0</v>
      </c>
      <c r="P108" s="530">
        <v>0</v>
      </c>
      <c r="Q108" s="530">
        <f t="shared" ref="Q108:Q115" si="16">SUM(C108:P108)</f>
        <v>322.68</v>
      </c>
    </row>
    <row r="109" spans="1:17" s="545" customFormat="1" ht="12.75" x14ac:dyDescent="0.2">
      <c r="A109" s="513">
        <v>63200</v>
      </c>
      <c r="B109" s="529" t="s">
        <v>636</v>
      </c>
      <c r="C109" s="530">
        <v>0</v>
      </c>
      <c r="D109" s="530">
        <v>0</v>
      </c>
      <c r="E109" s="530">
        <v>0</v>
      </c>
      <c r="F109" s="530">
        <v>0</v>
      </c>
      <c r="G109" s="530">
        <v>0</v>
      </c>
      <c r="H109" s="530">
        <v>0</v>
      </c>
      <c r="I109" s="530">
        <v>0</v>
      </c>
      <c r="J109" s="530">
        <v>0</v>
      </c>
      <c r="K109" s="530">
        <v>0</v>
      </c>
      <c r="L109" s="530">
        <v>0</v>
      </c>
      <c r="M109" s="530">
        <v>0</v>
      </c>
      <c r="N109" s="530">
        <v>0</v>
      </c>
      <c r="O109" s="530">
        <v>0</v>
      </c>
      <c r="P109" s="530">
        <v>0</v>
      </c>
      <c r="Q109" s="530">
        <f t="shared" si="16"/>
        <v>0</v>
      </c>
    </row>
    <row r="110" spans="1:17" s="545" customFormat="1" ht="12.75" x14ac:dyDescent="0.2">
      <c r="A110" s="513">
        <v>63250</v>
      </c>
      <c r="B110" s="529" t="s">
        <v>637</v>
      </c>
      <c r="C110" s="530">
        <v>0</v>
      </c>
      <c r="D110" s="530">
        <v>0</v>
      </c>
      <c r="E110" s="530">
        <v>0</v>
      </c>
      <c r="F110" s="530">
        <v>0</v>
      </c>
      <c r="G110" s="530">
        <v>320.68</v>
      </c>
      <c r="H110" s="530">
        <v>0</v>
      </c>
      <c r="I110" s="530">
        <v>0</v>
      </c>
      <c r="J110" s="530">
        <v>0</v>
      </c>
      <c r="K110" s="530">
        <v>0</v>
      </c>
      <c r="L110" s="530">
        <v>551.19000000000005</v>
      </c>
      <c r="M110" s="530">
        <v>0</v>
      </c>
      <c r="N110" s="530">
        <v>0</v>
      </c>
      <c r="O110" s="530">
        <v>0</v>
      </c>
      <c r="P110" s="530">
        <v>0</v>
      </c>
      <c r="Q110" s="530">
        <f t="shared" si="16"/>
        <v>871.87000000000012</v>
      </c>
    </row>
    <row r="111" spans="1:17" s="545" customFormat="1" ht="12.75" x14ac:dyDescent="0.2">
      <c r="A111" s="513">
        <v>63300</v>
      </c>
      <c r="B111" s="529" t="s">
        <v>638</v>
      </c>
      <c r="C111" s="530">
        <v>417.85</v>
      </c>
      <c r="D111" s="530">
        <v>0</v>
      </c>
      <c r="E111" s="530">
        <v>0</v>
      </c>
      <c r="F111" s="530">
        <v>0</v>
      </c>
      <c r="G111" s="530">
        <v>0</v>
      </c>
      <c r="H111" s="530">
        <v>0</v>
      </c>
      <c r="I111" s="530">
        <v>0</v>
      </c>
      <c r="J111" s="530">
        <v>0</v>
      </c>
      <c r="K111" s="530">
        <v>0</v>
      </c>
      <c r="L111" s="530">
        <v>0</v>
      </c>
      <c r="M111" s="530">
        <v>0</v>
      </c>
      <c r="N111" s="530">
        <v>0</v>
      </c>
      <c r="O111" s="530">
        <v>0</v>
      </c>
      <c r="P111" s="530">
        <v>0</v>
      </c>
      <c r="Q111" s="530">
        <f t="shared" si="16"/>
        <v>417.85</v>
      </c>
    </row>
    <row r="112" spans="1:17" s="545" customFormat="1" ht="12.75" x14ac:dyDescent="0.2">
      <c r="A112" s="513">
        <v>63400</v>
      </c>
      <c r="B112" s="529" t="s">
        <v>639</v>
      </c>
      <c r="C112" s="530">
        <v>350.4</v>
      </c>
      <c r="D112" s="530">
        <v>0</v>
      </c>
      <c r="E112" s="530">
        <v>0</v>
      </c>
      <c r="F112" s="530">
        <v>0</v>
      </c>
      <c r="G112" s="530">
        <v>0</v>
      </c>
      <c r="H112" s="530">
        <v>0</v>
      </c>
      <c r="I112" s="530">
        <v>0</v>
      </c>
      <c r="J112" s="530">
        <v>0</v>
      </c>
      <c r="K112" s="530">
        <v>0</v>
      </c>
      <c r="L112" s="530">
        <v>0</v>
      </c>
      <c r="M112" s="530">
        <v>0</v>
      </c>
      <c r="N112" s="530">
        <v>0</v>
      </c>
      <c r="O112" s="530">
        <v>0</v>
      </c>
      <c r="P112" s="530">
        <v>0</v>
      </c>
      <c r="Q112" s="530">
        <f t="shared" si="16"/>
        <v>350.4</v>
      </c>
    </row>
    <row r="113" spans="1:17" s="545" customFormat="1" ht="12.75" x14ac:dyDescent="0.2">
      <c r="A113" s="513">
        <v>63450</v>
      </c>
      <c r="B113" s="529" t="s">
        <v>640</v>
      </c>
      <c r="C113" s="530">
        <v>1132.1699999999998</v>
      </c>
      <c r="D113" s="530">
        <v>0</v>
      </c>
      <c r="E113" s="530">
        <v>0</v>
      </c>
      <c r="F113" s="530">
        <v>0</v>
      </c>
      <c r="G113" s="530">
        <v>0</v>
      </c>
      <c r="H113" s="530">
        <v>0</v>
      </c>
      <c r="I113" s="530">
        <v>0</v>
      </c>
      <c r="J113" s="530">
        <v>0</v>
      </c>
      <c r="K113" s="530">
        <v>0</v>
      </c>
      <c r="L113" s="530">
        <v>30.26</v>
      </c>
      <c r="M113" s="530">
        <v>0</v>
      </c>
      <c r="N113" s="530">
        <v>0</v>
      </c>
      <c r="O113" s="530">
        <v>0</v>
      </c>
      <c r="P113" s="530">
        <v>0</v>
      </c>
      <c r="Q113" s="530">
        <f t="shared" si="16"/>
        <v>1162.4299999999998</v>
      </c>
    </row>
    <row r="114" spans="1:17" s="545" customFormat="1" ht="12.75" x14ac:dyDescent="0.2">
      <c r="A114" s="513">
        <v>63460</v>
      </c>
      <c r="B114" s="529" t="s">
        <v>641</v>
      </c>
      <c r="C114" s="530">
        <v>408.71999999999997</v>
      </c>
      <c r="D114" s="530">
        <v>0</v>
      </c>
      <c r="E114" s="530">
        <v>32.54</v>
      </c>
      <c r="F114" s="530">
        <v>0</v>
      </c>
      <c r="G114" s="530">
        <v>0</v>
      </c>
      <c r="H114" s="530">
        <v>0</v>
      </c>
      <c r="I114" s="530">
        <v>0</v>
      </c>
      <c r="J114" s="530">
        <v>0</v>
      </c>
      <c r="K114" s="530">
        <v>0</v>
      </c>
      <c r="L114" s="530">
        <v>0</v>
      </c>
      <c r="M114" s="530">
        <v>0</v>
      </c>
      <c r="N114" s="530">
        <v>0</v>
      </c>
      <c r="O114" s="530">
        <v>0</v>
      </c>
      <c r="P114" s="530">
        <v>0</v>
      </c>
      <c r="Q114" s="530">
        <f t="shared" si="16"/>
        <v>441.26</v>
      </c>
    </row>
    <row r="115" spans="1:17" s="545" customFormat="1" ht="12.75" x14ac:dyDescent="0.2">
      <c r="A115" s="513">
        <v>63470</v>
      </c>
      <c r="B115" s="553" t="s">
        <v>642</v>
      </c>
      <c r="C115" s="530">
        <v>0</v>
      </c>
      <c r="D115" s="530">
        <v>0</v>
      </c>
      <c r="E115" s="530">
        <v>0</v>
      </c>
      <c r="F115" s="530">
        <v>0</v>
      </c>
      <c r="G115" s="530">
        <v>0</v>
      </c>
      <c r="H115" s="530">
        <v>0</v>
      </c>
      <c r="I115" s="530">
        <v>0</v>
      </c>
      <c r="J115" s="530">
        <v>0</v>
      </c>
      <c r="K115" s="530">
        <v>0</v>
      </c>
      <c r="L115" s="530">
        <v>0</v>
      </c>
      <c r="M115" s="530">
        <v>0</v>
      </c>
      <c r="N115" s="530">
        <v>0</v>
      </c>
      <c r="O115" s="530">
        <v>0</v>
      </c>
      <c r="P115" s="530">
        <v>0</v>
      </c>
      <c r="Q115" s="530">
        <f t="shared" si="16"/>
        <v>0</v>
      </c>
    </row>
    <row r="116" spans="1:17" s="428" customFormat="1" ht="12.75" x14ac:dyDescent="0.2">
      <c r="A116" s="513">
        <v>63500</v>
      </c>
      <c r="B116" s="536" t="s">
        <v>643</v>
      </c>
      <c r="C116" s="537">
        <f t="shared" ref="C116:Q116" si="17">SUM(C108:C115)</f>
        <v>2631.8199999999993</v>
      </c>
      <c r="D116" s="537">
        <f t="shared" si="17"/>
        <v>0</v>
      </c>
      <c r="E116" s="537">
        <f t="shared" si="17"/>
        <v>32.54</v>
      </c>
      <c r="F116" s="537">
        <f t="shared" si="17"/>
        <v>0</v>
      </c>
      <c r="G116" s="1190">
        <f t="shared" si="17"/>
        <v>320.68</v>
      </c>
      <c r="H116" s="1190">
        <f t="shared" si="17"/>
        <v>0</v>
      </c>
      <c r="I116" s="537">
        <f t="shared" si="17"/>
        <v>0</v>
      </c>
      <c r="J116" s="537">
        <f t="shared" si="17"/>
        <v>0</v>
      </c>
      <c r="K116" s="537">
        <f t="shared" si="17"/>
        <v>0</v>
      </c>
      <c r="L116" s="537">
        <f t="shared" si="17"/>
        <v>581.45000000000005</v>
      </c>
      <c r="M116" s="537">
        <f t="shared" si="17"/>
        <v>0</v>
      </c>
      <c r="N116" s="537">
        <f t="shared" si="17"/>
        <v>0</v>
      </c>
      <c r="O116" s="537">
        <f t="shared" si="17"/>
        <v>0</v>
      </c>
      <c r="P116" s="537">
        <f t="shared" si="17"/>
        <v>0</v>
      </c>
      <c r="Q116" s="537">
        <f t="shared" si="17"/>
        <v>3566.49</v>
      </c>
    </row>
    <row r="117" spans="1:17" s="428" customFormat="1" ht="12.75" x14ac:dyDescent="0.2">
      <c r="A117" s="513"/>
      <c r="B117" s="516"/>
      <c r="C117" s="528"/>
      <c r="D117" s="528"/>
      <c r="E117" s="528"/>
      <c r="F117" s="528"/>
      <c r="G117" s="528"/>
      <c r="H117" s="528"/>
      <c r="I117" s="528"/>
      <c r="J117" s="528"/>
      <c r="K117" s="528"/>
      <c r="L117" s="528"/>
      <c r="M117" s="528"/>
      <c r="N117" s="528"/>
      <c r="O117" s="528"/>
      <c r="P117" s="528"/>
      <c r="Q117" s="528"/>
    </row>
    <row r="118" spans="1:17" s="428" customFormat="1" ht="12.75" x14ac:dyDescent="0.2">
      <c r="A118" s="513"/>
      <c r="B118" s="516" t="s">
        <v>644</v>
      </c>
      <c r="C118" s="528"/>
      <c r="D118" s="528"/>
      <c r="E118" s="528"/>
      <c r="F118" s="528"/>
      <c r="G118" s="528"/>
      <c r="H118" s="528"/>
      <c r="I118" s="528"/>
      <c r="J118" s="528"/>
      <c r="K118" s="528"/>
      <c r="L118" s="528"/>
      <c r="M118" s="528"/>
      <c r="N118" s="528"/>
      <c r="O118" s="528"/>
      <c r="P118" s="528"/>
      <c r="Q118" s="528"/>
    </row>
    <row r="119" spans="1:17" s="545" customFormat="1" ht="12.75" x14ac:dyDescent="0.2">
      <c r="A119" s="513">
        <v>64100</v>
      </c>
      <c r="B119" s="529" t="s">
        <v>645</v>
      </c>
      <c r="C119" s="530">
        <v>0</v>
      </c>
      <c r="D119" s="530">
        <v>0</v>
      </c>
      <c r="E119" s="530">
        <v>0</v>
      </c>
      <c r="F119" s="530">
        <v>0</v>
      </c>
      <c r="G119" s="530">
        <v>4.53</v>
      </c>
      <c r="H119" s="530">
        <v>0</v>
      </c>
      <c r="I119" s="530">
        <v>0</v>
      </c>
      <c r="J119" s="530">
        <v>0</v>
      </c>
      <c r="K119" s="530">
        <v>0</v>
      </c>
      <c r="L119" s="530">
        <v>503.36</v>
      </c>
      <c r="M119" s="530">
        <v>0</v>
      </c>
      <c r="N119" s="530">
        <v>0</v>
      </c>
      <c r="O119" s="530">
        <v>0</v>
      </c>
      <c r="P119" s="530">
        <v>0</v>
      </c>
      <c r="Q119" s="530">
        <f t="shared" ref="Q119:Q124" si="18">SUM(C119:P119)</f>
        <v>507.89</v>
      </c>
    </row>
    <row r="120" spans="1:17" s="545" customFormat="1" ht="12.75" x14ac:dyDescent="0.2">
      <c r="A120" s="513">
        <v>64150</v>
      </c>
      <c r="B120" s="529" t="s">
        <v>646</v>
      </c>
      <c r="C120" s="530">
        <v>-7.5</v>
      </c>
      <c r="D120" s="530">
        <v>0</v>
      </c>
      <c r="E120" s="530">
        <v>0</v>
      </c>
      <c r="F120" s="530">
        <v>0</v>
      </c>
      <c r="G120" s="530">
        <v>119.00000000000001</v>
      </c>
      <c r="H120" s="530">
        <v>0</v>
      </c>
      <c r="I120" s="530">
        <v>0</v>
      </c>
      <c r="J120" s="530">
        <v>0</v>
      </c>
      <c r="K120" s="530">
        <v>0</v>
      </c>
      <c r="L120" s="530">
        <v>0</v>
      </c>
      <c r="M120" s="530">
        <v>0</v>
      </c>
      <c r="N120" s="530">
        <v>0</v>
      </c>
      <c r="O120" s="530">
        <v>0</v>
      </c>
      <c r="P120" s="530">
        <v>0</v>
      </c>
      <c r="Q120" s="530">
        <f t="shared" si="18"/>
        <v>111.50000000000001</v>
      </c>
    </row>
    <row r="121" spans="1:17" s="545" customFormat="1" ht="12.75" x14ac:dyDescent="0.2">
      <c r="A121" s="513">
        <v>64200</v>
      </c>
      <c r="B121" s="529" t="s">
        <v>647</v>
      </c>
      <c r="C121" s="530">
        <v>0</v>
      </c>
      <c r="D121" s="530">
        <v>0</v>
      </c>
      <c r="E121" s="530">
        <v>0</v>
      </c>
      <c r="F121" s="530">
        <v>0</v>
      </c>
      <c r="G121" s="530">
        <v>0</v>
      </c>
      <c r="H121" s="530">
        <v>0</v>
      </c>
      <c r="I121" s="530">
        <v>0</v>
      </c>
      <c r="J121" s="530">
        <v>0</v>
      </c>
      <c r="K121" s="530">
        <v>0</v>
      </c>
      <c r="L121" s="530">
        <v>0</v>
      </c>
      <c r="M121" s="530">
        <v>0</v>
      </c>
      <c r="N121" s="530">
        <v>0</v>
      </c>
      <c r="O121" s="530">
        <v>0</v>
      </c>
      <c r="P121" s="530">
        <v>0</v>
      </c>
      <c r="Q121" s="530">
        <f t="shared" si="18"/>
        <v>0</v>
      </c>
    </row>
    <row r="122" spans="1:17" s="545" customFormat="1" ht="12.75" x14ac:dyDescent="0.2">
      <c r="A122" s="513">
        <v>64248</v>
      </c>
      <c r="B122" s="529" t="s">
        <v>648</v>
      </c>
      <c r="C122" s="530">
        <v>0</v>
      </c>
      <c r="D122" s="530">
        <v>0</v>
      </c>
      <c r="E122" s="530">
        <v>0</v>
      </c>
      <c r="F122" s="530">
        <v>0</v>
      </c>
      <c r="G122" s="530">
        <v>0</v>
      </c>
      <c r="H122" s="530">
        <v>0</v>
      </c>
      <c r="I122" s="530">
        <v>0</v>
      </c>
      <c r="J122" s="530">
        <v>0</v>
      </c>
      <c r="K122" s="530">
        <v>0</v>
      </c>
      <c r="L122" s="530">
        <v>0</v>
      </c>
      <c r="M122" s="530">
        <v>0</v>
      </c>
      <c r="N122" s="530">
        <v>0</v>
      </c>
      <c r="O122" s="530">
        <v>0</v>
      </c>
      <c r="P122" s="530">
        <v>0</v>
      </c>
      <c r="Q122" s="530">
        <f t="shared" si="18"/>
        <v>0</v>
      </c>
    </row>
    <row r="123" spans="1:17" s="545" customFormat="1" ht="12.75" x14ac:dyDescent="0.2">
      <c r="A123" s="513">
        <v>64250</v>
      </c>
      <c r="B123" s="529" t="s">
        <v>649</v>
      </c>
      <c r="C123" s="530">
        <v>0</v>
      </c>
      <c r="D123" s="530">
        <v>0</v>
      </c>
      <c r="E123" s="530">
        <v>0</v>
      </c>
      <c r="F123" s="530">
        <v>0</v>
      </c>
      <c r="G123" s="530">
        <v>0</v>
      </c>
      <c r="H123" s="530">
        <v>0</v>
      </c>
      <c r="I123" s="530">
        <v>0</v>
      </c>
      <c r="J123" s="530">
        <v>0</v>
      </c>
      <c r="K123" s="530">
        <v>0</v>
      </c>
      <c r="L123" s="530">
        <v>0</v>
      </c>
      <c r="M123" s="530">
        <v>0</v>
      </c>
      <c r="N123" s="530">
        <v>0</v>
      </c>
      <c r="O123" s="530">
        <v>0</v>
      </c>
      <c r="P123" s="530">
        <v>0</v>
      </c>
      <c r="Q123" s="530">
        <f t="shared" si="18"/>
        <v>0</v>
      </c>
    </row>
    <row r="124" spans="1:17" s="545" customFormat="1" ht="12.75" x14ac:dyDescent="0.2">
      <c r="A124" s="513">
        <v>64300</v>
      </c>
      <c r="B124" s="553" t="s">
        <v>650</v>
      </c>
      <c r="C124" s="530">
        <v>0</v>
      </c>
      <c r="D124" s="530">
        <v>0</v>
      </c>
      <c r="E124" s="530">
        <v>0</v>
      </c>
      <c r="F124" s="530">
        <v>0</v>
      </c>
      <c r="G124" s="530">
        <v>0</v>
      </c>
      <c r="H124" s="530">
        <v>0</v>
      </c>
      <c r="I124" s="530">
        <v>0</v>
      </c>
      <c r="J124" s="530">
        <v>0</v>
      </c>
      <c r="K124" s="530">
        <v>0</v>
      </c>
      <c r="L124" s="530">
        <v>0</v>
      </c>
      <c r="M124" s="530">
        <v>0</v>
      </c>
      <c r="N124" s="530">
        <v>0</v>
      </c>
      <c r="O124" s="530">
        <v>0</v>
      </c>
      <c r="P124" s="530">
        <v>0</v>
      </c>
      <c r="Q124" s="530">
        <f t="shared" si="18"/>
        <v>0</v>
      </c>
    </row>
    <row r="125" spans="1:17" s="428" customFormat="1" ht="12.75" x14ac:dyDescent="0.2">
      <c r="A125" s="513">
        <v>64400</v>
      </c>
      <c r="B125" s="536" t="s">
        <v>651</v>
      </c>
      <c r="C125" s="537">
        <f t="shared" ref="C125:Q125" si="19">SUM(C119:C124)</f>
        <v>-7.5</v>
      </c>
      <c r="D125" s="537">
        <f t="shared" si="19"/>
        <v>0</v>
      </c>
      <c r="E125" s="537">
        <f t="shared" si="19"/>
        <v>0</v>
      </c>
      <c r="F125" s="537">
        <f t="shared" si="19"/>
        <v>0</v>
      </c>
      <c r="G125" s="1190">
        <f t="shared" si="19"/>
        <v>123.53000000000002</v>
      </c>
      <c r="H125" s="1190">
        <f t="shared" si="19"/>
        <v>0</v>
      </c>
      <c r="I125" s="537">
        <f t="shared" si="19"/>
        <v>0</v>
      </c>
      <c r="J125" s="537">
        <f t="shared" si="19"/>
        <v>0</v>
      </c>
      <c r="K125" s="537">
        <f t="shared" si="19"/>
        <v>0</v>
      </c>
      <c r="L125" s="537">
        <f t="shared" si="19"/>
        <v>503.36</v>
      </c>
      <c r="M125" s="537">
        <f t="shared" si="19"/>
        <v>0</v>
      </c>
      <c r="N125" s="537">
        <f t="shared" si="19"/>
        <v>0</v>
      </c>
      <c r="O125" s="537">
        <f t="shared" si="19"/>
        <v>0</v>
      </c>
      <c r="P125" s="537">
        <f t="shared" si="19"/>
        <v>0</v>
      </c>
      <c r="Q125" s="537">
        <f t="shared" si="19"/>
        <v>619.39</v>
      </c>
    </row>
    <row r="126" spans="1:17" s="428" customFormat="1" ht="12.75" x14ac:dyDescent="0.2">
      <c r="A126" s="513"/>
      <c r="B126" s="516"/>
      <c r="C126" s="528"/>
      <c r="D126" s="528"/>
      <c r="E126" s="528"/>
      <c r="F126" s="528"/>
      <c r="G126" s="528"/>
      <c r="H126" s="528"/>
      <c r="I126" s="528"/>
      <c r="J126" s="528"/>
      <c r="K126" s="528"/>
      <c r="L126" s="528"/>
      <c r="M126" s="528"/>
      <c r="N126" s="528"/>
      <c r="O126" s="528"/>
      <c r="P126" s="528"/>
      <c r="Q126" s="528"/>
    </row>
    <row r="127" spans="1:17" s="428" customFormat="1" ht="12.75" x14ac:dyDescent="0.2">
      <c r="A127" s="513"/>
      <c r="B127" s="516" t="s">
        <v>652</v>
      </c>
      <c r="C127" s="528"/>
      <c r="D127" s="528"/>
      <c r="E127" s="528"/>
      <c r="F127" s="528"/>
      <c r="G127" s="528"/>
      <c r="H127" s="528"/>
      <c r="I127" s="528"/>
      <c r="J127" s="528"/>
      <c r="K127" s="528"/>
      <c r="L127" s="528"/>
      <c r="M127" s="528"/>
      <c r="N127" s="528"/>
      <c r="O127" s="528"/>
      <c r="P127" s="528"/>
      <c r="Q127" s="528"/>
    </row>
    <row r="128" spans="1:17" s="545" customFormat="1" ht="12.75" x14ac:dyDescent="0.2">
      <c r="A128" s="513">
        <v>65100</v>
      </c>
      <c r="B128" s="529" t="s">
        <v>653</v>
      </c>
      <c r="C128" s="530">
        <v>0</v>
      </c>
      <c r="D128" s="530">
        <v>0</v>
      </c>
      <c r="E128" s="530">
        <v>42517.91</v>
      </c>
      <c r="F128" s="530">
        <v>0</v>
      </c>
      <c r="G128" s="530">
        <v>0</v>
      </c>
      <c r="H128" s="530">
        <v>0</v>
      </c>
      <c r="I128" s="530">
        <v>0</v>
      </c>
      <c r="J128" s="530">
        <v>0</v>
      </c>
      <c r="K128" s="530">
        <v>0</v>
      </c>
      <c r="L128" s="530">
        <v>0</v>
      </c>
      <c r="M128" s="530">
        <v>0</v>
      </c>
      <c r="N128" s="530">
        <v>0</v>
      </c>
      <c r="O128" s="530">
        <v>0</v>
      </c>
      <c r="P128" s="530">
        <v>0</v>
      </c>
      <c r="Q128" s="530">
        <f t="shared" ref="Q128:Q137" si="20">SUM(C128:P128)</f>
        <v>42517.91</v>
      </c>
    </row>
    <row r="129" spans="1:17" s="545" customFormat="1" ht="12.75" x14ac:dyDescent="0.2">
      <c r="A129" s="513">
        <v>65100.1</v>
      </c>
      <c r="B129" s="529" t="s">
        <v>654</v>
      </c>
      <c r="C129" s="530">
        <v>0</v>
      </c>
      <c r="D129" s="530">
        <v>0</v>
      </c>
      <c r="E129" s="530">
        <v>0</v>
      </c>
      <c r="F129" s="530">
        <v>0</v>
      </c>
      <c r="G129" s="530">
        <v>0</v>
      </c>
      <c r="H129" s="530">
        <v>0</v>
      </c>
      <c r="I129" s="530">
        <v>0</v>
      </c>
      <c r="J129" s="530">
        <v>0</v>
      </c>
      <c r="K129" s="530">
        <v>0</v>
      </c>
      <c r="L129" s="530">
        <v>0</v>
      </c>
      <c r="M129" s="530">
        <v>0</v>
      </c>
      <c r="N129" s="530">
        <v>0</v>
      </c>
      <c r="O129" s="530">
        <v>0</v>
      </c>
      <c r="P129" s="530">
        <v>0</v>
      </c>
      <c r="Q129" s="530">
        <f t="shared" si="20"/>
        <v>0</v>
      </c>
    </row>
    <row r="130" spans="1:17" s="545" customFormat="1" ht="12.75" x14ac:dyDescent="0.2">
      <c r="A130" s="513">
        <v>65100.2</v>
      </c>
      <c r="B130" s="529" t="s">
        <v>655</v>
      </c>
      <c r="C130" s="530">
        <v>0</v>
      </c>
      <c r="D130" s="530">
        <v>0</v>
      </c>
      <c r="E130" s="530">
        <v>0</v>
      </c>
      <c r="F130" s="530">
        <v>0</v>
      </c>
      <c r="G130" s="530">
        <v>0</v>
      </c>
      <c r="H130" s="530">
        <v>0</v>
      </c>
      <c r="I130" s="530">
        <v>0</v>
      </c>
      <c r="J130" s="530">
        <v>0</v>
      </c>
      <c r="K130" s="530">
        <v>0</v>
      </c>
      <c r="L130" s="530">
        <v>0</v>
      </c>
      <c r="M130" s="530">
        <v>0</v>
      </c>
      <c r="N130" s="530">
        <v>0</v>
      </c>
      <c r="O130" s="530">
        <v>0</v>
      </c>
      <c r="P130" s="530">
        <v>0</v>
      </c>
      <c r="Q130" s="530">
        <f t="shared" si="20"/>
        <v>0</v>
      </c>
    </row>
    <row r="131" spans="1:17" s="545" customFormat="1" ht="12.75" x14ac:dyDescent="0.2">
      <c r="A131" s="513">
        <v>65101</v>
      </c>
      <c r="B131" s="529" t="s">
        <v>656</v>
      </c>
      <c r="C131" s="530">
        <v>0</v>
      </c>
      <c r="D131" s="530">
        <v>0</v>
      </c>
      <c r="E131" s="530">
        <v>0</v>
      </c>
      <c r="F131" s="530">
        <v>0</v>
      </c>
      <c r="G131" s="530">
        <v>0</v>
      </c>
      <c r="H131" s="530">
        <v>0</v>
      </c>
      <c r="I131" s="530">
        <v>0</v>
      </c>
      <c r="J131" s="530">
        <v>0</v>
      </c>
      <c r="K131" s="530">
        <v>0</v>
      </c>
      <c r="L131" s="530">
        <v>0</v>
      </c>
      <c r="M131" s="530">
        <v>0</v>
      </c>
      <c r="N131" s="530">
        <v>0</v>
      </c>
      <c r="O131" s="530">
        <v>0</v>
      </c>
      <c r="P131" s="530">
        <v>0</v>
      </c>
      <c r="Q131" s="530">
        <f t="shared" si="20"/>
        <v>0</v>
      </c>
    </row>
    <row r="132" spans="1:17" s="545" customFormat="1" ht="12.75" x14ac:dyDescent="0.2">
      <c r="A132" s="513">
        <v>65103</v>
      </c>
      <c r="B132" s="529" t="s">
        <v>657</v>
      </c>
      <c r="C132" s="530">
        <v>0</v>
      </c>
      <c r="D132" s="530">
        <v>0</v>
      </c>
      <c r="E132" s="530">
        <v>0</v>
      </c>
      <c r="F132" s="530">
        <v>0</v>
      </c>
      <c r="G132" s="530">
        <v>0</v>
      </c>
      <c r="H132" s="530">
        <v>0</v>
      </c>
      <c r="I132" s="530">
        <v>0</v>
      </c>
      <c r="J132" s="530">
        <v>0</v>
      </c>
      <c r="K132" s="530">
        <v>0</v>
      </c>
      <c r="L132" s="530">
        <v>0</v>
      </c>
      <c r="M132" s="530">
        <v>0</v>
      </c>
      <c r="N132" s="530">
        <v>0</v>
      </c>
      <c r="O132" s="530">
        <v>0</v>
      </c>
      <c r="P132" s="530">
        <v>0</v>
      </c>
      <c r="Q132" s="530">
        <f t="shared" si="20"/>
        <v>0</v>
      </c>
    </row>
    <row r="133" spans="1:17" s="545" customFormat="1" ht="12.75" x14ac:dyDescent="0.2">
      <c r="A133" s="513">
        <v>65150</v>
      </c>
      <c r="B133" s="529" t="s">
        <v>657</v>
      </c>
      <c r="C133" s="530">
        <v>0</v>
      </c>
      <c r="D133" s="530">
        <v>0</v>
      </c>
      <c r="E133" s="530">
        <v>1156.32</v>
      </c>
      <c r="F133" s="530">
        <v>0</v>
      </c>
      <c r="G133" s="530">
        <v>0</v>
      </c>
      <c r="H133" s="530">
        <v>0</v>
      </c>
      <c r="I133" s="530">
        <v>0</v>
      </c>
      <c r="J133" s="530">
        <v>0</v>
      </c>
      <c r="K133" s="530">
        <v>0</v>
      </c>
      <c r="L133" s="530">
        <v>0</v>
      </c>
      <c r="M133" s="530">
        <v>0</v>
      </c>
      <c r="N133" s="530">
        <v>0</v>
      </c>
      <c r="O133" s="530">
        <v>0</v>
      </c>
      <c r="P133" s="530">
        <v>0</v>
      </c>
      <c r="Q133" s="530">
        <f t="shared" si="20"/>
        <v>1156.32</v>
      </c>
    </row>
    <row r="134" spans="1:17" s="545" customFormat="1" ht="12.75" x14ac:dyDescent="0.2">
      <c r="A134" s="540">
        <v>65105</v>
      </c>
      <c r="B134" s="555" t="s">
        <v>658</v>
      </c>
      <c r="C134" s="530">
        <v>0</v>
      </c>
      <c r="D134" s="530">
        <v>0</v>
      </c>
      <c r="E134" s="530">
        <v>0</v>
      </c>
      <c r="F134" s="530">
        <v>0</v>
      </c>
      <c r="G134" s="530">
        <v>0</v>
      </c>
      <c r="H134" s="530">
        <v>0</v>
      </c>
      <c r="I134" s="530">
        <v>0</v>
      </c>
      <c r="J134" s="530">
        <v>0</v>
      </c>
      <c r="K134" s="530">
        <v>0</v>
      </c>
      <c r="L134" s="530">
        <v>0</v>
      </c>
      <c r="M134" s="530">
        <v>0</v>
      </c>
      <c r="N134" s="530">
        <v>0</v>
      </c>
      <c r="O134" s="530">
        <v>0</v>
      </c>
      <c r="P134" s="530">
        <v>0</v>
      </c>
      <c r="Q134" s="530">
        <f t="shared" si="20"/>
        <v>0</v>
      </c>
    </row>
    <row r="135" spans="1:17" s="545" customFormat="1" ht="12.75" x14ac:dyDescent="0.2">
      <c r="A135" s="513">
        <v>65200</v>
      </c>
      <c r="B135" s="529" t="s">
        <v>659</v>
      </c>
      <c r="C135" s="530">
        <v>0</v>
      </c>
      <c r="D135" s="530">
        <v>0</v>
      </c>
      <c r="E135" s="530">
        <v>0</v>
      </c>
      <c r="F135" s="530">
        <v>0</v>
      </c>
      <c r="G135" s="530">
        <v>0</v>
      </c>
      <c r="H135" s="530">
        <v>0</v>
      </c>
      <c r="I135" s="530">
        <v>0</v>
      </c>
      <c r="J135" s="530">
        <v>0</v>
      </c>
      <c r="K135" s="530">
        <v>0</v>
      </c>
      <c r="L135" s="530">
        <v>0</v>
      </c>
      <c r="M135" s="530">
        <v>0</v>
      </c>
      <c r="N135" s="530">
        <v>0</v>
      </c>
      <c r="O135" s="530">
        <v>0</v>
      </c>
      <c r="P135" s="530">
        <v>0</v>
      </c>
      <c r="Q135" s="530">
        <f t="shared" si="20"/>
        <v>0</v>
      </c>
    </row>
    <row r="136" spans="1:17" s="545" customFormat="1" ht="12.75" x14ac:dyDescent="0.2">
      <c r="A136" s="513">
        <v>65250</v>
      </c>
      <c r="B136" s="529" t="s">
        <v>660</v>
      </c>
      <c r="C136" s="530">
        <v>0</v>
      </c>
      <c r="D136" s="530">
        <v>0</v>
      </c>
      <c r="E136" s="530">
        <v>1597.42</v>
      </c>
      <c r="F136" s="530">
        <v>0</v>
      </c>
      <c r="G136" s="530">
        <v>0</v>
      </c>
      <c r="H136" s="530">
        <v>0</v>
      </c>
      <c r="I136" s="530">
        <v>0</v>
      </c>
      <c r="J136" s="530">
        <v>0</v>
      </c>
      <c r="K136" s="530">
        <v>0</v>
      </c>
      <c r="L136" s="530">
        <v>0</v>
      </c>
      <c r="M136" s="530">
        <v>0</v>
      </c>
      <c r="N136" s="530">
        <v>0</v>
      </c>
      <c r="O136" s="530">
        <v>0</v>
      </c>
      <c r="P136" s="530">
        <v>0</v>
      </c>
      <c r="Q136" s="530">
        <f t="shared" si="20"/>
        <v>1597.42</v>
      </c>
    </row>
    <row r="137" spans="1:17" s="545" customFormat="1" ht="12.75" x14ac:dyDescent="0.2">
      <c r="A137" s="513">
        <v>65300</v>
      </c>
      <c r="B137" s="553" t="s">
        <v>661</v>
      </c>
      <c r="C137" s="530">
        <v>0</v>
      </c>
      <c r="D137" s="530">
        <v>0</v>
      </c>
      <c r="E137" s="530">
        <v>0</v>
      </c>
      <c r="F137" s="530">
        <v>0</v>
      </c>
      <c r="G137" s="530">
        <v>0</v>
      </c>
      <c r="H137" s="530">
        <v>0</v>
      </c>
      <c r="I137" s="530">
        <v>0</v>
      </c>
      <c r="J137" s="530">
        <v>0</v>
      </c>
      <c r="K137" s="530">
        <v>0</v>
      </c>
      <c r="L137" s="530">
        <v>0</v>
      </c>
      <c r="M137" s="530">
        <v>0</v>
      </c>
      <c r="N137" s="530">
        <v>0</v>
      </c>
      <c r="O137" s="530">
        <v>0</v>
      </c>
      <c r="P137" s="530">
        <v>0</v>
      </c>
      <c r="Q137" s="530">
        <f t="shared" si="20"/>
        <v>0</v>
      </c>
    </row>
    <row r="138" spans="1:17" s="428" customFormat="1" ht="12.75" x14ac:dyDescent="0.2">
      <c r="A138" s="513">
        <v>65400</v>
      </c>
      <c r="B138" s="536" t="s">
        <v>662</v>
      </c>
      <c r="C138" s="537">
        <f t="shared" ref="C138:Q138" si="21">SUM(C128:C137)</f>
        <v>0</v>
      </c>
      <c r="D138" s="537">
        <f t="shared" si="21"/>
        <v>0</v>
      </c>
      <c r="E138" s="537">
        <f t="shared" si="21"/>
        <v>45271.65</v>
      </c>
      <c r="F138" s="537">
        <f t="shared" si="21"/>
        <v>0</v>
      </c>
      <c r="G138" s="537">
        <f t="shared" si="21"/>
        <v>0</v>
      </c>
      <c r="H138" s="537">
        <f t="shared" si="21"/>
        <v>0</v>
      </c>
      <c r="I138" s="537">
        <f t="shared" si="21"/>
        <v>0</v>
      </c>
      <c r="J138" s="537">
        <f t="shared" si="21"/>
        <v>0</v>
      </c>
      <c r="K138" s="537">
        <f t="shared" si="21"/>
        <v>0</v>
      </c>
      <c r="L138" s="537">
        <f t="shared" si="21"/>
        <v>0</v>
      </c>
      <c r="M138" s="537">
        <f t="shared" si="21"/>
        <v>0</v>
      </c>
      <c r="N138" s="537">
        <f t="shared" si="21"/>
        <v>0</v>
      </c>
      <c r="O138" s="537">
        <f t="shared" si="21"/>
        <v>0</v>
      </c>
      <c r="P138" s="537">
        <f t="shared" si="21"/>
        <v>0</v>
      </c>
      <c r="Q138" s="537">
        <f t="shared" si="21"/>
        <v>45271.65</v>
      </c>
    </row>
    <row r="139" spans="1:17" s="428" customFormat="1" ht="12.75" x14ac:dyDescent="0.2">
      <c r="A139" s="513"/>
      <c r="B139" s="516"/>
      <c r="C139" s="528"/>
      <c r="D139" s="528"/>
      <c r="E139" s="528"/>
      <c r="F139" s="528"/>
      <c r="G139" s="528"/>
      <c r="H139" s="528"/>
      <c r="I139" s="528"/>
      <c r="J139" s="528"/>
      <c r="K139" s="528"/>
      <c r="L139" s="528"/>
      <c r="M139" s="528"/>
      <c r="N139" s="528"/>
      <c r="O139" s="528"/>
      <c r="P139" s="528"/>
      <c r="Q139" s="528"/>
    </row>
    <row r="140" spans="1:17" s="428" customFormat="1" ht="12.75" x14ac:dyDescent="0.2">
      <c r="A140" s="513"/>
      <c r="B140" s="516" t="s">
        <v>663</v>
      </c>
      <c r="C140" s="528"/>
      <c r="D140" s="528"/>
      <c r="E140" s="528"/>
      <c r="F140" s="528"/>
      <c r="G140" s="528"/>
      <c r="H140" s="528"/>
      <c r="I140" s="528"/>
      <c r="J140" s="528"/>
      <c r="K140" s="528"/>
      <c r="L140" s="528"/>
      <c r="M140" s="528"/>
      <c r="N140" s="528"/>
      <c r="O140" s="528"/>
      <c r="P140" s="528"/>
      <c r="Q140" s="528"/>
    </row>
    <row r="141" spans="1:17" s="545" customFormat="1" ht="12.75" x14ac:dyDescent="0.2">
      <c r="A141" s="513">
        <v>65501</v>
      </c>
      <c r="B141" s="529" t="s">
        <v>664</v>
      </c>
      <c r="C141" s="530">
        <v>639.70999999999992</v>
      </c>
      <c r="D141" s="530">
        <v>0</v>
      </c>
      <c r="E141" s="530">
        <v>481.30999999999995</v>
      </c>
      <c r="F141" s="530">
        <v>0</v>
      </c>
      <c r="G141" s="530">
        <v>15.4</v>
      </c>
      <c r="H141" s="530">
        <v>0</v>
      </c>
      <c r="I141" s="530">
        <v>0</v>
      </c>
      <c r="J141" s="530">
        <v>0</v>
      </c>
      <c r="K141" s="530">
        <v>0</v>
      </c>
      <c r="L141" s="530">
        <v>1419.69</v>
      </c>
      <c r="M141" s="530">
        <v>0</v>
      </c>
      <c r="N141" s="530">
        <v>0</v>
      </c>
      <c r="O141" s="530">
        <v>0</v>
      </c>
      <c r="P141" s="530">
        <v>0</v>
      </c>
      <c r="Q141" s="530">
        <f t="shared" ref="Q141:Q148" si="22">SUM(C141:P141)</f>
        <v>2556.11</v>
      </c>
    </row>
    <row r="142" spans="1:17" s="545" customFormat="1" ht="12.75" x14ac:dyDescent="0.2">
      <c r="A142" s="513">
        <v>65502</v>
      </c>
      <c r="B142" s="529" t="s">
        <v>665</v>
      </c>
      <c r="C142" s="530">
        <v>0</v>
      </c>
      <c r="D142" s="530">
        <v>0</v>
      </c>
      <c r="E142" s="530">
        <v>0</v>
      </c>
      <c r="F142" s="530">
        <v>0</v>
      </c>
      <c r="G142" s="530">
        <v>0</v>
      </c>
      <c r="H142" s="530">
        <v>0</v>
      </c>
      <c r="I142" s="530">
        <v>0</v>
      </c>
      <c r="J142" s="530">
        <v>0</v>
      </c>
      <c r="K142" s="530">
        <v>0</v>
      </c>
      <c r="L142" s="530">
        <v>0</v>
      </c>
      <c r="M142" s="530">
        <v>0</v>
      </c>
      <c r="N142" s="530">
        <v>0</v>
      </c>
      <c r="O142" s="530">
        <v>0</v>
      </c>
      <c r="P142" s="530">
        <v>0</v>
      </c>
      <c r="Q142" s="530">
        <f t="shared" si="22"/>
        <v>0</v>
      </c>
    </row>
    <row r="143" spans="1:17" s="545" customFormat="1" ht="12.75" x14ac:dyDescent="0.2">
      <c r="A143" s="513">
        <v>65503</v>
      </c>
      <c r="B143" s="529" t="s">
        <v>666</v>
      </c>
      <c r="C143" s="530">
        <v>0</v>
      </c>
      <c r="D143" s="530">
        <v>0</v>
      </c>
      <c r="E143" s="530">
        <v>0</v>
      </c>
      <c r="F143" s="530">
        <v>0</v>
      </c>
      <c r="G143" s="530">
        <v>0</v>
      </c>
      <c r="H143" s="530">
        <v>0</v>
      </c>
      <c r="I143" s="530">
        <v>0</v>
      </c>
      <c r="J143" s="530">
        <v>0</v>
      </c>
      <c r="K143" s="530">
        <v>0</v>
      </c>
      <c r="L143" s="530">
        <v>0</v>
      </c>
      <c r="M143" s="530">
        <v>0</v>
      </c>
      <c r="N143" s="530">
        <v>0</v>
      </c>
      <c r="O143" s="530">
        <v>0</v>
      </c>
      <c r="P143" s="530">
        <v>0</v>
      </c>
      <c r="Q143" s="530">
        <f t="shared" si="22"/>
        <v>0</v>
      </c>
    </row>
    <row r="144" spans="1:17" s="545" customFormat="1" ht="12.75" x14ac:dyDescent="0.2">
      <c r="A144" s="513">
        <v>65600</v>
      </c>
      <c r="B144" s="529" t="s">
        <v>667</v>
      </c>
      <c r="C144" s="530">
        <v>0</v>
      </c>
      <c r="D144" s="530">
        <v>0</v>
      </c>
      <c r="E144" s="530">
        <v>0</v>
      </c>
      <c r="F144" s="530">
        <v>0</v>
      </c>
      <c r="G144" s="530">
        <v>0</v>
      </c>
      <c r="H144" s="530">
        <v>0</v>
      </c>
      <c r="I144" s="530">
        <v>0</v>
      </c>
      <c r="J144" s="530">
        <v>0</v>
      </c>
      <c r="K144" s="530">
        <v>0</v>
      </c>
      <c r="L144" s="530">
        <v>0</v>
      </c>
      <c r="M144" s="530">
        <v>0</v>
      </c>
      <c r="N144" s="530">
        <v>0</v>
      </c>
      <c r="O144" s="530">
        <v>0</v>
      </c>
      <c r="P144" s="530">
        <v>0</v>
      </c>
      <c r="Q144" s="530">
        <f t="shared" si="22"/>
        <v>0</v>
      </c>
    </row>
    <row r="145" spans="1:17" s="545" customFormat="1" ht="12.75" x14ac:dyDescent="0.2">
      <c r="A145" s="513">
        <v>65602</v>
      </c>
      <c r="B145" s="529" t="s">
        <v>668</v>
      </c>
      <c r="C145" s="530">
        <v>0</v>
      </c>
      <c r="D145" s="530">
        <v>0</v>
      </c>
      <c r="E145" s="530">
        <v>0</v>
      </c>
      <c r="F145" s="530">
        <v>0</v>
      </c>
      <c r="G145" s="530">
        <v>0</v>
      </c>
      <c r="H145" s="530">
        <v>0</v>
      </c>
      <c r="I145" s="530">
        <v>0</v>
      </c>
      <c r="J145" s="530">
        <v>0</v>
      </c>
      <c r="K145" s="530">
        <v>0</v>
      </c>
      <c r="L145" s="530">
        <v>0</v>
      </c>
      <c r="M145" s="530">
        <v>0</v>
      </c>
      <c r="N145" s="530">
        <v>0</v>
      </c>
      <c r="O145" s="530">
        <v>0</v>
      </c>
      <c r="P145" s="530">
        <v>0</v>
      </c>
      <c r="Q145" s="530">
        <f t="shared" si="22"/>
        <v>0</v>
      </c>
    </row>
    <row r="146" spans="1:17" s="545" customFormat="1" ht="12.75" x14ac:dyDescent="0.2">
      <c r="A146" s="513">
        <v>65608</v>
      </c>
      <c r="B146" s="529" t="s">
        <v>669</v>
      </c>
      <c r="C146" s="530">
        <v>0</v>
      </c>
      <c r="D146" s="530">
        <v>0</v>
      </c>
      <c r="E146" s="530">
        <v>0</v>
      </c>
      <c r="F146" s="530">
        <v>0</v>
      </c>
      <c r="G146" s="530">
        <v>0</v>
      </c>
      <c r="H146" s="530">
        <v>0</v>
      </c>
      <c r="I146" s="530">
        <v>0</v>
      </c>
      <c r="J146" s="530">
        <v>0</v>
      </c>
      <c r="K146" s="530">
        <v>0</v>
      </c>
      <c r="L146" s="530">
        <v>0</v>
      </c>
      <c r="M146" s="530">
        <v>0</v>
      </c>
      <c r="N146" s="530">
        <v>0</v>
      </c>
      <c r="O146" s="530">
        <v>0</v>
      </c>
      <c r="P146" s="530">
        <v>0</v>
      </c>
      <c r="Q146" s="530">
        <f t="shared" si="22"/>
        <v>0</v>
      </c>
    </row>
    <row r="147" spans="1:17" s="545" customFormat="1" ht="12.75" x14ac:dyDescent="0.2">
      <c r="A147" s="513">
        <v>65700</v>
      </c>
      <c r="B147" s="529" t="s">
        <v>670</v>
      </c>
      <c r="C147" s="530">
        <v>0</v>
      </c>
      <c r="D147" s="530">
        <v>0</v>
      </c>
      <c r="E147" s="530">
        <v>1108.56</v>
      </c>
      <c r="F147" s="530">
        <v>0</v>
      </c>
      <c r="G147" s="530">
        <v>0</v>
      </c>
      <c r="H147" s="530">
        <v>0</v>
      </c>
      <c r="I147" s="530">
        <v>0</v>
      </c>
      <c r="J147" s="530">
        <v>0</v>
      </c>
      <c r="K147" s="530">
        <v>0</v>
      </c>
      <c r="L147" s="530">
        <v>0</v>
      </c>
      <c r="M147" s="530">
        <v>0</v>
      </c>
      <c r="N147" s="530">
        <v>0</v>
      </c>
      <c r="O147" s="530">
        <v>0</v>
      </c>
      <c r="P147" s="530">
        <v>0</v>
      </c>
      <c r="Q147" s="530">
        <f t="shared" si="22"/>
        <v>1108.56</v>
      </c>
    </row>
    <row r="148" spans="1:17" s="545" customFormat="1" ht="12.75" x14ac:dyDescent="0.2">
      <c r="A148" s="513">
        <v>65800</v>
      </c>
      <c r="B148" s="553" t="s">
        <v>671</v>
      </c>
      <c r="C148" s="530">
        <v>205.01000000000002</v>
      </c>
      <c r="D148" s="530">
        <v>0</v>
      </c>
      <c r="E148" s="530">
        <v>-101.52</v>
      </c>
      <c r="F148" s="530">
        <v>0</v>
      </c>
      <c r="G148" s="530">
        <v>22</v>
      </c>
      <c r="H148" s="530">
        <v>0</v>
      </c>
      <c r="I148" s="530">
        <v>0</v>
      </c>
      <c r="J148" s="530">
        <v>828.33</v>
      </c>
      <c r="K148" s="530">
        <v>0</v>
      </c>
      <c r="L148" s="530">
        <v>0</v>
      </c>
      <c r="M148" s="530">
        <v>0</v>
      </c>
      <c r="N148" s="530">
        <v>0</v>
      </c>
      <c r="O148" s="530">
        <v>0</v>
      </c>
      <c r="P148" s="530">
        <v>0</v>
      </c>
      <c r="Q148" s="530">
        <f t="shared" si="22"/>
        <v>953.82</v>
      </c>
    </row>
    <row r="149" spans="1:17" s="428" customFormat="1" ht="12.75" x14ac:dyDescent="0.2">
      <c r="A149" s="513">
        <v>65900</v>
      </c>
      <c r="B149" s="536" t="s">
        <v>672</v>
      </c>
      <c r="C149" s="537">
        <f t="shared" ref="C149:Q149" si="23">SUM(C141:C148)</f>
        <v>844.71999999999991</v>
      </c>
      <c r="D149" s="537">
        <f t="shared" si="23"/>
        <v>0</v>
      </c>
      <c r="E149" s="537">
        <f t="shared" si="23"/>
        <v>1488.35</v>
      </c>
      <c r="F149" s="537">
        <f t="shared" si="23"/>
        <v>0</v>
      </c>
      <c r="G149" s="1190">
        <f t="shared" si="23"/>
        <v>37.4</v>
      </c>
      <c r="H149" s="1190">
        <f t="shared" si="23"/>
        <v>0</v>
      </c>
      <c r="I149" s="537">
        <f t="shared" si="23"/>
        <v>0</v>
      </c>
      <c r="J149" s="537">
        <f t="shared" si="23"/>
        <v>828.33</v>
      </c>
      <c r="K149" s="537">
        <f t="shared" si="23"/>
        <v>0</v>
      </c>
      <c r="L149" s="537">
        <f t="shared" si="23"/>
        <v>1419.69</v>
      </c>
      <c r="M149" s="537">
        <f t="shared" si="23"/>
        <v>0</v>
      </c>
      <c r="N149" s="537">
        <f t="shared" si="23"/>
        <v>0</v>
      </c>
      <c r="O149" s="537">
        <f t="shared" si="23"/>
        <v>0</v>
      </c>
      <c r="P149" s="537">
        <f t="shared" si="23"/>
        <v>0</v>
      </c>
      <c r="Q149" s="537">
        <f t="shared" si="23"/>
        <v>4618.49</v>
      </c>
    </row>
    <row r="150" spans="1:17" s="428" customFormat="1" ht="12.75" x14ac:dyDescent="0.2">
      <c r="A150" s="513"/>
      <c r="B150" s="516"/>
      <c r="C150" s="528"/>
      <c r="D150" s="528"/>
      <c r="E150" s="528"/>
      <c r="F150" s="528"/>
      <c r="G150" s="528"/>
      <c r="H150" s="528"/>
      <c r="I150" s="528"/>
      <c r="J150" s="528"/>
      <c r="K150" s="528"/>
      <c r="L150" s="528"/>
      <c r="M150" s="528"/>
      <c r="N150" s="528"/>
      <c r="O150" s="528"/>
      <c r="P150" s="528"/>
      <c r="Q150" s="528"/>
    </row>
    <row r="151" spans="1:17" s="428" customFormat="1" ht="12.75" x14ac:dyDescent="0.2">
      <c r="A151" s="513"/>
      <c r="B151" s="516" t="s">
        <v>673</v>
      </c>
      <c r="C151" s="528"/>
      <c r="D151" s="528"/>
      <c r="E151" s="528"/>
      <c r="F151" s="528"/>
      <c r="G151" s="528"/>
      <c r="H151" s="528"/>
      <c r="I151" s="528"/>
      <c r="J151" s="528"/>
      <c r="K151" s="528"/>
      <c r="L151" s="528"/>
      <c r="M151" s="528"/>
      <c r="N151" s="528"/>
      <c r="O151" s="528"/>
      <c r="P151" s="528"/>
      <c r="Q151" s="528"/>
    </row>
    <row r="152" spans="1:17" s="545" customFormat="1" ht="12.75" x14ac:dyDescent="0.2">
      <c r="A152" s="513">
        <v>66100</v>
      </c>
      <c r="B152" s="529" t="s">
        <v>674</v>
      </c>
      <c r="C152" s="530">
        <v>0</v>
      </c>
      <c r="D152" s="530">
        <v>0</v>
      </c>
      <c r="E152" s="530">
        <v>0</v>
      </c>
      <c r="F152" s="530">
        <v>0</v>
      </c>
      <c r="G152" s="530">
        <v>0</v>
      </c>
      <c r="H152" s="530">
        <v>0</v>
      </c>
      <c r="I152" s="530">
        <v>0</v>
      </c>
      <c r="J152" s="530">
        <v>0</v>
      </c>
      <c r="K152" s="530">
        <v>0</v>
      </c>
      <c r="L152" s="530">
        <v>0</v>
      </c>
      <c r="M152" s="530">
        <v>0</v>
      </c>
      <c r="N152" s="530">
        <v>0</v>
      </c>
      <c r="O152" s="530">
        <v>0</v>
      </c>
      <c r="P152" s="530">
        <v>0</v>
      </c>
      <c r="Q152" s="530">
        <f t="shared" ref="Q152:Q202" si="24">SUM(C152:P152)</f>
        <v>0</v>
      </c>
    </row>
    <row r="153" spans="1:17" s="545" customFormat="1" ht="12.75" x14ac:dyDescent="0.2">
      <c r="A153" s="513">
        <v>66101</v>
      </c>
      <c r="B153" s="529" t="s">
        <v>675</v>
      </c>
      <c r="C153" s="530">
        <v>0</v>
      </c>
      <c r="D153" s="530">
        <v>0</v>
      </c>
      <c r="E153" s="530">
        <v>0</v>
      </c>
      <c r="F153" s="530">
        <v>0</v>
      </c>
      <c r="G153" s="530">
        <v>0</v>
      </c>
      <c r="H153" s="530">
        <v>0</v>
      </c>
      <c r="I153" s="530">
        <v>0</v>
      </c>
      <c r="J153" s="530">
        <v>0</v>
      </c>
      <c r="K153" s="530">
        <v>8399</v>
      </c>
      <c r="L153" s="530">
        <v>0</v>
      </c>
      <c r="M153" s="530">
        <v>0</v>
      </c>
      <c r="N153" s="530">
        <v>0</v>
      </c>
      <c r="O153" s="530">
        <v>0</v>
      </c>
      <c r="P153" s="530">
        <v>0</v>
      </c>
      <c r="Q153" s="530">
        <f t="shared" si="24"/>
        <v>8399</v>
      </c>
    </row>
    <row r="154" spans="1:17" s="545" customFormat="1" ht="12.75" x14ac:dyDescent="0.2">
      <c r="A154" s="513">
        <v>66102</v>
      </c>
      <c r="B154" s="529" t="s">
        <v>676</v>
      </c>
      <c r="C154" s="530">
        <v>0</v>
      </c>
      <c r="D154" s="530">
        <v>0</v>
      </c>
      <c r="E154" s="530">
        <v>0</v>
      </c>
      <c r="F154" s="530">
        <v>0</v>
      </c>
      <c r="G154" s="530">
        <v>0</v>
      </c>
      <c r="H154" s="530">
        <v>0</v>
      </c>
      <c r="I154" s="530">
        <v>0</v>
      </c>
      <c r="J154" s="530">
        <v>0</v>
      </c>
      <c r="K154" s="530">
        <v>0</v>
      </c>
      <c r="L154" s="530">
        <v>0</v>
      </c>
      <c r="M154" s="530">
        <v>0</v>
      </c>
      <c r="N154" s="530">
        <v>0</v>
      </c>
      <c r="O154" s="530">
        <v>0</v>
      </c>
      <c r="P154" s="530">
        <v>0</v>
      </c>
      <c r="Q154" s="530">
        <f t="shared" si="24"/>
        <v>0</v>
      </c>
    </row>
    <row r="155" spans="1:17" s="545" customFormat="1" ht="12.75" x14ac:dyDescent="0.2">
      <c r="A155" s="513">
        <v>66104</v>
      </c>
      <c r="B155" s="529" t="s">
        <v>677</v>
      </c>
      <c r="C155" s="530">
        <v>0</v>
      </c>
      <c r="D155" s="530">
        <v>0</v>
      </c>
      <c r="E155" s="530">
        <v>0</v>
      </c>
      <c r="F155" s="530">
        <v>0</v>
      </c>
      <c r="G155" s="530">
        <v>0</v>
      </c>
      <c r="H155" s="530">
        <v>0</v>
      </c>
      <c r="I155" s="530">
        <v>0</v>
      </c>
      <c r="J155" s="530">
        <v>13750</v>
      </c>
      <c r="K155" s="530">
        <v>0</v>
      </c>
      <c r="L155" s="530">
        <v>0</v>
      </c>
      <c r="M155" s="530">
        <v>0</v>
      </c>
      <c r="N155" s="530">
        <v>0</v>
      </c>
      <c r="O155" s="530">
        <v>0</v>
      </c>
      <c r="P155" s="530">
        <v>0</v>
      </c>
      <c r="Q155" s="530">
        <f t="shared" si="24"/>
        <v>13750</v>
      </c>
    </row>
    <row r="156" spans="1:17" s="545" customFormat="1" ht="12.75" x14ac:dyDescent="0.2">
      <c r="A156" s="513">
        <v>66106</v>
      </c>
      <c r="B156" s="529" t="s">
        <v>678</v>
      </c>
      <c r="C156" s="530">
        <v>0</v>
      </c>
      <c r="D156" s="530">
        <v>0</v>
      </c>
      <c r="E156" s="530">
        <v>0</v>
      </c>
      <c r="F156" s="530">
        <v>0</v>
      </c>
      <c r="G156" s="530">
        <v>0</v>
      </c>
      <c r="H156" s="530">
        <v>0</v>
      </c>
      <c r="I156" s="530">
        <v>0</v>
      </c>
      <c r="J156" s="530">
        <v>0</v>
      </c>
      <c r="K156" s="530">
        <v>0</v>
      </c>
      <c r="L156" s="530">
        <v>0</v>
      </c>
      <c r="M156" s="530">
        <v>0</v>
      </c>
      <c r="N156" s="530">
        <v>0</v>
      </c>
      <c r="O156" s="530">
        <v>0</v>
      </c>
      <c r="P156" s="530">
        <v>0</v>
      </c>
      <c r="Q156" s="530">
        <f t="shared" si="24"/>
        <v>0</v>
      </c>
    </row>
    <row r="157" spans="1:17" s="545" customFormat="1" ht="12.75" x14ac:dyDescent="0.2">
      <c r="A157" s="513">
        <v>66108</v>
      </c>
      <c r="B157" s="529" t="s">
        <v>679</v>
      </c>
      <c r="C157" s="530">
        <v>0</v>
      </c>
      <c r="D157" s="530">
        <v>0</v>
      </c>
      <c r="E157" s="530">
        <v>0</v>
      </c>
      <c r="F157" s="530">
        <v>0</v>
      </c>
      <c r="G157" s="530">
        <v>0</v>
      </c>
      <c r="H157" s="530">
        <v>0</v>
      </c>
      <c r="I157" s="530">
        <v>0</v>
      </c>
      <c r="J157" s="530">
        <v>0</v>
      </c>
      <c r="K157" s="530">
        <v>0</v>
      </c>
      <c r="L157" s="530">
        <v>0</v>
      </c>
      <c r="M157" s="530">
        <v>0</v>
      </c>
      <c r="N157" s="530">
        <v>0</v>
      </c>
      <c r="O157" s="530">
        <v>0</v>
      </c>
      <c r="P157" s="530">
        <v>0</v>
      </c>
      <c r="Q157" s="530">
        <f t="shared" si="24"/>
        <v>0</v>
      </c>
    </row>
    <row r="158" spans="1:17" s="545" customFormat="1" ht="12.75" x14ac:dyDescent="0.2">
      <c r="A158" s="513">
        <v>66110</v>
      </c>
      <c r="B158" s="529" t="s">
        <v>680</v>
      </c>
      <c r="C158" s="530">
        <v>0</v>
      </c>
      <c r="D158" s="530">
        <v>0</v>
      </c>
      <c r="E158" s="530">
        <v>0</v>
      </c>
      <c r="F158" s="530">
        <v>0</v>
      </c>
      <c r="G158" s="530">
        <v>0</v>
      </c>
      <c r="H158" s="530">
        <v>0</v>
      </c>
      <c r="I158" s="530">
        <v>0</v>
      </c>
      <c r="J158" s="530">
        <v>0</v>
      </c>
      <c r="K158" s="530">
        <v>0</v>
      </c>
      <c r="L158" s="530">
        <v>0</v>
      </c>
      <c r="M158" s="530">
        <v>0</v>
      </c>
      <c r="N158" s="530">
        <v>0</v>
      </c>
      <c r="O158" s="530">
        <v>0</v>
      </c>
      <c r="P158" s="530">
        <v>0</v>
      </c>
      <c r="Q158" s="530">
        <f t="shared" si="24"/>
        <v>0</v>
      </c>
    </row>
    <row r="159" spans="1:17" s="545" customFormat="1" ht="12.75" x14ac:dyDescent="0.2">
      <c r="A159" s="513">
        <v>66112</v>
      </c>
      <c r="B159" s="529" t="s">
        <v>681</v>
      </c>
      <c r="C159" s="530">
        <v>8.01</v>
      </c>
      <c r="D159" s="530">
        <v>0</v>
      </c>
      <c r="E159" s="530">
        <v>1566.0800000000002</v>
      </c>
      <c r="F159" s="530">
        <v>0</v>
      </c>
      <c r="G159" s="530">
        <v>152746</v>
      </c>
      <c r="H159" s="530">
        <v>0</v>
      </c>
      <c r="I159" s="530">
        <v>8527.75</v>
      </c>
      <c r="J159" s="530">
        <v>42371.74</v>
      </c>
      <c r="K159" s="530">
        <v>15088</v>
      </c>
      <c r="L159" s="530">
        <v>1654.34</v>
      </c>
      <c r="M159" s="530">
        <v>0</v>
      </c>
      <c r="N159" s="530">
        <v>0</v>
      </c>
      <c r="O159" s="530">
        <v>0</v>
      </c>
      <c r="P159" s="530">
        <v>0</v>
      </c>
      <c r="Q159" s="530">
        <f t="shared" si="24"/>
        <v>221961.91999999998</v>
      </c>
    </row>
    <row r="160" spans="1:17" s="545" customFormat="1" ht="12.75" x14ac:dyDescent="0.2">
      <c r="A160" s="513">
        <v>66114</v>
      </c>
      <c r="B160" s="529" t="s">
        <v>682</v>
      </c>
      <c r="C160" s="530">
        <v>0</v>
      </c>
      <c r="D160" s="530">
        <v>0</v>
      </c>
      <c r="E160" s="530">
        <v>1999.9999999999998</v>
      </c>
      <c r="F160" s="530">
        <v>0</v>
      </c>
      <c r="G160" s="530">
        <v>0</v>
      </c>
      <c r="H160" s="530">
        <v>0</v>
      </c>
      <c r="I160" s="530">
        <v>0</v>
      </c>
      <c r="J160" s="530">
        <v>0</v>
      </c>
      <c r="K160" s="530">
        <v>0</v>
      </c>
      <c r="L160" s="530">
        <v>0</v>
      </c>
      <c r="M160" s="530">
        <v>0</v>
      </c>
      <c r="N160" s="530">
        <v>0</v>
      </c>
      <c r="O160" s="530">
        <v>0</v>
      </c>
      <c r="P160" s="530">
        <v>0</v>
      </c>
      <c r="Q160" s="530">
        <f t="shared" si="24"/>
        <v>1999.9999999999998</v>
      </c>
    </row>
    <row r="161" spans="1:17" s="545" customFormat="1" ht="12.75" x14ac:dyDescent="0.2">
      <c r="A161" s="513">
        <v>66118</v>
      </c>
      <c r="B161" s="529" t="s">
        <v>683</v>
      </c>
      <c r="C161" s="530">
        <v>0</v>
      </c>
      <c r="D161" s="530">
        <v>0</v>
      </c>
      <c r="E161" s="530">
        <v>0</v>
      </c>
      <c r="F161" s="530">
        <v>0</v>
      </c>
      <c r="G161" s="530">
        <v>0</v>
      </c>
      <c r="H161" s="530">
        <v>0</v>
      </c>
      <c r="I161" s="530">
        <v>0</v>
      </c>
      <c r="J161" s="530">
        <v>0</v>
      </c>
      <c r="K161" s="530">
        <v>0</v>
      </c>
      <c r="L161" s="530">
        <v>0</v>
      </c>
      <c r="M161" s="530">
        <v>0</v>
      </c>
      <c r="N161" s="530">
        <v>0</v>
      </c>
      <c r="O161" s="530">
        <v>0</v>
      </c>
      <c r="P161" s="530">
        <v>0</v>
      </c>
      <c r="Q161" s="530">
        <f t="shared" si="24"/>
        <v>0</v>
      </c>
    </row>
    <row r="162" spans="1:17" s="545" customFormat="1" ht="12.75" x14ac:dyDescent="0.2">
      <c r="A162" s="513">
        <v>66122</v>
      </c>
      <c r="B162" s="529" t="s">
        <v>684</v>
      </c>
      <c r="C162" s="530">
        <v>453.31</v>
      </c>
      <c r="D162" s="530">
        <v>0</v>
      </c>
      <c r="E162" s="530">
        <v>0</v>
      </c>
      <c r="F162" s="530">
        <v>0</v>
      </c>
      <c r="G162" s="530">
        <v>998.99999999999989</v>
      </c>
      <c r="H162" s="530">
        <v>0</v>
      </c>
      <c r="I162" s="530">
        <v>0</v>
      </c>
      <c r="J162" s="530">
        <v>0</v>
      </c>
      <c r="K162" s="530">
        <v>0</v>
      </c>
      <c r="L162" s="530">
        <v>1097.96</v>
      </c>
      <c r="M162" s="530">
        <v>0</v>
      </c>
      <c r="N162" s="530">
        <v>0</v>
      </c>
      <c r="O162" s="530">
        <v>0</v>
      </c>
      <c r="P162" s="530">
        <v>0</v>
      </c>
      <c r="Q162" s="530">
        <f t="shared" si="24"/>
        <v>2550.27</v>
      </c>
    </row>
    <row r="163" spans="1:17" s="545" customFormat="1" ht="12.75" x14ac:dyDescent="0.2">
      <c r="A163" s="513">
        <v>66126</v>
      </c>
      <c r="B163" s="529" t="s">
        <v>685</v>
      </c>
      <c r="C163" s="530">
        <v>318.99</v>
      </c>
      <c r="D163" s="530">
        <v>0</v>
      </c>
      <c r="E163" s="530">
        <v>0</v>
      </c>
      <c r="F163" s="530">
        <v>0</v>
      </c>
      <c r="G163" s="530">
        <v>1500</v>
      </c>
      <c r="H163" s="530">
        <v>0</v>
      </c>
      <c r="I163" s="530">
        <v>0</v>
      </c>
      <c r="J163" s="530">
        <v>0</v>
      </c>
      <c r="K163" s="530">
        <v>0</v>
      </c>
      <c r="L163" s="530">
        <v>1681.9399999999998</v>
      </c>
      <c r="M163" s="530">
        <v>0</v>
      </c>
      <c r="N163" s="530">
        <v>0</v>
      </c>
      <c r="O163" s="530">
        <v>0</v>
      </c>
      <c r="P163" s="530">
        <v>0</v>
      </c>
      <c r="Q163" s="530">
        <f t="shared" si="24"/>
        <v>3500.93</v>
      </c>
    </row>
    <row r="164" spans="1:17" s="545" customFormat="1" ht="12.75" x14ac:dyDescent="0.2">
      <c r="A164" s="513">
        <v>66127</v>
      </c>
      <c r="B164" s="529" t="s">
        <v>686</v>
      </c>
      <c r="C164" s="530">
        <v>4978.03</v>
      </c>
      <c r="D164" s="530">
        <v>0</v>
      </c>
      <c r="E164" s="530">
        <v>0</v>
      </c>
      <c r="F164" s="530">
        <v>0</v>
      </c>
      <c r="G164" s="530">
        <v>891.52</v>
      </c>
      <c r="H164" s="530">
        <v>0</v>
      </c>
      <c r="I164" s="530">
        <v>0</v>
      </c>
      <c r="J164" s="530">
        <v>179.2</v>
      </c>
      <c r="K164" s="530">
        <v>0</v>
      </c>
      <c r="L164" s="530">
        <v>2295.14</v>
      </c>
      <c r="M164" s="530">
        <v>0</v>
      </c>
      <c r="N164" s="530">
        <v>0</v>
      </c>
      <c r="O164" s="530">
        <v>0</v>
      </c>
      <c r="P164" s="530">
        <v>0</v>
      </c>
      <c r="Q164" s="530">
        <f t="shared" si="24"/>
        <v>8343.89</v>
      </c>
    </row>
    <row r="165" spans="1:17" s="545" customFormat="1" ht="12.75" x14ac:dyDescent="0.2">
      <c r="A165" s="513">
        <v>66130</v>
      </c>
      <c r="B165" s="529" t="s">
        <v>687</v>
      </c>
      <c r="C165" s="530">
        <v>1764.18</v>
      </c>
      <c r="D165" s="530">
        <v>0</v>
      </c>
      <c r="E165" s="530">
        <v>0</v>
      </c>
      <c r="F165" s="530">
        <v>0</v>
      </c>
      <c r="G165" s="530">
        <v>922.4</v>
      </c>
      <c r="H165" s="530">
        <v>0</v>
      </c>
      <c r="I165" s="530">
        <v>87.61</v>
      </c>
      <c r="J165" s="530">
        <v>758.86999999999989</v>
      </c>
      <c r="K165" s="530">
        <v>0</v>
      </c>
      <c r="L165" s="530">
        <v>784.26</v>
      </c>
      <c r="M165" s="530">
        <v>0</v>
      </c>
      <c r="N165" s="530">
        <v>0</v>
      </c>
      <c r="O165" s="530">
        <v>0</v>
      </c>
      <c r="P165" s="530">
        <v>0</v>
      </c>
      <c r="Q165" s="530">
        <f t="shared" si="24"/>
        <v>4317.32</v>
      </c>
    </row>
    <row r="166" spans="1:17" s="545" customFormat="1" ht="12.75" x14ac:dyDescent="0.2">
      <c r="A166" s="513">
        <v>66134</v>
      </c>
      <c r="B166" s="529" t="s">
        <v>688</v>
      </c>
      <c r="C166" s="530">
        <v>0</v>
      </c>
      <c r="D166" s="530">
        <v>0</v>
      </c>
      <c r="E166" s="530">
        <v>0</v>
      </c>
      <c r="F166" s="530">
        <v>0</v>
      </c>
      <c r="G166" s="530">
        <v>0</v>
      </c>
      <c r="H166" s="530">
        <v>0</v>
      </c>
      <c r="I166" s="530">
        <v>0</v>
      </c>
      <c r="J166" s="530">
        <v>0</v>
      </c>
      <c r="K166" s="530">
        <v>0</v>
      </c>
      <c r="L166" s="530">
        <v>0</v>
      </c>
      <c r="M166" s="530">
        <v>0</v>
      </c>
      <c r="N166" s="530">
        <v>0</v>
      </c>
      <c r="O166" s="530">
        <v>0</v>
      </c>
      <c r="P166" s="530">
        <v>0</v>
      </c>
      <c r="Q166" s="530">
        <f t="shared" si="24"/>
        <v>0</v>
      </c>
    </row>
    <row r="167" spans="1:17" s="545" customFormat="1" ht="12.75" x14ac:dyDescent="0.2">
      <c r="A167" s="513">
        <v>66138</v>
      </c>
      <c r="B167" s="529" t="s">
        <v>689</v>
      </c>
      <c r="C167" s="530">
        <v>38452.480000000003</v>
      </c>
      <c r="D167" s="530">
        <v>0</v>
      </c>
      <c r="E167" s="530">
        <v>-7.5</v>
      </c>
      <c r="F167" s="530">
        <v>0</v>
      </c>
      <c r="G167" s="530">
        <v>6998.76</v>
      </c>
      <c r="H167" s="530">
        <v>0</v>
      </c>
      <c r="I167" s="530">
        <v>0</v>
      </c>
      <c r="J167" s="530">
        <v>0</v>
      </c>
      <c r="K167" s="530">
        <v>0</v>
      </c>
      <c r="L167" s="530">
        <v>12578.81</v>
      </c>
      <c r="M167" s="530">
        <v>0</v>
      </c>
      <c r="N167" s="530">
        <v>0</v>
      </c>
      <c r="O167" s="530">
        <v>0</v>
      </c>
      <c r="P167" s="530">
        <v>0</v>
      </c>
      <c r="Q167" s="530">
        <f t="shared" si="24"/>
        <v>58022.55</v>
      </c>
    </row>
    <row r="168" spans="1:17" s="545" customFormat="1" ht="12.75" x14ac:dyDescent="0.2">
      <c r="A168" s="513">
        <v>66140</v>
      </c>
      <c r="B168" s="529" t="s">
        <v>690</v>
      </c>
      <c r="C168" s="530">
        <v>7546.39</v>
      </c>
      <c r="D168" s="530">
        <v>0</v>
      </c>
      <c r="E168" s="530">
        <v>516.09</v>
      </c>
      <c r="F168" s="530">
        <v>0</v>
      </c>
      <c r="G168" s="530">
        <v>-2353.9</v>
      </c>
      <c r="H168" s="530">
        <v>0</v>
      </c>
      <c r="I168" s="530">
        <v>0</v>
      </c>
      <c r="J168" s="530">
        <v>-1006</v>
      </c>
      <c r="K168" s="530">
        <v>0</v>
      </c>
      <c r="L168" s="530">
        <v>-12695.69</v>
      </c>
      <c r="M168" s="530">
        <v>0</v>
      </c>
      <c r="N168" s="530">
        <v>0</v>
      </c>
      <c r="O168" s="530">
        <v>0</v>
      </c>
      <c r="P168" s="530">
        <v>0</v>
      </c>
      <c r="Q168" s="530">
        <f t="shared" si="24"/>
        <v>-7993.1100000000006</v>
      </c>
    </row>
    <row r="169" spans="1:17" s="545" customFormat="1" ht="12.75" x14ac:dyDescent="0.2">
      <c r="A169" s="513" t="s">
        <v>691</v>
      </c>
      <c r="B169" s="529" t="s">
        <v>692</v>
      </c>
      <c r="C169" s="530">
        <v>4836.45</v>
      </c>
      <c r="D169" s="530">
        <v>0</v>
      </c>
      <c r="E169" s="530">
        <v>0</v>
      </c>
      <c r="F169" s="530">
        <v>0</v>
      </c>
      <c r="G169" s="530">
        <v>970.46</v>
      </c>
      <c r="H169" s="530">
        <v>0</v>
      </c>
      <c r="I169" s="530">
        <v>0</v>
      </c>
      <c r="J169" s="530">
        <v>0</v>
      </c>
      <c r="K169" s="530">
        <v>0</v>
      </c>
      <c r="L169" s="530">
        <v>7289.33</v>
      </c>
      <c r="M169" s="530">
        <v>0</v>
      </c>
      <c r="N169" s="530">
        <v>0</v>
      </c>
      <c r="O169" s="530">
        <v>0</v>
      </c>
      <c r="P169" s="530">
        <v>0</v>
      </c>
      <c r="Q169" s="530">
        <f t="shared" si="24"/>
        <v>13096.24</v>
      </c>
    </row>
    <row r="170" spans="1:17" s="545" customFormat="1" ht="12.75" x14ac:dyDescent="0.2">
      <c r="A170" s="513">
        <v>66154</v>
      </c>
      <c r="B170" s="529" t="s">
        <v>693</v>
      </c>
      <c r="C170" s="530">
        <v>0</v>
      </c>
      <c r="D170" s="530">
        <v>0</v>
      </c>
      <c r="E170" s="530">
        <v>0</v>
      </c>
      <c r="F170" s="530">
        <v>0</v>
      </c>
      <c r="G170" s="530">
        <v>0</v>
      </c>
      <c r="H170" s="530">
        <v>0</v>
      </c>
      <c r="I170" s="530">
        <v>0</v>
      </c>
      <c r="J170" s="530">
        <v>0</v>
      </c>
      <c r="K170" s="530">
        <v>0</v>
      </c>
      <c r="L170" s="530">
        <v>0</v>
      </c>
      <c r="M170" s="530">
        <v>0</v>
      </c>
      <c r="N170" s="530">
        <v>0</v>
      </c>
      <c r="O170" s="530">
        <v>0</v>
      </c>
      <c r="P170" s="530">
        <v>0</v>
      </c>
      <c r="Q170" s="530">
        <f t="shared" si="24"/>
        <v>0</v>
      </c>
    </row>
    <row r="171" spans="1:17" s="545" customFormat="1" ht="12.75" x14ac:dyDescent="0.2">
      <c r="A171" s="513">
        <v>66156</v>
      </c>
      <c r="B171" s="529" t="s">
        <v>694</v>
      </c>
      <c r="C171" s="530">
        <v>0</v>
      </c>
      <c r="D171" s="530">
        <v>0</v>
      </c>
      <c r="E171" s="530">
        <v>0</v>
      </c>
      <c r="F171" s="530">
        <v>0</v>
      </c>
      <c r="G171" s="530">
        <v>0</v>
      </c>
      <c r="H171" s="530">
        <v>0</v>
      </c>
      <c r="I171" s="530">
        <v>0</v>
      </c>
      <c r="J171" s="530">
        <v>0</v>
      </c>
      <c r="K171" s="530">
        <v>0</v>
      </c>
      <c r="L171" s="530">
        <v>0</v>
      </c>
      <c r="M171" s="530">
        <v>0</v>
      </c>
      <c r="N171" s="530">
        <v>0</v>
      </c>
      <c r="O171" s="530">
        <v>0</v>
      </c>
      <c r="P171" s="530">
        <v>0</v>
      </c>
      <c r="Q171" s="530">
        <f t="shared" si="24"/>
        <v>0</v>
      </c>
    </row>
    <row r="172" spans="1:17" s="545" customFormat="1" ht="12.75" x14ac:dyDescent="0.2">
      <c r="A172" s="513">
        <v>66157</v>
      </c>
      <c r="B172" s="529" t="s">
        <v>695</v>
      </c>
      <c r="C172" s="530">
        <v>0</v>
      </c>
      <c r="D172" s="530">
        <v>0</v>
      </c>
      <c r="E172" s="530">
        <v>0</v>
      </c>
      <c r="F172" s="530">
        <v>0</v>
      </c>
      <c r="G172" s="530">
        <v>0</v>
      </c>
      <c r="H172" s="530">
        <v>0</v>
      </c>
      <c r="I172" s="530">
        <v>0</v>
      </c>
      <c r="J172" s="530">
        <v>0</v>
      </c>
      <c r="K172" s="530">
        <v>0</v>
      </c>
      <c r="L172" s="530">
        <v>0</v>
      </c>
      <c r="M172" s="530">
        <v>0</v>
      </c>
      <c r="N172" s="530">
        <v>0</v>
      </c>
      <c r="O172" s="530">
        <v>0</v>
      </c>
      <c r="P172" s="530">
        <v>0</v>
      </c>
      <c r="Q172" s="530">
        <f t="shared" si="24"/>
        <v>0</v>
      </c>
    </row>
    <row r="173" spans="1:17" s="545" customFormat="1" ht="12.75" x14ac:dyDescent="0.2">
      <c r="A173" s="513">
        <v>66158</v>
      </c>
      <c r="B173" s="529" t="s">
        <v>696</v>
      </c>
      <c r="C173" s="530">
        <v>0</v>
      </c>
      <c r="D173" s="530">
        <v>0</v>
      </c>
      <c r="E173" s="530">
        <v>0</v>
      </c>
      <c r="F173" s="530">
        <v>0</v>
      </c>
      <c r="G173" s="530">
        <v>0</v>
      </c>
      <c r="H173" s="530">
        <v>0</v>
      </c>
      <c r="I173" s="530">
        <v>0</v>
      </c>
      <c r="J173" s="530">
        <v>0</v>
      </c>
      <c r="K173" s="530">
        <v>0</v>
      </c>
      <c r="L173" s="530">
        <v>0</v>
      </c>
      <c r="M173" s="530">
        <v>0</v>
      </c>
      <c r="N173" s="530">
        <v>0</v>
      </c>
      <c r="O173" s="530">
        <v>0</v>
      </c>
      <c r="P173" s="530">
        <v>0</v>
      </c>
      <c r="Q173" s="530">
        <f t="shared" si="24"/>
        <v>0</v>
      </c>
    </row>
    <row r="174" spans="1:17" s="545" customFormat="1" ht="12.75" x14ac:dyDescent="0.2">
      <c r="A174" s="513">
        <v>66159</v>
      </c>
      <c r="B174" s="529" t="s">
        <v>697</v>
      </c>
      <c r="C174" s="530">
        <v>0</v>
      </c>
      <c r="D174" s="530">
        <v>0</v>
      </c>
      <c r="E174" s="530">
        <v>0</v>
      </c>
      <c r="F174" s="530">
        <v>0</v>
      </c>
      <c r="G174" s="530">
        <v>0</v>
      </c>
      <c r="H174" s="530">
        <v>0</v>
      </c>
      <c r="I174" s="530">
        <v>0</v>
      </c>
      <c r="J174" s="530">
        <v>0</v>
      </c>
      <c r="K174" s="530">
        <v>0</v>
      </c>
      <c r="L174" s="530">
        <v>0</v>
      </c>
      <c r="M174" s="530">
        <v>0</v>
      </c>
      <c r="N174" s="530">
        <v>0</v>
      </c>
      <c r="O174" s="530">
        <v>0</v>
      </c>
      <c r="P174" s="530">
        <v>0</v>
      </c>
      <c r="Q174" s="530">
        <f t="shared" si="24"/>
        <v>0</v>
      </c>
    </row>
    <row r="175" spans="1:17" s="545" customFormat="1" ht="12.75" x14ac:dyDescent="0.2">
      <c r="A175" s="513">
        <v>66160</v>
      </c>
      <c r="B175" s="529" t="s">
        <v>698</v>
      </c>
      <c r="C175" s="530">
        <v>0</v>
      </c>
      <c r="D175" s="530">
        <v>0</v>
      </c>
      <c r="E175" s="530">
        <v>0</v>
      </c>
      <c r="F175" s="530">
        <v>0</v>
      </c>
      <c r="G175" s="530">
        <v>0</v>
      </c>
      <c r="H175" s="530">
        <v>0</v>
      </c>
      <c r="I175" s="530">
        <v>0</v>
      </c>
      <c r="J175" s="530">
        <v>0</v>
      </c>
      <c r="K175" s="530">
        <v>0</v>
      </c>
      <c r="L175" s="530">
        <v>0</v>
      </c>
      <c r="M175" s="530">
        <v>0</v>
      </c>
      <c r="N175" s="530">
        <v>0</v>
      </c>
      <c r="O175" s="530">
        <v>0</v>
      </c>
      <c r="P175" s="530">
        <v>0</v>
      </c>
      <c r="Q175" s="530">
        <f t="shared" si="24"/>
        <v>0</v>
      </c>
    </row>
    <row r="176" spans="1:17" s="545" customFormat="1" ht="12.75" x14ac:dyDescent="0.2">
      <c r="A176" s="513">
        <v>66162</v>
      </c>
      <c r="B176" s="529" t="s">
        <v>699</v>
      </c>
      <c r="C176" s="530">
        <v>0</v>
      </c>
      <c r="D176" s="530">
        <v>0</v>
      </c>
      <c r="E176" s="530">
        <v>0</v>
      </c>
      <c r="F176" s="530">
        <v>0</v>
      </c>
      <c r="G176" s="530">
        <v>0</v>
      </c>
      <c r="H176" s="530">
        <v>0</v>
      </c>
      <c r="I176" s="530">
        <v>0</v>
      </c>
      <c r="J176" s="530">
        <v>0</v>
      </c>
      <c r="K176" s="530">
        <v>0</v>
      </c>
      <c r="L176" s="530">
        <v>78.739999999999995</v>
      </c>
      <c r="M176" s="530">
        <v>0</v>
      </c>
      <c r="N176" s="530">
        <v>0</v>
      </c>
      <c r="O176" s="530">
        <v>0</v>
      </c>
      <c r="P176" s="530">
        <v>0</v>
      </c>
      <c r="Q176" s="530">
        <f t="shared" si="24"/>
        <v>78.739999999999995</v>
      </c>
    </row>
    <row r="177" spans="1:17" s="545" customFormat="1" ht="12.75" x14ac:dyDescent="0.2">
      <c r="A177" s="513">
        <v>66164</v>
      </c>
      <c r="B177" s="529" t="s">
        <v>700</v>
      </c>
      <c r="C177" s="530">
        <v>0</v>
      </c>
      <c r="D177" s="530">
        <v>0</v>
      </c>
      <c r="E177" s="530">
        <v>0</v>
      </c>
      <c r="F177" s="530">
        <v>0</v>
      </c>
      <c r="G177" s="530">
        <v>0</v>
      </c>
      <c r="H177" s="530">
        <v>0</v>
      </c>
      <c r="I177" s="530">
        <v>0</v>
      </c>
      <c r="J177" s="530">
        <v>0</v>
      </c>
      <c r="K177" s="530">
        <v>0</v>
      </c>
      <c r="L177" s="530">
        <v>0</v>
      </c>
      <c r="M177" s="530">
        <v>0</v>
      </c>
      <c r="N177" s="530">
        <v>0</v>
      </c>
      <c r="O177" s="530">
        <v>0</v>
      </c>
      <c r="P177" s="530">
        <v>0</v>
      </c>
      <c r="Q177" s="530">
        <f t="shared" si="24"/>
        <v>0</v>
      </c>
    </row>
    <row r="178" spans="1:17" s="545" customFormat="1" ht="12.75" x14ac:dyDescent="0.2">
      <c r="A178" s="513">
        <v>66166</v>
      </c>
      <c r="B178" s="529" t="s">
        <v>701</v>
      </c>
      <c r="C178" s="530">
        <v>0</v>
      </c>
      <c r="D178" s="530">
        <v>0</v>
      </c>
      <c r="E178" s="530">
        <v>0</v>
      </c>
      <c r="F178" s="530">
        <v>0</v>
      </c>
      <c r="G178" s="530">
        <v>0</v>
      </c>
      <c r="H178" s="530">
        <v>0</v>
      </c>
      <c r="I178" s="530">
        <v>0</v>
      </c>
      <c r="J178" s="530">
        <v>0</v>
      </c>
      <c r="K178" s="530">
        <v>0</v>
      </c>
      <c r="L178" s="530">
        <v>0</v>
      </c>
      <c r="M178" s="530">
        <v>0</v>
      </c>
      <c r="N178" s="530">
        <v>0</v>
      </c>
      <c r="O178" s="530">
        <v>0</v>
      </c>
      <c r="P178" s="530">
        <v>0</v>
      </c>
      <c r="Q178" s="530">
        <f t="shared" si="24"/>
        <v>0</v>
      </c>
    </row>
    <row r="179" spans="1:17" s="545" customFormat="1" ht="12.75" x14ac:dyDescent="0.2">
      <c r="A179" s="513">
        <v>66168</v>
      </c>
      <c r="B179" s="529" t="s">
        <v>702</v>
      </c>
      <c r="C179" s="530">
        <v>0</v>
      </c>
      <c r="D179" s="530">
        <v>0</v>
      </c>
      <c r="E179" s="530">
        <v>0</v>
      </c>
      <c r="F179" s="530">
        <v>0</v>
      </c>
      <c r="G179" s="530">
        <v>0</v>
      </c>
      <c r="H179" s="530">
        <v>0</v>
      </c>
      <c r="I179" s="530">
        <v>0</v>
      </c>
      <c r="J179" s="530">
        <v>0</v>
      </c>
      <c r="K179" s="530">
        <v>0</v>
      </c>
      <c r="L179" s="530">
        <v>0</v>
      </c>
      <c r="M179" s="530">
        <v>0</v>
      </c>
      <c r="N179" s="530">
        <v>0</v>
      </c>
      <c r="O179" s="530">
        <v>0</v>
      </c>
      <c r="P179" s="530">
        <v>0</v>
      </c>
      <c r="Q179" s="530">
        <f t="shared" si="24"/>
        <v>0</v>
      </c>
    </row>
    <row r="180" spans="1:17" s="545" customFormat="1" ht="12.75" x14ac:dyDescent="0.2">
      <c r="A180" s="513" t="s">
        <v>703</v>
      </c>
      <c r="B180" s="529" t="s">
        <v>704</v>
      </c>
      <c r="C180" s="530">
        <v>0</v>
      </c>
      <c r="D180" s="530">
        <v>0</v>
      </c>
      <c r="E180" s="530">
        <v>92.5</v>
      </c>
      <c r="F180" s="530">
        <v>0</v>
      </c>
      <c r="G180" s="530">
        <v>90</v>
      </c>
      <c r="H180" s="530">
        <v>0</v>
      </c>
      <c r="I180" s="530">
        <v>0</v>
      </c>
      <c r="J180" s="530">
        <v>0</v>
      </c>
      <c r="K180" s="530">
        <v>0</v>
      </c>
      <c r="L180" s="530">
        <v>0</v>
      </c>
      <c r="M180" s="530">
        <v>0</v>
      </c>
      <c r="N180" s="530">
        <v>0</v>
      </c>
      <c r="O180" s="530">
        <v>0</v>
      </c>
      <c r="P180" s="530">
        <v>0</v>
      </c>
      <c r="Q180" s="530">
        <f t="shared" si="24"/>
        <v>182.5</v>
      </c>
    </row>
    <row r="181" spans="1:17" s="545" customFormat="1" ht="12.75" x14ac:dyDescent="0.2">
      <c r="A181" s="513">
        <v>66172</v>
      </c>
      <c r="B181" s="529" t="s">
        <v>705</v>
      </c>
      <c r="C181" s="530">
        <v>0</v>
      </c>
      <c r="D181" s="530">
        <v>0</v>
      </c>
      <c r="E181" s="530">
        <v>0</v>
      </c>
      <c r="F181" s="530">
        <v>0</v>
      </c>
      <c r="G181" s="530">
        <v>50</v>
      </c>
      <c r="H181" s="530">
        <v>0</v>
      </c>
      <c r="I181" s="530">
        <v>22.88</v>
      </c>
      <c r="J181" s="530">
        <v>0</v>
      </c>
      <c r="K181" s="530">
        <v>0</v>
      </c>
      <c r="L181" s="530">
        <v>0</v>
      </c>
      <c r="M181" s="530">
        <v>0</v>
      </c>
      <c r="N181" s="530">
        <v>0</v>
      </c>
      <c r="O181" s="530">
        <v>0</v>
      </c>
      <c r="P181" s="530">
        <v>0</v>
      </c>
      <c r="Q181" s="530">
        <f t="shared" si="24"/>
        <v>72.88</v>
      </c>
    </row>
    <row r="182" spans="1:17" s="545" customFormat="1" ht="12.75" x14ac:dyDescent="0.2">
      <c r="A182" s="513">
        <v>66176</v>
      </c>
      <c r="B182" s="529" t="s">
        <v>706</v>
      </c>
      <c r="C182" s="530">
        <v>0</v>
      </c>
      <c r="D182" s="530">
        <v>0</v>
      </c>
      <c r="E182" s="530">
        <v>42</v>
      </c>
      <c r="F182" s="530">
        <v>0</v>
      </c>
      <c r="G182" s="530">
        <v>0</v>
      </c>
      <c r="H182" s="530">
        <v>0</v>
      </c>
      <c r="I182" s="530">
        <v>0</v>
      </c>
      <c r="J182" s="530">
        <v>0</v>
      </c>
      <c r="K182" s="530">
        <v>0</v>
      </c>
      <c r="L182" s="530">
        <v>0</v>
      </c>
      <c r="M182" s="530">
        <v>0</v>
      </c>
      <c r="N182" s="530">
        <v>0</v>
      </c>
      <c r="O182" s="530">
        <v>0</v>
      </c>
      <c r="P182" s="530">
        <v>0</v>
      </c>
      <c r="Q182" s="530">
        <f t="shared" si="24"/>
        <v>42</v>
      </c>
    </row>
    <row r="183" spans="1:17" s="545" customFormat="1" ht="12.75" x14ac:dyDescent="0.2">
      <c r="A183" s="513">
        <v>66180</v>
      </c>
      <c r="B183" s="529" t="s">
        <v>707</v>
      </c>
      <c r="C183" s="530">
        <v>1600.8799999999999</v>
      </c>
      <c r="D183" s="530">
        <v>0</v>
      </c>
      <c r="E183" s="530">
        <v>1122.8699999999999</v>
      </c>
      <c r="F183" s="530">
        <v>0</v>
      </c>
      <c r="G183" s="530">
        <v>2022.72</v>
      </c>
      <c r="H183" s="530">
        <v>0</v>
      </c>
      <c r="I183" s="530">
        <v>0</v>
      </c>
      <c r="J183" s="530">
        <v>495.06000000000006</v>
      </c>
      <c r="K183" s="530">
        <v>0</v>
      </c>
      <c r="L183" s="530">
        <v>1346.3500000000001</v>
      </c>
      <c r="M183" s="530">
        <v>0</v>
      </c>
      <c r="N183" s="530">
        <v>0</v>
      </c>
      <c r="O183" s="530">
        <v>0</v>
      </c>
      <c r="P183" s="530">
        <v>0</v>
      </c>
      <c r="Q183" s="530">
        <f t="shared" si="24"/>
        <v>6587.880000000001</v>
      </c>
    </row>
    <row r="184" spans="1:17" s="545" customFormat="1" ht="12.75" x14ac:dyDescent="0.2">
      <c r="A184" s="513">
        <v>66220</v>
      </c>
      <c r="B184" s="529" t="s">
        <v>708</v>
      </c>
      <c r="C184" s="530">
        <v>0</v>
      </c>
      <c r="D184" s="530">
        <v>0</v>
      </c>
      <c r="E184" s="530">
        <v>0</v>
      </c>
      <c r="F184" s="530">
        <v>0</v>
      </c>
      <c r="G184" s="530">
        <v>0</v>
      </c>
      <c r="H184" s="530">
        <v>0</v>
      </c>
      <c r="I184" s="530">
        <v>0</v>
      </c>
      <c r="J184" s="530">
        <v>0</v>
      </c>
      <c r="K184" s="530">
        <v>0</v>
      </c>
      <c r="L184" s="530">
        <v>0</v>
      </c>
      <c r="M184" s="530">
        <v>0</v>
      </c>
      <c r="N184" s="530">
        <v>0</v>
      </c>
      <c r="O184" s="530">
        <v>0</v>
      </c>
      <c r="P184" s="530">
        <v>0</v>
      </c>
      <c r="Q184" s="530">
        <f t="shared" si="24"/>
        <v>0</v>
      </c>
    </row>
    <row r="185" spans="1:17" s="545" customFormat="1" ht="12.75" x14ac:dyDescent="0.2">
      <c r="A185" s="513">
        <v>66230</v>
      </c>
      <c r="B185" s="529" t="s">
        <v>709</v>
      </c>
      <c r="C185" s="530">
        <v>0</v>
      </c>
      <c r="D185" s="530">
        <v>0</v>
      </c>
      <c r="E185" s="530">
        <v>0</v>
      </c>
      <c r="F185" s="530">
        <v>0</v>
      </c>
      <c r="G185" s="530">
        <v>0</v>
      </c>
      <c r="H185" s="530">
        <v>0</v>
      </c>
      <c r="I185" s="530">
        <v>0</v>
      </c>
      <c r="J185" s="530">
        <v>0</v>
      </c>
      <c r="K185" s="530">
        <v>0</v>
      </c>
      <c r="L185" s="530">
        <v>0</v>
      </c>
      <c r="M185" s="530">
        <v>0</v>
      </c>
      <c r="N185" s="530">
        <v>0</v>
      </c>
      <c r="O185" s="530">
        <v>0</v>
      </c>
      <c r="P185" s="530">
        <v>0</v>
      </c>
      <c r="Q185" s="530">
        <f t="shared" si="24"/>
        <v>0</v>
      </c>
    </row>
    <row r="186" spans="1:17" s="545" customFormat="1" ht="12.75" x14ac:dyDescent="0.2">
      <c r="A186" s="513">
        <v>66240</v>
      </c>
      <c r="B186" s="529" t="s">
        <v>710</v>
      </c>
      <c r="C186" s="530">
        <v>0</v>
      </c>
      <c r="D186" s="530">
        <v>0</v>
      </c>
      <c r="E186" s="530">
        <v>0</v>
      </c>
      <c r="F186" s="530">
        <v>0</v>
      </c>
      <c r="G186" s="530">
        <v>0</v>
      </c>
      <c r="H186" s="530">
        <v>0</v>
      </c>
      <c r="I186" s="530">
        <v>0</v>
      </c>
      <c r="J186" s="530">
        <v>0</v>
      </c>
      <c r="K186" s="530">
        <v>0</v>
      </c>
      <c r="L186" s="530">
        <v>0</v>
      </c>
      <c r="M186" s="530">
        <v>0</v>
      </c>
      <c r="N186" s="530">
        <v>0</v>
      </c>
      <c r="O186" s="530">
        <v>0</v>
      </c>
      <c r="P186" s="530">
        <v>0</v>
      </c>
      <c r="Q186" s="530">
        <f t="shared" si="24"/>
        <v>0</v>
      </c>
    </row>
    <row r="187" spans="1:17" s="545" customFormat="1" ht="12.75" x14ac:dyDescent="0.2">
      <c r="A187" s="513">
        <v>66250</v>
      </c>
      <c r="B187" s="529" t="s">
        <v>711</v>
      </c>
      <c r="C187" s="530">
        <v>0</v>
      </c>
      <c r="D187" s="530">
        <v>0</v>
      </c>
      <c r="E187" s="530">
        <v>0</v>
      </c>
      <c r="F187" s="530">
        <v>0</v>
      </c>
      <c r="G187" s="530">
        <v>0</v>
      </c>
      <c r="H187" s="530">
        <v>0</v>
      </c>
      <c r="I187" s="530">
        <v>0</v>
      </c>
      <c r="J187" s="530">
        <v>0</v>
      </c>
      <c r="K187" s="530">
        <v>0</v>
      </c>
      <c r="L187" s="530">
        <v>0</v>
      </c>
      <c r="M187" s="530">
        <v>0</v>
      </c>
      <c r="N187" s="530">
        <v>0</v>
      </c>
      <c r="O187" s="530">
        <v>0</v>
      </c>
      <c r="P187" s="530">
        <v>0</v>
      </c>
      <c r="Q187" s="530">
        <f t="shared" si="24"/>
        <v>0</v>
      </c>
    </row>
    <row r="188" spans="1:17" s="545" customFormat="1" ht="12.75" x14ac:dyDescent="0.2">
      <c r="A188" s="513">
        <v>66260</v>
      </c>
      <c r="B188" s="529" t="s">
        <v>712</v>
      </c>
      <c r="C188" s="530">
        <v>0</v>
      </c>
      <c r="D188" s="530">
        <v>0</v>
      </c>
      <c r="E188" s="530">
        <v>0</v>
      </c>
      <c r="F188" s="530">
        <v>0</v>
      </c>
      <c r="G188" s="530">
        <v>0</v>
      </c>
      <c r="H188" s="530">
        <v>0</v>
      </c>
      <c r="I188" s="530">
        <v>0</v>
      </c>
      <c r="J188" s="530">
        <v>0</v>
      </c>
      <c r="K188" s="530">
        <v>0</v>
      </c>
      <c r="L188" s="530">
        <v>0</v>
      </c>
      <c r="M188" s="530">
        <v>0</v>
      </c>
      <c r="N188" s="530">
        <v>0</v>
      </c>
      <c r="O188" s="530">
        <v>0</v>
      </c>
      <c r="P188" s="530">
        <v>0</v>
      </c>
      <c r="Q188" s="530">
        <f t="shared" si="24"/>
        <v>0</v>
      </c>
    </row>
    <row r="189" spans="1:17" s="545" customFormat="1" ht="12.75" x14ac:dyDescent="0.2">
      <c r="A189" s="513">
        <v>66270</v>
      </c>
      <c r="B189" s="529" t="s">
        <v>713</v>
      </c>
      <c r="C189" s="530">
        <v>0</v>
      </c>
      <c r="D189" s="530">
        <v>0</v>
      </c>
      <c r="E189" s="530">
        <v>0</v>
      </c>
      <c r="F189" s="530">
        <v>0</v>
      </c>
      <c r="G189" s="530">
        <v>0</v>
      </c>
      <c r="H189" s="530">
        <v>0</v>
      </c>
      <c r="I189" s="530">
        <v>0</v>
      </c>
      <c r="J189" s="530">
        <v>0</v>
      </c>
      <c r="K189" s="530">
        <v>0</v>
      </c>
      <c r="L189" s="530">
        <v>0</v>
      </c>
      <c r="M189" s="530">
        <v>0</v>
      </c>
      <c r="N189" s="530">
        <v>0</v>
      </c>
      <c r="O189" s="530">
        <v>0</v>
      </c>
      <c r="P189" s="530">
        <v>0</v>
      </c>
      <c r="Q189" s="530">
        <f t="shared" si="24"/>
        <v>0</v>
      </c>
    </row>
    <row r="190" spans="1:17" s="545" customFormat="1" ht="12.75" x14ac:dyDescent="0.2">
      <c r="A190" s="513">
        <v>66275</v>
      </c>
      <c r="B190" s="529" t="s">
        <v>714</v>
      </c>
      <c r="C190" s="530">
        <v>0</v>
      </c>
      <c r="D190" s="530">
        <v>0</v>
      </c>
      <c r="E190" s="530">
        <v>0</v>
      </c>
      <c r="F190" s="530">
        <v>0</v>
      </c>
      <c r="G190" s="530">
        <v>0</v>
      </c>
      <c r="H190" s="530">
        <v>0</v>
      </c>
      <c r="I190" s="530">
        <v>0</v>
      </c>
      <c r="J190" s="530">
        <v>0</v>
      </c>
      <c r="K190" s="530">
        <v>0</v>
      </c>
      <c r="L190" s="530">
        <v>0</v>
      </c>
      <c r="M190" s="530">
        <v>0</v>
      </c>
      <c r="N190" s="530">
        <v>0</v>
      </c>
      <c r="O190" s="530">
        <v>0</v>
      </c>
      <c r="P190" s="530">
        <v>0</v>
      </c>
      <c r="Q190" s="530">
        <f t="shared" si="24"/>
        <v>0</v>
      </c>
    </row>
    <row r="191" spans="1:17" s="545" customFormat="1" ht="12.75" x14ac:dyDescent="0.2">
      <c r="A191" s="513">
        <v>66278</v>
      </c>
      <c r="B191" s="529" t="s">
        <v>715</v>
      </c>
      <c r="C191" s="530">
        <v>0</v>
      </c>
      <c r="D191" s="530">
        <v>0</v>
      </c>
      <c r="E191" s="530">
        <v>0</v>
      </c>
      <c r="F191" s="530">
        <v>0</v>
      </c>
      <c r="G191" s="530">
        <v>0</v>
      </c>
      <c r="H191" s="530">
        <v>0</v>
      </c>
      <c r="I191" s="530">
        <v>0</v>
      </c>
      <c r="J191" s="530">
        <v>0</v>
      </c>
      <c r="K191" s="530">
        <v>0</v>
      </c>
      <c r="L191" s="530">
        <v>0</v>
      </c>
      <c r="M191" s="530">
        <v>0</v>
      </c>
      <c r="N191" s="530">
        <v>0</v>
      </c>
      <c r="O191" s="530">
        <v>0</v>
      </c>
      <c r="P191" s="530">
        <v>0</v>
      </c>
      <c r="Q191" s="530">
        <f t="shared" si="24"/>
        <v>0</v>
      </c>
    </row>
    <row r="192" spans="1:17" s="545" customFormat="1" ht="12.75" x14ac:dyDescent="0.2">
      <c r="A192" s="513">
        <v>66280</v>
      </c>
      <c r="B192" s="529" t="s">
        <v>716</v>
      </c>
      <c r="C192" s="530">
        <v>0</v>
      </c>
      <c r="D192" s="530">
        <v>0</v>
      </c>
      <c r="E192" s="530">
        <v>0</v>
      </c>
      <c r="F192" s="530">
        <v>0</v>
      </c>
      <c r="G192" s="530">
        <v>0</v>
      </c>
      <c r="H192" s="530">
        <v>0</v>
      </c>
      <c r="I192" s="530">
        <v>0</v>
      </c>
      <c r="J192" s="530">
        <v>0</v>
      </c>
      <c r="K192" s="530">
        <v>0</v>
      </c>
      <c r="L192" s="530">
        <v>0</v>
      </c>
      <c r="M192" s="530">
        <v>0</v>
      </c>
      <c r="N192" s="530">
        <v>0</v>
      </c>
      <c r="O192" s="530">
        <v>0</v>
      </c>
      <c r="P192" s="530">
        <v>0</v>
      </c>
      <c r="Q192" s="530">
        <f t="shared" si="24"/>
        <v>0</v>
      </c>
    </row>
    <row r="193" spans="1:17" s="545" customFormat="1" ht="12.75" x14ac:dyDescent="0.2">
      <c r="A193" s="513">
        <v>66282</v>
      </c>
      <c r="B193" s="529" t="s">
        <v>717</v>
      </c>
      <c r="C193" s="530">
        <v>0</v>
      </c>
      <c r="D193" s="530">
        <v>0</v>
      </c>
      <c r="E193" s="530">
        <v>0</v>
      </c>
      <c r="F193" s="530">
        <v>0</v>
      </c>
      <c r="G193" s="530">
        <v>0</v>
      </c>
      <c r="H193" s="530">
        <v>0</v>
      </c>
      <c r="I193" s="530">
        <v>0</v>
      </c>
      <c r="J193" s="530">
        <v>0</v>
      </c>
      <c r="K193" s="530">
        <v>0</v>
      </c>
      <c r="L193" s="530">
        <v>0</v>
      </c>
      <c r="M193" s="530">
        <v>0</v>
      </c>
      <c r="N193" s="530">
        <v>0</v>
      </c>
      <c r="O193" s="530">
        <v>0</v>
      </c>
      <c r="P193" s="530">
        <v>0</v>
      </c>
      <c r="Q193" s="530">
        <f t="shared" si="24"/>
        <v>0</v>
      </c>
    </row>
    <row r="194" spans="1:17" s="545" customFormat="1" ht="12.75" x14ac:dyDescent="0.2">
      <c r="A194" s="513">
        <v>66284</v>
      </c>
      <c r="B194" s="529" t="s">
        <v>718</v>
      </c>
      <c r="C194" s="530">
        <v>0</v>
      </c>
      <c r="D194" s="530">
        <v>0</v>
      </c>
      <c r="E194" s="530">
        <v>0</v>
      </c>
      <c r="F194" s="530">
        <v>0</v>
      </c>
      <c r="G194" s="530">
        <v>0</v>
      </c>
      <c r="H194" s="530">
        <v>0</v>
      </c>
      <c r="I194" s="530">
        <v>0</v>
      </c>
      <c r="J194" s="530">
        <v>0</v>
      </c>
      <c r="K194" s="530">
        <v>0</v>
      </c>
      <c r="L194" s="530">
        <v>0</v>
      </c>
      <c r="M194" s="530">
        <v>0</v>
      </c>
      <c r="N194" s="530">
        <v>0</v>
      </c>
      <c r="O194" s="530">
        <v>0</v>
      </c>
      <c r="P194" s="530">
        <v>0</v>
      </c>
      <c r="Q194" s="530">
        <f t="shared" si="24"/>
        <v>0</v>
      </c>
    </row>
    <row r="195" spans="1:17" s="545" customFormat="1" ht="12.75" x14ac:dyDescent="0.2">
      <c r="A195" s="513">
        <v>66400</v>
      </c>
      <c r="B195" s="529" t="s">
        <v>719</v>
      </c>
      <c r="C195" s="530">
        <v>0</v>
      </c>
      <c r="D195" s="530">
        <v>0</v>
      </c>
      <c r="E195" s="530">
        <v>0</v>
      </c>
      <c r="F195" s="530">
        <v>0</v>
      </c>
      <c r="G195" s="530">
        <v>0</v>
      </c>
      <c r="H195" s="530">
        <v>0</v>
      </c>
      <c r="I195" s="530">
        <v>0</v>
      </c>
      <c r="J195" s="530">
        <v>0</v>
      </c>
      <c r="K195" s="530">
        <v>0</v>
      </c>
      <c r="L195" s="530">
        <v>0</v>
      </c>
      <c r="M195" s="530">
        <v>0</v>
      </c>
      <c r="N195" s="530">
        <v>0</v>
      </c>
      <c r="O195" s="530">
        <v>0</v>
      </c>
      <c r="P195" s="530">
        <v>0</v>
      </c>
      <c r="Q195" s="530">
        <f t="shared" si="24"/>
        <v>0</v>
      </c>
    </row>
    <row r="196" spans="1:17" s="545" customFormat="1" ht="12.75" x14ac:dyDescent="0.2">
      <c r="A196" s="513">
        <v>66450</v>
      </c>
      <c r="B196" s="529" t="s">
        <v>720</v>
      </c>
      <c r="C196" s="530">
        <v>0</v>
      </c>
      <c r="D196" s="530">
        <v>0</v>
      </c>
      <c r="E196" s="530">
        <v>0</v>
      </c>
      <c r="F196" s="530">
        <v>0</v>
      </c>
      <c r="G196" s="530">
        <v>0</v>
      </c>
      <c r="H196" s="530">
        <v>0</v>
      </c>
      <c r="I196" s="530">
        <v>0</v>
      </c>
      <c r="J196" s="530">
        <v>0</v>
      </c>
      <c r="K196" s="530">
        <v>0</v>
      </c>
      <c r="L196" s="530">
        <v>0</v>
      </c>
      <c r="M196" s="530">
        <v>0</v>
      </c>
      <c r="N196" s="530">
        <v>0</v>
      </c>
      <c r="O196" s="530">
        <v>0</v>
      </c>
      <c r="P196" s="530">
        <v>0</v>
      </c>
      <c r="Q196" s="530">
        <f t="shared" si="24"/>
        <v>0</v>
      </c>
    </row>
    <row r="197" spans="1:17" s="545" customFormat="1" ht="12.75" x14ac:dyDescent="0.2">
      <c r="A197" s="513">
        <v>66500</v>
      </c>
      <c r="B197" s="529" t="s">
        <v>721</v>
      </c>
      <c r="C197" s="530">
        <v>11.86</v>
      </c>
      <c r="D197" s="530">
        <v>0</v>
      </c>
      <c r="E197" s="530">
        <v>-532.32000000000005</v>
      </c>
      <c r="F197" s="530">
        <v>0</v>
      </c>
      <c r="G197" s="530">
        <v>0</v>
      </c>
      <c r="H197" s="530">
        <v>0</v>
      </c>
      <c r="I197" s="530">
        <v>0</v>
      </c>
      <c r="J197" s="530">
        <v>0</v>
      </c>
      <c r="K197" s="530">
        <v>0</v>
      </c>
      <c r="L197" s="530">
        <v>404.65999999999997</v>
      </c>
      <c r="M197" s="530">
        <v>0</v>
      </c>
      <c r="N197" s="530">
        <v>0</v>
      </c>
      <c r="O197" s="530">
        <v>0</v>
      </c>
      <c r="P197" s="530">
        <v>0</v>
      </c>
      <c r="Q197" s="530">
        <f t="shared" si="24"/>
        <v>-115.80000000000007</v>
      </c>
    </row>
    <row r="198" spans="1:17" s="545" customFormat="1" ht="12.75" x14ac:dyDescent="0.2">
      <c r="A198" s="513">
        <v>66501</v>
      </c>
      <c r="B198" s="529" t="s">
        <v>722</v>
      </c>
      <c r="C198" s="530">
        <v>0</v>
      </c>
      <c r="D198" s="530">
        <v>0</v>
      </c>
      <c r="E198" s="530">
        <v>0</v>
      </c>
      <c r="F198" s="530">
        <v>0</v>
      </c>
      <c r="G198" s="530">
        <v>0</v>
      </c>
      <c r="H198" s="530">
        <v>0</v>
      </c>
      <c r="I198" s="530">
        <v>0</v>
      </c>
      <c r="J198" s="530">
        <v>0</v>
      </c>
      <c r="K198" s="530">
        <v>0</v>
      </c>
      <c r="L198" s="530">
        <v>0</v>
      </c>
      <c r="M198" s="530">
        <v>0</v>
      </c>
      <c r="N198" s="530">
        <v>0</v>
      </c>
      <c r="O198" s="530">
        <v>0</v>
      </c>
      <c r="P198" s="530">
        <v>0</v>
      </c>
      <c r="Q198" s="530">
        <f t="shared" si="24"/>
        <v>0</v>
      </c>
    </row>
    <row r="199" spans="1:17" s="545" customFormat="1" ht="12.75" x14ac:dyDescent="0.2">
      <c r="A199" s="513">
        <v>66580</v>
      </c>
      <c r="B199" s="529" t="s">
        <v>723</v>
      </c>
      <c r="C199" s="530">
        <v>10578.4</v>
      </c>
      <c r="D199" s="530">
        <v>0</v>
      </c>
      <c r="E199" s="530">
        <v>0</v>
      </c>
      <c r="F199" s="530">
        <v>221611.54</v>
      </c>
      <c r="G199" s="1189">
        <v>110757.56999999999</v>
      </c>
      <c r="H199" s="1168">
        <v>56022.96</v>
      </c>
      <c r="I199" s="530">
        <v>0</v>
      </c>
      <c r="J199" s="530">
        <v>52753.86</v>
      </c>
      <c r="K199" s="530">
        <v>0</v>
      </c>
      <c r="L199" s="530">
        <v>0</v>
      </c>
      <c r="M199" s="530">
        <v>98616.189999999988</v>
      </c>
      <c r="N199" s="530">
        <v>0</v>
      </c>
      <c r="O199" s="530">
        <v>0</v>
      </c>
      <c r="P199" s="530">
        <v>0</v>
      </c>
      <c r="Q199" s="530">
        <f t="shared" si="24"/>
        <v>550340.52</v>
      </c>
    </row>
    <row r="200" spans="1:17" s="545" customFormat="1" ht="12.75" x14ac:dyDescent="0.2">
      <c r="A200" s="513">
        <v>66582</v>
      </c>
      <c r="B200" s="529" t="s">
        <v>724</v>
      </c>
      <c r="C200" s="530">
        <v>2.2200000000000002</v>
      </c>
      <c r="D200" s="530">
        <v>0</v>
      </c>
      <c r="E200" s="530">
        <v>0</v>
      </c>
      <c r="F200" s="530">
        <v>0</v>
      </c>
      <c r="G200" s="530">
        <v>0</v>
      </c>
      <c r="H200" s="530">
        <v>0</v>
      </c>
      <c r="I200" s="530">
        <v>0</v>
      </c>
      <c r="J200" s="530">
        <v>0</v>
      </c>
      <c r="K200" s="530">
        <v>0</v>
      </c>
      <c r="L200" s="530">
        <v>3.36</v>
      </c>
      <c r="M200" s="530">
        <v>0</v>
      </c>
      <c r="N200" s="530">
        <v>0</v>
      </c>
      <c r="O200" s="530">
        <v>0</v>
      </c>
      <c r="P200" s="530">
        <v>0</v>
      </c>
      <c r="Q200" s="530">
        <f t="shared" si="24"/>
        <v>5.58</v>
      </c>
    </row>
    <row r="201" spans="1:17" s="545" customFormat="1" ht="12.75" x14ac:dyDescent="0.2">
      <c r="A201" s="513">
        <v>66583</v>
      </c>
      <c r="B201" s="529" t="s">
        <v>725</v>
      </c>
      <c r="C201" s="530">
        <v>0</v>
      </c>
      <c r="D201" s="530">
        <v>0</v>
      </c>
      <c r="E201" s="530">
        <v>0</v>
      </c>
      <c r="F201" s="530">
        <v>0</v>
      </c>
      <c r="G201" s="530">
        <v>0</v>
      </c>
      <c r="H201" s="530">
        <v>0</v>
      </c>
      <c r="I201" s="530">
        <v>0</v>
      </c>
      <c r="J201" s="530">
        <v>0</v>
      </c>
      <c r="K201" s="530">
        <v>0</v>
      </c>
      <c r="L201" s="530">
        <v>0</v>
      </c>
      <c r="M201" s="530">
        <v>0</v>
      </c>
      <c r="N201" s="530">
        <v>0</v>
      </c>
      <c r="O201" s="530">
        <v>0</v>
      </c>
      <c r="P201" s="530">
        <v>0</v>
      </c>
      <c r="Q201" s="530">
        <f t="shared" si="24"/>
        <v>0</v>
      </c>
    </row>
    <row r="202" spans="1:17" s="545" customFormat="1" ht="12.75" x14ac:dyDescent="0.2">
      <c r="A202" s="513">
        <v>66585</v>
      </c>
      <c r="B202" s="553" t="s">
        <v>726</v>
      </c>
      <c r="C202" s="531">
        <v>0</v>
      </c>
      <c r="D202" s="531">
        <v>0</v>
      </c>
      <c r="E202" s="531">
        <v>0</v>
      </c>
      <c r="F202" s="531">
        <v>0</v>
      </c>
      <c r="G202" s="531">
        <v>0</v>
      </c>
      <c r="H202" s="531">
        <v>0</v>
      </c>
      <c r="I202" s="531">
        <v>0</v>
      </c>
      <c r="J202" s="531">
        <v>0</v>
      </c>
      <c r="K202" s="531">
        <v>0</v>
      </c>
      <c r="L202" s="531">
        <v>0</v>
      </c>
      <c r="M202" s="531">
        <v>0</v>
      </c>
      <c r="N202" s="531">
        <v>0</v>
      </c>
      <c r="O202" s="531">
        <v>0</v>
      </c>
      <c r="P202" s="531">
        <v>0</v>
      </c>
      <c r="Q202" s="531">
        <f t="shared" si="24"/>
        <v>0</v>
      </c>
    </row>
    <row r="203" spans="1:17" s="428" customFormat="1" ht="12.75" x14ac:dyDescent="0.2">
      <c r="A203" s="513">
        <v>66600</v>
      </c>
      <c r="B203" s="532" t="s">
        <v>727</v>
      </c>
      <c r="C203" s="533">
        <f t="shared" ref="C203:Q203" si="25">SUM(C152:C202)</f>
        <v>70551.199999999997</v>
      </c>
      <c r="D203" s="533">
        <f t="shared" si="25"/>
        <v>0</v>
      </c>
      <c r="E203" s="533">
        <f t="shared" si="25"/>
        <v>4799.72</v>
      </c>
      <c r="F203" s="533">
        <f t="shared" si="25"/>
        <v>221611.54</v>
      </c>
      <c r="G203" s="533">
        <f t="shared" si="25"/>
        <v>275594.52999999997</v>
      </c>
      <c r="H203" s="533">
        <f t="shared" si="25"/>
        <v>56022.96</v>
      </c>
      <c r="I203" s="533">
        <f t="shared" si="25"/>
        <v>8638.24</v>
      </c>
      <c r="J203" s="533">
        <f t="shared" si="25"/>
        <v>109302.73</v>
      </c>
      <c r="K203" s="533">
        <f t="shared" si="25"/>
        <v>23487</v>
      </c>
      <c r="L203" s="533">
        <f t="shared" si="25"/>
        <v>16519.199999999997</v>
      </c>
      <c r="M203" s="533">
        <f t="shared" si="25"/>
        <v>98616.189999999988</v>
      </c>
      <c r="N203" s="533">
        <f t="shared" si="25"/>
        <v>0</v>
      </c>
      <c r="O203" s="533">
        <f t="shared" si="25"/>
        <v>0</v>
      </c>
      <c r="P203" s="533">
        <f t="shared" si="25"/>
        <v>0</v>
      </c>
      <c r="Q203" s="533">
        <f t="shared" si="25"/>
        <v>885143.30999999994</v>
      </c>
    </row>
    <row r="204" spans="1:17" s="428" customFormat="1" ht="12.75" x14ac:dyDescent="0.2">
      <c r="A204" s="513"/>
      <c r="B204" s="536"/>
      <c r="C204" s="537"/>
      <c r="D204" s="537"/>
      <c r="E204" s="537"/>
      <c r="F204" s="537"/>
      <c r="G204" s="537"/>
      <c r="H204" s="537"/>
      <c r="I204" s="537"/>
      <c r="J204" s="537"/>
      <c r="K204" s="537"/>
      <c r="L204" s="537"/>
      <c r="M204" s="537"/>
      <c r="N204" s="537"/>
      <c r="O204" s="537"/>
      <c r="P204" s="537"/>
      <c r="Q204" s="537"/>
    </row>
    <row r="205" spans="1:17" s="428" customFormat="1" ht="12.75" x14ac:dyDescent="0.2">
      <c r="A205" s="513">
        <v>66690</v>
      </c>
      <c r="B205" s="536" t="s">
        <v>728</v>
      </c>
      <c r="C205" s="537">
        <f t="shared" ref="C205:Q205" si="26">C203+C149+C138+C125+C116+C105+C76</f>
        <v>478509.35000000003</v>
      </c>
      <c r="D205" s="537">
        <f t="shared" si="26"/>
        <v>0</v>
      </c>
      <c r="E205" s="537">
        <f t="shared" si="26"/>
        <v>84714.61</v>
      </c>
      <c r="F205" s="537">
        <f t="shared" si="26"/>
        <v>230750.15</v>
      </c>
      <c r="G205" s="537">
        <f t="shared" si="26"/>
        <v>517605.60000000003</v>
      </c>
      <c r="H205" s="537">
        <f t="shared" si="26"/>
        <v>57403.63</v>
      </c>
      <c r="I205" s="537">
        <f t="shared" si="26"/>
        <v>8638.24</v>
      </c>
      <c r="J205" s="537">
        <f t="shared" si="26"/>
        <v>119390.44</v>
      </c>
      <c r="K205" s="537">
        <f t="shared" si="26"/>
        <v>23487</v>
      </c>
      <c r="L205" s="537">
        <f t="shared" si="26"/>
        <v>273419.70999999996</v>
      </c>
      <c r="M205" s="537">
        <f t="shared" si="26"/>
        <v>98616.189999999988</v>
      </c>
      <c r="N205" s="537">
        <f t="shared" si="26"/>
        <v>0</v>
      </c>
      <c r="O205" s="537">
        <f t="shared" si="26"/>
        <v>0</v>
      </c>
      <c r="P205" s="537">
        <f t="shared" si="26"/>
        <v>0</v>
      </c>
      <c r="Q205" s="537">
        <f t="shared" si="26"/>
        <v>1892534.92</v>
      </c>
    </row>
    <row r="206" spans="1:17" s="428" customFormat="1" ht="12.75" x14ac:dyDescent="0.2">
      <c r="A206" s="513" t="s">
        <v>729</v>
      </c>
      <c r="B206" s="516" t="s">
        <v>128</v>
      </c>
      <c r="C206" s="544" t="str">
        <f t="shared" ref="C206:Q206" si="27">IF(ISERROR(C205/C23),"",(C205/C23))</f>
        <v/>
      </c>
      <c r="D206" s="544" t="str">
        <f t="shared" si="27"/>
        <v/>
      </c>
      <c r="E206" s="544" t="str">
        <f t="shared" si="27"/>
        <v/>
      </c>
      <c r="F206" s="544" t="str">
        <f t="shared" si="27"/>
        <v/>
      </c>
      <c r="G206" s="544" t="str">
        <f t="shared" si="27"/>
        <v/>
      </c>
      <c r="H206" s="544" t="str">
        <f t="shared" si="27"/>
        <v/>
      </c>
      <c r="I206" s="544" t="str">
        <f t="shared" si="27"/>
        <v/>
      </c>
      <c r="J206" s="544" t="str">
        <f t="shared" si="27"/>
        <v/>
      </c>
      <c r="K206" s="544" t="str">
        <f t="shared" si="27"/>
        <v/>
      </c>
      <c r="L206" s="544" t="str">
        <f t="shared" si="27"/>
        <v/>
      </c>
      <c r="M206" s="544" t="str">
        <f t="shared" si="27"/>
        <v/>
      </c>
      <c r="N206" s="544" t="str">
        <f t="shared" si="27"/>
        <v/>
      </c>
      <c r="O206" s="544" t="str">
        <f t="shared" si="27"/>
        <v/>
      </c>
      <c r="P206" s="544" t="str">
        <f t="shared" si="27"/>
        <v/>
      </c>
      <c r="Q206" s="544" t="str">
        <f t="shared" si="27"/>
        <v/>
      </c>
    </row>
    <row r="207" spans="1:17" s="428" customFormat="1" x14ac:dyDescent="0.25">
      <c r="A207" s="513"/>
      <c r="B207" s="514"/>
      <c r="C207" s="561"/>
      <c r="D207" s="561"/>
      <c r="E207" s="561"/>
      <c r="F207" s="561"/>
      <c r="G207" s="561"/>
      <c r="H207" s="561"/>
      <c r="I207" s="561"/>
      <c r="J207" s="561"/>
      <c r="K207" s="561"/>
      <c r="L207" s="561"/>
      <c r="M207" s="561"/>
      <c r="N207" s="561"/>
      <c r="O207" s="561"/>
      <c r="P207" s="561"/>
      <c r="Q207" s="561"/>
    </row>
    <row r="208" spans="1:17" s="428" customFormat="1" ht="12.75" x14ac:dyDescent="0.2">
      <c r="A208" s="513">
        <v>66695</v>
      </c>
      <c r="B208" s="536" t="s">
        <v>730</v>
      </c>
      <c r="C208" s="1191">
        <f t="shared" ref="C208:Q208" si="28">C68-C205+C196</f>
        <v>-478509.35000000003</v>
      </c>
      <c r="D208" s="1191">
        <f t="shared" si="28"/>
        <v>0</v>
      </c>
      <c r="E208" s="1191">
        <f t="shared" si="28"/>
        <v>-84714.61</v>
      </c>
      <c r="F208" s="1191">
        <f t="shared" si="28"/>
        <v>-230750.15</v>
      </c>
      <c r="G208" s="537">
        <f t="shared" si="28"/>
        <v>-517605.60000000003</v>
      </c>
      <c r="H208" s="537">
        <f t="shared" si="28"/>
        <v>-57403.63</v>
      </c>
      <c r="I208" s="537">
        <f t="shared" si="28"/>
        <v>-8638.24</v>
      </c>
      <c r="J208" s="537">
        <f t="shared" si="28"/>
        <v>-119390.44</v>
      </c>
      <c r="K208" s="537">
        <f t="shared" si="28"/>
        <v>-23487</v>
      </c>
      <c r="L208" s="537">
        <f t="shared" si="28"/>
        <v>-273419.70999999996</v>
      </c>
      <c r="M208" s="537">
        <f t="shared" si="28"/>
        <v>-98616.189999999988</v>
      </c>
      <c r="N208" s="537">
        <f t="shared" si="28"/>
        <v>0</v>
      </c>
      <c r="O208" s="537">
        <f t="shared" si="28"/>
        <v>0</v>
      </c>
      <c r="P208" s="537">
        <f t="shared" si="28"/>
        <v>0</v>
      </c>
      <c r="Q208" s="537">
        <f t="shared" si="28"/>
        <v>-1892534.92</v>
      </c>
    </row>
    <row r="209" spans="1:18" s="428" customFormat="1" ht="12.75" x14ac:dyDescent="0.2">
      <c r="A209" s="513"/>
      <c r="B209" s="516"/>
      <c r="C209" s="528"/>
      <c r="D209" s="528"/>
      <c r="E209" s="528"/>
      <c r="F209" s="528"/>
      <c r="G209" s="528"/>
      <c r="H209" s="528"/>
      <c r="I209" s="528"/>
      <c r="J209" s="528"/>
      <c r="K209" s="528"/>
      <c r="L209" s="528"/>
      <c r="M209" s="528"/>
      <c r="N209" s="528"/>
      <c r="O209" s="528"/>
      <c r="P209" s="528"/>
      <c r="Q209" s="528"/>
    </row>
    <row r="210" spans="1:18" s="428" customFormat="1" ht="12.75" x14ac:dyDescent="0.2">
      <c r="A210" s="513"/>
      <c r="B210" s="516" t="s">
        <v>98</v>
      </c>
      <c r="C210" s="528"/>
      <c r="D210" s="528"/>
      <c r="E210" s="528"/>
      <c r="F210" s="528"/>
      <c r="G210" s="528"/>
      <c r="H210" s="528"/>
      <c r="I210" s="528"/>
      <c r="J210" s="528"/>
      <c r="K210" s="528"/>
      <c r="L210" s="528"/>
      <c r="M210" s="528"/>
      <c r="N210" s="528"/>
      <c r="O210" s="528"/>
      <c r="P210" s="528"/>
      <c r="Q210" s="528"/>
    </row>
    <row r="211" spans="1:18" s="545" customFormat="1" ht="12.75" x14ac:dyDescent="0.2">
      <c r="A211" s="540" t="s">
        <v>731</v>
      </c>
      <c r="B211" s="529" t="s">
        <v>732</v>
      </c>
      <c r="C211" s="530">
        <v>0</v>
      </c>
      <c r="D211" s="530">
        <v>0</v>
      </c>
      <c r="E211" s="530">
        <v>-697785</v>
      </c>
      <c r="F211" s="530">
        <v>0</v>
      </c>
      <c r="G211" s="530">
        <v>0</v>
      </c>
      <c r="H211" s="530">
        <v>0</v>
      </c>
      <c r="I211" s="530">
        <v>0</v>
      </c>
      <c r="J211" s="530">
        <v>0</v>
      </c>
      <c r="K211" s="530">
        <v>0</v>
      </c>
      <c r="L211" s="530">
        <v>0</v>
      </c>
      <c r="M211" s="530">
        <v>0</v>
      </c>
      <c r="N211" s="530">
        <v>0</v>
      </c>
      <c r="O211" s="530">
        <v>0</v>
      </c>
      <c r="P211" s="530">
        <v>0</v>
      </c>
      <c r="Q211" s="530">
        <f>SUM(C211:P211)</f>
        <v>-697785</v>
      </c>
    </row>
    <row r="212" spans="1:18" s="545" customFormat="1" ht="12.75" x14ac:dyDescent="0.2">
      <c r="A212" s="513">
        <v>70003</v>
      </c>
      <c r="B212" s="529" t="s">
        <v>733</v>
      </c>
      <c r="C212" s="530">
        <v>0</v>
      </c>
      <c r="D212" s="530">
        <v>0</v>
      </c>
      <c r="E212" s="530">
        <v>0</v>
      </c>
      <c r="F212" s="530">
        <v>0</v>
      </c>
      <c r="G212" s="530">
        <v>0</v>
      </c>
      <c r="H212" s="530">
        <v>0</v>
      </c>
      <c r="I212" s="530">
        <v>0</v>
      </c>
      <c r="J212" s="530">
        <v>0</v>
      </c>
      <c r="K212" s="530">
        <v>0</v>
      </c>
      <c r="L212" s="530">
        <v>0</v>
      </c>
      <c r="M212" s="530">
        <v>0</v>
      </c>
      <c r="N212" s="530">
        <v>0</v>
      </c>
      <c r="O212" s="530">
        <v>0</v>
      </c>
      <c r="P212" s="530">
        <v>0</v>
      </c>
      <c r="Q212" s="530">
        <f>SUM(C212:P212)</f>
        <v>0</v>
      </c>
    </row>
    <row r="213" spans="1:18" s="545" customFormat="1" ht="12.75" x14ac:dyDescent="0.2">
      <c r="A213" s="513">
        <v>70004</v>
      </c>
      <c r="B213" s="529" t="s">
        <v>734</v>
      </c>
      <c r="C213" s="530">
        <v>-7154.0000000000009</v>
      </c>
      <c r="D213" s="530">
        <v>0</v>
      </c>
      <c r="E213" s="530">
        <v>-18392.59</v>
      </c>
      <c r="F213" s="530">
        <v>0</v>
      </c>
      <c r="G213" s="530">
        <v>-396538.4</v>
      </c>
      <c r="H213" s="530">
        <v>0</v>
      </c>
      <c r="I213" s="530">
        <v>-11849.08</v>
      </c>
      <c r="J213" s="530">
        <v>0</v>
      </c>
      <c r="K213" s="530">
        <v>0</v>
      </c>
      <c r="L213" s="530">
        <v>-67259.069999999992</v>
      </c>
      <c r="M213" s="530">
        <v>0</v>
      </c>
      <c r="N213" s="530">
        <v>0</v>
      </c>
      <c r="O213" s="530">
        <v>0</v>
      </c>
      <c r="P213" s="530">
        <v>0</v>
      </c>
      <c r="Q213" s="530">
        <f>SUM(C213:P213)</f>
        <v>-501193.14000000007</v>
      </c>
      <c r="R213" s="580"/>
    </row>
    <row r="214" spans="1:18" s="545" customFormat="1" ht="12.75" x14ac:dyDescent="0.2">
      <c r="A214" s="513" t="s">
        <v>735</v>
      </c>
      <c r="B214" s="529" t="s">
        <v>736</v>
      </c>
      <c r="C214" s="530">
        <v>0</v>
      </c>
      <c r="D214" s="530">
        <v>0</v>
      </c>
      <c r="E214" s="530">
        <v>-299.68</v>
      </c>
      <c r="F214" s="530">
        <v>0</v>
      </c>
      <c r="G214" s="530">
        <v>0</v>
      </c>
      <c r="H214" s="530">
        <v>0</v>
      </c>
      <c r="I214" s="530">
        <v>0</v>
      </c>
      <c r="J214" s="530">
        <v>0</v>
      </c>
      <c r="K214" s="530">
        <v>0</v>
      </c>
      <c r="L214" s="530">
        <v>0</v>
      </c>
      <c r="M214" s="530">
        <v>0</v>
      </c>
      <c r="N214" s="530">
        <v>0</v>
      </c>
      <c r="O214" s="530">
        <v>0</v>
      </c>
      <c r="P214" s="530">
        <v>0</v>
      </c>
      <c r="Q214" s="530">
        <f>SUM(C214:P214)</f>
        <v>-299.68</v>
      </c>
    </row>
    <row r="215" spans="1:18" s="428" customFormat="1" ht="12.75" x14ac:dyDescent="0.2">
      <c r="A215" s="513">
        <v>72000</v>
      </c>
      <c r="B215" s="536" t="s">
        <v>737</v>
      </c>
      <c r="C215" s="537">
        <f t="shared" ref="C215:Q215" si="29">SUM(C211:C214)</f>
        <v>-7154.0000000000009</v>
      </c>
      <c r="D215" s="537">
        <f t="shared" si="29"/>
        <v>0</v>
      </c>
      <c r="E215" s="537">
        <f t="shared" si="29"/>
        <v>-716477.27</v>
      </c>
      <c r="F215" s="537">
        <f t="shared" si="29"/>
        <v>0</v>
      </c>
      <c r="G215" s="1191">
        <f t="shared" si="29"/>
        <v>-396538.4</v>
      </c>
      <c r="H215" s="1191">
        <f t="shared" si="29"/>
        <v>0</v>
      </c>
      <c r="I215" s="1191">
        <f t="shared" si="29"/>
        <v>-11849.08</v>
      </c>
      <c r="J215" s="1191">
        <f t="shared" si="29"/>
        <v>0</v>
      </c>
      <c r="K215" s="1191">
        <f t="shared" si="29"/>
        <v>0</v>
      </c>
      <c r="L215" s="1191">
        <f t="shared" si="29"/>
        <v>-67259.069999999992</v>
      </c>
      <c r="M215" s="1191">
        <f t="shared" si="29"/>
        <v>0</v>
      </c>
      <c r="N215" s="537">
        <f t="shared" si="29"/>
        <v>0</v>
      </c>
      <c r="O215" s="537">
        <f t="shared" si="29"/>
        <v>0</v>
      </c>
      <c r="P215" s="537">
        <f t="shared" si="29"/>
        <v>0</v>
      </c>
      <c r="Q215" s="537">
        <f t="shared" si="29"/>
        <v>-1199277.82</v>
      </c>
    </row>
    <row r="216" spans="1:18" s="428" customFormat="1" ht="12.75" x14ac:dyDescent="0.2">
      <c r="A216" s="513"/>
      <c r="B216" s="536"/>
      <c r="C216" s="537"/>
      <c r="D216" s="537"/>
      <c r="E216" s="537"/>
      <c r="F216" s="537"/>
      <c r="G216" s="537"/>
      <c r="H216" s="537"/>
      <c r="I216" s="537"/>
      <c r="J216" s="537"/>
      <c r="K216" s="537"/>
      <c r="L216" s="537"/>
      <c r="M216" s="537"/>
      <c r="N216" s="537"/>
      <c r="O216" s="537"/>
      <c r="P216" s="537"/>
      <c r="Q216" s="537"/>
    </row>
    <row r="217" spans="1:18" s="428" customFormat="1" ht="12.75" x14ac:dyDescent="0.2">
      <c r="A217" s="513">
        <v>72999</v>
      </c>
      <c r="B217" s="536" t="s">
        <v>738</v>
      </c>
      <c r="C217" s="537">
        <f t="shared" ref="C217:Q217" si="30">C205+C215</f>
        <v>471355.35000000003</v>
      </c>
      <c r="D217" s="537">
        <f t="shared" si="30"/>
        <v>0</v>
      </c>
      <c r="E217" s="537">
        <f t="shared" si="30"/>
        <v>-631762.66</v>
      </c>
      <c r="F217" s="537">
        <f t="shared" si="30"/>
        <v>230750.15</v>
      </c>
      <c r="G217" s="537">
        <f t="shared" si="30"/>
        <v>121067.20000000001</v>
      </c>
      <c r="H217" s="537">
        <f t="shared" si="30"/>
        <v>57403.63</v>
      </c>
      <c r="I217" s="537">
        <f t="shared" si="30"/>
        <v>-3210.84</v>
      </c>
      <c r="J217" s="537">
        <f t="shared" si="30"/>
        <v>119390.44</v>
      </c>
      <c r="K217" s="537">
        <f t="shared" si="30"/>
        <v>23487</v>
      </c>
      <c r="L217" s="537">
        <f t="shared" si="30"/>
        <v>206160.63999999996</v>
      </c>
      <c r="M217" s="537">
        <f t="shared" si="30"/>
        <v>98616.189999999988</v>
      </c>
      <c r="N217" s="537">
        <f t="shared" si="30"/>
        <v>0</v>
      </c>
      <c r="O217" s="537">
        <f t="shared" si="30"/>
        <v>0</v>
      </c>
      <c r="P217" s="537">
        <f t="shared" si="30"/>
        <v>0</v>
      </c>
      <c r="Q217" s="537">
        <f t="shared" si="30"/>
        <v>693257.09999999986</v>
      </c>
    </row>
    <row r="218" spans="1:18" s="428" customFormat="1" ht="12.75" x14ac:dyDescent="0.2">
      <c r="A218" s="513" t="s">
        <v>739</v>
      </c>
      <c r="B218" s="562" t="s">
        <v>128</v>
      </c>
      <c r="C218" s="544" t="str">
        <f t="shared" ref="C218:Q218" si="31">IF(ISERROR(C217/C23),"",(C217/C23))</f>
        <v/>
      </c>
      <c r="D218" s="544" t="str">
        <f t="shared" si="31"/>
        <v/>
      </c>
      <c r="E218" s="544" t="str">
        <f t="shared" si="31"/>
        <v/>
      </c>
      <c r="F218" s="544" t="str">
        <f t="shared" si="31"/>
        <v/>
      </c>
      <c r="G218" s="544" t="str">
        <f t="shared" si="31"/>
        <v/>
      </c>
      <c r="H218" s="544" t="str">
        <f t="shared" si="31"/>
        <v/>
      </c>
      <c r="I218" s="544" t="str">
        <f t="shared" si="31"/>
        <v/>
      </c>
      <c r="J218" s="544" t="str">
        <f t="shared" si="31"/>
        <v/>
      </c>
      <c r="K218" s="544" t="str">
        <f t="shared" si="31"/>
        <v/>
      </c>
      <c r="L218" s="544" t="str">
        <f t="shared" si="31"/>
        <v/>
      </c>
      <c r="M218" s="544" t="str">
        <f t="shared" si="31"/>
        <v/>
      </c>
      <c r="N218" s="544" t="str">
        <f t="shared" si="31"/>
        <v/>
      </c>
      <c r="O218" s="544" t="str">
        <f t="shared" si="31"/>
        <v/>
      </c>
      <c r="P218" s="544" t="str">
        <f t="shared" si="31"/>
        <v/>
      </c>
      <c r="Q218" s="544" t="str">
        <f t="shared" si="31"/>
        <v/>
      </c>
    </row>
    <row r="219" spans="1:18" s="428" customFormat="1" x14ac:dyDescent="0.25">
      <c r="A219" s="513"/>
      <c r="B219" s="534"/>
      <c r="C219" s="563"/>
      <c r="D219" s="563"/>
      <c r="E219" s="563"/>
      <c r="F219" s="563"/>
      <c r="G219" s="563"/>
      <c r="H219" s="563"/>
      <c r="I219" s="563"/>
      <c r="J219" s="563"/>
      <c r="K219" s="563"/>
      <c r="L219" s="563"/>
      <c r="M219" s="563"/>
      <c r="N219" s="563"/>
      <c r="O219" s="563"/>
      <c r="P219" s="563"/>
      <c r="Q219" s="563"/>
    </row>
    <row r="220" spans="1:18" s="428" customFormat="1" ht="12.75" x14ac:dyDescent="0.2">
      <c r="A220" s="513">
        <v>75999</v>
      </c>
      <c r="B220" s="532" t="s">
        <v>740</v>
      </c>
      <c r="C220" s="533">
        <f t="shared" ref="C220:Q220" si="32">C208-C215</f>
        <v>-471355.35000000003</v>
      </c>
      <c r="D220" s="533">
        <f t="shared" si="32"/>
        <v>0</v>
      </c>
      <c r="E220" s="533">
        <f t="shared" si="32"/>
        <v>631762.66</v>
      </c>
      <c r="F220" s="533">
        <f t="shared" si="32"/>
        <v>-230750.15</v>
      </c>
      <c r="G220" s="533">
        <f t="shared" si="32"/>
        <v>-121067.20000000001</v>
      </c>
      <c r="H220" s="533">
        <f t="shared" si="32"/>
        <v>-57403.63</v>
      </c>
      <c r="I220" s="533">
        <f t="shared" si="32"/>
        <v>3210.84</v>
      </c>
      <c r="J220" s="533">
        <f t="shared" si="32"/>
        <v>-119390.44</v>
      </c>
      <c r="K220" s="533">
        <f t="shared" si="32"/>
        <v>-23487</v>
      </c>
      <c r="L220" s="533">
        <f t="shared" si="32"/>
        <v>-206160.63999999996</v>
      </c>
      <c r="M220" s="533">
        <f t="shared" si="32"/>
        <v>-98616.189999999988</v>
      </c>
      <c r="N220" s="533">
        <f t="shared" si="32"/>
        <v>0</v>
      </c>
      <c r="O220" s="533">
        <f t="shared" si="32"/>
        <v>0</v>
      </c>
      <c r="P220" s="533">
        <f t="shared" si="32"/>
        <v>0</v>
      </c>
      <c r="Q220" s="533">
        <f t="shared" si="32"/>
        <v>-693257.09999999986</v>
      </c>
    </row>
    <row r="221" spans="1:18" s="428" customFormat="1" ht="12.75" x14ac:dyDescent="0.2">
      <c r="A221" s="513" t="s">
        <v>741</v>
      </c>
      <c r="B221" s="516" t="s">
        <v>128</v>
      </c>
      <c r="C221" s="544" t="str">
        <f t="shared" ref="C221:Q221" si="33">IF(ISERROR(C220/C23),"",(C220/C23))</f>
        <v/>
      </c>
      <c r="D221" s="544" t="str">
        <f t="shared" si="33"/>
        <v/>
      </c>
      <c r="E221" s="544" t="str">
        <f t="shared" si="33"/>
        <v/>
      </c>
      <c r="F221" s="544" t="str">
        <f t="shared" si="33"/>
        <v/>
      </c>
      <c r="G221" s="544" t="str">
        <f t="shared" si="33"/>
        <v/>
      </c>
      <c r="H221" s="544" t="str">
        <f t="shared" si="33"/>
        <v/>
      </c>
      <c r="I221" s="544" t="str">
        <f t="shared" si="33"/>
        <v/>
      </c>
      <c r="J221" s="544" t="str">
        <f t="shared" si="33"/>
        <v/>
      </c>
      <c r="K221" s="544" t="str">
        <f t="shared" si="33"/>
        <v/>
      </c>
      <c r="L221" s="544" t="str">
        <f t="shared" si="33"/>
        <v/>
      </c>
      <c r="M221" s="544" t="str">
        <f t="shared" si="33"/>
        <v/>
      </c>
      <c r="N221" s="544" t="str">
        <f t="shared" si="33"/>
        <v/>
      </c>
      <c r="O221" s="544" t="str">
        <f t="shared" si="33"/>
        <v/>
      </c>
      <c r="P221" s="544" t="str">
        <f t="shared" si="33"/>
        <v/>
      </c>
      <c r="Q221" s="544" t="str">
        <f t="shared" si="33"/>
        <v/>
      </c>
    </row>
    <row r="222" spans="1:18" s="428" customFormat="1" x14ac:dyDescent="0.25">
      <c r="A222" s="513"/>
      <c r="B222" s="534"/>
      <c r="C222" s="563"/>
      <c r="D222" s="563"/>
      <c r="E222" s="563"/>
      <c r="F222" s="563"/>
      <c r="G222" s="563"/>
      <c r="H222" s="563"/>
      <c r="I222" s="563"/>
      <c r="J222" s="563"/>
      <c r="K222" s="563"/>
      <c r="L222" s="563"/>
      <c r="M222" s="563"/>
      <c r="N222" s="563"/>
      <c r="O222" s="563"/>
      <c r="P222" s="563"/>
      <c r="Q222" s="563"/>
    </row>
    <row r="223" spans="1:18" s="428" customFormat="1" ht="12.75" x14ac:dyDescent="0.2">
      <c r="A223" s="513"/>
      <c r="B223" s="516" t="s">
        <v>462</v>
      </c>
      <c r="C223" s="528"/>
      <c r="D223" s="528"/>
      <c r="E223" s="528"/>
      <c r="F223" s="528"/>
      <c r="G223" s="528"/>
      <c r="H223" s="528"/>
      <c r="I223" s="528"/>
      <c r="J223" s="528"/>
      <c r="K223" s="528"/>
      <c r="L223" s="528"/>
      <c r="M223" s="528"/>
      <c r="N223" s="528"/>
      <c r="O223" s="528"/>
      <c r="P223" s="528"/>
      <c r="Q223" s="528"/>
    </row>
    <row r="224" spans="1:18" s="545" customFormat="1" ht="12.75" x14ac:dyDescent="0.2">
      <c r="A224" s="513">
        <v>81100</v>
      </c>
      <c r="B224" s="529" t="s">
        <v>742</v>
      </c>
      <c r="C224" s="530">
        <v>0</v>
      </c>
      <c r="D224" s="530">
        <v>0</v>
      </c>
      <c r="E224" s="530">
        <v>0</v>
      </c>
      <c r="F224" s="530">
        <v>0</v>
      </c>
      <c r="G224" s="530">
        <v>0</v>
      </c>
      <c r="H224" s="530">
        <v>0</v>
      </c>
      <c r="I224" s="530">
        <v>0</v>
      </c>
      <c r="J224" s="530">
        <v>0</v>
      </c>
      <c r="K224" s="530">
        <v>0</v>
      </c>
      <c r="L224" s="530">
        <v>0</v>
      </c>
      <c r="M224" s="530">
        <v>0</v>
      </c>
      <c r="N224" s="530">
        <v>0</v>
      </c>
      <c r="O224" s="530">
        <v>0</v>
      </c>
      <c r="P224" s="530">
        <v>0</v>
      </c>
      <c r="Q224" s="530">
        <f t="shared" ref="Q224:Q234" si="34">SUM(C224:P224)</f>
        <v>0</v>
      </c>
    </row>
    <row r="225" spans="1:17" s="545" customFormat="1" ht="12.75" x14ac:dyDescent="0.2">
      <c r="A225" s="513">
        <v>81200</v>
      </c>
      <c r="B225" s="529" t="s">
        <v>743</v>
      </c>
      <c r="C225" s="530">
        <v>0</v>
      </c>
      <c r="D225" s="530">
        <v>0</v>
      </c>
      <c r="E225" s="530">
        <v>0</v>
      </c>
      <c r="F225" s="530">
        <v>0</v>
      </c>
      <c r="G225" s="530">
        <v>0</v>
      </c>
      <c r="H225" s="530">
        <v>0</v>
      </c>
      <c r="I225" s="530">
        <v>0</v>
      </c>
      <c r="J225" s="530">
        <v>0</v>
      </c>
      <c r="K225" s="530">
        <v>0</v>
      </c>
      <c r="L225" s="530">
        <v>0</v>
      </c>
      <c r="M225" s="530">
        <v>0</v>
      </c>
      <c r="N225" s="530">
        <v>0</v>
      </c>
      <c r="O225" s="530">
        <v>0</v>
      </c>
      <c r="P225" s="530">
        <v>0</v>
      </c>
      <c r="Q225" s="530">
        <f t="shared" si="34"/>
        <v>0</v>
      </c>
    </row>
    <row r="226" spans="1:17" s="545" customFormat="1" ht="12.75" x14ac:dyDescent="0.2">
      <c r="A226" s="513">
        <v>81201</v>
      </c>
      <c r="B226" s="529" t="s">
        <v>744</v>
      </c>
      <c r="C226" s="530">
        <v>0</v>
      </c>
      <c r="D226" s="530">
        <v>0</v>
      </c>
      <c r="E226" s="530">
        <v>0</v>
      </c>
      <c r="F226" s="530">
        <v>0</v>
      </c>
      <c r="G226" s="530">
        <v>0</v>
      </c>
      <c r="H226" s="530">
        <v>0</v>
      </c>
      <c r="I226" s="530">
        <v>0</v>
      </c>
      <c r="J226" s="530">
        <v>0</v>
      </c>
      <c r="K226" s="530">
        <v>0</v>
      </c>
      <c r="L226" s="530">
        <v>0</v>
      </c>
      <c r="M226" s="530">
        <v>0</v>
      </c>
      <c r="N226" s="530">
        <v>0</v>
      </c>
      <c r="O226" s="530">
        <v>0</v>
      </c>
      <c r="P226" s="530">
        <v>0</v>
      </c>
      <c r="Q226" s="530">
        <f t="shared" si="34"/>
        <v>0</v>
      </c>
    </row>
    <row r="227" spans="1:17" s="545" customFormat="1" ht="12.75" x14ac:dyDescent="0.2">
      <c r="A227" s="513">
        <v>81250</v>
      </c>
      <c r="B227" s="529" t="s">
        <v>745</v>
      </c>
      <c r="C227" s="530">
        <v>0</v>
      </c>
      <c r="D227" s="530">
        <v>0</v>
      </c>
      <c r="E227" s="530">
        <v>3305.03</v>
      </c>
      <c r="F227" s="530">
        <v>0</v>
      </c>
      <c r="G227" s="530">
        <v>0</v>
      </c>
      <c r="H227" s="530">
        <v>0</v>
      </c>
      <c r="I227" s="530">
        <v>0</v>
      </c>
      <c r="J227" s="530">
        <v>0</v>
      </c>
      <c r="K227" s="530">
        <v>0</v>
      </c>
      <c r="L227" s="530">
        <v>0</v>
      </c>
      <c r="M227" s="530">
        <v>0</v>
      </c>
      <c r="N227" s="530">
        <v>0</v>
      </c>
      <c r="O227" s="530">
        <v>0</v>
      </c>
      <c r="P227" s="530">
        <v>0</v>
      </c>
      <c r="Q227" s="530">
        <f t="shared" si="34"/>
        <v>3305.03</v>
      </c>
    </row>
    <row r="228" spans="1:17" s="545" customFormat="1" ht="12.75" x14ac:dyDescent="0.2">
      <c r="A228" s="513">
        <v>81252</v>
      </c>
      <c r="B228" s="529" t="s">
        <v>746</v>
      </c>
      <c r="C228" s="530">
        <v>0</v>
      </c>
      <c r="D228" s="530">
        <v>0</v>
      </c>
      <c r="E228" s="530">
        <v>0</v>
      </c>
      <c r="F228" s="530">
        <v>0</v>
      </c>
      <c r="G228" s="530">
        <v>0</v>
      </c>
      <c r="H228" s="530">
        <v>0</v>
      </c>
      <c r="I228" s="530">
        <v>0</v>
      </c>
      <c r="J228" s="530">
        <v>0</v>
      </c>
      <c r="K228" s="530">
        <v>0</v>
      </c>
      <c r="L228" s="530">
        <v>0</v>
      </c>
      <c r="M228" s="530">
        <v>0</v>
      </c>
      <c r="N228" s="530">
        <v>0</v>
      </c>
      <c r="O228" s="530">
        <v>0</v>
      </c>
      <c r="P228" s="530">
        <v>0</v>
      </c>
      <c r="Q228" s="530">
        <f t="shared" si="34"/>
        <v>0</v>
      </c>
    </row>
    <row r="229" spans="1:17" s="545" customFormat="1" ht="12.75" x14ac:dyDescent="0.2">
      <c r="A229" s="513">
        <v>81300</v>
      </c>
      <c r="B229" s="529" t="s">
        <v>747</v>
      </c>
      <c r="C229" s="530">
        <v>537.71999999999991</v>
      </c>
      <c r="D229" s="530">
        <v>0</v>
      </c>
      <c r="E229" s="530">
        <v>466.62</v>
      </c>
      <c r="F229" s="530">
        <v>0</v>
      </c>
      <c r="G229" s="530">
        <v>3551.96</v>
      </c>
      <c r="H229" s="530">
        <v>0</v>
      </c>
      <c r="I229" s="530">
        <v>98.13000000000001</v>
      </c>
      <c r="J229" s="530">
        <v>279.98</v>
      </c>
      <c r="K229" s="530">
        <v>0</v>
      </c>
      <c r="L229" s="530">
        <v>0</v>
      </c>
      <c r="M229" s="530">
        <v>0</v>
      </c>
      <c r="N229" s="530">
        <v>0</v>
      </c>
      <c r="O229" s="530">
        <v>0</v>
      </c>
      <c r="P229" s="530">
        <v>0</v>
      </c>
      <c r="Q229" s="530">
        <f t="shared" si="34"/>
        <v>4934.41</v>
      </c>
    </row>
    <row r="230" spans="1:17" s="545" customFormat="1" ht="12.75" x14ac:dyDescent="0.2">
      <c r="A230" s="513">
        <v>81301</v>
      </c>
      <c r="B230" s="529" t="s">
        <v>748</v>
      </c>
      <c r="C230" s="530">
        <v>0</v>
      </c>
      <c r="D230" s="530">
        <v>0</v>
      </c>
      <c r="E230" s="530">
        <v>0</v>
      </c>
      <c r="F230" s="530">
        <v>0</v>
      </c>
      <c r="G230" s="530">
        <v>0</v>
      </c>
      <c r="H230" s="530">
        <v>0</v>
      </c>
      <c r="I230" s="530">
        <v>3112.71</v>
      </c>
      <c r="J230" s="530">
        <v>0</v>
      </c>
      <c r="K230" s="530">
        <v>0</v>
      </c>
      <c r="L230" s="530">
        <v>0</v>
      </c>
      <c r="M230" s="530">
        <v>0</v>
      </c>
      <c r="N230" s="530">
        <v>0</v>
      </c>
      <c r="O230" s="530">
        <v>0</v>
      </c>
      <c r="P230" s="530">
        <v>0</v>
      </c>
      <c r="Q230" s="530">
        <f t="shared" si="34"/>
        <v>3112.71</v>
      </c>
    </row>
    <row r="231" spans="1:17" s="545" customFormat="1" ht="12.75" x14ac:dyDescent="0.2">
      <c r="A231" s="513">
        <v>81302</v>
      </c>
      <c r="B231" s="529" t="s">
        <v>749</v>
      </c>
      <c r="C231" s="530">
        <v>0</v>
      </c>
      <c r="D231" s="530">
        <v>0</v>
      </c>
      <c r="E231" s="530">
        <v>0</v>
      </c>
      <c r="F231" s="530">
        <v>0</v>
      </c>
      <c r="G231" s="530">
        <v>0</v>
      </c>
      <c r="H231" s="530">
        <v>0</v>
      </c>
      <c r="I231" s="530">
        <v>0</v>
      </c>
      <c r="J231" s="530">
        <v>0</v>
      </c>
      <c r="K231" s="530">
        <v>0</v>
      </c>
      <c r="L231" s="530">
        <v>0</v>
      </c>
      <c r="M231" s="530">
        <v>0</v>
      </c>
      <c r="N231" s="530">
        <v>0</v>
      </c>
      <c r="O231" s="530">
        <v>0</v>
      </c>
      <c r="P231" s="530">
        <v>0</v>
      </c>
      <c r="Q231" s="530">
        <f t="shared" si="34"/>
        <v>0</v>
      </c>
    </row>
    <row r="232" spans="1:17" s="545" customFormat="1" ht="12.75" x14ac:dyDescent="0.2">
      <c r="A232" s="513">
        <v>81303</v>
      </c>
      <c r="B232" s="529" t="s">
        <v>750</v>
      </c>
      <c r="C232" s="530">
        <v>0</v>
      </c>
      <c r="D232" s="530">
        <v>0</v>
      </c>
      <c r="E232" s="530">
        <v>0</v>
      </c>
      <c r="F232" s="530">
        <v>0</v>
      </c>
      <c r="G232" s="530">
        <v>0</v>
      </c>
      <c r="H232" s="530">
        <v>0</v>
      </c>
      <c r="I232" s="530">
        <v>0</v>
      </c>
      <c r="J232" s="530">
        <v>0</v>
      </c>
      <c r="K232" s="530">
        <v>0</v>
      </c>
      <c r="L232" s="530">
        <v>0</v>
      </c>
      <c r="M232" s="530">
        <v>0</v>
      </c>
      <c r="N232" s="530">
        <v>0</v>
      </c>
      <c r="O232" s="530">
        <v>0</v>
      </c>
      <c r="P232" s="530">
        <v>0</v>
      </c>
      <c r="Q232" s="530">
        <f t="shared" si="34"/>
        <v>0</v>
      </c>
    </row>
    <row r="233" spans="1:17" s="545" customFormat="1" ht="12.75" x14ac:dyDescent="0.2">
      <c r="A233" s="513">
        <v>81401</v>
      </c>
      <c r="B233" s="529" t="s">
        <v>751</v>
      </c>
      <c r="C233" s="530">
        <v>0</v>
      </c>
      <c r="D233" s="530">
        <v>0</v>
      </c>
      <c r="E233" s="530">
        <v>91.32</v>
      </c>
      <c r="F233" s="530">
        <v>0</v>
      </c>
      <c r="G233" s="530">
        <v>0</v>
      </c>
      <c r="H233" s="530">
        <v>0</v>
      </c>
      <c r="I233" s="530">
        <v>0</v>
      </c>
      <c r="J233" s="530">
        <v>0</v>
      </c>
      <c r="K233" s="530">
        <v>0</v>
      </c>
      <c r="L233" s="530">
        <v>0</v>
      </c>
      <c r="M233" s="530">
        <v>0</v>
      </c>
      <c r="N233" s="530">
        <v>0</v>
      </c>
      <c r="O233" s="530">
        <v>0</v>
      </c>
      <c r="P233" s="530">
        <v>0</v>
      </c>
      <c r="Q233" s="530">
        <f t="shared" si="34"/>
        <v>91.32</v>
      </c>
    </row>
    <row r="234" spans="1:17" s="545" customFormat="1" ht="12.75" x14ac:dyDescent="0.2">
      <c r="A234" s="513">
        <v>81610</v>
      </c>
      <c r="B234" s="529" t="s">
        <v>752</v>
      </c>
      <c r="C234" s="530">
        <v>0</v>
      </c>
      <c r="D234" s="530">
        <v>0</v>
      </c>
      <c r="E234" s="530">
        <v>0</v>
      </c>
      <c r="F234" s="530">
        <v>0</v>
      </c>
      <c r="G234" s="530">
        <v>0</v>
      </c>
      <c r="H234" s="530">
        <v>0</v>
      </c>
      <c r="I234" s="530">
        <v>0</v>
      </c>
      <c r="J234" s="530">
        <v>0</v>
      </c>
      <c r="K234" s="530">
        <v>0</v>
      </c>
      <c r="L234" s="530">
        <v>0</v>
      </c>
      <c r="M234" s="530">
        <v>0</v>
      </c>
      <c r="N234" s="530">
        <v>0</v>
      </c>
      <c r="O234" s="530">
        <v>0</v>
      </c>
      <c r="P234" s="530">
        <v>0</v>
      </c>
      <c r="Q234" s="530">
        <f t="shared" si="34"/>
        <v>0</v>
      </c>
    </row>
    <row r="235" spans="1:17" s="428" customFormat="1" ht="12.75" x14ac:dyDescent="0.2">
      <c r="A235" s="513">
        <v>82950</v>
      </c>
      <c r="B235" s="536" t="s">
        <v>753</v>
      </c>
      <c r="C235" s="537">
        <f t="shared" ref="C235:Q235" si="35">SUM(C224:C234)</f>
        <v>537.71999999999991</v>
      </c>
      <c r="D235" s="537">
        <f t="shared" si="35"/>
        <v>0</v>
      </c>
      <c r="E235" s="537">
        <f t="shared" si="35"/>
        <v>3862.9700000000003</v>
      </c>
      <c r="F235" s="537">
        <f t="shared" si="35"/>
        <v>0</v>
      </c>
      <c r="G235" s="1190">
        <f t="shared" si="35"/>
        <v>3551.96</v>
      </c>
      <c r="H235" s="1190">
        <f t="shared" si="35"/>
        <v>0</v>
      </c>
      <c r="I235" s="537">
        <f t="shared" si="35"/>
        <v>3210.84</v>
      </c>
      <c r="J235" s="537">
        <f t="shared" si="35"/>
        <v>279.98</v>
      </c>
      <c r="K235" s="537">
        <f t="shared" si="35"/>
        <v>0</v>
      </c>
      <c r="L235" s="537">
        <f t="shared" si="35"/>
        <v>0</v>
      </c>
      <c r="M235" s="537">
        <f t="shared" si="35"/>
        <v>0</v>
      </c>
      <c r="N235" s="537">
        <f t="shared" si="35"/>
        <v>0</v>
      </c>
      <c r="O235" s="537">
        <f t="shared" si="35"/>
        <v>0</v>
      </c>
      <c r="P235" s="537">
        <f t="shared" si="35"/>
        <v>0</v>
      </c>
      <c r="Q235" s="537">
        <f t="shared" si="35"/>
        <v>11443.470000000001</v>
      </c>
    </row>
    <row r="236" spans="1:17" s="428" customFormat="1" ht="12.75" x14ac:dyDescent="0.2">
      <c r="A236" s="513"/>
      <c r="B236" s="516"/>
      <c r="C236" s="528"/>
      <c r="D236" s="528"/>
      <c r="E236" s="528"/>
      <c r="F236" s="528"/>
      <c r="G236" s="528"/>
      <c r="H236" s="528"/>
      <c r="I236" s="528"/>
      <c r="J236" s="528"/>
      <c r="K236" s="528"/>
      <c r="L236" s="528"/>
      <c r="M236" s="528"/>
      <c r="N236" s="528"/>
      <c r="O236" s="528"/>
      <c r="P236" s="528"/>
      <c r="Q236" s="528"/>
    </row>
    <row r="237" spans="1:17" s="428" customFormat="1" ht="12.75" x14ac:dyDescent="0.2">
      <c r="A237" s="513"/>
      <c r="B237" s="516" t="s">
        <v>754</v>
      </c>
      <c r="C237" s="528"/>
      <c r="D237" s="528"/>
      <c r="E237" s="528"/>
      <c r="F237" s="528"/>
      <c r="G237" s="528"/>
      <c r="H237" s="528"/>
      <c r="I237" s="528"/>
      <c r="J237" s="528"/>
      <c r="K237" s="528"/>
      <c r="L237" s="528"/>
      <c r="M237" s="528"/>
      <c r="N237" s="528"/>
      <c r="O237" s="528"/>
      <c r="P237" s="528"/>
      <c r="Q237" s="528"/>
    </row>
    <row r="238" spans="1:17" s="545" customFormat="1" ht="12.75" x14ac:dyDescent="0.2">
      <c r="A238" s="513">
        <v>83200</v>
      </c>
      <c r="B238" s="553" t="s">
        <v>755</v>
      </c>
      <c r="C238" s="530">
        <v>0</v>
      </c>
      <c r="D238" s="530">
        <v>0</v>
      </c>
      <c r="E238" s="530">
        <v>0</v>
      </c>
      <c r="F238" s="530">
        <v>0</v>
      </c>
      <c r="G238" s="530">
        <v>0</v>
      </c>
      <c r="H238" s="530">
        <v>0</v>
      </c>
      <c r="I238" s="530">
        <v>0</v>
      </c>
      <c r="J238" s="530">
        <v>0</v>
      </c>
      <c r="K238" s="530">
        <v>0</v>
      </c>
      <c r="L238" s="530">
        <v>0</v>
      </c>
      <c r="M238" s="530">
        <v>0</v>
      </c>
      <c r="N238" s="530">
        <v>0</v>
      </c>
      <c r="O238" s="530">
        <v>0</v>
      </c>
      <c r="P238" s="530">
        <v>0</v>
      </c>
      <c r="Q238" s="530">
        <f>SUM(C238:P238)</f>
        <v>0</v>
      </c>
    </row>
    <row r="239" spans="1:17" s="428" customFormat="1" ht="12.75" x14ac:dyDescent="0.2">
      <c r="A239" s="513">
        <v>83799</v>
      </c>
      <c r="B239" s="536" t="s">
        <v>756</v>
      </c>
      <c r="C239" s="537">
        <f t="shared" ref="C239:Q239" si="36">SUM(C238)</f>
        <v>0</v>
      </c>
      <c r="D239" s="537">
        <f t="shared" si="36"/>
        <v>0</v>
      </c>
      <c r="E239" s="537">
        <f t="shared" si="36"/>
        <v>0</v>
      </c>
      <c r="F239" s="537">
        <f t="shared" si="36"/>
        <v>0</v>
      </c>
      <c r="G239" s="537">
        <f t="shared" si="36"/>
        <v>0</v>
      </c>
      <c r="H239" s="537">
        <f t="shared" si="36"/>
        <v>0</v>
      </c>
      <c r="I239" s="537">
        <f t="shared" si="36"/>
        <v>0</v>
      </c>
      <c r="J239" s="537">
        <f t="shared" si="36"/>
        <v>0</v>
      </c>
      <c r="K239" s="537">
        <f t="shared" si="36"/>
        <v>0</v>
      </c>
      <c r="L239" s="537">
        <f t="shared" si="36"/>
        <v>0</v>
      </c>
      <c r="M239" s="537">
        <f t="shared" si="36"/>
        <v>0</v>
      </c>
      <c r="N239" s="537">
        <f t="shared" si="36"/>
        <v>0</v>
      </c>
      <c r="O239" s="537">
        <f t="shared" si="36"/>
        <v>0</v>
      </c>
      <c r="P239" s="537">
        <f t="shared" si="36"/>
        <v>0</v>
      </c>
      <c r="Q239" s="537">
        <f t="shared" si="36"/>
        <v>0</v>
      </c>
    </row>
    <row r="240" spans="1:17" s="428" customFormat="1" ht="12.75" x14ac:dyDescent="0.2">
      <c r="A240" s="513"/>
      <c r="B240" s="516"/>
      <c r="C240" s="528"/>
      <c r="D240" s="528"/>
      <c r="E240" s="528"/>
      <c r="F240" s="528"/>
      <c r="G240" s="528"/>
      <c r="H240" s="528"/>
      <c r="I240" s="528"/>
      <c r="J240" s="528"/>
      <c r="K240" s="528"/>
      <c r="L240" s="528"/>
      <c r="M240" s="528"/>
      <c r="N240" s="528"/>
      <c r="O240" s="528"/>
      <c r="P240" s="528"/>
      <c r="Q240" s="528"/>
    </row>
    <row r="241" spans="1:17" s="428" customFormat="1" ht="12.75" x14ac:dyDescent="0.2">
      <c r="A241" s="513"/>
      <c r="B241" s="516" t="s">
        <v>757</v>
      </c>
      <c r="C241" s="528"/>
      <c r="D241" s="528"/>
      <c r="E241" s="528"/>
      <c r="F241" s="528"/>
      <c r="G241" s="528"/>
      <c r="H241" s="528"/>
      <c r="I241" s="528"/>
      <c r="J241" s="528"/>
      <c r="K241" s="528"/>
      <c r="L241" s="528"/>
      <c r="M241" s="528"/>
      <c r="N241" s="528"/>
      <c r="O241" s="528"/>
      <c r="P241" s="528"/>
      <c r="Q241" s="528"/>
    </row>
    <row r="242" spans="1:17" s="545" customFormat="1" ht="12.75" x14ac:dyDescent="0.2">
      <c r="A242" s="513">
        <v>83905</v>
      </c>
      <c r="B242" s="529" t="s">
        <v>758</v>
      </c>
      <c r="C242" s="530">
        <v>0</v>
      </c>
      <c r="D242" s="530">
        <v>0</v>
      </c>
      <c r="E242" s="530">
        <v>0</v>
      </c>
      <c r="F242" s="530">
        <v>0</v>
      </c>
      <c r="G242" s="530">
        <v>0</v>
      </c>
      <c r="H242" s="530">
        <v>0</v>
      </c>
      <c r="I242" s="530">
        <v>0</v>
      </c>
      <c r="J242" s="530">
        <v>0</v>
      </c>
      <c r="K242" s="530">
        <v>0</v>
      </c>
      <c r="L242" s="530">
        <v>0</v>
      </c>
      <c r="M242" s="530">
        <v>0</v>
      </c>
      <c r="N242" s="530">
        <v>0</v>
      </c>
      <c r="O242" s="530">
        <v>0</v>
      </c>
      <c r="P242" s="530">
        <v>0</v>
      </c>
      <c r="Q242" s="530">
        <f>SUM(C242:P242)</f>
        <v>0</v>
      </c>
    </row>
    <row r="243" spans="1:17" s="545" customFormat="1" ht="12.75" x14ac:dyDescent="0.2">
      <c r="A243" s="513">
        <v>83929</v>
      </c>
      <c r="B243" s="529" t="s">
        <v>759</v>
      </c>
      <c r="C243" s="530">
        <v>0</v>
      </c>
      <c r="D243" s="530">
        <v>0</v>
      </c>
      <c r="E243" s="530">
        <v>0</v>
      </c>
      <c r="F243" s="530">
        <v>0</v>
      </c>
      <c r="G243" s="530">
        <v>0</v>
      </c>
      <c r="H243" s="530">
        <v>0</v>
      </c>
      <c r="I243" s="530">
        <v>0</v>
      </c>
      <c r="J243" s="530">
        <v>0</v>
      </c>
      <c r="K243" s="530">
        <v>0</v>
      </c>
      <c r="L243" s="530">
        <v>0</v>
      </c>
      <c r="M243" s="530">
        <v>0</v>
      </c>
      <c r="N243" s="530">
        <v>0</v>
      </c>
      <c r="O243" s="530">
        <v>0</v>
      </c>
      <c r="P243" s="530">
        <v>0</v>
      </c>
      <c r="Q243" s="530">
        <f>SUM(C243:P243)</f>
        <v>0</v>
      </c>
    </row>
    <row r="244" spans="1:17" s="428" customFormat="1" ht="12.75" x14ac:dyDescent="0.2">
      <c r="A244" s="513"/>
      <c r="B244" s="516"/>
      <c r="C244" s="528"/>
      <c r="D244" s="528"/>
      <c r="E244" s="528"/>
      <c r="F244" s="528"/>
      <c r="G244" s="528"/>
      <c r="H244" s="528"/>
      <c r="I244" s="528"/>
      <c r="J244" s="528"/>
      <c r="K244" s="528"/>
      <c r="L244" s="528"/>
      <c r="M244" s="528"/>
      <c r="N244" s="528"/>
      <c r="O244" s="528"/>
      <c r="P244" s="528"/>
      <c r="Q244" s="528"/>
    </row>
    <row r="245" spans="1:17" s="428" customFormat="1" ht="12.75" x14ac:dyDescent="0.2">
      <c r="A245" s="513">
        <v>84000</v>
      </c>
      <c r="B245" s="536" t="s">
        <v>760</v>
      </c>
      <c r="C245" s="537">
        <f t="shared" ref="C245:Q245" si="37">C235+C239+C242+C243</f>
        <v>537.71999999999991</v>
      </c>
      <c r="D245" s="537">
        <f t="shared" si="37"/>
        <v>0</v>
      </c>
      <c r="E245" s="537">
        <f t="shared" si="37"/>
        <v>3862.9700000000003</v>
      </c>
      <c r="F245" s="537">
        <f t="shared" si="37"/>
        <v>0</v>
      </c>
      <c r="G245" s="537">
        <f t="shared" si="37"/>
        <v>3551.96</v>
      </c>
      <c r="H245" s="537">
        <f t="shared" si="37"/>
        <v>0</v>
      </c>
      <c r="I245" s="537">
        <f t="shared" si="37"/>
        <v>3210.84</v>
      </c>
      <c r="J245" s="537">
        <f t="shared" si="37"/>
        <v>279.98</v>
      </c>
      <c r="K245" s="537">
        <f t="shared" si="37"/>
        <v>0</v>
      </c>
      <c r="L245" s="537">
        <f t="shared" si="37"/>
        <v>0</v>
      </c>
      <c r="M245" s="537">
        <f t="shared" si="37"/>
        <v>0</v>
      </c>
      <c r="N245" s="537">
        <f t="shared" si="37"/>
        <v>0</v>
      </c>
      <c r="O245" s="537">
        <f t="shared" si="37"/>
        <v>0</v>
      </c>
      <c r="P245" s="537">
        <f t="shared" si="37"/>
        <v>0</v>
      </c>
      <c r="Q245" s="537">
        <f t="shared" si="37"/>
        <v>11443.470000000001</v>
      </c>
    </row>
    <row r="246" spans="1:17" s="428" customFormat="1" ht="12.75" x14ac:dyDescent="0.2">
      <c r="A246" s="513"/>
      <c r="B246" s="536"/>
      <c r="C246" s="537"/>
      <c r="D246" s="537"/>
      <c r="E246" s="537"/>
      <c r="F246" s="537"/>
      <c r="G246" s="537"/>
      <c r="H246" s="537"/>
      <c r="I246" s="537"/>
      <c r="J246" s="537"/>
      <c r="K246" s="537"/>
      <c r="L246" s="537"/>
      <c r="M246" s="537"/>
      <c r="N246" s="537"/>
      <c r="O246" s="537"/>
      <c r="P246" s="537"/>
      <c r="Q246" s="537"/>
    </row>
    <row r="247" spans="1:17" s="428" customFormat="1" ht="12.75" x14ac:dyDescent="0.2">
      <c r="A247" s="513">
        <v>85000</v>
      </c>
      <c r="B247" s="536" t="s">
        <v>761</v>
      </c>
      <c r="C247" s="537">
        <f t="shared" ref="C247:Q247" si="38">C220-C235-C239-C196</f>
        <v>-471893.07</v>
      </c>
      <c r="D247" s="537">
        <f t="shared" si="38"/>
        <v>0</v>
      </c>
      <c r="E247" s="537">
        <f t="shared" si="38"/>
        <v>627899.69000000006</v>
      </c>
      <c r="F247" s="537">
        <f t="shared" si="38"/>
        <v>-230750.15</v>
      </c>
      <c r="G247" s="537">
        <f t="shared" si="38"/>
        <v>-124619.16000000002</v>
      </c>
      <c r="H247" s="537">
        <f t="shared" si="38"/>
        <v>-57403.63</v>
      </c>
      <c r="I247" s="537">
        <f t="shared" si="38"/>
        <v>0</v>
      </c>
      <c r="J247" s="537">
        <f t="shared" si="38"/>
        <v>-119670.42</v>
      </c>
      <c r="K247" s="537">
        <f t="shared" si="38"/>
        <v>-23487</v>
      </c>
      <c r="L247" s="537">
        <f t="shared" si="38"/>
        <v>-206160.63999999996</v>
      </c>
      <c r="M247" s="537">
        <f t="shared" si="38"/>
        <v>-98616.189999999988</v>
      </c>
      <c r="N247" s="537">
        <f t="shared" si="38"/>
        <v>0</v>
      </c>
      <c r="O247" s="537">
        <f t="shared" si="38"/>
        <v>0</v>
      </c>
      <c r="P247" s="537">
        <f t="shared" si="38"/>
        <v>0</v>
      </c>
      <c r="Q247" s="537">
        <f t="shared" si="38"/>
        <v>-704700.56999999983</v>
      </c>
    </row>
    <row r="248" spans="1:17" s="428" customFormat="1" ht="12.75" x14ac:dyDescent="0.2">
      <c r="A248" s="513" t="s">
        <v>762</v>
      </c>
      <c r="B248" s="516" t="s">
        <v>128</v>
      </c>
      <c r="C248" s="544" t="str">
        <f t="shared" ref="C248:Q248" si="39">IF(ISERROR(C247/C23),"",(C247/C23))</f>
        <v/>
      </c>
      <c r="D248" s="544" t="str">
        <f t="shared" si="39"/>
        <v/>
      </c>
      <c r="E248" s="544" t="str">
        <f t="shared" si="39"/>
        <v/>
      </c>
      <c r="F248" s="544" t="str">
        <f t="shared" si="39"/>
        <v/>
      </c>
      <c r="G248" s="544" t="str">
        <f t="shared" si="39"/>
        <v/>
      </c>
      <c r="H248" s="544" t="str">
        <f t="shared" si="39"/>
        <v/>
      </c>
      <c r="I248" s="544" t="str">
        <f t="shared" si="39"/>
        <v/>
      </c>
      <c r="J248" s="544" t="str">
        <f t="shared" si="39"/>
        <v/>
      </c>
      <c r="K248" s="544" t="str">
        <f t="shared" si="39"/>
        <v/>
      </c>
      <c r="L248" s="544" t="str">
        <f t="shared" si="39"/>
        <v/>
      </c>
      <c r="M248" s="544" t="str">
        <f t="shared" si="39"/>
        <v/>
      </c>
      <c r="N248" s="544" t="str">
        <f t="shared" si="39"/>
        <v/>
      </c>
      <c r="O248" s="544" t="str">
        <f t="shared" si="39"/>
        <v/>
      </c>
      <c r="P248" s="544" t="str">
        <f t="shared" si="39"/>
        <v/>
      </c>
      <c r="Q248" s="544" t="str">
        <f t="shared" si="39"/>
        <v/>
      </c>
    </row>
    <row r="249" spans="1:17" s="428" customFormat="1" x14ac:dyDescent="0.25">
      <c r="A249" s="513"/>
      <c r="B249" s="534"/>
      <c r="C249" s="563"/>
      <c r="D249" s="563"/>
      <c r="E249" s="563"/>
      <c r="F249" s="563"/>
      <c r="G249" s="563"/>
      <c r="H249" s="563"/>
      <c r="I249" s="563"/>
      <c r="J249" s="563"/>
      <c r="K249" s="563"/>
      <c r="L249" s="563"/>
      <c r="M249" s="563"/>
      <c r="N249" s="563"/>
      <c r="O249" s="563"/>
      <c r="P249" s="563"/>
      <c r="Q249" s="563"/>
    </row>
    <row r="250" spans="1:17" s="428" customFormat="1" ht="12.75" x14ac:dyDescent="0.2">
      <c r="A250" s="513"/>
      <c r="B250" s="516" t="s">
        <v>763</v>
      </c>
      <c r="C250" s="528"/>
      <c r="D250" s="528"/>
      <c r="E250" s="528"/>
      <c r="F250" s="528"/>
      <c r="G250" s="528"/>
      <c r="H250" s="528"/>
      <c r="I250" s="528"/>
      <c r="J250" s="528"/>
      <c r="K250" s="528"/>
      <c r="L250" s="528"/>
      <c r="M250" s="528"/>
      <c r="N250" s="528"/>
      <c r="O250" s="528"/>
      <c r="P250" s="528"/>
      <c r="Q250" s="528"/>
    </row>
    <row r="251" spans="1:17" s="545" customFormat="1" ht="12.75" x14ac:dyDescent="0.2">
      <c r="A251" s="513">
        <v>85505</v>
      </c>
      <c r="B251" s="529" t="s">
        <v>764</v>
      </c>
      <c r="C251" s="530">
        <v>0</v>
      </c>
      <c r="D251" s="530">
        <v>0</v>
      </c>
      <c r="E251" s="530">
        <v>238422.53</v>
      </c>
      <c r="F251" s="530">
        <v>0</v>
      </c>
      <c r="G251" s="530">
        <v>0</v>
      </c>
      <c r="H251" s="530">
        <v>0</v>
      </c>
      <c r="I251" s="530">
        <v>0</v>
      </c>
      <c r="J251" s="530">
        <v>0</v>
      </c>
      <c r="K251" s="530">
        <v>0</v>
      </c>
      <c r="L251" s="530">
        <v>0</v>
      </c>
      <c r="M251" s="530">
        <v>0</v>
      </c>
      <c r="N251" s="530">
        <v>0</v>
      </c>
      <c r="O251" s="530">
        <v>0</v>
      </c>
      <c r="P251" s="530">
        <v>0</v>
      </c>
      <c r="Q251" s="530">
        <f t="shared" ref="Q251:Q261" si="40">SUM(C251:P251)</f>
        <v>238422.53</v>
      </c>
    </row>
    <row r="252" spans="1:17" s="545" customFormat="1" ht="12.75" x14ac:dyDescent="0.2">
      <c r="A252" s="513">
        <v>85506</v>
      </c>
      <c r="B252" s="529" t="s">
        <v>765</v>
      </c>
      <c r="C252" s="530">
        <v>0</v>
      </c>
      <c r="D252" s="530">
        <v>0</v>
      </c>
      <c r="E252" s="530">
        <v>0</v>
      </c>
      <c r="F252" s="530">
        <v>0</v>
      </c>
      <c r="G252" s="530">
        <v>0</v>
      </c>
      <c r="H252" s="530">
        <v>0</v>
      </c>
      <c r="I252" s="530">
        <v>0</v>
      </c>
      <c r="J252" s="530">
        <v>0</v>
      </c>
      <c r="K252" s="530">
        <v>0</v>
      </c>
      <c r="L252" s="530">
        <v>0</v>
      </c>
      <c r="M252" s="530">
        <v>0</v>
      </c>
      <c r="N252" s="530">
        <v>0</v>
      </c>
      <c r="O252" s="530">
        <v>0</v>
      </c>
      <c r="P252" s="530">
        <v>0</v>
      </c>
      <c r="Q252" s="530">
        <f t="shared" si="40"/>
        <v>0</v>
      </c>
    </row>
    <row r="253" spans="1:17" s="545" customFormat="1" ht="12.75" x14ac:dyDescent="0.2">
      <c r="A253" s="513">
        <v>85510</v>
      </c>
      <c r="B253" s="529" t="s">
        <v>766</v>
      </c>
      <c r="C253" s="530">
        <v>0</v>
      </c>
      <c r="D253" s="530">
        <v>0</v>
      </c>
      <c r="E253" s="530">
        <v>0</v>
      </c>
      <c r="F253" s="530">
        <v>0</v>
      </c>
      <c r="G253" s="530">
        <v>0</v>
      </c>
      <c r="H253" s="530">
        <v>0</v>
      </c>
      <c r="I253" s="530">
        <v>0</v>
      </c>
      <c r="J253" s="530">
        <v>0</v>
      </c>
      <c r="K253" s="530">
        <v>0</v>
      </c>
      <c r="L253" s="530">
        <v>0</v>
      </c>
      <c r="M253" s="530">
        <v>0</v>
      </c>
      <c r="N253" s="530">
        <v>0</v>
      </c>
      <c r="O253" s="530">
        <v>0</v>
      </c>
      <c r="P253" s="530">
        <v>0</v>
      </c>
      <c r="Q253" s="530">
        <f t="shared" si="40"/>
        <v>0</v>
      </c>
    </row>
    <row r="254" spans="1:17" s="545" customFormat="1" ht="12.75" x14ac:dyDescent="0.2">
      <c r="A254" s="513">
        <v>85520</v>
      </c>
      <c r="B254" s="529" t="s">
        <v>767</v>
      </c>
      <c r="C254" s="530">
        <v>0</v>
      </c>
      <c r="D254" s="530">
        <v>0</v>
      </c>
      <c r="E254" s="530">
        <v>0</v>
      </c>
      <c r="F254" s="530">
        <v>0</v>
      </c>
      <c r="G254" s="530">
        <v>0</v>
      </c>
      <c r="H254" s="530">
        <v>0</v>
      </c>
      <c r="I254" s="530">
        <v>0</v>
      </c>
      <c r="J254" s="530">
        <v>0</v>
      </c>
      <c r="K254" s="530">
        <v>0</v>
      </c>
      <c r="L254" s="530">
        <v>0</v>
      </c>
      <c r="M254" s="530">
        <v>0</v>
      </c>
      <c r="N254" s="530">
        <v>0</v>
      </c>
      <c r="O254" s="530">
        <v>0</v>
      </c>
      <c r="P254" s="530">
        <v>0</v>
      </c>
      <c r="Q254" s="530">
        <f t="shared" si="40"/>
        <v>0</v>
      </c>
    </row>
    <row r="255" spans="1:17" s="545" customFormat="1" ht="12.75" x14ac:dyDescent="0.2">
      <c r="A255" s="513">
        <v>85530</v>
      </c>
      <c r="B255" s="529" t="s">
        <v>768</v>
      </c>
      <c r="C255" s="530">
        <v>0</v>
      </c>
      <c r="D255" s="530">
        <v>0</v>
      </c>
      <c r="E255" s="530">
        <v>0</v>
      </c>
      <c r="F255" s="530">
        <v>0</v>
      </c>
      <c r="G255" s="530">
        <v>0</v>
      </c>
      <c r="H255" s="530">
        <v>0</v>
      </c>
      <c r="I255" s="530">
        <v>0</v>
      </c>
      <c r="J255" s="530">
        <v>0</v>
      </c>
      <c r="K255" s="530">
        <v>0</v>
      </c>
      <c r="L255" s="530">
        <v>0</v>
      </c>
      <c r="M255" s="530">
        <v>0</v>
      </c>
      <c r="N255" s="530">
        <v>0</v>
      </c>
      <c r="O255" s="530">
        <v>0</v>
      </c>
      <c r="P255" s="530">
        <v>0</v>
      </c>
      <c r="Q255" s="530">
        <f t="shared" si="40"/>
        <v>0</v>
      </c>
    </row>
    <row r="256" spans="1:17" s="545" customFormat="1" ht="12.75" x14ac:dyDescent="0.2">
      <c r="A256" s="513">
        <v>85540</v>
      </c>
      <c r="B256" s="529" t="s">
        <v>769</v>
      </c>
      <c r="C256" s="530">
        <v>0</v>
      </c>
      <c r="D256" s="530">
        <v>0</v>
      </c>
      <c r="E256" s="530">
        <v>0</v>
      </c>
      <c r="F256" s="530">
        <v>0</v>
      </c>
      <c r="G256" s="530">
        <v>0</v>
      </c>
      <c r="H256" s="530">
        <v>0</v>
      </c>
      <c r="I256" s="530">
        <v>0</v>
      </c>
      <c r="J256" s="530">
        <v>0</v>
      </c>
      <c r="K256" s="530">
        <v>0</v>
      </c>
      <c r="L256" s="530">
        <v>0</v>
      </c>
      <c r="M256" s="530">
        <v>0</v>
      </c>
      <c r="N256" s="530">
        <v>0</v>
      </c>
      <c r="O256" s="530">
        <v>0</v>
      </c>
      <c r="P256" s="530">
        <v>0</v>
      </c>
      <c r="Q256" s="530">
        <f t="shared" si="40"/>
        <v>0</v>
      </c>
    </row>
    <row r="257" spans="1:17" s="545" customFormat="1" ht="12.75" x14ac:dyDescent="0.2">
      <c r="A257" s="513">
        <v>85545</v>
      </c>
      <c r="B257" s="529" t="s">
        <v>770</v>
      </c>
      <c r="C257" s="530">
        <v>0</v>
      </c>
      <c r="D257" s="530">
        <v>0</v>
      </c>
      <c r="E257" s="530">
        <v>0</v>
      </c>
      <c r="F257" s="530">
        <v>0</v>
      </c>
      <c r="G257" s="530">
        <v>0</v>
      </c>
      <c r="H257" s="530">
        <v>0</v>
      </c>
      <c r="I257" s="530">
        <v>0</v>
      </c>
      <c r="J257" s="530">
        <v>0</v>
      </c>
      <c r="K257" s="530">
        <v>0</v>
      </c>
      <c r="L257" s="530">
        <v>0</v>
      </c>
      <c r="M257" s="530">
        <v>0</v>
      </c>
      <c r="N257" s="530">
        <v>0</v>
      </c>
      <c r="O257" s="530">
        <v>0</v>
      </c>
      <c r="P257" s="530">
        <v>0</v>
      </c>
      <c r="Q257" s="530">
        <f t="shared" si="40"/>
        <v>0</v>
      </c>
    </row>
    <row r="258" spans="1:17" s="545" customFormat="1" ht="12.75" x14ac:dyDescent="0.2">
      <c r="A258" s="513">
        <v>85546</v>
      </c>
      <c r="B258" s="529" t="s">
        <v>771</v>
      </c>
      <c r="C258" s="530">
        <v>0</v>
      </c>
      <c r="D258" s="530">
        <v>0</v>
      </c>
      <c r="E258" s="530">
        <v>0</v>
      </c>
      <c r="F258" s="530">
        <v>0</v>
      </c>
      <c r="G258" s="530">
        <v>0</v>
      </c>
      <c r="H258" s="530">
        <v>0</v>
      </c>
      <c r="I258" s="530">
        <v>0</v>
      </c>
      <c r="J258" s="530">
        <v>0</v>
      </c>
      <c r="K258" s="530">
        <v>0</v>
      </c>
      <c r="L258" s="530">
        <v>0</v>
      </c>
      <c r="M258" s="530">
        <v>0</v>
      </c>
      <c r="N258" s="530">
        <v>0</v>
      </c>
      <c r="O258" s="530">
        <v>0</v>
      </c>
      <c r="P258" s="530">
        <v>0</v>
      </c>
      <c r="Q258" s="530">
        <f t="shared" si="40"/>
        <v>0</v>
      </c>
    </row>
    <row r="259" spans="1:17" s="545" customFormat="1" ht="12.75" x14ac:dyDescent="0.2">
      <c r="A259" s="513">
        <v>85550</v>
      </c>
      <c r="B259" s="529" t="s">
        <v>772</v>
      </c>
      <c r="C259" s="530">
        <v>0</v>
      </c>
      <c r="D259" s="530">
        <v>0</v>
      </c>
      <c r="E259" s="530">
        <v>0</v>
      </c>
      <c r="F259" s="530">
        <v>0</v>
      </c>
      <c r="G259" s="530">
        <v>0</v>
      </c>
      <c r="H259" s="530">
        <v>0</v>
      </c>
      <c r="I259" s="530">
        <v>0</v>
      </c>
      <c r="J259" s="530">
        <v>0</v>
      </c>
      <c r="K259" s="530">
        <v>0</v>
      </c>
      <c r="L259" s="530">
        <v>0</v>
      </c>
      <c r="M259" s="530">
        <v>0</v>
      </c>
      <c r="N259" s="530">
        <v>0</v>
      </c>
      <c r="O259" s="530">
        <v>0</v>
      </c>
      <c r="P259" s="530">
        <v>0</v>
      </c>
      <c r="Q259" s="530">
        <f t="shared" si="40"/>
        <v>0</v>
      </c>
    </row>
    <row r="260" spans="1:17" s="545" customFormat="1" ht="12.75" x14ac:dyDescent="0.2">
      <c r="A260" s="513">
        <v>85554</v>
      </c>
      <c r="B260" s="529" t="s">
        <v>773</v>
      </c>
      <c r="C260" s="530">
        <v>0</v>
      </c>
      <c r="D260" s="530">
        <v>0</v>
      </c>
      <c r="E260" s="530">
        <v>0</v>
      </c>
      <c r="F260" s="530">
        <v>0</v>
      </c>
      <c r="G260" s="530">
        <v>0</v>
      </c>
      <c r="H260" s="530">
        <v>0</v>
      </c>
      <c r="I260" s="530">
        <v>0</v>
      </c>
      <c r="J260" s="530">
        <v>0</v>
      </c>
      <c r="K260" s="530">
        <v>0</v>
      </c>
      <c r="L260" s="530">
        <v>0</v>
      </c>
      <c r="M260" s="530">
        <v>0</v>
      </c>
      <c r="N260" s="530">
        <v>0</v>
      </c>
      <c r="O260" s="530">
        <v>0</v>
      </c>
      <c r="P260" s="530">
        <v>0</v>
      </c>
      <c r="Q260" s="530">
        <f t="shared" si="40"/>
        <v>0</v>
      </c>
    </row>
    <row r="261" spans="1:17" s="545" customFormat="1" ht="12.75" x14ac:dyDescent="0.2">
      <c r="A261" s="513">
        <v>85560</v>
      </c>
      <c r="B261" s="529" t="s">
        <v>774</v>
      </c>
      <c r="C261" s="530">
        <v>0</v>
      </c>
      <c r="D261" s="530">
        <v>0</v>
      </c>
      <c r="E261" s="530">
        <v>0</v>
      </c>
      <c r="F261" s="530">
        <v>0</v>
      </c>
      <c r="G261" s="530">
        <v>0</v>
      </c>
      <c r="H261" s="530">
        <v>0</v>
      </c>
      <c r="I261" s="530">
        <v>0</v>
      </c>
      <c r="J261" s="530">
        <v>0</v>
      </c>
      <c r="K261" s="530">
        <v>0</v>
      </c>
      <c r="L261" s="530">
        <v>0</v>
      </c>
      <c r="M261" s="530">
        <v>0</v>
      </c>
      <c r="N261" s="530">
        <v>0</v>
      </c>
      <c r="O261" s="530">
        <v>0</v>
      </c>
      <c r="P261" s="530">
        <v>0</v>
      </c>
      <c r="Q261" s="530">
        <f t="shared" si="40"/>
        <v>0</v>
      </c>
    </row>
    <row r="262" spans="1:17" s="428" customFormat="1" ht="12.75" x14ac:dyDescent="0.2">
      <c r="A262" s="513">
        <v>85950</v>
      </c>
      <c r="B262" s="536" t="s">
        <v>775</v>
      </c>
      <c r="C262" s="537">
        <f t="shared" ref="C262:Q262" si="41">SUM(C251:C261)</f>
        <v>0</v>
      </c>
      <c r="D262" s="537">
        <f t="shared" si="41"/>
        <v>0</v>
      </c>
      <c r="E262" s="537">
        <f t="shared" si="41"/>
        <v>238422.53</v>
      </c>
      <c r="F262" s="537">
        <f t="shared" si="41"/>
        <v>0</v>
      </c>
      <c r="G262" s="537">
        <f t="shared" si="41"/>
        <v>0</v>
      </c>
      <c r="H262" s="537">
        <f t="shared" si="41"/>
        <v>0</v>
      </c>
      <c r="I262" s="537">
        <f t="shared" si="41"/>
        <v>0</v>
      </c>
      <c r="J262" s="537">
        <f t="shared" si="41"/>
        <v>0</v>
      </c>
      <c r="K262" s="537">
        <f t="shared" si="41"/>
        <v>0</v>
      </c>
      <c r="L262" s="537">
        <f t="shared" si="41"/>
        <v>0</v>
      </c>
      <c r="M262" s="537">
        <f t="shared" si="41"/>
        <v>0</v>
      </c>
      <c r="N262" s="537">
        <f t="shared" si="41"/>
        <v>0</v>
      </c>
      <c r="O262" s="537">
        <f t="shared" si="41"/>
        <v>0</v>
      </c>
      <c r="P262" s="537">
        <f t="shared" si="41"/>
        <v>0</v>
      </c>
      <c r="Q262" s="537">
        <f t="shared" si="41"/>
        <v>238422.53</v>
      </c>
    </row>
    <row r="263" spans="1:17" s="428" customFormat="1" ht="12.75" x14ac:dyDescent="0.2">
      <c r="A263" s="513"/>
      <c r="B263" s="516"/>
      <c r="C263" s="528"/>
      <c r="D263" s="528"/>
      <c r="E263" s="528"/>
      <c r="F263" s="528"/>
      <c r="G263" s="528"/>
      <c r="H263" s="528"/>
      <c r="I263" s="528"/>
      <c r="J263" s="528"/>
      <c r="K263" s="528"/>
      <c r="L263" s="528"/>
      <c r="M263" s="528"/>
      <c r="N263" s="528"/>
      <c r="O263" s="528"/>
      <c r="P263" s="528"/>
      <c r="Q263" s="528"/>
    </row>
    <row r="264" spans="1:17" s="428" customFormat="1" ht="12.75" x14ac:dyDescent="0.2">
      <c r="A264" s="513"/>
      <c r="B264" s="516" t="s">
        <v>776</v>
      </c>
      <c r="C264" s="528"/>
      <c r="D264" s="528"/>
      <c r="E264" s="528"/>
      <c r="F264" s="528"/>
      <c r="G264" s="528"/>
      <c r="H264" s="528"/>
      <c r="I264" s="528"/>
      <c r="J264" s="528"/>
      <c r="K264" s="528"/>
      <c r="L264" s="528"/>
      <c r="M264" s="528"/>
      <c r="N264" s="528"/>
      <c r="O264" s="528"/>
      <c r="P264" s="528"/>
      <c r="Q264" s="528"/>
    </row>
    <row r="265" spans="1:17" s="428" customFormat="1" ht="12.75" x14ac:dyDescent="0.2">
      <c r="A265" s="513">
        <v>86100</v>
      </c>
      <c r="B265" s="516" t="s">
        <v>777</v>
      </c>
      <c r="C265" s="528"/>
      <c r="D265" s="528"/>
      <c r="E265" s="528"/>
      <c r="F265" s="528"/>
      <c r="G265" s="528"/>
      <c r="H265" s="528"/>
      <c r="I265" s="528"/>
      <c r="J265" s="528"/>
      <c r="K265" s="528"/>
      <c r="L265" s="528"/>
      <c r="M265" s="528"/>
      <c r="N265" s="528"/>
      <c r="O265" s="528"/>
      <c r="P265" s="528"/>
      <c r="Q265" s="528"/>
    </row>
    <row r="266" spans="1:17" s="545" customFormat="1" ht="12.75" x14ac:dyDescent="0.2">
      <c r="A266" s="513" t="s">
        <v>778</v>
      </c>
      <c r="B266" s="553" t="s">
        <v>779</v>
      </c>
      <c r="C266" s="530">
        <v>0</v>
      </c>
      <c r="D266" s="530">
        <v>0</v>
      </c>
      <c r="E266" s="530">
        <v>-179004</v>
      </c>
      <c r="F266" s="530">
        <v>0</v>
      </c>
      <c r="G266" s="530">
        <v>0</v>
      </c>
      <c r="H266" s="530">
        <v>0</v>
      </c>
      <c r="I266" s="530">
        <v>0</v>
      </c>
      <c r="J266" s="530">
        <v>0</v>
      </c>
      <c r="K266" s="530">
        <v>0</v>
      </c>
      <c r="L266" s="530">
        <v>0</v>
      </c>
      <c r="M266" s="530">
        <v>0</v>
      </c>
      <c r="N266" s="530">
        <v>0</v>
      </c>
      <c r="O266" s="530">
        <v>0</v>
      </c>
      <c r="P266" s="530">
        <v>0</v>
      </c>
      <c r="Q266" s="530">
        <f>SUM(C266:P266)</f>
        <v>-179004</v>
      </c>
    </row>
    <row r="267" spans="1:17" s="427" customFormat="1" x14ac:dyDescent="0.25">
      <c r="A267" s="513">
        <v>86300</v>
      </c>
      <c r="B267" s="537" t="s">
        <v>780</v>
      </c>
      <c r="C267" s="537">
        <f t="shared" ref="C267:Q267" si="42">SUM(C266)</f>
        <v>0</v>
      </c>
      <c r="D267" s="537">
        <f t="shared" si="42"/>
        <v>0</v>
      </c>
      <c r="E267" s="537">
        <f t="shared" si="42"/>
        <v>-179004</v>
      </c>
      <c r="F267" s="537">
        <f t="shared" si="42"/>
        <v>0</v>
      </c>
      <c r="G267" s="537">
        <f t="shared" si="42"/>
        <v>0</v>
      </c>
      <c r="H267" s="537">
        <f t="shared" si="42"/>
        <v>0</v>
      </c>
      <c r="I267" s="537">
        <f t="shared" si="42"/>
        <v>0</v>
      </c>
      <c r="J267" s="537">
        <f t="shared" si="42"/>
        <v>0</v>
      </c>
      <c r="K267" s="537">
        <f t="shared" si="42"/>
        <v>0</v>
      </c>
      <c r="L267" s="537">
        <f t="shared" si="42"/>
        <v>0</v>
      </c>
      <c r="M267" s="537">
        <f t="shared" si="42"/>
        <v>0</v>
      </c>
      <c r="N267" s="537">
        <f t="shared" si="42"/>
        <v>0</v>
      </c>
      <c r="O267" s="537">
        <f t="shared" si="42"/>
        <v>0</v>
      </c>
      <c r="P267" s="537">
        <f t="shared" si="42"/>
        <v>0</v>
      </c>
      <c r="Q267" s="537">
        <f t="shared" si="42"/>
        <v>-179004</v>
      </c>
    </row>
    <row r="268" spans="1:17" s="428" customFormat="1" ht="12.75" x14ac:dyDescent="0.2">
      <c r="A268" s="513"/>
      <c r="B268" s="565"/>
      <c r="C268" s="537"/>
      <c r="D268" s="537"/>
      <c r="E268" s="537"/>
      <c r="F268" s="537"/>
      <c r="G268" s="537"/>
      <c r="H268" s="537"/>
      <c r="I268" s="537"/>
      <c r="J268" s="537"/>
      <c r="K268" s="537"/>
      <c r="L268" s="537"/>
      <c r="M268" s="537"/>
      <c r="N268" s="537"/>
      <c r="O268" s="537"/>
      <c r="P268" s="537"/>
      <c r="Q268" s="537"/>
    </row>
    <row r="269" spans="1:17" s="428" customFormat="1" ht="12.75" x14ac:dyDescent="0.2">
      <c r="A269" s="513">
        <v>99999</v>
      </c>
      <c r="B269" s="565" t="s">
        <v>781</v>
      </c>
      <c r="C269" s="537">
        <f t="shared" ref="C269:Q269" si="43">-C262+C247-C267</f>
        <v>-471893.07</v>
      </c>
      <c r="D269" s="537">
        <f t="shared" si="43"/>
        <v>0</v>
      </c>
      <c r="E269" s="537">
        <f t="shared" si="43"/>
        <v>568481.16</v>
      </c>
      <c r="F269" s="537">
        <f t="shared" si="43"/>
        <v>-230750.15</v>
      </c>
      <c r="G269" s="537">
        <f t="shared" si="43"/>
        <v>-124619.16000000002</v>
      </c>
      <c r="H269" s="537">
        <f t="shared" si="43"/>
        <v>-57403.63</v>
      </c>
      <c r="I269" s="537">
        <f t="shared" si="43"/>
        <v>0</v>
      </c>
      <c r="J269" s="537">
        <f t="shared" si="43"/>
        <v>-119670.42</v>
      </c>
      <c r="K269" s="537">
        <f t="shared" si="43"/>
        <v>-23487</v>
      </c>
      <c r="L269" s="537">
        <f t="shared" si="43"/>
        <v>-206160.63999999996</v>
      </c>
      <c r="M269" s="537">
        <f t="shared" si="43"/>
        <v>-98616.189999999988</v>
      </c>
      <c r="N269" s="537">
        <f t="shared" si="43"/>
        <v>0</v>
      </c>
      <c r="O269" s="537">
        <f t="shared" si="43"/>
        <v>0</v>
      </c>
      <c r="P269" s="537">
        <f t="shared" si="43"/>
        <v>0</v>
      </c>
      <c r="Q269" s="537">
        <f t="shared" si="43"/>
        <v>-764119.09999999986</v>
      </c>
    </row>
    <row r="270" spans="1:17" s="428" customFormat="1" ht="12.75" x14ac:dyDescent="0.2">
      <c r="A270" s="513"/>
      <c r="B270" s="566" t="s">
        <v>128</v>
      </c>
      <c r="C270" s="544" t="str">
        <f t="shared" ref="C270:Q270" si="44">IF(ISERROR(C269/C23),"",(C269/C23))</f>
        <v/>
      </c>
      <c r="D270" s="544" t="str">
        <f t="shared" si="44"/>
        <v/>
      </c>
      <c r="E270" s="544" t="str">
        <f t="shared" si="44"/>
        <v/>
      </c>
      <c r="F270" s="544" t="str">
        <f t="shared" si="44"/>
        <v/>
      </c>
      <c r="G270" s="544" t="str">
        <f t="shared" si="44"/>
        <v/>
      </c>
      <c r="H270" s="544" t="str">
        <f t="shared" si="44"/>
        <v/>
      </c>
      <c r="I270" s="544" t="str">
        <f t="shared" si="44"/>
        <v/>
      </c>
      <c r="J270" s="544" t="str">
        <f t="shared" si="44"/>
        <v/>
      </c>
      <c r="K270" s="544" t="str">
        <f t="shared" si="44"/>
        <v/>
      </c>
      <c r="L270" s="544" t="str">
        <f t="shared" si="44"/>
        <v/>
      </c>
      <c r="M270" s="544" t="str">
        <f t="shared" si="44"/>
        <v/>
      </c>
      <c r="N270" s="544" t="str">
        <f t="shared" si="44"/>
        <v/>
      </c>
      <c r="O270" s="544" t="str">
        <f t="shared" si="44"/>
        <v/>
      </c>
      <c r="P270" s="544" t="str">
        <f t="shared" si="44"/>
        <v/>
      </c>
      <c r="Q270" s="544" t="str">
        <f t="shared" si="44"/>
        <v/>
      </c>
    </row>
    <row r="271" spans="1:17" s="428" customFormat="1" ht="12.75" x14ac:dyDescent="0.2">
      <c r="A271" s="513">
        <v>99999</v>
      </c>
      <c r="B271" s="581" t="s">
        <v>96</v>
      </c>
      <c r="C271" s="568">
        <v>0</v>
      </c>
      <c r="D271" s="568">
        <v>0</v>
      </c>
      <c r="E271" s="568">
        <v>0</v>
      </c>
      <c r="F271" s="568">
        <v>0</v>
      </c>
      <c r="G271" s="568">
        <v>0</v>
      </c>
      <c r="H271" s="568">
        <v>0</v>
      </c>
      <c r="I271" s="568">
        <v>0</v>
      </c>
      <c r="J271" s="568">
        <v>0</v>
      </c>
      <c r="K271" s="568">
        <v>0</v>
      </c>
      <c r="L271" s="568">
        <v>0</v>
      </c>
      <c r="M271" s="568">
        <v>0</v>
      </c>
      <c r="N271" s="568">
        <v>0</v>
      </c>
      <c r="O271" s="568">
        <v>0</v>
      </c>
      <c r="P271" s="568">
        <v>0</v>
      </c>
      <c r="Q271" s="568">
        <v>0</v>
      </c>
    </row>
    <row r="272" spans="1:17" s="428" customFormat="1" x14ac:dyDescent="0.25">
      <c r="A272" s="513"/>
      <c r="B272" s="569"/>
      <c r="C272" s="563"/>
      <c r="D272" s="563"/>
      <c r="E272" s="563"/>
      <c r="F272" s="563"/>
      <c r="G272" s="563"/>
      <c r="H272" s="563"/>
      <c r="I272" s="563"/>
      <c r="J272" s="563"/>
      <c r="K272" s="563"/>
      <c r="L272" s="563"/>
      <c r="M272" s="563"/>
      <c r="N272" s="563"/>
      <c r="O272" s="563"/>
      <c r="P272" s="563"/>
      <c r="Q272" s="563"/>
    </row>
    <row r="273" spans="1:18" s="428" customFormat="1" x14ac:dyDescent="0.25">
      <c r="A273" s="513"/>
      <c r="B273" s="516" t="s">
        <v>786</v>
      </c>
      <c r="C273" s="427"/>
      <c r="D273" s="427"/>
      <c r="E273" s="427">
        <f>69885.31-E103</f>
        <v>2228.3099999999977</v>
      </c>
      <c r="F273" s="1239">
        <f>-F269</f>
        <v>230750.15</v>
      </c>
      <c r="G273" s="427">
        <f>124619.16-G199</f>
        <v>13861.590000000011</v>
      </c>
      <c r="H273" s="1239">
        <f>-H269</f>
        <v>57403.63</v>
      </c>
      <c r="I273" s="427"/>
      <c r="J273" s="427"/>
      <c r="K273" s="1239">
        <f>-K269</f>
        <v>23487</v>
      </c>
      <c r="L273" s="427"/>
      <c r="M273" s="1239">
        <f>-M269</f>
        <v>98616.189999999988</v>
      </c>
      <c r="N273" s="427"/>
      <c r="O273" s="427"/>
      <c r="P273" s="427"/>
      <c r="Q273" s="427">
        <f>SUM(C273:P273)</f>
        <v>426346.87</v>
      </c>
      <c r="R273" s="560"/>
    </row>
    <row r="274" spans="1:18" s="428" customFormat="1" ht="15.75" thickBot="1" x14ac:dyDescent="0.3">
      <c r="A274" s="513"/>
      <c r="B274" s="516" t="s">
        <v>787</v>
      </c>
      <c r="C274" s="427"/>
      <c r="D274" s="427"/>
      <c r="E274" s="427"/>
      <c r="F274" s="427"/>
      <c r="G274" s="427"/>
      <c r="H274" s="427"/>
      <c r="I274" s="427"/>
      <c r="J274" s="427"/>
      <c r="K274" s="427"/>
      <c r="L274" s="427"/>
      <c r="M274" s="427"/>
      <c r="N274" s="427"/>
      <c r="O274" s="427"/>
      <c r="P274" s="427"/>
      <c r="Q274" s="427">
        <f>SUM(C274:P274)</f>
        <v>0</v>
      </c>
    </row>
    <row r="275" spans="1:18" s="428" customFormat="1" ht="15.75" thickBot="1" x14ac:dyDescent="0.3">
      <c r="A275" s="513"/>
      <c r="B275" s="582" t="s">
        <v>788</v>
      </c>
      <c r="C275" s="571">
        <f t="shared" ref="C275:Q275" si="45">C247+C211+C196+C273+C274</f>
        <v>-471893.07</v>
      </c>
      <c r="D275" s="571">
        <f t="shared" si="45"/>
        <v>0</v>
      </c>
      <c r="E275" s="571">
        <f>E247+E211+E196+E273+E274</f>
        <v>-67656.999999999942</v>
      </c>
      <c r="F275" s="571">
        <f t="shared" si="45"/>
        <v>0</v>
      </c>
      <c r="G275" s="571">
        <f t="shared" si="45"/>
        <v>-110757.57</v>
      </c>
      <c r="H275" s="571">
        <f t="shared" si="45"/>
        <v>0</v>
      </c>
      <c r="I275" s="571">
        <f t="shared" si="45"/>
        <v>0</v>
      </c>
      <c r="J275" s="571">
        <f t="shared" si="45"/>
        <v>-119670.42</v>
      </c>
      <c r="K275" s="571">
        <f t="shared" si="45"/>
        <v>0</v>
      </c>
      <c r="L275" s="571">
        <f t="shared" si="45"/>
        <v>-206160.63999999996</v>
      </c>
      <c r="M275" s="571">
        <f t="shared" si="45"/>
        <v>0</v>
      </c>
      <c r="N275" s="571">
        <f t="shared" si="45"/>
        <v>0</v>
      </c>
      <c r="O275" s="571">
        <f t="shared" si="45"/>
        <v>0</v>
      </c>
      <c r="P275" s="571">
        <f t="shared" si="45"/>
        <v>0</v>
      </c>
      <c r="Q275" s="571">
        <f t="shared" si="45"/>
        <v>-976138.69999999984</v>
      </c>
    </row>
    <row r="276" spans="1:18" s="428" customFormat="1" x14ac:dyDescent="0.25">
      <c r="A276" s="513"/>
      <c r="B276" s="413"/>
      <c r="C276" s="427"/>
      <c r="D276" s="427"/>
      <c r="E276" s="427"/>
      <c r="F276" s="427"/>
      <c r="G276" s="427"/>
      <c r="H276" s="427"/>
      <c r="I276" s="427"/>
      <c r="J276" s="427"/>
      <c r="K276" s="427"/>
      <c r="L276" s="427"/>
      <c r="M276" s="427"/>
      <c r="N276" s="427"/>
      <c r="O276" s="427"/>
      <c r="P276" s="427"/>
      <c r="Q276" s="427"/>
    </row>
    <row r="277" spans="1:18" s="428" customFormat="1" x14ac:dyDescent="0.25">
      <c r="A277" s="513"/>
      <c r="B277" s="413"/>
      <c r="C277" s="427"/>
      <c r="D277" s="427"/>
      <c r="E277" s="427"/>
      <c r="F277" s="427"/>
      <c r="G277" s="427"/>
      <c r="H277" s="427"/>
      <c r="I277" s="427"/>
      <c r="J277" s="427"/>
      <c r="K277" s="427"/>
      <c r="L277" s="427"/>
      <c r="M277" s="427"/>
      <c r="N277" s="427"/>
      <c r="O277" s="427"/>
      <c r="P277" s="427"/>
      <c r="Q277" s="427">
        <f>Q275+'RU Summary Q4 2019'!F35</f>
        <v>0</v>
      </c>
      <c r="R277" s="427" t="s">
        <v>118</v>
      </c>
    </row>
    <row r="278" spans="1:18" s="428" customFormat="1" x14ac:dyDescent="0.25">
      <c r="A278" s="513"/>
      <c r="B278" s="413"/>
      <c r="C278" s="427"/>
      <c r="D278" s="427"/>
      <c r="E278" s="427"/>
      <c r="F278" s="427"/>
      <c r="G278" s="427"/>
      <c r="H278" s="427"/>
      <c r="I278" s="427"/>
      <c r="J278" s="427"/>
      <c r="K278" s="427"/>
      <c r="L278" s="427"/>
      <c r="M278" s="427"/>
      <c r="N278" s="427"/>
      <c r="O278" s="427"/>
      <c r="P278" s="427"/>
      <c r="Q278" s="427"/>
      <c r="R278" s="427"/>
    </row>
    <row r="279" spans="1:18" s="428" customFormat="1" x14ac:dyDescent="0.25">
      <c r="A279" s="513"/>
      <c r="B279" s="413"/>
      <c r="C279" s="427"/>
      <c r="D279" s="427"/>
      <c r="E279" s="427"/>
      <c r="F279" s="427"/>
      <c r="G279" s="427"/>
      <c r="H279" s="427"/>
      <c r="I279" s="427"/>
      <c r="J279" s="427"/>
      <c r="K279" s="427"/>
      <c r="L279" s="427"/>
      <c r="M279" s="427"/>
      <c r="N279" s="427"/>
      <c r="O279" s="427"/>
      <c r="P279" s="427"/>
      <c r="Q279" s="427"/>
      <c r="R279" s="427"/>
    </row>
    <row r="280" spans="1:18" s="428" customFormat="1" x14ac:dyDescent="0.25">
      <c r="A280" s="513"/>
      <c r="B280" s="413"/>
      <c r="C280" s="427"/>
      <c r="D280" s="427"/>
      <c r="E280" s="427"/>
      <c r="F280" s="427"/>
      <c r="G280" s="427"/>
      <c r="H280" s="427"/>
      <c r="I280" s="427"/>
      <c r="J280" s="427"/>
      <c r="K280" s="427"/>
      <c r="L280" s="427"/>
      <c r="M280" s="427"/>
      <c r="N280" s="427"/>
      <c r="O280" s="427"/>
      <c r="P280" s="427"/>
      <c r="Q280" s="427"/>
      <c r="R280" s="427"/>
    </row>
    <row r="281" spans="1:18" s="428" customFormat="1" x14ac:dyDescent="0.25">
      <c r="A281" s="513"/>
      <c r="B281" s="413"/>
      <c r="C281" s="427"/>
      <c r="D281" s="427"/>
      <c r="E281" s="427"/>
      <c r="F281" s="427"/>
      <c r="G281" s="427"/>
      <c r="H281" s="427"/>
      <c r="I281" s="427"/>
      <c r="J281" s="427"/>
      <c r="K281" s="427"/>
      <c r="L281" s="427"/>
      <c r="M281" s="427"/>
      <c r="N281" s="427"/>
      <c r="O281" s="427"/>
      <c r="P281" s="427"/>
      <c r="Q281" s="427"/>
      <c r="R281" s="427"/>
    </row>
    <row r="282" spans="1:18" s="428" customFormat="1" x14ac:dyDescent="0.25">
      <c r="A282" s="513"/>
      <c r="B282" s="413"/>
      <c r="C282" s="427"/>
      <c r="D282" s="427"/>
      <c r="E282" s="427"/>
      <c r="F282" s="427"/>
      <c r="G282" s="427"/>
      <c r="H282" s="427"/>
      <c r="I282" s="427"/>
      <c r="J282" s="427"/>
      <c r="K282" s="427"/>
      <c r="L282" s="427"/>
      <c r="M282" s="427"/>
      <c r="N282" s="427"/>
      <c r="O282" s="427"/>
      <c r="P282" s="427"/>
      <c r="Q282" s="427"/>
      <c r="R282" s="427"/>
    </row>
    <row r="283" spans="1:18" s="428" customFormat="1" x14ac:dyDescent="0.25">
      <c r="A283" s="513"/>
      <c r="B283" s="413"/>
      <c r="C283" s="427"/>
      <c r="D283" s="427"/>
      <c r="E283" s="427"/>
      <c r="F283" s="427"/>
      <c r="G283" s="427"/>
      <c r="H283" s="427"/>
      <c r="I283" s="427"/>
      <c r="J283" s="427"/>
      <c r="K283" s="427"/>
      <c r="L283" s="427"/>
      <c r="M283" s="427"/>
      <c r="N283" s="427"/>
      <c r="O283" s="427"/>
      <c r="P283" s="427"/>
      <c r="Q283" s="427"/>
      <c r="R283" s="427"/>
    </row>
    <row r="284" spans="1:18" s="428" customFormat="1" x14ac:dyDescent="0.25">
      <c r="A284" s="513"/>
      <c r="B284" s="413"/>
      <c r="C284" s="427"/>
      <c r="D284" s="427"/>
      <c r="E284" s="427"/>
      <c r="F284" s="427"/>
      <c r="G284" s="427"/>
      <c r="H284" s="427"/>
      <c r="I284" s="427"/>
      <c r="J284" s="427"/>
      <c r="K284" s="427"/>
      <c r="L284" s="427"/>
      <c r="M284" s="427"/>
      <c r="N284" s="427"/>
      <c r="O284" s="427"/>
      <c r="P284" s="427"/>
      <c r="Q284" s="427"/>
      <c r="R284" s="427"/>
    </row>
    <row r="285" spans="1:18" s="428" customFormat="1" x14ac:dyDescent="0.25">
      <c r="A285" s="513"/>
      <c r="B285" s="413"/>
      <c r="C285" s="427"/>
      <c r="D285" s="427"/>
      <c r="E285" s="427"/>
      <c r="F285" s="427"/>
      <c r="G285" s="427"/>
      <c r="H285" s="427"/>
      <c r="I285" s="427"/>
      <c r="J285" s="427"/>
      <c r="K285" s="427"/>
      <c r="L285" s="427"/>
      <c r="M285" s="427"/>
      <c r="N285" s="427"/>
      <c r="O285" s="427"/>
      <c r="P285" s="427"/>
      <c r="Q285" s="427"/>
      <c r="R285" s="427"/>
    </row>
    <row r="286" spans="1:18" s="428" customFormat="1" x14ac:dyDescent="0.25">
      <c r="A286" s="513"/>
      <c r="B286" s="413"/>
      <c r="C286" s="427"/>
      <c r="D286" s="427"/>
      <c r="E286" s="427"/>
      <c r="F286" s="427"/>
      <c r="G286" s="427"/>
      <c r="H286" s="427"/>
      <c r="I286" s="427"/>
      <c r="J286" s="427"/>
      <c r="K286" s="427"/>
      <c r="L286" s="427"/>
      <c r="M286" s="427"/>
      <c r="N286" s="427"/>
      <c r="O286" s="427"/>
      <c r="P286" s="427"/>
      <c r="Q286" s="427"/>
      <c r="R286" s="427"/>
    </row>
    <row r="287" spans="1:18" s="428" customFormat="1" x14ac:dyDescent="0.25">
      <c r="A287" s="513"/>
      <c r="B287" s="413"/>
      <c r="C287" s="427"/>
      <c r="D287" s="427"/>
      <c r="E287" s="427"/>
      <c r="F287" s="427"/>
      <c r="G287" s="427"/>
      <c r="H287" s="427"/>
      <c r="I287" s="427"/>
      <c r="J287" s="427"/>
      <c r="K287" s="427"/>
      <c r="L287" s="427"/>
      <c r="M287" s="427"/>
      <c r="N287" s="427"/>
      <c r="O287" s="427"/>
      <c r="P287" s="427"/>
      <c r="Q287" s="427"/>
      <c r="R287" s="427"/>
    </row>
    <row r="288" spans="1:18" s="428" customFormat="1" x14ac:dyDescent="0.25">
      <c r="A288" s="513"/>
      <c r="B288" s="413"/>
      <c r="C288" s="427"/>
      <c r="D288" s="427"/>
      <c r="E288" s="427"/>
      <c r="F288" s="427"/>
      <c r="G288" s="427"/>
      <c r="H288" s="427"/>
      <c r="I288" s="427"/>
      <c r="J288" s="427"/>
      <c r="K288" s="427"/>
      <c r="L288" s="427"/>
      <c r="M288" s="427"/>
      <c r="N288" s="427"/>
      <c r="O288" s="427"/>
      <c r="P288" s="427"/>
      <c r="Q288" s="427"/>
      <c r="R288" s="427"/>
    </row>
  </sheetData>
  <pageMargins left="0.75" right="0.75" top="1" bottom="1" header="0.5" footer="0.5"/>
  <pageSetup orientation="landscape" r:id="rId1"/>
  <headerFooter alignWithMargins="0">
    <oddHeader>&amp;R&amp;D
akim
Page &amp;P</oddHead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73"/>
  <sheetViews>
    <sheetView zoomScale="90" zoomScaleNormal="90" workbookViewId="0">
      <pane xSplit="1" ySplit="3" topLeftCell="B4" activePane="bottomRight" state="frozen"/>
      <selection activeCell="O29" sqref="O29"/>
      <selection pane="topRight" activeCell="O29" sqref="O29"/>
      <selection pane="bottomLeft" activeCell="O29" sqref="O29"/>
      <selection pane="bottomRight" activeCell="K40" sqref="K40"/>
    </sheetView>
  </sheetViews>
  <sheetFormatPr defaultColWidth="9" defaultRowHeight="12.75" x14ac:dyDescent="0.2"/>
  <cols>
    <col min="1" max="1" width="36.140625" style="593" bestFit="1" customWidth="1"/>
    <col min="2" max="3" width="15.42578125" style="593" customWidth="1"/>
    <col min="4" max="4" width="13.42578125" style="593" bestFit="1" customWidth="1"/>
    <col min="5" max="6" width="13.42578125" style="593" customWidth="1"/>
    <col min="7" max="7" width="13.5703125" style="593" bestFit="1" customWidth="1"/>
    <col min="8" max="8" width="11.85546875" style="593" bestFit="1" customWidth="1"/>
    <col min="9" max="9" width="14.42578125" style="593" bestFit="1" customWidth="1"/>
    <col min="10" max="10" width="11.28515625" style="593" customWidth="1"/>
    <col min="11" max="11" width="9" style="593"/>
    <col min="12" max="12" width="13.28515625" style="593" bestFit="1" customWidth="1"/>
    <col min="13" max="16384" width="9" style="593"/>
  </cols>
  <sheetData>
    <row r="1" spans="1:11" ht="20.100000000000001" customHeight="1" x14ac:dyDescent="0.2">
      <c r="A1" s="589" t="s">
        <v>809</v>
      </c>
      <c r="B1" s="590"/>
      <c r="C1" s="590"/>
      <c r="D1" s="590"/>
      <c r="E1" s="590"/>
      <c r="F1" s="590"/>
      <c r="G1" s="590"/>
      <c r="H1" s="591" t="s">
        <v>810</v>
      </c>
      <c r="I1" s="592">
        <v>1.32683</v>
      </c>
      <c r="J1" s="590"/>
    </row>
    <row r="2" spans="1:11" ht="15" x14ac:dyDescent="0.2">
      <c r="A2" s="594"/>
    </row>
    <row r="3" spans="1:11" ht="15" x14ac:dyDescent="0.2">
      <c r="A3" s="594"/>
    </row>
    <row r="4" spans="1:11" x14ac:dyDescent="0.2">
      <c r="D4" s="595" t="s">
        <v>424</v>
      </c>
      <c r="I4" s="595" t="s">
        <v>425</v>
      </c>
      <c r="J4" s="596" t="s">
        <v>811</v>
      </c>
    </row>
    <row r="5" spans="1:11" x14ac:dyDescent="0.2">
      <c r="A5" s="595" t="s">
        <v>812</v>
      </c>
      <c r="B5" s="597" t="s">
        <v>813</v>
      </c>
      <c r="C5" s="1347" t="s">
        <v>814</v>
      </c>
      <c r="D5" s="1347"/>
      <c r="E5" s="1347"/>
      <c r="F5" s="1347"/>
      <c r="G5" s="1347"/>
      <c r="H5" s="1347"/>
      <c r="I5" s="1347"/>
      <c r="J5" s="598" t="s">
        <v>182</v>
      </c>
    </row>
    <row r="6" spans="1:11" x14ac:dyDescent="0.2">
      <c r="B6" s="598" t="s">
        <v>815</v>
      </c>
      <c r="C6" s="598"/>
      <c r="D6" s="1348" t="s">
        <v>0</v>
      </c>
      <c r="E6" s="1348"/>
      <c r="F6" s="1348"/>
      <c r="G6" s="598"/>
      <c r="H6" s="598"/>
      <c r="I6" s="598"/>
      <c r="J6" s="598" t="s">
        <v>816</v>
      </c>
    </row>
    <row r="7" spans="1:11" x14ac:dyDescent="0.2">
      <c r="A7" s="598" t="s">
        <v>817</v>
      </c>
      <c r="B7" s="599" t="s">
        <v>818</v>
      </c>
      <c r="C7" s="599" t="s">
        <v>181</v>
      </c>
      <c r="D7" s="599" t="s">
        <v>819</v>
      </c>
      <c r="E7" s="599" t="s">
        <v>334</v>
      </c>
      <c r="F7" s="599" t="s">
        <v>820</v>
      </c>
      <c r="G7" s="599" t="s">
        <v>821</v>
      </c>
      <c r="H7" s="599" t="s">
        <v>2</v>
      </c>
      <c r="I7" s="599" t="s">
        <v>3</v>
      </c>
      <c r="J7" s="599" t="s">
        <v>3</v>
      </c>
    </row>
    <row r="8" spans="1:11" s="600" customFormat="1" x14ac:dyDescent="0.2">
      <c r="A8" s="600" t="s">
        <v>822</v>
      </c>
      <c r="B8" s="601">
        <f>'Cost Allocation - Tier 1'!D5</f>
        <v>1385820</v>
      </c>
      <c r="C8" s="601">
        <f>C32*$I$1</f>
        <v>310851.26402613375</v>
      </c>
      <c r="D8" s="601">
        <f>D32*$I$1</f>
        <v>720936.04960244545</v>
      </c>
      <c r="E8" s="601">
        <f>E32*$I$1</f>
        <v>137096.48936171739</v>
      </c>
      <c r="F8" s="601">
        <f>E8+D8</f>
        <v>858032.53896416281</v>
      </c>
      <c r="G8" s="601">
        <f>G32*$I$1</f>
        <v>216936.19700970352</v>
      </c>
      <c r="H8" s="601">
        <f>H32*$I$1</f>
        <v>0</v>
      </c>
      <c r="I8" s="601">
        <f t="shared" ref="I8:I25" si="0">C8+F8+G8+H8</f>
        <v>1385820.0000000002</v>
      </c>
      <c r="K8" s="602">
        <f>I8-B8</f>
        <v>0</v>
      </c>
    </row>
    <row r="9" spans="1:11" s="600" customFormat="1" x14ac:dyDescent="0.2">
      <c r="A9" s="600" t="s">
        <v>823</v>
      </c>
      <c r="B9" s="601">
        <f>'Cost Allocation - Tier 1'!D6</f>
        <v>626121.78918999992</v>
      </c>
      <c r="C9" s="601">
        <f t="shared" ref="C9:E24" si="1">C33*$I$1</f>
        <v>140444.46580653763</v>
      </c>
      <c r="D9" s="601">
        <f t="shared" si="1"/>
        <v>325723.23192669591</v>
      </c>
      <c r="E9" s="601">
        <f t="shared" si="1"/>
        <v>61941.016301414544</v>
      </c>
      <c r="F9" s="601">
        <f t="shared" ref="F9:F25" si="2">E9+D9</f>
        <v>387664.24822811043</v>
      </c>
      <c r="G9" s="601">
        <f t="shared" ref="G9:H24" si="3">G33*$I$1</f>
        <v>98013.075155351995</v>
      </c>
      <c r="H9" s="601">
        <f t="shared" si="3"/>
        <v>0</v>
      </c>
      <c r="I9" s="601">
        <f t="shared" si="0"/>
        <v>626121.78919000004</v>
      </c>
      <c r="K9" s="602">
        <f t="shared" ref="K9:K26" si="4">I9-B9</f>
        <v>0</v>
      </c>
    </row>
    <row r="10" spans="1:11" s="600" customFormat="1" x14ac:dyDescent="0.2">
      <c r="A10" s="600" t="s">
        <v>470</v>
      </c>
      <c r="B10" s="601">
        <f>'Cost Allocation - Tier 1'!D7</f>
        <v>375022</v>
      </c>
      <c r="C10" s="601">
        <f t="shared" si="1"/>
        <v>84120.638133097178</v>
      </c>
      <c r="D10" s="601">
        <f t="shared" si="1"/>
        <v>195095.23545194062</v>
      </c>
      <c r="E10" s="601">
        <f t="shared" si="1"/>
        <v>37100.20033872364</v>
      </c>
      <c r="F10" s="601">
        <f t="shared" si="2"/>
        <v>232195.43579066425</v>
      </c>
      <c r="G10" s="601">
        <f t="shared" si="3"/>
        <v>58705.926076238648</v>
      </c>
      <c r="H10" s="601">
        <f t="shared" si="3"/>
        <v>0</v>
      </c>
      <c r="I10" s="601">
        <f t="shared" si="0"/>
        <v>375022.00000000006</v>
      </c>
      <c r="J10" s="603">
        <f t="shared" ref="J10:J23" si="5">D10/B10</f>
        <v>0.52022344142994448</v>
      </c>
      <c r="K10" s="602">
        <f t="shared" si="4"/>
        <v>0</v>
      </c>
    </row>
    <row r="11" spans="1:11" s="600" customFormat="1" x14ac:dyDescent="0.2">
      <c r="A11" s="600" t="s">
        <v>824</v>
      </c>
      <c r="B11" s="601">
        <f>'Cost Allocation - Tier 1'!D8</f>
        <v>4493149.1499999994</v>
      </c>
      <c r="C11" s="601">
        <f t="shared" si="1"/>
        <v>987694.7012460056</v>
      </c>
      <c r="D11" s="601">
        <f t="shared" si="1"/>
        <v>2290692.6833976088</v>
      </c>
      <c r="E11" s="601">
        <f t="shared" si="1"/>
        <v>435608.5748154255</v>
      </c>
      <c r="F11" s="601">
        <f t="shared" si="2"/>
        <v>2726301.2582130344</v>
      </c>
      <c r="G11" s="601">
        <f t="shared" si="3"/>
        <v>689290.20754096075</v>
      </c>
      <c r="H11" s="601">
        <f t="shared" si="3"/>
        <v>89862.982999999993</v>
      </c>
      <c r="I11" s="601">
        <f t="shared" si="0"/>
        <v>4493149.1500000004</v>
      </c>
      <c r="J11" s="603">
        <f t="shared" si="5"/>
        <v>0.50981897260134557</v>
      </c>
      <c r="K11" s="602">
        <f t="shared" si="4"/>
        <v>0</v>
      </c>
    </row>
    <row r="12" spans="1:11" s="600" customFormat="1" x14ac:dyDescent="0.2">
      <c r="A12" s="600" t="s">
        <v>825</v>
      </c>
      <c r="B12" s="601">
        <f>'Cost Allocation - Tier 1'!D9</f>
        <v>395345.75555555557</v>
      </c>
      <c r="C12" s="601">
        <f t="shared" si="1"/>
        <v>88679.430114885996</v>
      </c>
      <c r="D12" s="601">
        <f t="shared" si="1"/>
        <v>205668.12950983265</v>
      </c>
      <c r="E12" s="601">
        <f t="shared" si="1"/>
        <v>39110.790124779815</v>
      </c>
      <c r="F12" s="601">
        <f t="shared" si="2"/>
        <v>244778.91963461245</v>
      </c>
      <c r="G12" s="601">
        <f t="shared" si="3"/>
        <v>61887.405806057133</v>
      </c>
      <c r="H12" s="601">
        <f t="shared" si="3"/>
        <v>0</v>
      </c>
      <c r="I12" s="601">
        <f t="shared" si="0"/>
        <v>395345.75555555557</v>
      </c>
      <c r="J12" s="603">
        <f t="shared" si="5"/>
        <v>0.52022344142994437</v>
      </c>
      <c r="K12" s="602">
        <f t="shared" si="4"/>
        <v>0</v>
      </c>
    </row>
    <row r="13" spans="1:11" s="600" customFormat="1" x14ac:dyDescent="0.2">
      <c r="A13" s="600" t="s">
        <v>826</v>
      </c>
      <c r="B13" s="601">
        <f>'Cost Allocation - Tier 1'!D10</f>
        <v>89769.337310000003</v>
      </c>
      <c r="C13" s="601">
        <f t="shared" si="1"/>
        <v>52889.224533809087</v>
      </c>
      <c r="D13" s="601">
        <f t="shared" si="1"/>
        <v>0</v>
      </c>
      <c r="E13" s="601">
        <f t="shared" si="1"/>
        <v>0</v>
      </c>
      <c r="F13" s="601">
        <f t="shared" si="2"/>
        <v>0</v>
      </c>
      <c r="G13" s="601">
        <f t="shared" si="3"/>
        <v>36880.112776190923</v>
      </c>
      <c r="H13" s="601">
        <f t="shared" si="3"/>
        <v>0</v>
      </c>
      <c r="I13" s="601">
        <f t="shared" si="0"/>
        <v>89769.337310000003</v>
      </c>
      <c r="J13" s="603">
        <f t="shared" si="5"/>
        <v>0</v>
      </c>
      <c r="K13" s="602">
        <f t="shared" si="4"/>
        <v>0</v>
      </c>
    </row>
    <row r="14" spans="1:11" s="600" customFormat="1" x14ac:dyDescent="0.2">
      <c r="A14" s="600" t="s">
        <v>473</v>
      </c>
      <c r="B14" s="601">
        <f>'Cost Allocation - Tier 1'!D11</f>
        <v>3600346</v>
      </c>
      <c r="C14" s="601">
        <f t="shared" si="1"/>
        <v>791436.59561184421</v>
      </c>
      <c r="D14" s="601">
        <f t="shared" si="1"/>
        <v>1835524.6987293635</v>
      </c>
      <c r="E14" s="601">
        <f t="shared" si="1"/>
        <v>349051.75357965089</v>
      </c>
      <c r="F14" s="601">
        <f t="shared" si="2"/>
        <v>2184576.4523090143</v>
      </c>
      <c r="G14" s="601">
        <f t="shared" si="3"/>
        <v>552326.0320791417</v>
      </c>
      <c r="H14" s="601">
        <f t="shared" si="3"/>
        <v>72006.920000000013</v>
      </c>
      <c r="I14" s="601">
        <f t="shared" si="0"/>
        <v>3600346</v>
      </c>
      <c r="J14" s="603">
        <f t="shared" si="5"/>
        <v>0.50981897260134534</v>
      </c>
      <c r="K14" s="602">
        <f t="shared" si="4"/>
        <v>0</v>
      </c>
    </row>
    <row r="15" spans="1:11" s="600" customFormat="1" x14ac:dyDescent="0.2">
      <c r="A15" s="600" t="s">
        <v>474</v>
      </c>
      <c r="B15" s="601">
        <f>'Cost Allocation - Tier 1'!D12</f>
        <v>1603845</v>
      </c>
      <c r="C15" s="601">
        <f t="shared" si="1"/>
        <v>359756.1339510142</v>
      </c>
      <c r="D15" s="601">
        <f t="shared" si="1"/>
        <v>834357.76542020915</v>
      </c>
      <c r="E15" s="601">
        <f t="shared" si="1"/>
        <v>158665.28046957302</v>
      </c>
      <c r="F15" s="601">
        <f t="shared" si="2"/>
        <v>993023.04588978214</v>
      </c>
      <c r="G15" s="601">
        <f t="shared" si="3"/>
        <v>251065.8201592039</v>
      </c>
      <c r="H15" s="601">
        <f t="shared" si="3"/>
        <v>0</v>
      </c>
      <c r="I15" s="601">
        <f t="shared" si="0"/>
        <v>1603845.0000000002</v>
      </c>
      <c r="J15" s="603">
        <f t="shared" si="5"/>
        <v>0.52022344142994437</v>
      </c>
      <c r="K15" s="602">
        <f t="shared" si="4"/>
        <v>0</v>
      </c>
    </row>
    <row r="16" spans="1:11" s="600" customFormat="1" x14ac:dyDescent="0.2">
      <c r="A16" s="600" t="s">
        <v>475</v>
      </c>
      <c r="B16" s="601">
        <f>'Cost Allocation - Tier 1'!D13</f>
        <v>1153459</v>
      </c>
      <c r="C16" s="601">
        <f t="shared" si="1"/>
        <v>258730.70683950314</v>
      </c>
      <c r="D16" s="601">
        <f t="shared" si="1"/>
        <v>600056.41052834212</v>
      </c>
      <c r="E16" s="601">
        <f t="shared" si="1"/>
        <v>114109.46553136571</v>
      </c>
      <c r="F16" s="601">
        <f t="shared" si="2"/>
        <v>714165.87605970784</v>
      </c>
      <c r="G16" s="601">
        <f t="shared" si="3"/>
        <v>180562.41710078914</v>
      </c>
      <c r="H16" s="601">
        <f t="shared" si="3"/>
        <v>0</v>
      </c>
      <c r="I16" s="601">
        <f t="shared" si="0"/>
        <v>1153459</v>
      </c>
      <c r="J16" s="603">
        <f t="shared" si="5"/>
        <v>0.52022344142994426</v>
      </c>
      <c r="K16" s="602">
        <f t="shared" si="4"/>
        <v>0</v>
      </c>
    </row>
    <row r="17" spans="1:12" s="600" customFormat="1" x14ac:dyDescent="0.2">
      <c r="A17" s="600" t="s">
        <v>827</v>
      </c>
      <c r="B17" s="601">
        <f>'Cost Allocation - Tier 1'!D14</f>
        <v>158781.74609999999</v>
      </c>
      <c r="C17" s="601">
        <f t="shared" si="1"/>
        <v>77973.178888392853</v>
      </c>
      <c r="D17" s="601">
        <f t="shared" si="1"/>
        <v>0</v>
      </c>
      <c r="E17" s="601">
        <f t="shared" si="1"/>
        <v>0</v>
      </c>
      <c r="F17" s="601">
        <f t="shared" si="2"/>
        <v>0</v>
      </c>
      <c r="G17" s="601">
        <f t="shared" si="3"/>
        <v>80808.567211607136</v>
      </c>
      <c r="H17" s="601">
        <f t="shared" si="3"/>
        <v>0</v>
      </c>
      <c r="I17" s="601">
        <f t="shared" si="0"/>
        <v>158781.74609999999</v>
      </c>
      <c r="J17" s="603">
        <f t="shared" si="5"/>
        <v>0</v>
      </c>
      <c r="K17" s="602">
        <f t="shared" si="4"/>
        <v>0</v>
      </c>
    </row>
    <row r="18" spans="1:12" s="600" customFormat="1" x14ac:dyDescent="0.2">
      <c r="A18" s="600" t="s">
        <v>476</v>
      </c>
      <c r="B18" s="601">
        <f>'Cost Allocation - Tier 1'!D15</f>
        <v>881802</v>
      </c>
      <c r="C18" s="601">
        <f t="shared" si="1"/>
        <v>197795.72117646792</v>
      </c>
      <c r="D18" s="601">
        <f t="shared" si="1"/>
        <v>458734.07109980774</v>
      </c>
      <c r="E18" s="601">
        <f t="shared" si="1"/>
        <v>87234.964506314776</v>
      </c>
      <c r="F18" s="601">
        <f t="shared" si="2"/>
        <v>545969.03560612258</v>
      </c>
      <c r="G18" s="601">
        <f t="shared" si="3"/>
        <v>138037.24321740962</v>
      </c>
      <c r="H18" s="601">
        <f t="shared" si="3"/>
        <v>0</v>
      </c>
      <c r="I18" s="601">
        <f t="shared" si="0"/>
        <v>881802.00000000012</v>
      </c>
      <c r="J18" s="603">
        <f t="shared" si="5"/>
        <v>0.52022344142994426</v>
      </c>
      <c r="K18" s="602">
        <f t="shared" si="4"/>
        <v>0</v>
      </c>
    </row>
    <row r="19" spans="1:12" s="600" customFormat="1" x14ac:dyDescent="0.2">
      <c r="A19" s="600" t="s">
        <v>477</v>
      </c>
      <c r="B19" s="601">
        <f>'Cost Allocation - Tier 1'!D16</f>
        <v>322578</v>
      </c>
      <c r="C19" s="601">
        <f t="shared" si="1"/>
        <v>70909.86092427712</v>
      </c>
      <c r="D19" s="601">
        <f t="shared" si="1"/>
        <v>164456.3845437968</v>
      </c>
      <c r="E19" s="601">
        <f t="shared" si="1"/>
        <v>31273.776622084828</v>
      </c>
      <c r="F19" s="601">
        <f t="shared" si="2"/>
        <v>195730.16116588161</v>
      </c>
      <c r="G19" s="601">
        <f t="shared" si="3"/>
        <v>49486.417909841257</v>
      </c>
      <c r="H19" s="601">
        <f t="shared" si="3"/>
        <v>6451.56</v>
      </c>
      <c r="I19" s="601">
        <f t="shared" si="0"/>
        <v>322577.99999999994</v>
      </c>
      <c r="J19" s="603">
        <f t="shared" si="5"/>
        <v>0.50981897260134545</v>
      </c>
      <c r="K19" s="602">
        <f t="shared" si="4"/>
        <v>0</v>
      </c>
    </row>
    <row r="20" spans="1:12" s="600" customFormat="1" x14ac:dyDescent="0.2">
      <c r="A20" s="600" t="s">
        <v>828</v>
      </c>
      <c r="B20" s="601">
        <f>'Cost Allocation - Tier 1'!D17</f>
        <v>127101</v>
      </c>
      <c r="C20" s="601">
        <f t="shared" si="1"/>
        <v>28509.840028997722</v>
      </c>
      <c r="D20" s="601">
        <f t="shared" si="1"/>
        <v>66120.919629187352</v>
      </c>
      <c r="E20" s="601">
        <f t="shared" si="1"/>
        <v>12573.855835796601</v>
      </c>
      <c r="F20" s="601">
        <f t="shared" si="2"/>
        <v>78694.775464983948</v>
      </c>
      <c r="G20" s="601">
        <f t="shared" si="3"/>
        <v>19896.384506018334</v>
      </c>
      <c r="H20" s="601">
        <f t="shared" si="3"/>
        <v>0</v>
      </c>
      <c r="I20" s="601">
        <f t="shared" si="0"/>
        <v>127101</v>
      </c>
      <c r="J20" s="603">
        <f t="shared" si="5"/>
        <v>0.52022344142994437</v>
      </c>
      <c r="K20" s="602">
        <f t="shared" si="4"/>
        <v>0</v>
      </c>
    </row>
    <row r="21" spans="1:12" s="600" customFormat="1" x14ac:dyDescent="0.2">
      <c r="A21" s="600" t="s">
        <v>829</v>
      </c>
      <c r="B21" s="601">
        <f>'Cost Allocation - Tier 1'!D18</f>
        <v>273540.59963000001</v>
      </c>
      <c r="C21" s="601">
        <f t="shared" si="1"/>
        <v>61357.49315023025</v>
      </c>
      <c r="D21" s="601">
        <f t="shared" si="1"/>
        <v>142302.23211032915</v>
      </c>
      <c r="E21" s="601">
        <f t="shared" si="1"/>
        <v>27060.841889402735</v>
      </c>
      <c r="F21" s="601">
        <f t="shared" si="2"/>
        <v>169363.07399973189</v>
      </c>
      <c r="G21" s="601">
        <f t="shared" si="3"/>
        <v>42820.032480037888</v>
      </c>
      <c r="H21" s="601">
        <f t="shared" si="3"/>
        <v>0</v>
      </c>
      <c r="I21" s="601">
        <f t="shared" si="0"/>
        <v>273540.59963000001</v>
      </c>
      <c r="J21" s="603">
        <f t="shared" si="5"/>
        <v>0.52022344142994426</v>
      </c>
      <c r="K21" s="602">
        <f t="shared" si="4"/>
        <v>0</v>
      </c>
    </row>
    <row r="22" spans="1:12" s="600" customFormat="1" x14ac:dyDescent="0.2">
      <c r="A22" s="600" t="s">
        <v>480</v>
      </c>
      <c r="B22" s="601">
        <f>'Cost Allocation - Tier 1'!D19</f>
        <v>735849</v>
      </c>
      <c r="C22" s="601">
        <f t="shared" si="1"/>
        <v>165057.21650890191</v>
      </c>
      <c r="D22" s="601">
        <f t="shared" si="1"/>
        <v>382805.89915278315</v>
      </c>
      <c r="E22" s="601">
        <f t="shared" si="1"/>
        <v>72796.116811945554</v>
      </c>
      <c r="F22" s="601">
        <f t="shared" si="2"/>
        <v>455602.01596472872</v>
      </c>
      <c r="G22" s="601">
        <f t="shared" si="3"/>
        <v>115189.76752636945</v>
      </c>
      <c r="H22" s="601">
        <f t="shared" si="3"/>
        <v>0</v>
      </c>
      <c r="I22" s="601">
        <f t="shared" si="0"/>
        <v>735849.00000000012</v>
      </c>
      <c r="J22" s="603">
        <f t="shared" si="5"/>
        <v>0.52022344142994437</v>
      </c>
      <c r="K22" s="602">
        <f t="shared" si="4"/>
        <v>0</v>
      </c>
    </row>
    <row r="23" spans="1:12" s="600" customFormat="1" x14ac:dyDescent="0.2">
      <c r="A23" s="600" t="s">
        <v>481</v>
      </c>
      <c r="B23" s="601">
        <f>'Cost Allocation - Tier 1'!D20</f>
        <v>1105656</v>
      </c>
      <c r="C23" s="601">
        <f t="shared" si="1"/>
        <v>248008.08559414564</v>
      </c>
      <c r="D23" s="601">
        <f t="shared" si="1"/>
        <v>575188.16935766651</v>
      </c>
      <c r="E23" s="601">
        <f t="shared" si="1"/>
        <v>109380.40729800337</v>
      </c>
      <c r="F23" s="601">
        <f t="shared" si="2"/>
        <v>684568.57665566984</v>
      </c>
      <c r="G23" s="601">
        <f t="shared" si="3"/>
        <v>173079.33775018455</v>
      </c>
      <c r="H23" s="601">
        <f t="shared" si="3"/>
        <v>0</v>
      </c>
      <c r="I23" s="601">
        <f t="shared" si="0"/>
        <v>1105656</v>
      </c>
      <c r="J23" s="603">
        <f t="shared" si="5"/>
        <v>0.52022344142994437</v>
      </c>
      <c r="K23" s="602">
        <f t="shared" si="4"/>
        <v>0</v>
      </c>
    </row>
    <row r="24" spans="1:12" s="600" customFormat="1" x14ac:dyDescent="0.2">
      <c r="A24" s="600" t="s">
        <v>421</v>
      </c>
      <c r="B24" s="601">
        <f>'Cost Allocation - Tier 1'!D26</f>
        <v>-169110</v>
      </c>
      <c r="C24" s="601">
        <f t="shared" si="1"/>
        <v>0</v>
      </c>
      <c r="D24" s="601">
        <f t="shared" si="1"/>
        <v>0</v>
      </c>
      <c r="E24" s="601">
        <f t="shared" si="1"/>
        <v>0</v>
      </c>
      <c r="F24" s="601">
        <f t="shared" si="2"/>
        <v>0</v>
      </c>
      <c r="G24" s="604">
        <f>'Cost Allocation - Tier 1'!D26</f>
        <v>-169110</v>
      </c>
      <c r="H24" s="601">
        <f t="shared" si="3"/>
        <v>0</v>
      </c>
      <c r="I24" s="601">
        <f t="shared" si="0"/>
        <v>-169110</v>
      </c>
      <c r="K24" s="602">
        <f t="shared" si="4"/>
        <v>0</v>
      </c>
    </row>
    <row r="25" spans="1:12" s="600" customFormat="1" x14ac:dyDescent="0.2">
      <c r="A25" s="600" t="s">
        <v>315</v>
      </c>
      <c r="B25" s="605">
        <f>'Cost Allocation - Tier 1'!D27</f>
        <v>-148330</v>
      </c>
      <c r="C25" s="601">
        <f t="shared" ref="C25:D25" si="6">C49*$I$1</f>
        <v>0</v>
      </c>
      <c r="D25" s="601">
        <f t="shared" si="6"/>
        <v>0</v>
      </c>
      <c r="E25" s="604">
        <f>'Cost Allocation - Tier 1'!D27</f>
        <v>-148330</v>
      </c>
      <c r="F25" s="601">
        <f t="shared" si="2"/>
        <v>-148330</v>
      </c>
      <c r="G25" s="601">
        <f t="shared" ref="G25:H25" si="7">G49*$I$1</f>
        <v>0</v>
      </c>
      <c r="H25" s="601">
        <f t="shared" si="7"/>
        <v>0</v>
      </c>
      <c r="I25" s="605">
        <f t="shared" si="0"/>
        <v>-148330</v>
      </c>
      <c r="K25" s="602">
        <f t="shared" si="4"/>
        <v>0</v>
      </c>
    </row>
    <row r="26" spans="1:12" s="600" customFormat="1" x14ac:dyDescent="0.2">
      <c r="A26" s="600" t="s">
        <v>830</v>
      </c>
      <c r="B26" s="606">
        <f t="shared" ref="B26:I26" si="8">SUM(B8:B25)</f>
        <v>17010746.377785556</v>
      </c>
      <c r="C26" s="606">
        <f t="shared" si="8"/>
        <v>3924214.5565342437</v>
      </c>
      <c r="D26" s="606">
        <f t="shared" si="8"/>
        <v>8797661.880460009</v>
      </c>
      <c r="E26" s="606">
        <f t="shared" si="8"/>
        <v>1524673.5334861986</v>
      </c>
      <c r="F26" s="606">
        <f t="shared" si="8"/>
        <v>10322335.413946206</v>
      </c>
      <c r="G26" s="606">
        <f t="shared" si="8"/>
        <v>2595874.9443051051</v>
      </c>
      <c r="H26" s="606">
        <f t="shared" si="8"/>
        <v>168321.46299999999</v>
      </c>
      <c r="I26" s="606">
        <f t="shared" si="8"/>
        <v>17010746.377785556</v>
      </c>
      <c r="J26" s="607"/>
      <c r="K26" s="602">
        <f t="shared" si="4"/>
        <v>0</v>
      </c>
      <c r="L26" s="602">
        <f>B26-'Cost Allocation - Tier 1'!D33</f>
        <v>0</v>
      </c>
    </row>
    <row r="27" spans="1:12" x14ac:dyDescent="0.2">
      <c r="A27" s="608"/>
      <c r="B27" s="608"/>
      <c r="C27" s="608"/>
      <c r="D27" s="608"/>
      <c r="E27" s="608"/>
      <c r="F27" s="608"/>
      <c r="G27" s="608"/>
      <c r="H27" s="608"/>
      <c r="I27" s="608"/>
    </row>
    <row r="28" spans="1:12" x14ac:dyDescent="0.2">
      <c r="D28" s="595" t="s">
        <v>424</v>
      </c>
      <c r="I28" s="595" t="s">
        <v>425</v>
      </c>
      <c r="J28" s="596" t="s">
        <v>811</v>
      </c>
    </row>
    <row r="29" spans="1:12" x14ac:dyDescent="0.2">
      <c r="A29" s="595" t="s">
        <v>831</v>
      </c>
      <c r="B29" s="597" t="str">
        <f>B5</f>
        <v>Q4 2019</v>
      </c>
      <c r="C29" s="1347" t="s">
        <v>814</v>
      </c>
      <c r="D29" s="1347"/>
      <c r="E29" s="1347"/>
      <c r="F29" s="1347"/>
      <c r="G29" s="1347"/>
      <c r="H29" s="1347"/>
      <c r="I29" s="1347"/>
      <c r="J29" s="598" t="s">
        <v>182</v>
      </c>
    </row>
    <row r="30" spans="1:12" x14ac:dyDescent="0.2">
      <c r="B30" s="598" t="s">
        <v>815</v>
      </c>
      <c r="C30" s="598"/>
      <c r="D30" s="1348" t="s">
        <v>0</v>
      </c>
      <c r="E30" s="1348"/>
      <c r="F30" s="1348"/>
      <c r="G30" s="598"/>
      <c r="H30" s="598"/>
      <c r="I30" s="598"/>
      <c r="J30" s="598" t="s">
        <v>816</v>
      </c>
    </row>
    <row r="31" spans="1:12" x14ac:dyDescent="0.2">
      <c r="A31" s="598" t="s">
        <v>817</v>
      </c>
      <c r="B31" s="599" t="s">
        <v>818</v>
      </c>
      <c r="C31" s="599" t="s">
        <v>832</v>
      </c>
      <c r="D31" s="599" t="s">
        <v>819</v>
      </c>
      <c r="E31" s="599" t="s">
        <v>334</v>
      </c>
      <c r="F31" s="599" t="s">
        <v>820</v>
      </c>
      <c r="G31" s="599" t="s">
        <v>821</v>
      </c>
      <c r="H31" s="599" t="s">
        <v>2</v>
      </c>
      <c r="I31" s="599" t="s">
        <v>3</v>
      </c>
      <c r="J31" s="599" t="s">
        <v>3</v>
      </c>
    </row>
    <row r="32" spans="1:12" s="600" customFormat="1" x14ac:dyDescent="0.2">
      <c r="A32" s="600" t="s">
        <v>822</v>
      </c>
      <c r="B32" s="601">
        <f>'Cost Allocation - Tier 1'!E5</f>
        <v>1044459.3504819758</v>
      </c>
      <c r="C32" s="601">
        <f>SUM('Cost Allocation - Tier 1'!J5:BA5)</f>
        <v>234281.15434994217</v>
      </c>
      <c r="D32" s="601">
        <f>SUM('Cost Allocation - Tier 1'!BD5:BJ5)</f>
        <v>543352.23774141783</v>
      </c>
      <c r="E32" s="601">
        <f>'Cost Allocation - Tier 1'!BK5</f>
        <v>103326.34125073854</v>
      </c>
      <c r="F32" s="601">
        <f>D32+E32</f>
        <v>646678.57899215631</v>
      </c>
      <c r="G32" s="601">
        <f>'Cost Allocation - Tier 1'!BB5</f>
        <v>163499.6171398774</v>
      </c>
      <c r="H32" s="601">
        <f>'Cost Allocation - Tier 1'!H5</f>
        <v>0</v>
      </c>
      <c r="I32" s="601">
        <f t="shared" ref="I32:I49" si="9">C32+F32+G32+H32</f>
        <v>1044459.3504819759</v>
      </c>
      <c r="K32" s="602">
        <f>I32-B32</f>
        <v>0</v>
      </c>
    </row>
    <row r="33" spans="1:11" s="600" customFormat="1" x14ac:dyDescent="0.2">
      <c r="A33" s="600" t="s">
        <v>823</v>
      </c>
      <c r="B33" s="601">
        <f>'Cost Allocation - Tier 1'!E6</f>
        <v>471893</v>
      </c>
      <c r="C33" s="601">
        <f>SUM('Cost Allocation - Tier 1'!J6:BA6)</f>
        <v>105849.63092976314</v>
      </c>
      <c r="D33" s="601">
        <f>SUM('Cost Allocation - Tier 1'!BD6:BJ6)</f>
        <v>245489.80044670071</v>
      </c>
      <c r="E33" s="601">
        <f>'Cost Allocation - Tier 1'!BK6</f>
        <v>46683.460806142873</v>
      </c>
      <c r="F33" s="601">
        <f t="shared" ref="F33:F49" si="10">D33+E33</f>
        <v>292173.2612528436</v>
      </c>
      <c r="G33" s="601">
        <f>'Cost Allocation - Tier 1'!BB6</f>
        <v>73870.107817393335</v>
      </c>
      <c r="H33" s="601">
        <f>'Cost Allocation - Tier 1'!H6</f>
        <v>0</v>
      </c>
      <c r="I33" s="601">
        <f t="shared" si="9"/>
        <v>471893.00000000006</v>
      </c>
      <c r="K33" s="602">
        <f t="shared" ref="K33:K50" si="11">I33-B33</f>
        <v>0</v>
      </c>
    </row>
    <row r="34" spans="1:11" s="600" customFormat="1" x14ac:dyDescent="0.2">
      <c r="A34" s="600" t="s">
        <v>470</v>
      </c>
      <c r="B34" s="601">
        <f>'Cost Allocation - Tier 1'!E7</f>
        <v>282645.10148248082</v>
      </c>
      <c r="C34" s="601">
        <f>SUM('Cost Allocation - Tier 1'!J7:BA7)</f>
        <v>63399.710688707055</v>
      </c>
      <c r="D34" s="601">
        <f>SUM('Cost Allocation - Tier 1'!BD7:BJ7)</f>
        <v>147038.60739653205</v>
      </c>
      <c r="E34" s="601">
        <f>'Cost Allocation - Tier 1'!BK7</f>
        <v>27961.532629442838</v>
      </c>
      <c r="F34" s="601">
        <f t="shared" si="10"/>
        <v>175000.14002597489</v>
      </c>
      <c r="G34" s="601">
        <f>'Cost Allocation - Tier 1'!BB7</f>
        <v>44245.250767798927</v>
      </c>
      <c r="H34" s="601">
        <f>'Cost Allocation - Tier 1'!H7</f>
        <v>0</v>
      </c>
      <c r="I34" s="601">
        <f t="shared" si="9"/>
        <v>282645.10148248088</v>
      </c>
      <c r="J34" s="603">
        <f t="shared" ref="J34:J47" si="12">D34/B34</f>
        <v>0.52022344142994437</v>
      </c>
      <c r="K34" s="602">
        <f t="shared" si="11"/>
        <v>0</v>
      </c>
    </row>
    <row r="35" spans="1:11" s="600" customFormat="1" x14ac:dyDescent="0.2">
      <c r="A35" s="600" t="s">
        <v>824</v>
      </c>
      <c r="B35" s="601">
        <f>'Cost Allocation - Tier 1'!E8</f>
        <v>3386378.925710151</v>
      </c>
      <c r="C35" s="601">
        <f>SUM('Cost Allocation - Tier 1'!J8:BA8)</f>
        <v>744401.84593806718</v>
      </c>
      <c r="D35" s="601">
        <f>SUM('Cost Allocation - Tier 1'!BD8:BJ8)</f>
        <v>1726440.2247443974</v>
      </c>
      <c r="E35" s="601">
        <f>'Cost Allocation - Tier 1'!BK8</f>
        <v>328307.75217279192</v>
      </c>
      <c r="F35" s="601">
        <f t="shared" si="10"/>
        <v>2054747.9769171893</v>
      </c>
      <c r="G35" s="601">
        <f>'Cost Allocation - Tier 1'!BB8</f>
        <v>519501.52434069227</v>
      </c>
      <c r="H35" s="601">
        <f>'Cost Allocation - Tier 1'!H8</f>
        <v>67727.578514203022</v>
      </c>
      <c r="I35" s="601">
        <f t="shared" si="9"/>
        <v>3386378.9257101519</v>
      </c>
      <c r="J35" s="603">
        <f t="shared" si="12"/>
        <v>0.50981897260134557</v>
      </c>
      <c r="K35" s="602">
        <f t="shared" si="11"/>
        <v>0</v>
      </c>
    </row>
    <row r="36" spans="1:11" s="600" customFormat="1" x14ac:dyDescent="0.2">
      <c r="A36" s="600" t="s">
        <v>825</v>
      </c>
      <c r="B36" s="601">
        <f>'Cost Allocation - Tier 1'!E9</f>
        <v>297962.62939152383</v>
      </c>
      <c r="C36" s="601">
        <f>SUM('Cost Allocation - Tier 1'!J9:BA9)</f>
        <v>66835.563044916082</v>
      </c>
      <c r="D36" s="601">
        <f>SUM('Cost Allocation - Tier 1'!BD9:BJ9)</f>
        <v>155007.14447957362</v>
      </c>
      <c r="E36" s="601">
        <f>'Cost Allocation - Tier 1'!BK9</f>
        <v>29476.866007536621</v>
      </c>
      <c r="F36" s="601">
        <f t="shared" si="10"/>
        <v>184484.01048711024</v>
      </c>
      <c r="G36" s="601">
        <f>'Cost Allocation - Tier 1'!BB9</f>
        <v>46643.055859497552</v>
      </c>
      <c r="H36" s="601">
        <f>'Cost Allocation - Tier 1'!H9</f>
        <v>0</v>
      </c>
      <c r="I36" s="601">
        <f t="shared" si="9"/>
        <v>297962.62939152389</v>
      </c>
      <c r="J36" s="603">
        <f t="shared" si="12"/>
        <v>0.52022344142994437</v>
      </c>
      <c r="K36" s="602">
        <f t="shared" si="11"/>
        <v>0</v>
      </c>
    </row>
    <row r="37" spans="1:11" s="600" customFormat="1" x14ac:dyDescent="0.2">
      <c r="A37" s="600" t="s">
        <v>826</v>
      </c>
      <c r="B37" s="601">
        <f>'Cost Allocation - Tier 1'!E10</f>
        <v>67657</v>
      </c>
      <c r="C37" s="601">
        <f>SUM('Cost Allocation - Tier 1'!J10:BA10)</f>
        <v>39861.342096432163</v>
      </c>
      <c r="D37" s="601">
        <f>SUM('Cost Allocation - Tier 1'!BD10:BJ10)</f>
        <v>0</v>
      </c>
      <c r="E37" s="601">
        <f>'Cost Allocation - Tier 1'!BK10</f>
        <v>0</v>
      </c>
      <c r="F37" s="601">
        <f t="shared" si="10"/>
        <v>0</v>
      </c>
      <c r="G37" s="601">
        <f>'Cost Allocation - Tier 1'!BB10</f>
        <v>27795.657903567848</v>
      </c>
      <c r="H37" s="601">
        <f>'Cost Allocation - Tier 1'!H10</f>
        <v>0</v>
      </c>
      <c r="I37" s="601">
        <f t="shared" si="9"/>
        <v>67657.000000000015</v>
      </c>
      <c r="J37" s="603">
        <f t="shared" si="12"/>
        <v>0</v>
      </c>
      <c r="K37" s="602">
        <f t="shared" si="11"/>
        <v>0</v>
      </c>
    </row>
    <row r="38" spans="1:11" s="600" customFormat="1" x14ac:dyDescent="0.2">
      <c r="A38" s="600" t="s">
        <v>473</v>
      </c>
      <c r="B38" s="601">
        <f>'Cost Allocation - Tier 1'!E11</f>
        <v>2713494.5697640241</v>
      </c>
      <c r="C38" s="601">
        <f>SUM('Cost Allocation - Tier 1'!J11:BA11)</f>
        <v>596486.81113017059</v>
      </c>
      <c r="D38" s="601">
        <f>SUM('Cost Allocation - Tier 1'!BD11:BJ11)</f>
        <v>1383391.0137164246</v>
      </c>
      <c r="E38" s="601">
        <f>'Cost Allocation - Tier 1'!BK11</f>
        <v>263071.94861410349</v>
      </c>
      <c r="F38" s="601">
        <f t="shared" si="10"/>
        <v>1646462.9623305281</v>
      </c>
      <c r="G38" s="601">
        <f>'Cost Allocation - Tier 1'!BB11</f>
        <v>416274.90490804525</v>
      </c>
      <c r="H38" s="601">
        <f>'Cost Allocation - Tier 1'!H11</f>
        <v>54269.891395280487</v>
      </c>
      <c r="I38" s="601">
        <f t="shared" si="9"/>
        <v>2713494.5697640246</v>
      </c>
      <c r="J38" s="603">
        <f t="shared" si="12"/>
        <v>0.50981897260134545</v>
      </c>
      <c r="K38" s="602">
        <f t="shared" si="11"/>
        <v>0</v>
      </c>
    </row>
    <row r="39" spans="1:11" s="600" customFormat="1" x14ac:dyDescent="0.2">
      <c r="A39" s="600" t="s">
        <v>474</v>
      </c>
      <c r="B39" s="601">
        <f>'Cost Allocation - Tier 1'!E12</f>
        <v>1208779.5723642064</v>
      </c>
      <c r="C39" s="601">
        <f>SUM('Cost Allocation - Tier 1'!J12:BA12)</f>
        <v>271139.58378316305</v>
      </c>
      <c r="D39" s="601">
        <f>SUM('Cost Allocation - Tier 1'!BD12:BJ12)</f>
        <v>628835.46906552394</v>
      </c>
      <c r="E39" s="601">
        <f>'Cost Allocation - Tier 1'!BK12</f>
        <v>119582.2226431216</v>
      </c>
      <c r="F39" s="601">
        <f t="shared" si="10"/>
        <v>748417.69170864555</v>
      </c>
      <c r="G39" s="601">
        <f>'Cost Allocation - Tier 1'!BB12</f>
        <v>189222.29687239806</v>
      </c>
      <c r="H39" s="601">
        <f>'Cost Allocation - Tier 1'!H12</f>
        <v>0</v>
      </c>
      <c r="I39" s="601">
        <f t="shared" si="9"/>
        <v>1208779.5723642067</v>
      </c>
      <c r="J39" s="603">
        <f t="shared" si="12"/>
        <v>0.52022344142994437</v>
      </c>
      <c r="K39" s="602">
        <f t="shared" si="11"/>
        <v>0</v>
      </c>
    </row>
    <row r="40" spans="1:11" s="600" customFormat="1" x14ac:dyDescent="0.2">
      <c r="A40" s="600" t="s">
        <v>475</v>
      </c>
      <c r="B40" s="601">
        <f>'Cost Allocation - Tier 1'!E13</f>
        <v>869334.42867586657</v>
      </c>
      <c r="C40" s="601">
        <f>SUM('Cost Allocation - Tier 1'!J13:BA13)</f>
        <v>194999.13842730655</v>
      </c>
      <c r="D40" s="601">
        <f>SUM('Cost Allocation - Tier 1'!BD13:BJ13)</f>
        <v>452248.14823929378</v>
      </c>
      <c r="E40" s="601">
        <f>'Cost Allocation - Tier 1'!BK13</f>
        <v>86001.571815052201</v>
      </c>
      <c r="F40" s="601">
        <f t="shared" si="10"/>
        <v>538249.72005434602</v>
      </c>
      <c r="G40" s="601">
        <f>'Cost Allocation - Tier 1'!BB13</f>
        <v>136085.57019421415</v>
      </c>
      <c r="H40" s="601">
        <f>'Cost Allocation - Tier 1'!H13</f>
        <v>0</v>
      </c>
      <c r="I40" s="601">
        <f t="shared" si="9"/>
        <v>869334.42867586669</v>
      </c>
      <c r="J40" s="603">
        <f t="shared" si="12"/>
        <v>0.52022344142994437</v>
      </c>
      <c r="K40" s="602">
        <f t="shared" si="11"/>
        <v>0</v>
      </c>
    </row>
    <row r="41" spans="1:11" s="600" customFormat="1" x14ac:dyDescent="0.2">
      <c r="A41" s="600" t="s">
        <v>827</v>
      </c>
      <c r="B41" s="601">
        <f>'Cost Allocation - Tier 1'!E14</f>
        <v>119670</v>
      </c>
      <c r="C41" s="601">
        <f>SUM('Cost Allocation - Tier 1'!J14:BA14)</f>
        <v>58766.517857142855</v>
      </c>
      <c r="D41" s="601">
        <f>SUM('Cost Allocation - Tier 1'!BD14:BJ14)</f>
        <v>0</v>
      </c>
      <c r="E41" s="601">
        <f>'Cost Allocation - Tier 1'!BK14</f>
        <v>0</v>
      </c>
      <c r="F41" s="601">
        <f t="shared" si="10"/>
        <v>0</v>
      </c>
      <c r="G41" s="601">
        <f>'Cost Allocation - Tier 1'!BB14</f>
        <v>60903.482142857138</v>
      </c>
      <c r="H41" s="601">
        <f>'Cost Allocation - Tier 1'!H14</f>
        <v>0</v>
      </c>
      <c r="I41" s="601">
        <f t="shared" si="9"/>
        <v>119670</v>
      </c>
      <c r="J41" s="603">
        <f t="shared" si="12"/>
        <v>0</v>
      </c>
      <c r="K41" s="602">
        <f t="shared" si="11"/>
        <v>0</v>
      </c>
    </row>
    <row r="42" spans="1:11" s="600" customFormat="1" x14ac:dyDescent="0.2">
      <c r="A42" s="600" t="s">
        <v>476</v>
      </c>
      <c r="B42" s="601">
        <f>'Cost Allocation - Tier 1'!E15</f>
        <v>664593.05261412542</v>
      </c>
      <c r="C42" s="601">
        <f>SUM('Cost Allocation - Tier 1'!J15:BA15)</f>
        <v>149073.89882386435</v>
      </c>
      <c r="D42" s="601">
        <f>SUM('Cost Allocation - Tier 1'!BD15:BJ15)</f>
        <v>345736.88498135237</v>
      </c>
      <c r="E42" s="601">
        <f>'Cost Allocation - Tier 1'!BK15</f>
        <v>65746.903903525526</v>
      </c>
      <c r="F42" s="601">
        <f t="shared" si="10"/>
        <v>411483.78888487793</v>
      </c>
      <c r="G42" s="601">
        <f>'Cost Allocation - Tier 1'!BB15</f>
        <v>104035.36490538322</v>
      </c>
      <c r="H42" s="601">
        <f>'Cost Allocation - Tier 1'!H15</f>
        <v>0</v>
      </c>
      <c r="I42" s="601">
        <f t="shared" si="9"/>
        <v>664593.05261412542</v>
      </c>
      <c r="J42" s="603">
        <f t="shared" si="12"/>
        <v>0.52022344142994426</v>
      </c>
      <c r="K42" s="602">
        <f t="shared" si="11"/>
        <v>0</v>
      </c>
    </row>
    <row r="43" spans="1:11" s="600" customFormat="1" x14ac:dyDescent="0.2">
      <c r="A43" s="600" t="s">
        <v>477</v>
      </c>
      <c r="B43" s="601">
        <f>'Cost Allocation - Tier 1'!E16</f>
        <v>243119.31445626041</v>
      </c>
      <c r="C43" s="601">
        <f>SUM('Cost Allocation - Tier 1'!J16:BA16)</f>
        <v>53443.064239033731</v>
      </c>
      <c r="D43" s="601">
        <f>SUM('Cost Allocation - Tier 1'!BD16:BJ16)</f>
        <v>123946.83911563411</v>
      </c>
      <c r="E43" s="601">
        <f>'Cost Allocation - Tier 1'!BK16</f>
        <v>23570.296588172434</v>
      </c>
      <c r="F43" s="601">
        <f t="shared" si="10"/>
        <v>147517.13570380653</v>
      </c>
      <c r="G43" s="601">
        <f>'Cost Allocation - Tier 1'!BB16</f>
        <v>37296.728224294944</v>
      </c>
      <c r="H43" s="601">
        <f>'Cost Allocation - Tier 1'!H16</f>
        <v>4862.3862891252084</v>
      </c>
      <c r="I43" s="601">
        <f t="shared" si="9"/>
        <v>243119.31445626044</v>
      </c>
      <c r="J43" s="603">
        <f t="shared" si="12"/>
        <v>0.50981897260134545</v>
      </c>
      <c r="K43" s="602">
        <f t="shared" si="11"/>
        <v>0</v>
      </c>
    </row>
    <row r="44" spans="1:11" s="600" customFormat="1" x14ac:dyDescent="0.2">
      <c r="A44" s="600" t="s">
        <v>828</v>
      </c>
      <c r="B44" s="601">
        <f>'Cost Allocation - Tier 1'!E17</f>
        <v>95792.980261224118</v>
      </c>
      <c r="C44" s="601">
        <f>SUM('Cost Allocation - Tier 1'!J17:BA17)</f>
        <v>21487.183760540327</v>
      </c>
      <c r="D44" s="601">
        <f>SUM('Cost Allocation - Tier 1'!BD17:BJ17)</f>
        <v>49833.753856324736</v>
      </c>
      <c r="E44" s="601">
        <f>'Cost Allocation - Tier 1'!BK17</f>
        <v>9476.6140619345369</v>
      </c>
      <c r="F44" s="601">
        <f t="shared" si="10"/>
        <v>59310.367918259275</v>
      </c>
      <c r="G44" s="601">
        <f>'Cost Allocation - Tier 1'!BB17</f>
        <v>14995.428582424525</v>
      </c>
      <c r="H44" s="601">
        <f>'Cost Allocation - Tier 1'!H17</f>
        <v>0</v>
      </c>
      <c r="I44" s="601">
        <f t="shared" si="9"/>
        <v>95792.980261224133</v>
      </c>
      <c r="J44" s="603">
        <f t="shared" si="12"/>
        <v>0.52022344142994426</v>
      </c>
      <c r="K44" s="602">
        <f t="shared" si="11"/>
        <v>0</v>
      </c>
    </row>
    <row r="45" spans="1:11" s="600" customFormat="1" x14ac:dyDescent="0.2">
      <c r="A45" s="600" t="s">
        <v>829</v>
      </c>
      <c r="B45" s="601">
        <f>'Cost Allocation - Tier 1'!E18</f>
        <v>206161</v>
      </c>
      <c r="C45" s="601">
        <f>SUM('Cost Allocation - Tier 1'!J18:BA18)</f>
        <v>46243.673379581596</v>
      </c>
      <c r="D45" s="601">
        <f>SUM('Cost Allocation - Tier 1'!BD18:BJ18)</f>
        <v>107249.78490863876</v>
      </c>
      <c r="E45" s="601">
        <f>'Cost Allocation - Tier 1'!BK18</f>
        <v>20395.108559048811</v>
      </c>
      <c r="F45" s="601">
        <f t="shared" si="10"/>
        <v>127644.89346768757</v>
      </c>
      <c r="G45" s="601">
        <f>'Cost Allocation - Tier 1'!BB18</f>
        <v>32272.433152730864</v>
      </c>
      <c r="H45" s="601">
        <f>'Cost Allocation - Tier 1'!H18</f>
        <v>0</v>
      </c>
      <c r="I45" s="601">
        <f t="shared" si="9"/>
        <v>206161.00000000003</v>
      </c>
      <c r="J45" s="603">
        <f t="shared" si="12"/>
        <v>0.52022344142994437</v>
      </c>
      <c r="K45" s="602">
        <f t="shared" si="11"/>
        <v>0</v>
      </c>
    </row>
    <row r="46" spans="1:11" s="600" customFormat="1" x14ac:dyDescent="0.2">
      <c r="A46" s="600" t="s">
        <v>480</v>
      </c>
      <c r="B46" s="601">
        <f>'Cost Allocation - Tier 1'!E19</f>
        <v>554591.77136483195</v>
      </c>
      <c r="C46" s="601">
        <f>SUM('Cost Allocation - Tier 1'!J19:BA19)</f>
        <v>124399.67178078723</v>
      </c>
      <c r="D46" s="601">
        <f>SUM('Cost Allocation - Tier 1'!BD19:BJ19)</f>
        <v>288511.63988814177</v>
      </c>
      <c r="E46" s="601">
        <f>'Cost Allocation - Tier 1'!BK19</f>
        <v>54864.690135093086</v>
      </c>
      <c r="F46" s="601">
        <f t="shared" si="10"/>
        <v>343376.33002323483</v>
      </c>
      <c r="G46" s="601">
        <f>'Cost Allocation - Tier 1'!BB19</f>
        <v>86815.769560809946</v>
      </c>
      <c r="H46" s="601">
        <f>'Cost Allocation - Tier 1'!H19</f>
        <v>0</v>
      </c>
      <c r="I46" s="601">
        <f t="shared" si="9"/>
        <v>554591.77136483206</v>
      </c>
      <c r="J46" s="603">
        <f t="shared" si="12"/>
        <v>0.52022344142994437</v>
      </c>
      <c r="K46" s="602">
        <f t="shared" si="11"/>
        <v>0</v>
      </c>
    </row>
    <row r="47" spans="1:11" s="600" customFormat="1" x14ac:dyDescent="0.2">
      <c r="A47" s="600" t="s">
        <v>481</v>
      </c>
      <c r="B47" s="601">
        <f>'Cost Allocation - Tier 1'!E20</f>
        <v>833306.4522207065</v>
      </c>
      <c r="C47" s="601">
        <f>SUM('Cost Allocation - Tier 1'!J20:BA20)</f>
        <v>186917.75554829606</v>
      </c>
      <c r="D47" s="601">
        <f>SUM('Cost Allocation - Tier 1'!BD20:BJ20)</f>
        <v>433505.55034003343</v>
      </c>
      <c r="E47" s="601">
        <f>'Cost Allocation - Tier 1'!BK20</f>
        <v>82437.393862064753</v>
      </c>
      <c r="F47" s="601">
        <f t="shared" si="10"/>
        <v>515942.94420209818</v>
      </c>
      <c r="G47" s="601">
        <f>'Cost Allocation - Tier 1'!BB20</f>
        <v>130445.75247031236</v>
      </c>
      <c r="H47" s="601">
        <f>'Cost Allocation - Tier 1'!H20</f>
        <v>0</v>
      </c>
      <c r="I47" s="601">
        <f t="shared" si="9"/>
        <v>833306.45222070662</v>
      </c>
      <c r="J47" s="603">
        <f t="shared" si="12"/>
        <v>0.52022344142994437</v>
      </c>
      <c r="K47" s="602">
        <f t="shared" si="11"/>
        <v>0</v>
      </c>
    </row>
    <row r="48" spans="1:11" s="600" customFormat="1" x14ac:dyDescent="0.2">
      <c r="A48" s="600" t="s">
        <v>421</v>
      </c>
      <c r="B48" s="601">
        <f>'Cost Allocation - Tier 1'!E26</f>
        <v>-127500</v>
      </c>
      <c r="C48" s="601">
        <f>SUM('Cost Allocation - Tier 1'!J26:BA26)</f>
        <v>0</v>
      </c>
      <c r="D48" s="601">
        <f>SUM('Cost Allocation - Tier 1'!BD26:BJ26)</f>
        <v>0</v>
      </c>
      <c r="E48" s="601">
        <f>'Cost Allocation - Tier 1'!BK26</f>
        <v>0</v>
      </c>
      <c r="F48" s="601">
        <f t="shared" si="10"/>
        <v>0</v>
      </c>
      <c r="G48" s="601">
        <f>'Cost Allocation - Tier 1'!BB26</f>
        <v>-127500</v>
      </c>
      <c r="H48" s="601">
        <f>'Cost Allocation - Tier 1'!H26</f>
        <v>0</v>
      </c>
      <c r="I48" s="601">
        <f t="shared" si="9"/>
        <v>-127500</v>
      </c>
      <c r="K48" s="602">
        <f t="shared" si="11"/>
        <v>0</v>
      </c>
    </row>
    <row r="49" spans="1:12" s="600" customFormat="1" x14ac:dyDescent="0.2">
      <c r="A49" s="600" t="s">
        <v>315</v>
      </c>
      <c r="B49" s="605">
        <f>'Cost Allocation - Tier 1'!E27</f>
        <v>-111875</v>
      </c>
      <c r="C49" s="601">
        <f>SUM('Cost Allocation - Tier 1'!J27:BA27)</f>
        <v>0</v>
      </c>
      <c r="D49" s="601">
        <f>SUM('Cost Allocation - Tier 1'!BD27:BJ27)</f>
        <v>0</v>
      </c>
      <c r="E49" s="601">
        <f>'Cost Allocation - Tier 1'!BK27</f>
        <v>-111875</v>
      </c>
      <c r="F49" s="601">
        <f t="shared" si="10"/>
        <v>-111875</v>
      </c>
      <c r="G49" s="601">
        <f>'Cost Allocation - Tier 1'!BB27</f>
        <v>0</v>
      </c>
      <c r="H49" s="605">
        <f>'Cost Allocation - Tier 1'!H27</f>
        <v>0</v>
      </c>
      <c r="I49" s="605">
        <f t="shared" si="9"/>
        <v>-111875</v>
      </c>
      <c r="K49" s="602">
        <f t="shared" si="11"/>
        <v>0</v>
      </c>
    </row>
    <row r="50" spans="1:12" s="600" customFormat="1" x14ac:dyDescent="0.2">
      <c r="A50" s="600" t="s">
        <v>830</v>
      </c>
      <c r="B50" s="606">
        <f t="shared" ref="B50:I50" si="13">SUM(B32:B49)</f>
        <v>12820464.148787376</v>
      </c>
      <c r="C50" s="606">
        <f t="shared" si="13"/>
        <v>2957586.5457777143</v>
      </c>
      <c r="D50" s="606">
        <f t="shared" si="13"/>
        <v>6630587.0989199886</v>
      </c>
      <c r="E50" s="606">
        <f t="shared" si="13"/>
        <v>1149027.7030487694</v>
      </c>
      <c r="F50" s="606">
        <f t="shared" si="13"/>
        <v>7779614.8019687589</v>
      </c>
      <c r="G50" s="606">
        <f t="shared" si="13"/>
        <v>1956402.9448422976</v>
      </c>
      <c r="H50" s="606">
        <f t="shared" si="13"/>
        <v>126859.85619860872</v>
      </c>
      <c r="I50" s="606">
        <f t="shared" si="13"/>
        <v>12820464.148787379</v>
      </c>
      <c r="J50" s="607"/>
      <c r="K50" s="602">
        <f t="shared" si="11"/>
        <v>0</v>
      </c>
      <c r="L50" s="602">
        <f>B50-'Cost Allocation - Tier 1'!E33</f>
        <v>0</v>
      </c>
    </row>
    <row r="51" spans="1:12" x14ac:dyDescent="0.2">
      <c r="A51" s="608"/>
      <c r="B51" s="608"/>
      <c r="C51" s="608"/>
      <c r="D51" s="608"/>
      <c r="E51" s="608"/>
      <c r="F51" s="608"/>
      <c r="G51" s="608"/>
      <c r="H51" s="608"/>
      <c r="I51" s="608"/>
    </row>
    <row r="52" spans="1:12" x14ac:dyDescent="0.2">
      <c r="A52" s="609" t="s">
        <v>833</v>
      </c>
      <c r="B52" s="598"/>
    </row>
    <row r="53" spans="1:12" x14ac:dyDescent="0.2">
      <c r="B53" s="598" t="s">
        <v>424</v>
      </c>
      <c r="C53" s="610"/>
      <c r="D53" s="610"/>
      <c r="E53" s="611"/>
      <c r="F53" s="612"/>
      <c r="G53" s="610"/>
      <c r="H53" s="610"/>
      <c r="I53" s="610"/>
    </row>
    <row r="54" spans="1:12" x14ac:dyDescent="0.2">
      <c r="B54" s="597" t="str">
        <f>B5</f>
        <v>Q4 2019</v>
      </c>
      <c r="C54" s="610"/>
      <c r="D54" s="610"/>
      <c r="E54" s="611"/>
      <c r="F54" s="610"/>
      <c r="G54" s="610"/>
      <c r="H54" s="610"/>
      <c r="I54" s="610"/>
    </row>
    <row r="55" spans="1:12" x14ac:dyDescent="0.2">
      <c r="B55" s="598" t="s">
        <v>834</v>
      </c>
      <c r="C55" s="610"/>
      <c r="D55" s="610"/>
      <c r="E55" s="611"/>
      <c r="F55" s="611"/>
      <c r="G55" s="610"/>
      <c r="H55" s="610"/>
      <c r="I55" s="610"/>
    </row>
    <row r="56" spans="1:12" x14ac:dyDescent="0.2">
      <c r="A56" s="598" t="s">
        <v>495</v>
      </c>
      <c r="B56" s="599" t="s">
        <v>835</v>
      </c>
      <c r="C56" s="610"/>
      <c r="D56" s="610"/>
      <c r="E56" s="611"/>
      <c r="F56" s="611"/>
      <c r="G56" s="611"/>
      <c r="H56" s="610"/>
      <c r="I56" s="610"/>
    </row>
    <row r="57" spans="1:12" x14ac:dyDescent="0.2">
      <c r="A57" s="593" t="s">
        <v>470</v>
      </c>
      <c r="B57" s="613">
        <f>D34</f>
        <v>147038.60739653205</v>
      </c>
      <c r="C57" s="610"/>
      <c r="D57" s="614"/>
      <c r="E57" s="615"/>
      <c r="F57" s="616"/>
      <c r="G57" s="617"/>
      <c r="H57" s="610"/>
      <c r="I57" s="610"/>
    </row>
    <row r="58" spans="1:12" x14ac:dyDescent="0.2">
      <c r="A58" s="593" t="s">
        <v>824</v>
      </c>
      <c r="B58" s="618">
        <f>SUM(D35:D37)</f>
        <v>1881447.3692239712</v>
      </c>
      <c r="C58" s="610"/>
      <c r="D58" s="614"/>
      <c r="E58" s="615"/>
      <c r="F58" s="616"/>
      <c r="G58" s="617"/>
      <c r="H58" s="610"/>
      <c r="I58" s="610"/>
    </row>
    <row r="59" spans="1:12" x14ac:dyDescent="0.2">
      <c r="A59" s="593" t="s">
        <v>473</v>
      </c>
      <c r="B59" s="618">
        <f>D38</f>
        <v>1383391.0137164246</v>
      </c>
      <c r="C59" s="610"/>
      <c r="D59" s="614"/>
      <c r="E59" s="615"/>
      <c r="F59" s="616"/>
      <c r="G59" s="617"/>
      <c r="H59" s="610"/>
      <c r="I59" s="610"/>
    </row>
    <row r="60" spans="1:12" x14ac:dyDescent="0.2">
      <c r="A60" s="593" t="s">
        <v>474</v>
      </c>
      <c r="B60" s="618">
        <f>D39</f>
        <v>628835.46906552394</v>
      </c>
      <c r="C60" s="610"/>
      <c r="D60" s="614"/>
      <c r="E60" s="615"/>
      <c r="F60" s="616"/>
      <c r="G60" s="617"/>
      <c r="H60" s="610"/>
      <c r="I60" s="610"/>
    </row>
    <row r="61" spans="1:12" x14ac:dyDescent="0.2">
      <c r="A61" s="593" t="s">
        <v>475</v>
      </c>
      <c r="B61" s="618">
        <f>SUM(D40:D41)</f>
        <v>452248.14823929378</v>
      </c>
      <c r="C61" s="610"/>
      <c r="D61" s="614"/>
      <c r="E61" s="615"/>
      <c r="F61" s="616"/>
      <c r="G61" s="617"/>
      <c r="H61" s="610"/>
      <c r="I61" s="610"/>
    </row>
    <row r="62" spans="1:12" x14ac:dyDescent="0.2">
      <c r="A62" s="593" t="s">
        <v>476</v>
      </c>
      <c r="B62" s="618">
        <f>D42</f>
        <v>345736.88498135237</v>
      </c>
      <c r="C62" s="610"/>
      <c r="D62" s="614"/>
      <c r="E62" s="615"/>
      <c r="F62" s="616"/>
      <c r="G62" s="617"/>
      <c r="H62" s="610"/>
      <c r="I62" s="610"/>
    </row>
    <row r="63" spans="1:12" x14ac:dyDescent="0.2">
      <c r="A63" s="593" t="s">
        <v>477</v>
      </c>
      <c r="B63" s="618">
        <f>D43</f>
        <v>123946.83911563411</v>
      </c>
      <c r="C63" s="610"/>
      <c r="D63" s="614"/>
      <c r="E63" s="615"/>
      <c r="F63" s="616"/>
      <c r="G63" s="617"/>
      <c r="H63" s="610"/>
      <c r="I63" s="610"/>
    </row>
    <row r="64" spans="1:12" x14ac:dyDescent="0.2">
      <c r="A64" s="593" t="s">
        <v>479</v>
      </c>
      <c r="B64" s="618">
        <f>SUM(D44:D45)</f>
        <v>157083.53876496351</v>
      </c>
      <c r="C64" s="610"/>
      <c r="D64" s="614"/>
      <c r="E64" s="615"/>
      <c r="F64" s="616"/>
      <c r="G64" s="617"/>
      <c r="H64" s="610"/>
      <c r="I64" s="610"/>
    </row>
    <row r="65" spans="1:9" x14ac:dyDescent="0.2">
      <c r="A65" s="593" t="s">
        <v>480</v>
      </c>
      <c r="B65" s="618">
        <f>D46</f>
        <v>288511.63988814177</v>
      </c>
      <c r="C65" s="610"/>
      <c r="D65" s="614"/>
      <c r="E65" s="615"/>
      <c r="F65" s="616"/>
      <c r="G65" s="617"/>
      <c r="H65" s="610"/>
      <c r="I65" s="610"/>
    </row>
    <row r="66" spans="1:9" x14ac:dyDescent="0.2">
      <c r="A66" s="593" t="s">
        <v>481</v>
      </c>
      <c r="B66" s="618">
        <f>D47</f>
        <v>433505.55034003343</v>
      </c>
      <c r="C66" s="610"/>
      <c r="D66" s="614"/>
      <c r="E66" s="615"/>
      <c r="F66" s="616"/>
      <c r="G66" s="617"/>
      <c r="H66" s="610"/>
      <c r="I66" s="610"/>
    </row>
    <row r="67" spans="1:9" x14ac:dyDescent="0.2">
      <c r="A67" s="598" t="s">
        <v>830</v>
      </c>
      <c r="B67" s="619">
        <f>SUM(B57:B66)</f>
        <v>5841745.060731872</v>
      </c>
      <c r="C67" s="610"/>
      <c r="D67" s="610"/>
      <c r="E67" s="615"/>
      <c r="F67" s="616"/>
      <c r="G67" s="617"/>
      <c r="H67" s="610"/>
      <c r="I67" s="610"/>
    </row>
    <row r="68" spans="1:9" x14ac:dyDescent="0.2">
      <c r="C68" s="610"/>
      <c r="D68" s="610"/>
      <c r="E68" s="620"/>
      <c r="F68" s="610"/>
      <c r="G68" s="610"/>
      <c r="H68" s="610"/>
      <c r="I68" s="610"/>
    </row>
    <row r="69" spans="1:9" x14ac:dyDescent="0.2">
      <c r="A69" s="593" t="s">
        <v>836</v>
      </c>
    </row>
    <row r="70" spans="1:9" x14ac:dyDescent="0.2">
      <c r="A70" s="593" t="s">
        <v>822</v>
      </c>
      <c r="B70" s="618">
        <f>D32</f>
        <v>543352.23774141783</v>
      </c>
    </row>
    <row r="71" spans="1:9" x14ac:dyDescent="0.2">
      <c r="A71" s="593" t="s">
        <v>823</v>
      </c>
      <c r="B71" s="618">
        <f>D33</f>
        <v>245489.80044670071</v>
      </c>
    </row>
    <row r="72" spans="1:9" x14ac:dyDescent="0.2">
      <c r="A72" s="598" t="s">
        <v>3</v>
      </c>
      <c r="B72" s="621">
        <f>SUM(B67:B71)</f>
        <v>6630587.0989199905</v>
      </c>
    </row>
    <row r="73" spans="1:9" x14ac:dyDescent="0.2">
      <c r="A73" s="608"/>
      <c r="B73" s="608"/>
      <c r="C73" s="608"/>
      <c r="D73" s="608"/>
      <c r="E73" s="608"/>
      <c r="F73" s="608"/>
      <c r="G73" s="608"/>
      <c r="H73" s="608"/>
      <c r="I73" s="608"/>
    </row>
  </sheetData>
  <mergeCells count="4">
    <mergeCell ref="C5:I5"/>
    <mergeCell ref="D6:F6"/>
    <mergeCell ref="C29:I29"/>
    <mergeCell ref="D30:F30"/>
  </mergeCells>
  <pageMargins left="0.7" right="0.7" top="0.75" bottom="0.75" header="0.3" footer="0.3"/>
  <pageSetup scale="55"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CT159"/>
  <sheetViews>
    <sheetView zoomScale="85" zoomScaleNormal="85" workbookViewId="0">
      <pane xSplit="1" ySplit="2" topLeftCell="B3" activePane="bottomRight" state="frozen"/>
      <selection activeCell="O29" sqref="O29"/>
      <selection pane="topRight" activeCell="O29" sqref="O29"/>
      <selection pane="bottomLeft" activeCell="O29" sqref="O29"/>
      <selection pane="bottomRight" activeCell="H5" sqref="H5:H32"/>
    </sheetView>
  </sheetViews>
  <sheetFormatPr defaultRowHeight="15" outlineLevelCol="1" x14ac:dyDescent="0.25"/>
  <cols>
    <col min="1" max="1" width="39.28515625" style="177" customWidth="1"/>
    <col min="2" max="2" width="20.42578125" style="3" customWidth="1"/>
    <col min="3" max="3" width="12.28515625" style="3" customWidth="1"/>
    <col min="4" max="7" width="16.42578125" style="177" customWidth="1"/>
    <col min="8" max="8" width="11.7109375" style="177" customWidth="1"/>
    <col min="9" max="9" width="11.7109375" style="241" customWidth="1"/>
    <col min="10" max="50" width="11.7109375" style="177" customWidth="1" outlineLevel="1"/>
    <col min="51" max="51" width="10.5703125" style="177" customWidth="1" outlineLevel="1"/>
    <col min="52" max="52" width="10.28515625" style="177" customWidth="1" outlineLevel="1"/>
    <col min="53" max="54" width="10.5703125" style="177" customWidth="1" outlineLevel="1"/>
    <col min="55" max="55" width="13" style="241" customWidth="1"/>
    <col min="56" max="57" width="10.5703125" style="177" customWidth="1" outlineLevel="1"/>
    <col min="58" max="58" width="11.7109375" style="177" customWidth="1" outlineLevel="1"/>
    <col min="59" max="60" width="10.5703125" style="177" customWidth="1" outlineLevel="1"/>
    <col min="61" max="61" width="11.85546875" style="177" customWidth="1" outlineLevel="1"/>
    <col min="62" max="62" width="9.7109375" style="177" customWidth="1" outlineLevel="1"/>
    <col min="63" max="63" width="10.5703125" style="177" customWidth="1" outlineLevel="1"/>
    <col min="64" max="64" width="14.28515625" style="177" bestFit="1" customWidth="1"/>
    <col min="65" max="65" width="11.5703125" style="177" customWidth="1"/>
    <col min="66" max="66" width="8.85546875" style="177" customWidth="1"/>
    <col min="67" max="67" width="10.5703125" style="177" hidden="1" customWidth="1"/>
    <col min="68" max="68" width="13.28515625" style="177" hidden="1" customWidth="1"/>
    <col min="69" max="69" width="10.5703125" style="177" hidden="1" customWidth="1"/>
    <col min="70" max="70" width="11.28515625" style="177" hidden="1" customWidth="1"/>
    <col min="71" max="71" width="9.7109375" style="177" hidden="1" customWidth="1"/>
    <col min="72" max="72" width="10.5703125" style="177" bestFit="1" customWidth="1"/>
    <col min="73" max="74" width="9.140625" style="177"/>
    <col min="76" max="16384" width="9.140625" style="177"/>
  </cols>
  <sheetData>
    <row r="1" spans="1:70" x14ac:dyDescent="0.25">
      <c r="A1" s="638" t="str">
        <f>'Cost Allocation - Tier 1'!A1</f>
        <v>in USD</v>
      </c>
      <c r="B1" s="881"/>
      <c r="C1" s="881"/>
      <c r="D1" s="49" t="str">
        <f>'Cost Allocation - Tier 1'!D1</f>
        <v>updated for 4Q</v>
      </c>
      <c r="E1" s="69"/>
      <c r="F1" s="69"/>
      <c r="G1" s="69"/>
      <c r="H1" s="3" t="s">
        <v>841</v>
      </c>
      <c r="J1" s="23" t="s">
        <v>12</v>
      </c>
      <c r="K1" s="19" t="s">
        <v>12</v>
      </c>
      <c r="L1" s="19" t="s">
        <v>8</v>
      </c>
      <c r="M1" s="19" t="s">
        <v>8</v>
      </c>
      <c r="N1" s="19" t="s">
        <v>8</v>
      </c>
      <c r="O1" s="19" t="s">
        <v>8</v>
      </c>
      <c r="P1" s="19" t="s">
        <v>8</v>
      </c>
      <c r="Q1" s="19" t="s">
        <v>8</v>
      </c>
      <c r="R1" s="19" t="s">
        <v>8</v>
      </c>
      <c r="S1" s="19" t="s">
        <v>8</v>
      </c>
      <c r="T1" s="19" t="s">
        <v>8</v>
      </c>
      <c r="U1" s="19" t="s">
        <v>47</v>
      </c>
      <c r="V1" s="19" t="s">
        <v>164</v>
      </c>
      <c r="W1" s="19" t="s">
        <v>165</v>
      </c>
      <c r="X1" s="19" t="s">
        <v>12</v>
      </c>
      <c r="Y1" s="19" t="s">
        <v>12</v>
      </c>
      <c r="Z1" s="641" t="s">
        <v>8</v>
      </c>
      <c r="AA1" s="641" t="s">
        <v>8</v>
      </c>
      <c r="AB1" s="19" t="s">
        <v>8</v>
      </c>
      <c r="AC1" s="19" t="s">
        <v>8</v>
      </c>
      <c r="AD1" s="19" t="s">
        <v>8</v>
      </c>
      <c r="AE1" s="19" t="s">
        <v>8</v>
      </c>
      <c r="AF1" s="641" t="s">
        <v>8</v>
      </c>
      <c r="AG1" s="19" t="s">
        <v>12</v>
      </c>
      <c r="AH1" s="19" t="s">
        <v>214</v>
      </c>
      <c r="AI1" s="641" t="s">
        <v>12</v>
      </c>
      <c r="AJ1" s="19" t="s">
        <v>8</v>
      </c>
      <c r="AK1" s="19" t="s">
        <v>8</v>
      </c>
      <c r="AL1" s="19" t="s">
        <v>8</v>
      </c>
      <c r="AM1" s="19" t="s">
        <v>12</v>
      </c>
      <c r="AN1" s="19" t="s">
        <v>12</v>
      </c>
      <c r="AO1" s="19" t="s">
        <v>12</v>
      </c>
      <c r="AP1" s="641" t="s">
        <v>12</v>
      </c>
      <c r="AQ1" s="19" t="s">
        <v>12</v>
      </c>
      <c r="AR1" s="641" t="s">
        <v>12</v>
      </c>
      <c r="AS1" s="19" t="s">
        <v>12</v>
      </c>
      <c r="AT1" s="19" t="s">
        <v>12</v>
      </c>
      <c r="AU1" s="19" t="s">
        <v>12</v>
      </c>
      <c r="AV1" s="19" t="s">
        <v>12</v>
      </c>
      <c r="AW1" s="19" t="s">
        <v>18</v>
      </c>
      <c r="AX1" s="19" t="s">
        <v>16</v>
      </c>
      <c r="AY1" s="642" t="s">
        <v>844</v>
      </c>
      <c r="AZ1" s="642" t="s">
        <v>845</v>
      </c>
      <c r="BA1" s="642" t="s">
        <v>846</v>
      </c>
      <c r="BB1" s="19" t="s">
        <v>265</v>
      </c>
    </row>
    <row r="2" spans="1:70" ht="90" x14ac:dyDescent="0.25">
      <c r="A2" s="177" t="str">
        <f>'Cost Allocation - Tier 1'!A2</f>
        <v>Detail</v>
      </c>
      <c r="B2" s="644" t="str">
        <f>'Cost Allocation - Tier 1'!B2</f>
        <v>Allocation</v>
      </c>
      <c r="C2" s="644"/>
      <c r="D2" s="645" t="str">
        <f>'Cost Allocation - Tier 1'!D2</f>
        <v>Amount (2019A 4Q) in CDN</v>
      </c>
      <c r="E2" s="645" t="str">
        <f>'Cost Allocation - Tier 1'!E2</f>
        <v>Amount (2019A 4Q) in USD</v>
      </c>
      <c r="F2" s="645" t="str">
        <f>'Cost Allocation - Tier 1'!F2</f>
        <v>Consulting/Pass through (USD)</v>
      </c>
      <c r="G2" s="645" t="s">
        <v>851</v>
      </c>
      <c r="H2" s="882" t="str">
        <f>'Cost Allocation - Tier 1'!H2</f>
        <v>Tribus</v>
      </c>
      <c r="I2" s="647" t="str">
        <f>'Cost Allocation - Tier 1'!I2</f>
        <v>Total Contract</v>
      </c>
      <c r="J2" s="882" t="str">
        <f>'Cost Allocation - Tier 1'!J2</f>
        <v>Panorama - Wastewater Treatment Plant</v>
      </c>
      <c r="K2" s="648" t="str">
        <f>'Cost Allocation - Tier 1'!K2</f>
        <v>Panorama - Propane Storage Farm</v>
      </c>
      <c r="L2" s="648" t="str">
        <f>'Cost Allocation - Tier 1'!L2</f>
        <v>Panorama - Propane Distribution</v>
      </c>
      <c r="M2" s="648" t="str">
        <f>'Cost Allocation - Tier 1'!M2</f>
        <v>Panorama - Water</v>
      </c>
      <c r="N2" s="648" t="str">
        <f>'Cost Allocation - Tier 1'!N2</f>
        <v>Panorama - Sewer</v>
      </c>
      <c r="O2" s="648" t="str">
        <f>'Cost Allocation - Tier 1'!O2</f>
        <v>Sun Rivers - Electric</v>
      </c>
      <c r="P2" s="648" t="str">
        <f>'Cost Allocation - Tier 1'!P2</f>
        <v>Sun Rivers - Gas</v>
      </c>
      <c r="Q2" s="648" t="str">
        <f>'Cost Allocation - Tier 1'!Q2</f>
        <v>Sun Rivers - Domestic Water</v>
      </c>
      <c r="R2" s="648" t="str">
        <f>'Cost Allocation - Tier 1'!R2</f>
        <v>Sun Rivers - Irrigation Water</v>
      </c>
      <c r="S2" s="648" t="str">
        <f>'Cost Allocation - Tier 1'!S2</f>
        <v>Sun Rivers - Sewer</v>
      </c>
      <c r="T2" s="648" t="str">
        <f>'Cost Allocation - Tier 1'!T2</f>
        <v>Sun Rivers - Geothermal</v>
      </c>
      <c r="U2" s="648" t="str">
        <f>'Cost Allocation - Tier 1'!U2</f>
        <v>Sun Rivers - Municipal</v>
      </c>
      <c r="V2" s="648" t="str">
        <f>'Cost Allocation - Tier 1'!V2</f>
        <v>Foothills - Wastewater</v>
      </c>
      <c r="W2" s="648" t="str">
        <f>'Cost Allocation - Tier 1'!W2</f>
        <v>Foothills - Water</v>
      </c>
      <c r="X2" s="648" t="str">
        <f>'Cost Allocation - Tier 1'!X2</f>
        <v>Sage Meadows - Wastewater</v>
      </c>
      <c r="Y2" s="648" t="str">
        <f>'Cost Allocation - Tier 1'!Y2</f>
        <v>Sage Meadows - Water</v>
      </c>
      <c r="Z2" s="648" t="str">
        <f>'Cost Allocation - Tier 1'!Z2</f>
        <v>Canadian Lakeview Estates (in Adventure Bay) - Wastewater</v>
      </c>
      <c r="AA2" s="648" t="str">
        <f>'Cost Allocation - Tier 1'!AA2</f>
        <v>Canadian Lakeview Estates (in Adventure Bay) - Water</v>
      </c>
      <c r="AB2" s="648" t="str">
        <f>'Cost Allocation - Tier 1'!AB2</f>
        <v>Cultus Lake - Water</v>
      </c>
      <c r="AC2" s="648" t="str">
        <f>'Cost Allocation - Tier 1'!AC2</f>
        <v>Cultus Lake - Wastewater</v>
      </c>
      <c r="AD2" s="648" t="str">
        <f>'Cost Allocation - Tier 1'!AD2</f>
        <v>Sonoma Pines - Electric</v>
      </c>
      <c r="AE2" s="648" t="str">
        <f>'Cost Allocation - Tier 1'!AE2</f>
        <v>Sonoma Pines - Gas</v>
      </c>
      <c r="AF2" s="648" t="str">
        <f>'Cost Allocation - Tier 1'!AF2</f>
        <v>Dockside Green - Energy</v>
      </c>
      <c r="AG2" s="648" t="str">
        <f>'Cost Allocation - Tier 1'!AG2</f>
        <v>Dockside Green  - Wastewater and Admin</v>
      </c>
      <c r="AH2" s="648" t="str">
        <f>'Cost Allocation - Tier 1'!AH2</f>
        <v>West Shore Environmental Services</v>
      </c>
      <c r="AI2" s="648" t="str">
        <f>'Cost Allocation - Tier 1'!AI2</f>
        <v>Rise</v>
      </c>
      <c r="AJ2" s="648" t="str">
        <f>'Cost Allocation - Tier 1'!AJ2</f>
        <v>UBC</v>
      </c>
      <c r="AK2" s="648" t="str">
        <f>'Cost Allocation - Tier 1'!AK2</f>
        <v>SFU UniverCity</v>
      </c>
      <c r="AL2" s="648" t="str">
        <f>'Cost Allocation - Tier 1'!AL2</f>
        <v>SFU Biomass</v>
      </c>
      <c r="AM2" s="648" t="str">
        <f>'Cost Allocation - Tier 1'!AM2</f>
        <v>Riverport</v>
      </c>
      <c r="AN2" s="648" t="str">
        <f>'Cost Allocation - Tier 1'!AN2</f>
        <v>RG GAAP - Related to LIEC</v>
      </c>
      <c r="AO2" s="648" t="str">
        <f>'Cost Allocation - Tier 1'!AO2</f>
        <v>LIEC</v>
      </c>
      <c r="AP2" s="648" t="str">
        <f>'Cost Allocation - Tier 1'!AP2</f>
        <v>Beaver Barracks</v>
      </c>
      <c r="AQ2" s="648" t="str">
        <f>'Cost Allocation - Tier 1'!AQ2</f>
        <v>Coastal Ops</v>
      </c>
      <c r="AR2" s="648" t="str">
        <f>'Cost Allocation - Tier 1'!AR2</f>
        <v>Island Ops</v>
      </c>
      <c r="AS2" s="648" t="str">
        <f>'Cost Allocation - Tier 1'!AS2</f>
        <v>Kamloops Ops</v>
      </c>
      <c r="AT2" s="648" t="str">
        <f>'Cost Allocation - Tier 1'!AT2</f>
        <v>Kootenay Ops</v>
      </c>
      <c r="AU2" s="648" t="str">
        <f>'Cost Allocation - Tier 1'!AU2</f>
        <v>Alberta Ops (North)</v>
      </c>
      <c r="AV2" s="648" t="str">
        <f>'Cost Allocation - Tier 1'!AV2</f>
        <v>Alberta Ops (South)</v>
      </c>
      <c r="AW2" s="649" t="str">
        <f>'Cost Allocation - Tier 1'!AW2</f>
        <v>Corix Water Services Inc. (See note)</v>
      </c>
      <c r="AX2" s="648" t="str">
        <f>'Cost Allocation - Tier 1'!AX2</f>
        <v>Corix Energy Inc.</v>
      </c>
      <c r="AY2" s="648" t="str">
        <f>'Cost Allocation - Tier 1'!AY2</f>
        <v>Oklahoma</v>
      </c>
      <c r="AZ2" s="648" t="str">
        <f>'Cost Allocation - Tier 1'!AZ2</f>
        <v>Gillem Enclave</v>
      </c>
      <c r="BA2" s="648" t="str">
        <f>'Cost Allocation - Tier 1'!BA2</f>
        <v>Cleveland Thermal</v>
      </c>
      <c r="BB2" s="650" t="str">
        <f>'Cost Allocation - Tier 1'!BB2</f>
        <v>Shareholder Bucket</v>
      </c>
      <c r="BC2" s="647" t="str">
        <f>'Cost Allocation - Tier 1'!BC2</f>
        <v>Total Regulated</v>
      </c>
      <c r="BD2" s="648" t="str">
        <f>'Cost Allocation - Tier 1'!BD2</f>
        <v>Atlantic</v>
      </c>
      <c r="BE2" s="648" t="str">
        <f>'Cost Allocation - Tier 1'!BE2</f>
        <v>Midwest</v>
      </c>
      <c r="BF2" s="648" t="str">
        <f>'Cost Allocation - Tier 1'!BF2</f>
        <v>South Carolina</v>
      </c>
      <c r="BG2" s="648" t="str">
        <f>'Cost Allocation - Tier 1'!BG2</f>
        <v>Florida</v>
      </c>
      <c r="BH2" s="648" t="str">
        <f>'Cost Allocation - Tier 1'!BH2</f>
        <v>South</v>
      </c>
      <c r="BI2" s="648" t="str">
        <f>'Cost Allocation - Tier 1'!BI2</f>
        <v>West</v>
      </c>
      <c r="BJ2" s="648" t="str">
        <f>'Cost Allocation - Tier 1'!BJ2</f>
        <v>Texas</v>
      </c>
      <c r="BK2" s="650" t="str">
        <f>'Cost Allocation - Tier 1'!BK2</f>
        <v>Alaska</v>
      </c>
      <c r="BL2" s="177" t="str">
        <f>'Cost Allocation - Tier 1'!BL2</f>
        <v>Total</v>
      </c>
      <c r="BM2" s="177" t="str">
        <f>'Cost Allocation - Tier 1'!BM2</f>
        <v>Check</v>
      </c>
      <c r="BN2" s="177" t="s">
        <v>936</v>
      </c>
      <c r="BP2" s="177" t="s">
        <v>937</v>
      </c>
      <c r="BQ2" s="177" t="s">
        <v>116</v>
      </c>
      <c r="BR2" s="177" t="s">
        <v>938</v>
      </c>
    </row>
    <row r="3" spans="1:70" x14ac:dyDescent="0.25">
      <c r="A3" s="199" t="str">
        <f>'Cost Allocation - Tier 1'!A3</f>
        <v>Corporate cost allocation</v>
      </c>
      <c r="B3" s="653"/>
      <c r="C3" s="653"/>
      <c r="D3" s="656"/>
      <c r="E3" s="656"/>
      <c r="F3" s="656"/>
      <c r="G3" s="656"/>
      <c r="H3" s="656"/>
      <c r="I3" s="658"/>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61"/>
      <c r="AX3" s="656"/>
      <c r="AY3" s="656"/>
      <c r="AZ3" s="656"/>
      <c r="BA3" s="656"/>
      <c r="BB3" s="656"/>
      <c r="BC3" s="658"/>
      <c r="BD3" s="656"/>
      <c r="BE3" s="656"/>
      <c r="BF3" s="656"/>
      <c r="BG3" s="656"/>
      <c r="BH3" s="656"/>
      <c r="BI3" s="656"/>
      <c r="BJ3" s="656"/>
      <c r="BK3" s="656"/>
    </row>
    <row r="4" spans="1:70" x14ac:dyDescent="0.25">
      <c r="A4" s="1"/>
      <c r="B4" s="653"/>
      <c r="C4" s="653"/>
      <c r="D4" s="656"/>
      <c r="E4" s="656"/>
      <c r="F4" s="656"/>
      <c r="G4" s="656"/>
      <c r="H4" s="656"/>
      <c r="I4" s="658"/>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6"/>
      <c r="AO4" s="656"/>
      <c r="AP4" s="656"/>
      <c r="AQ4" s="656"/>
      <c r="AR4" s="656"/>
      <c r="AS4" s="656"/>
      <c r="AT4" s="656"/>
      <c r="AU4" s="656"/>
      <c r="AV4" s="656"/>
      <c r="AW4" s="661"/>
      <c r="AX4" s="656"/>
      <c r="AY4" s="656"/>
      <c r="AZ4" s="656"/>
      <c r="BA4" s="656"/>
      <c r="BB4" s="656"/>
      <c r="BC4" s="658"/>
      <c r="BD4" s="656"/>
      <c r="BE4" s="656"/>
      <c r="BF4" s="656"/>
      <c r="BG4" s="656"/>
      <c r="BH4" s="656"/>
      <c r="BI4" s="656"/>
      <c r="BJ4" s="656"/>
      <c r="BK4" s="661"/>
    </row>
    <row r="5" spans="1:70" x14ac:dyDescent="0.25">
      <c r="A5" s="177" t="str">
        <f>'Cost Allocation - Tier 1'!A5</f>
        <v>6300 - BD ($Cdn)</v>
      </c>
      <c r="B5" s="3" t="str">
        <f>'Cost Allocation - Tier 1'!B5</f>
        <v>ALL</v>
      </c>
      <c r="D5" s="664">
        <f>'Cost Allocation - Tier 1'!D5</f>
        <v>1385820</v>
      </c>
      <c r="E5" s="664">
        <f>'Cost Allocation - Tier 1'!E5</f>
        <v>1044459.3504819758</v>
      </c>
      <c r="F5" s="775">
        <f>'Cost Allocation - Tier 1'!F5</f>
        <v>422923.05721154937</v>
      </c>
      <c r="G5" s="775"/>
      <c r="H5" s="351">
        <f>'Cost Allocation - Tier 1'!H5</f>
        <v>0</v>
      </c>
      <c r="I5" s="666">
        <f>SUM(J5:BB5)</f>
        <v>397780.77148981957</v>
      </c>
      <c r="J5" s="73">
        <f>'Cost Allocation - Tier 1'!J5</f>
        <v>2500.9860705461078</v>
      </c>
      <c r="K5" s="73">
        <f>'Cost Allocation - Tier 1'!K5</f>
        <v>742.03831025678642</v>
      </c>
      <c r="L5" s="73">
        <f>'Cost Allocation - Tier 1'!L5</f>
        <v>779.2527557091064</v>
      </c>
      <c r="M5" s="73">
        <f>'Cost Allocation - Tier 1'!M5</f>
        <v>744.58718850795503</v>
      </c>
      <c r="N5" s="73">
        <f>'Cost Allocation - Tier 1'!N5</f>
        <v>1303.7074461582906</v>
      </c>
      <c r="O5" s="73">
        <f>'Cost Allocation - Tier 1'!O5</f>
        <v>2984.6466321559101</v>
      </c>
      <c r="P5" s="73">
        <f>'Cost Allocation - Tier 1'!P5</f>
        <v>361.03340994818473</v>
      </c>
      <c r="Q5" s="73">
        <f>'Cost Allocation - Tier 1'!Q5</f>
        <v>955.87933167539995</v>
      </c>
      <c r="R5" s="73">
        <f>'Cost Allocation - Tier 1'!R5</f>
        <v>817.55397514017329</v>
      </c>
      <c r="S5" s="73">
        <f>'Cost Allocation - Tier 1'!S5</f>
        <v>841.08954593361466</v>
      </c>
      <c r="T5" s="73">
        <f>'Cost Allocation - Tier 1'!T5</f>
        <v>3046.4271424923859</v>
      </c>
      <c r="U5" s="73">
        <f>'Cost Allocation - Tier 1'!U5</f>
        <v>2432.2646042526662</v>
      </c>
      <c r="V5" s="73">
        <f>'Cost Allocation - Tier 1'!V5</f>
        <v>1930.3101011809265</v>
      </c>
      <c r="W5" s="73">
        <f>'Cost Allocation - Tier 1'!W5</f>
        <v>3095.37780885044</v>
      </c>
      <c r="X5" s="73">
        <f>'Cost Allocation - Tier 1'!X5</f>
        <v>76.551791983703822</v>
      </c>
      <c r="Y5" s="73">
        <f>'Cost Allocation - Tier 1'!Y5</f>
        <v>60.397442429267734</v>
      </c>
      <c r="Z5" s="73">
        <f>'Cost Allocation - Tier 1'!Z5</f>
        <v>292.10410263662982</v>
      </c>
      <c r="AA5" s="73">
        <f>'Cost Allocation - Tier 1'!AA5</f>
        <v>267.01446322757261</v>
      </c>
      <c r="AB5" s="73">
        <f>'Cost Allocation - Tier 1'!AB5</f>
        <v>160.65097802287329</v>
      </c>
      <c r="AC5" s="73">
        <f>'Cost Allocation - Tier 1'!AC5</f>
        <v>164.25866656095386</v>
      </c>
      <c r="AD5" s="73">
        <f>'Cost Allocation - Tier 1'!AD5</f>
        <v>931.59282304350882</v>
      </c>
      <c r="AE5" s="73">
        <f>'Cost Allocation - Tier 1'!AE5</f>
        <v>373.72502144135927</v>
      </c>
      <c r="AF5" s="73">
        <f>'Cost Allocation - Tier 1'!AF5</f>
        <v>972.29201129154785</v>
      </c>
      <c r="AG5" s="73">
        <f>'Cost Allocation - Tier 1'!AG5</f>
        <v>3018.9400963201369</v>
      </c>
      <c r="AH5" s="73">
        <f>'Cost Allocation - Tier 1'!AH5</f>
        <v>24742.012238331092</v>
      </c>
      <c r="AI5" s="73">
        <f>'Cost Allocation - Tier 1'!AI5</f>
        <v>171.75438573398915</v>
      </c>
      <c r="AJ5" s="73">
        <f>'Cost Allocation - Tier 1'!AJ5</f>
        <v>3643.8668669185922</v>
      </c>
      <c r="AK5" s="73">
        <f>'Cost Allocation - Tier 1'!AK5</f>
        <v>3133.5261619562066</v>
      </c>
      <c r="AL5" s="73">
        <f>'Cost Allocation - Tier 1'!AL5</f>
        <v>0</v>
      </c>
      <c r="AM5" s="73">
        <f>'Cost Allocation - Tier 1'!AM5</f>
        <v>382.44436797241468</v>
      </c>
      <c r="AN5" s="73">
        <f>'Cost Allocation - Tier 1'!AN5</f>
        <v>646.61152669279977</v>
      </c>
      <c r="AO5" s="73">
        <f>'Cost Allocation - Tier 1'!AO5</f>
        <v>3809.8968049035643</v>
      </c>
      <c r="AP5" s="73">
        <f>'Cost Allocation - Tier 1'!AP5</f>
        <v>577.09658971013187</v>
      </c>
      <c r="AQ5" s="73">
        <f>'Cost Allocation - Tier 1'!AQ5</f>
        <v>3620.2988696464322</v>
      </c>
      <c r="AR5" s="73">
        <f>'Cost Allocation - Tier 1'!AR5</f>
        <v>10.950451869213799</v>
      </c>
      <c r="AS5" s="73">
        <f>'Cost Allocation - Tier 1'!AS5</f>
        <v>5335.7323089793181</v>
      </c>
      <c r="AT5" s="73">
        <f>'Cost Allocation - Tier 1'!AT5</f>
        <v>4426.0971571226601</v>
      </c>
      <c r="AU5" s="73">
        <f>'Cost Allocation - Tier 1'!AU5</f>
        <v>6189.1598988351343</v>
      </c>
      <c r="AV5" s="73">
        <f>'Cost Allocation - Tier 1'!AV5</f>
        <v>8697.98582449692</v>
      </c>
      <c r="AW5" s="73">
        <f>'Cost Allocation - Tier 1'!AW5</f>
        <v>22277.562520793916</v>
      </c>
      <c r="AX5" s="73">
        <f>'Cost Allocation - Tier 1'!AX5</f>
        <v>232.30125255276607</v>
      </c>
      <c r="AY5" s="73">
        <f>'Cost Allocation - Tier 1'!AY5</f>
        <v>71663.949102036189</v>
      </c>
      <c r="AZ5" s="73">
        <f>'Cost Allocation - Tier 1'!AZ5</f>
        <v>2410.0699758139117</v>
      </c>
      <c r="BA5" s="73">
        <f>'Cost Allocation - Tier 1'!BA5</f>
        <v>43457.156325811404</v>
      </c>
      <c r="BB5" s="73">
        <f>'Cost Allocation - Tier 1'!BB5</f>
        <v>163499.6171398774</v>
      </c>
      <c r="BC5" s="694">
        <f>'Cost Allocation - Tier 1'!BC5</f>
        <v>646678.57899215631</v>
      </c>
      <c r="BD5" s="883">
        <f>($BC$5-$BK$5)*(VLOOKUP('Cost Allocation - Tier 2'!BD2,'RU Composites'!$B$5:$L$12,11,FALSE))</f>
        <v>103013.61772527119</v>
      </c>
      <c r="BE5" s="883">
        <f>($BC$5-$BK$5)*(VLOOKUP('Cost Allocation - Tier 2'!BE2,'RU Composites'!$B$5:$L$12,11,FALSE))</f>
        <v>95759.855428324721</v>
      </c>
      <c r="BF5" s="883">
        <f>($BC$5-$BK$5)*(VLOOKUP('Cost Allocation - Tier 2'!BF2,'RU Composites'!$B$5:$L$12,11,FALSE))</f>
        <v>54088.569091407873</v>
      </c>
      <c r="BG5" s="883">
        <f>($BC$5-$BK$5)*(VLOOKUP('Cost Allocation - Tier 2'!BG2,'RU Composites'!$B$5:$L$12,11,FALSE))</f>
        <v>121211.80767220262</v>
      </c>
      <c r="BH5" s="883">
        <f>($BC$5-$BK$5)*(VLOOKUP('Cost Allocation - Tier 2'!BH2,'RU Composites'!$B$5:$L$12,11,FALSE))</f>
        <v>90758.904689428484</v>
      </c>
      <c r="BI5" s="883">
        <f>($BC$5-$BK$5)*(VLOOKUP('Cost Allocation - Tier 2'!BI2,'RU Composites'!$B$5:$L$12,11,FALSE))</f>
        <v>59606.957371216085</v>
      </c>
      <c r="BJ5" s="883">
        <f>($BC$5-$BK$5)*(VLOOKUP('Cost Allocation - Tier 2'!BJ2,'RU Composites'!$B$5:$L$12,11,FALSE))</f>
        <v>18912.525763566773</v>
      </c>
      <c r="BK5" s="81">
        <f>'Cost Allocation - Tier 1'!BK5</f>
        <v>103326.34125073854</v>
      </c>
      <c r="BL5" s="76">
        <f>BC5+I5+H5</f>
        <v>1044459.3504819758</v>
      </c>
      <c r="BM5" s="76">
        <f>BL5-E5</f>
        <v>0</v>
      </c>
      <c r="BN5" s="76">
        <f>SUM(BD5:BK5)-BC5</f>
        <v>0</v>
      </c>
    </row>
    <row r="6" spans="1:70" x14ac:dyDescent="0.25">
      <c r="A6" s="177" t="str">
        <f>'Cost Allocation - Tier 1'!A6</f>
        <v>6300 - BD ($Usd)</v>
      </c>
      <c r="B6" s="3" t="str">
        <f>'Cost Allocation - Tier 1'!B6</f>
        <v>ALL</v>
      </c>
      <c r="D6" s="664">
        <f>'Cost Allocation - Tier 1'!D6</f>
        <v>626121.78918999992</v>
      </c>
      <c r="E6" s="664">
        <f>'Cost Allocation - Tier 1'!E6</f>
        <v>471893</v>
      </c>
      <c r="F6" s="775">
        <f>'Cost Allocation - Tier 1'!F6</f>
        <v>0</v>
      </c>
      <c r="G6" s="775"/>
      <c r="H6" s="351">
        <f>'Cost Allocation - Tier 1'!H6</f>
        <v>0</v>
      </c>
      <c r="I6" s="666">
        <f t="shared" ref="I6" si="0">SUM(J6:BB6)</f>
        <v>179719.73874715646</v>
      </c>
      <c r="J6" s="73">
        <f>'Cost Allocation - Tier 1'!J6</f>
        <v>1129.960509467028</v>
      </c>
      <c r="K6" s="73">
        <f>'Cost Allocation - Tier 1'!K6</f>
        <v>335.25735987754791</v>
      </c>
      <c r="L6" s="73">
        <f>'Cost Allocation - Tier 1'!L6</f>
        <v>352.0710695731218</v>
      </c>
      <c r="M6" s="73">
        <f>'Cost Allocation - Tier 1'!M6</f>
        <v>336.4089583615135</v>
      </c>
      <c r="N6" s="73">
        <f>'Cost Allocation - Tier 1'!N6</f>
        <v>589.02284479149853</v>
      </c>
      <c r="O6" s="73">
        <f>'Cost Allocation - Tier 1'!O6</f>
        <v>1348.4812525619245</v>
      </c>
      <c r="P6" s="73">
        <f>'Cost Allocation - Tier 1'!P6</f>
        <v>163.11706036435046</v>
      </c>
      <c r="Q6" s="73">
        <f>'Cost Allocation - Tier 1'!Q6</f>
        <v>431.87201613365579</v>
      </c>
      <c r="R6" s="73">
        <f>'Cost Allocation - Tier 1'!R6</f>
        <v>369.3757902715808</v>
      </c>
      <c r="S6" s="73">
        <f>'Cost Allocation - Tier 1'!S6</f>
        <v>380.00930234010156</v>
      </c>
      <c r="T6" s="73">
        <f>'Cost Allocation - Tier 1'!T6</f>
        <v>1376.3940577378819</v>
      </c>
      <c r="U6" s="73">
        <f>'Cost Allocation - Tier 1'!U6</f>
        <v>1098.9117387526423</v>
      </c>
      <c r="V6" s="73">
        <f>'Cost Allocation - Tier 1'!V6</f>
        <v>872.12568316443094</v>
      </c>
      <c r="W6" s="73">
        <f>'Cost Allocation - Tier 1'!W6</f>
        <v>1398.5102624413412</v>
      </c>
      <c r="X6" s="73">
        <f>'Cost Allocation - Tier 1'!X6</f>
        <v>34.586558833425222</v>
      </c>
      <c r="Y6" s="73">
        <f>'Cost Allocation - Tier 1'!Y6</f>
        <v>27.287926798800086</v>
      </c>
      <c r="Z6" s="73">
        <f>'Cost Allocation - Tier 1'!Z6</f>
        <v>131.97438583119458</v>
      </c>
      <c r="AA6" s="73">
        <f>'Cost Allocation - Tier 1'!AA6</f>
        <v>120.63873623966693</v>
      </c>
      <c r="AB6" s="73">
        <f>'Cost Allocation - Tier 1'!AB6</f>
        <v>72.583075576052295</v>
      </c>
      <c r="AC6" s="73">
        <f>'Cost Allocation - Tier 1'!AC6</f>
        <v>74.213050899184637</v>
      </c>
      <c r="AD6" s="73">
        <f>'Cost Allocation - Tier 1'!AD6</f>
        <v>420.89922584503387</v>
      </c>
      <c r="AE6" s="73">
        <f>'Cost Allocation - Tier 1'!AE6</f>
        <v>168.85120657079202</v>
      </c>
      <c r="AF6" s="73">
        <f>'Cost Allocation - Tier 1'!AF6</f>
        <v>439.28736323982019</v>
      </c>
      <c r="AG6" s="73">
        <f>'Cost Allocation - Tier 1'!AG6</f>
        <v>1363.9752453892966</v>
      </c>
      <c r="AH6" s="73">
        <f>'Cost Allocation - Tier 1'!AH6</f>
        <v>11178.589550464518</v>
      </c>
      <c r="AI6" s="73">
        <f>'Cost Allocation - Tier 1'!AI6</f>
        <v>77.599661786519675</v>
      </c>
      <c r="AJ6" s="73">
        <f>'Cost Allocation - Tier 1'!AJ6</f>
        <v>1646.3209091261697</v>
      </c>
      <c r="AK6" s="73">
        <f>'Cost Allocation - Tier 1'!AK6</f>
        <v>1415.7459172170222</v>
      </c>
      <c r="AL6" s="73">
        <f>'Cost Allocation - Tier 1'!AL6</f>
        <v>0</v>
      </c>
      <c r="AM6" s="73">
        <f>'Cost Allocation - Tier 1'!AM6</f>
        <v>172.79065963871716</v>
      </c>
      <c r="AN6" s="73">
        <f>'Cost Allocation - Tier 1'!AN6</f>
        <v>292.14296662176417</v>
      </c>
      <c r="AO6" s="73">
        <f>'Cost Allocation - Tier 1'!AO6</f>
        <v>1721.3342310801431</v>
      </c>
      <c r="AP6" s="73">
        <f>'Cost Allocation - Tier 1'!AP6</f>
        <v>260.73570109015247</v>
      </c>
      <c r="AQ6" s="73">
        <f>'Cost Allocation - Tier 1'!AQ6</f>
        <v>1635.6727465800457</v>
      </c>
      <c r="AR6" s="73">
        <f>'Cost Allocation - Tier 1'!AR6</f>
        <v>4.9474798435519221</v>
      </c>
      <c r="AS6" s="73">
        <f>'Cost Allocation - Tier 1'!AS6</f>
        <v>2410.715864929804</v>
      </c>
      <c r="AT6" s="73">
        <f>'Cost Allocation - Tier 1'!AT6</f>
        <v>1999.7372466456052</v>
      </c>
      <c r="AU6" s="73">
        <f>'Cost Allocation - Tier 1'!AU6</f>
        <v>2796.2995695268169</v>
      </c>
      <c r="AV6" s="73">
        <f>'Cost Allocation - Tier 1'!AV6</f>
        <v>3929.8021725644517</v>
      </c>
      <c r="AW6" s="73">
        <f>'Cost Allocation - Tier 1'!AW6</f>
        <v>10065.136384459434</v>
      </c>
      <c r="AX6" s="73">
        <f>'Cost Allocation - Tier 1'!AX6</f>
        <v>104.95509942085981</v>
      </c>
      <c r="AY6" s="73">
        <f>'Cost Allocation - Tier 1'!AY6</f>
        <v>32378.202098532271</v>
      </c>
      <c r="AZ6" s="73">
        <f>'Cost Allocation - Tier 1'!AZ6</f>
        <v>1088.8840724839492</v>
      </c>
      <c r="BA6" s="73">
        <f>'Cost Allocation - Tier 1'!BA6</f>
        <v>19634.203916689443</v>
      </c>
      <c r="BB6" s="73">
        <f>'Cost Allocation - Tier 1'!BB6</f>
        <v>73870.107817393335</v>
      </c>
      <c r="BC6" s="694">
        <f>'Cost Allocation - Tier 1'!BC6</f>
        <v>292173.2612528436</v>
      </c>
      <c r="BD6" s="883">
        <f>($BC$6-$BK$6)*(VLOOKUP('Cost Allocation - Tier 2'!BD2,'RU Composites'!$B$5:$L$12,11,FALSE))</f>
        <v>46542.170441385977</v>
      </c>
      <c r="BE6" s="883">
        <f>($BC$6-$BK$6)*(VLOOKUP('Cost Allocation - Tier 2'!BE2,'RU Composites'!$B$5:$L$12,11,FALSE))</f>
        <v>43264.877122107071</v>
      </c>
      <c r="BF6" s="883">
        <f>($BC$6-$BK$6)*(VLOOKUP('Cost Allocation - Tier 2'!BF2,'RU Composites'!$B$5:$L$12,11,FALSE))</f>
        <v>24437.539979390713</v>
      </c>
      <c r="BG6" s="883">
        <f>($BC$6-$BK$6)*(VLOOKUP('Cost Allocation - Tier 2'!BG2,'RU Composites'!$B$5:$L$12,11,FALSE))</f>
        <v>54764.22182583141</v>
      </c>
      <c r="BH6" s="883">
        <f>($BC$6-$BK$6)*(VLOOKUP('Cost Allocation - Tier 2'!BH2,'RU Composites'!$B$5:$L$12,11,FALSE))</f>
        <v>41005.417578812296</v>
      </c>
      <c r="BI6" s="883">
        <f>($BC$6-$BK$6)*(VLOOKUP('Cost Allocation - Tier 2'!BI2,'RU Composites'!$B$5:$L$12,11,FALSE))</f>
        <v>26930.780907648816</v>
      </c>
      <c r="BJ6" s="883">
        <f>($BC$6-$BK$6)*(VLOOKUP('Cost Allocation - Tier 2'!BJ2,'RU Composites'!$B$5:$L$12,11,FALSE))</f>
        <v>8544.7925915244414</v>
      </c>
      <c r="BK6" s="81">
        <f>'Cost Allocation - Tier 1'!BK6</f>
        <v>46683.460806142873</v>
      </c>
      <c r="BL6" s="76">
        <f t="shared" ref="BL6" si="1">BC6+I6+H6</f>
        <v>471893.00000000006</v>
      </c>
      <c r="BM6" s="76">
        <f t="shared" ref="BM6:BM20" si="2">BL6-E6</f>
        <v>0</v>
      </c>
      <c r="BN6" s="76">
        <f t="shared" ref="BN6:BN21" si="3">SUM(BD6:BK6)-BC6</f>
        <v>0</v>
      </c>
    </row>
    <row r="7" spans="1:70" x14ac:dyDescent="0.25">
      <c r="A7" s="177" t="str">
        <f>'Cost Allocation - Tier 1'!A7</f>
        <v>7501 - Corp Communications</v>
      </c>
      <c r="B7" s="3" t="str">
        <f>'Cost Allocation - Tier 1'!B7</f>
        <v>ALL</v>
      </c>
      <c r="D7" s="664">
        <f>'Cost Allocation - Tier 1'!D7</f>
        <v>375022</v>
      </c>
      <c r="E7" s="664">
        <f>'Cost Allocation - Tier 1'!E7</f>
        <v>282645.10148248082</v>
      </c>
      <c r="F7" s="775">
        <f>'Cost Allocation - Tier 1'!F7</f>
        <v>24702.486377305308</v>
      </c>
      <c r="G7" s="775"/>
      <c r="H7" s="351">
        <f>'Cost Allocation - Tier 1'!H7</f>
        <v>0</v>
      </c>
      <c r="I7" s="666">
        <f t="shared" ref="I7:I20" si="4">SUM(J7:BB7)</f>
        <v>107644.96145650599</v>
      </c>
      <c r="J7" s="73">
        <f>'Cost Allocation - Tier 1'!J7</f>
        <v>676.80131485210381</v>
      </c>
      <c r="K7" s="73">
        <f>'Cost Allocation - Tier 1'!K7</f>
        <v>200.8057981477541</v>
      </c>
      <c r="L7" s="73">
        <f>'Cost Allocation - Tier 1'!L7</f>
        <v>210.87654020835356</v>
      </c>
      <c r="M7" s="73">
        <f>'Cost Allocation - Tier 1'!M7</f>
        <v>201.49555974703088</v>
      </c>
      <c r="N7" s="73">
        <f>'Cost Allocation - Tier 1'!N7</f>
        <v>352.80121074394549</v>
      </c>
      <c r="O7" s="73">
        <f>'Cost Allocation - Tier 1'!O7</f>
        <v>807.68653164507214</v>
      </c>
      <c r="P7" s="73">
        <f>'Cost Allocation - Tier 1'!P7</f>
        <v>97.700618742396671</v>
      </c>
      <c r="Q7" s="73">
        <f>'Cost Allocation - Tier 1'!Q7</f>
        <v>258.67412703206179</v>
      </c>
      <c r="R7" s="73">
        <f>'Cost Allocation - Tier 1'!R7</f>
        <v>221.24137829228766</v>
      </c>
      <c r="S7" s="73">
        <f>'Cost Allocation - Tier 1'!S7</f>
        <v>227.61042826277298</v>
      </c>
      <c r="T7" s="73">
        <f>'Cost Allocation - Tier 1'!T7</f>
        <v>824.40518958579003</v>
      </c>
      <c r="U7" s="73">
        <f>'Cost Allocation - Tier 1'!U7</f>
        <v>658.20433852595829</v>
      </c>
      <c r="V7" s="73">
        <f>'Cost Allocation - Tier 1'!V7</f>
        <v>522.36852893238188</v>
      </c>
      <c r="W7" s="73">
        <f>'Cost Allocation - Tier 1'!W7</f>
        <v>837.65191484515299</v>
      </c>
      <c r="X7" s="73">
        <f>'Cost Allocation - Tier 1'!X7</f>
        <v>20.715970424234445</v>
      </c>
      <c r="Y7" s="73">
        <f>'Cost Allocation - Tier 1'!Y7</f>
        <v>16.344380694973985</v>
      </c>
      <c r="Z7" s="73">
        <f>'Cost Allocation - Tier 1'!Z7</f>
        <v>79.047397770990599</v>
      </c>
      <c r="AA7" s="73">
        <f>'Cost Allocation - Tier 1'!AA7</f>
        <v>72.257795405269619</v>
      </c>
      <c r="AB7" s="73">
        <f>'Cost Allocation - Tier 1'!AB7</f>
        <v>43.474369745056357</v>
      </c>
      <c r="AC7" s="73">
        <f>'Cost Allocation - Tier 1'!AC7</f>
        <v>44.450660007087528</v>
      </c>
      <c r="AD7" s="73">
        <f>'Cost Allocation - Tier 1'!AD7</f>
        <v>252.101862928391</v>
      </c>
      <c r="AE7" s="73">
        <f>'Cost Allocation - Tier 1'!AE7</f>
        <v>101.13514380726316</v>
      </c>
      <c r="AF7" s="73">
        <f>'Cost Allocation - Tier 1'!AF7</f>
        <v>263.11562443793485</v>
      </c>
      <c r="AG7" s="73">
        <f>'Cost Allocation - Tier 1'!AG7</f>
        <v>816.96681589396201</v>
      </c>
      <c r="AH7" s="73">
        <f>'Cost Allocation - Tier 1'!AH7</f>
        <v>6695.5296601603404</v>
      </c>
      <c r="AI7" s="73">
        <f>'Cost Allocation - Tier 1'!AI7</f>
        <v>46.479104967984362</v>
      </c>
      <c r="AJ7" s="73">
        <f>'Cost Allocation - Tier 1'!AJ7</f>
        <v>986.08061664974116</v>
      </c>
      <c r="AK7" s="73">
        <f>'Cost Allocation - Tier 1'!AK7</f>
        <v>847.97538519370516</v>
      </c>
      <c r="AL7" s="73">
        <f>'Cost Allocation - Tier 1'!AL7</f>
        <v>0</v>
      </c>
      <c r="AM7" s="73">
        <f>'Cost Allocation - Tier 1'!AM7</f>
        <v>103.49471920289136</v>
      </c>
      <c r="AN7" s="73">
        <f>'Cost Allocation - Tier 1'!AN7</f>
        <v>174.98199474923669</v>
      </c>
      <c r="AO7" s="73">
        <f>'Cost Allocation - Tier 1'!AO7</f>
        <v>1031.0106071268597</v>
      </c>
      <c r="AP7" s="73">
        <f>'Cost Allocation - Tier 1'!AP7</f>
        <v>156.1702943140329</v>
      </c>
      <c r="AQ7" s="73">
        <f>'Cost Allocation - Tier 1'!AQ7</f>
        <v>979.70279162701104</v>
      </c>
      <c r="AR7" s="73">
        <f>'Cost Allocation - Tier 1'!AR7</f>
        <v>2.9633432631195236</v>
      </c>
      <c r="AS7" s="73">
        <f>'Cost Allocation - Tier 1'!AS7</f>
        <v>1443.9227330952376</v>
      </c>
      <c r="AT7" s="73">
        <f>'Cost Allocation - Tier 1'!AT7</f>
        <v>1197.7629187473513</v>
      </c>
      <c r="AU7" s="73">
        <f>'Cost Allocation - Tier 1'!AU7</f>
        <v>1674.8720061631018</v>
      </c>
      <c r="AV7" s="73">
        <f>'Cost Allocation - Tier 1'!AV7</f>
        <v>2353.7948939072057</v>
      </c>
      <c r="AW7" s="73">
        <f>'Cost Allocation - Tier 1'!AW7</f>
        <v>6028.6155862039632</v>
      </c>
      <c r="AX7" s="73">
        <f>'Cost Allocation - Tier 1'!AX7</f>
        <v>62.863921963056846</v>
      </c>
      <c r="AY7" s="73">
        <f>'Cost Allocation - Tier 1'!AY7</f>
        <v>19393.252745770602</v>
      </c>
      <c r="AZ7" s="73">
        <f>'Cost Allocation - Tier 1'!AZ7</f>
        <v>652.19816604586811</v>
      </c>
      <c r="BA7" s="73">
        <f>'Cost Allocation - Tier 1'!BA7</f>
        <v>11760.10569887752</v>
      </c>
      <c r="BB7" s="73">
        <f>'Cost Allocation - Tier 1'!BB7</f>
        <v>44245.250767798927</v>
      </c>
      <c r="BC7" s="694">
        <f>'Cost Allocation - Tier 1'!BC7</f>
        <v>175000.14002597489</v>
      </c>
      <c r="BD7" s="883">
        <f>($BC$7-$BK$7)*(VLOOKUP('Cost Allocation - Tier 2'!BD2,'RU Composites'!$B$5:$L$12,11,FALSE))</f>
        <v>27876.905331548594</v>
      </c>
      <c r="BE7" s="883">
        <f>($BC$7-$BK$7)*(VLOOKUP('Cost Allocation - Tier 2'!BE2,'RU Composites'!$B$5:$L$12,11,FALSE))</f>
        <v>25913.937237477603</v>
      </c>
      <c r="BF7" s="883">
        <f>($BC$7-$BK$7)*(VLOOKUP('Cost Allocation - Tier 2'!BF2,'RU Composites'!$B$5:$L$12,11,FALSE))</f>
        <v>14637.112581574787</v>
      </c>
      <c r="BG7" s="883">
        <f>($BC$7-$BK$7)*(VLOOKUP('Cost Allocation - Tier 2'!BG2,'RU Composites'!$B$5:$L$12,11,FALSE))</f>
        <v>32801.586451952484</v>
      </c>
      <c r="BH7" s="883">
        <f>($BC$7-$BK$7)*(VLOOKUP('Cost Allocation - Tier 2'!BH2,'RU Composites'!$B$5:$L$12,11,FALSE))</f>
        <v>24560.611013290949</v>
      </c>
      <c r="BI7" s="883">
        <f>($BC$7-$BK$7)*(VLOOKUP('Cost Allocation - Tier 2'!BI2,'RU Composites'!$B$5:$L$12,11,FALSE))</f>
        <v>16130.464538878216</v>
      </c>
      <c r="BJ7" s="883">
        <f>($BC$7-$BK$7)*(VLOOKUP('Cost Allocation - Tier 2'!BJ2,'RU Composites'!$B$5:$L$12,11,FALSE))</f>
        <v>5117.9902418094289</v>
      </c>
      <c r="BK7" s="81">
        <f>'Cost Allocation - Tier 1'!BK7</f>
        <v>27961.532629442838</v>
      </c>
      <c r="BL7" s="76">
        <f>BC7+I7+H7</f>
        <v>282645.10148248088</v>
      </c>
      <c r="BM7" s="76">
        <f t="shared" si="2"/>
        <v>0</v>
      </c>
      <c r="BN7" s="76">
        <f t="shared" si="3"/>
        <v>0</v>
      </c>
    </row>
    <row r="8" spans="1:70" x14ac:dyDescent="0.25">
      <c r="A8" s="177" t="str">
        <f>'Cost Allocation - Tier 1'!A8</f>
        <v xml:space="preserve">8000 - Corporate Functions </v>
      </c>
      <c r="B8" s="3" t="str">
        <f>'Cost Allocation - Tier 1'!B8</f>
        <v>ALL + TRIBUS</v>
      </c>
      <c r="D8" s="664">
        <f>'Cost Allocation - Tier 1'!D8</f>
        <v>4493149.1499999994</v>
      </c>
      <c r="E8" s="664">
        <f>'Cost Allocation - Tier 1'!E8</f>
        <v>3386378.925710151</v>
      </c>
      <c r="F8" s="775">
        <f>'Cost Allocation - Tier 1'!F8</f>
        <v>670672.9573494721</v>
      </c>
      <c r="G8" s="775"/>
      <c r="H8" s="351">
        <f>'Cost Allocation - Tier 1'!H8</f>
        <v>67727.578514203022</v>
      </c>
      <c r="I8" s="666">
        <f t="shared" si="4"/>
        <v>1263903.3702787594</v>
      </c>
      <c r="J8" s="73">
        <f>'Cost Allocation - Tier 1'!J8</f>
        <v>7946.6001127818636</v>
      </c>
      <c r="K8" s="73">
        <f>'Cost Allocation - Tier 1'!K8</f>
        <v>2357.7427277263728</v>
      </c>
      <c r="L8" s="73">
        <f>'Cost Allocation - Tier 1'!L8</f>
        <v>2475.987415256338</v>
      </c>
      <c r="M8" s="73">
        <f>'Cost Allocation - Tier 1'!M8</f>
        <v>2365.8414998214048</v>
      </c>
      <c r="N8" s="73">
        <f>'Cost Allocation - Tier 1'!N8</f>
        <v>4142.3828227935073</v>
      </c>
      <c r="O8" s="73">
        <f>'Cost Allocation - Tier 1'!O8</f>
        <v>9483.3767940679572</v>
      </c>
      <c r="P8" s="73">
        <f>'Cost Allocation - Tier 1'!P8</f>
        <v>1147.1427889983418</v>
      </c>
      <c r="Q8" s="73">
        <f>'Cost Allocation - Tier 1'!Q8</f>
        <v>3037.1983652187823</v>
      </c>
      <c r="R8" s="73">
        <f>'Cost Allocation - Tier 1'!R8</f>
        <v>2597.6852040745453</v>
      </c>
      <c r="S8" s="73">
        <f>'Cost Allocation - Tier 1'!S8</f>
        <v>2672.4668159052376</v>
      </c>
      <c r="T8" s="73">
        <f>'Cost Allocation - Tier 1'!T8</f>
        <v>9679.6773717438482</v>
      </c>
      <c r="U8" s="73">
        <f>'Cost Allocation - Tier 1'!U8</f>
        <v>7728.2454333098776</v>
      </c>
      <c r="V8" s="73">
        <f>'Cost Allocation - Tier 1'!V8</f>
        <v>6133.3418240105811</v>
      </c>
      <c r="W8" s="73">
        <f>'Cost Allocation - Tier 1'!W8</f>
        <v>9835.2125725923361</v>
      </c>
      <c r="X8" s="73">
        <f>'Cost Allocation - Tier 1'!X8</f>
        <v>243.23465291372943</v>
      </c>
      <c r="Y8" s="73">
        <f>'Cost Allocation - Tier 1'!Y8</f>
        <v>191.90603597218504</v>
      </c>
      <c r="Z8" s="73">
        <f>'Cost Allocation - Tier 1'!Z8</f>
        <v>928.12771822012974</v>
      </c>
      <c r="AA8" s="73">
        <f>'Cost Allocation - Tier 1'!AA8</f>
        <v>848.40822929305432</v>
      </c>
      <c r="AB8" s="73">
        <f>'Cost Allocation - Tier 1'!AB8</f>
        <v>510.45029602916611</v>
      </c>
      <c r="AC8" s="73">
        <f>'Cost Allocation - Tier 1'!AC8</f>
        <v>521.91331794729001</v>
      </c>
      <c r="AD8" s="73">
        <f>'Cost Allocation - Tier 1'!AD8</f>
        <v>2960.0307334170102</v>
      </c>
      <c r="AE8" s="73">
        <f>'Cost Allocation - Tier 1'!AE8</f>
        <v>1187.4689477526053</v>
      </c>
      <c r="AF8" s="73">
        <f>'Cost Allocation - Tier 1'!AF8</f>
        <v>3089.3477966869291</v>
      </c>
      <c r="AG8" s="73">
        <f>'Cost Allocation - Tier 1'!AG8</f>
        <v>9592.3403942273198</v>
      </c>
      <c r="AH8" s="73">
        <f>'Cost Allocation - Tier 1'!AH8</f>
        <v>78614.94294553982</v>
      </c>
      <c r="AI8" s="73">
        <f>'Cost Allocation - Tier 1'!AI8</f>
        <v>545.73011705997646</v>
      </c>
      <c r="AJ8" s="73">
        <f>'Cost Allocation - Tier 1'!AJ8</f>
        <v>11577.974462406564</v>
      </c>
      <c r="AK8" s="73">
        <f>'Cost Allocation - Tier 1'!AK8</f>
        <v>9956.4246459672722</v>
      </c>
      <c r="AL8" s="73">
        <f>'Cost Allocation - Tier 1'!AL8</f>
        <v>0</v>
      </c>
      <c r="AM8" s="73">
        <f>'Cost Allocation - Tier 1'!AM8</f>
        <v>1215.1736842735645</v>
      </c>
      <c r="AN8" s="73">
        <f>'Cost Allocation - Tier 1'!AN8</f>
        <v>2054.5349258266992</v>
      </c>
      <c r="AO8" s="73">
        <f>'Cost Allocation - Tier 1'!AO8</f>
        <v>12105.515794785299</v>
      </c>
      <c r="AP8" s="73">
        <f>'Cost Allocation - Tier 1'!AP8</f>
        <v>1833.6590830652594</v>
      </c>
      <c r="AQ8" s="73">
        <f>'Cost Allocation - Tier 1'!AQ8</f>
        <v>11503.089819110613</v>
      </c>
      <c r="AR8" s="73">
        <f>'Cost Allocation - Tier 1'!AR8</f>
        <v>34.793821158670255</v>
      </c>
      <c r="AS8" s="73">
        <f>'Cost Allocation - Tier 1'!AS8</f>
        <v>16953.685375404886</v>
      </c>
      <c r="AT8" s="73">
        <f>'Cost Allocation - Tier 1'!AT8</f>
        <v>14063.422656446171</v>
      </c>
      <c r="AU8" s="73">
        <f>'Cost Allocation - Tier 1'!AU8</f>
        <v>19665.354929133555</v>
      </c>
      <c r="AV8" s="73">
        <f>'Cost Allocation - Tier 1'!AV8</f>
        <v>27636.865294027633</v>
      </c>
      <c r="AW8" s="73">
        <f>'Cost Allocation - Tier 1'!AW8</f>
        <v>70784.432958313118</v>
      </c>
      <c r="AX8" s="73">
        <f>'Cost Allocation - Tier 1'!AX8</f>
        <v>738.11093211410446</v>
      </c>
      <c r="AY8" s="73">
        <f>'Cost Allocation - Tier 1'!AY8</f>
        <v>227704.08548988181</v>
      </c>
      <c r="AZ8" s="73">
        <f>'Cost Allocation - Tier 1'!AZ8</f>
        <v>7657.724514008617</v>
      </c>
      <c r="BA8" s="73">
        <f>'Cost Allocation - Tier 1'!BA8</f>
        <v>138080.19461878302</v>
      </c>
      <c r="BB8" s="73">
        <f>'Cost Allocation - Tier 1'!BB8</f>
        <v>519501.52434069227</v>
      </c>
      <c r="BC8" s="694">
        <f>'Cost Allocation - Tier 1'!BC8</f>
        <v>2054747.9769171893</v>
      </c>
      <c r="BD8" s="883">
        <f>($BC$8-$BK$8)*(VLOOKUP('Cost Allocation - Tier 2'!BD2,'RU Composites'!$B$5:$L$12,11,FALSE))</f>
        <v>327314.10857276764</v>
      </c>
      <c r="BE8" s="883">
        <f>($BC$8-$BK$8)*(VLOOKUP('Cost Allocation - Tier 2'!BE2,'RU Composites'!$B$5:$L$12,11,FALSE))</f>
        <v>304266.10004290764</v>
      </c>
      <c r="BF8" s="883">
        <f>($BC$8-$BK$8)*(VLOOKUP('Cost Allocation - Tier 2'!BF2,'RU Composites'!$B$5:$L$12,11,FALSE))</f>
        <v>171860.30514281805</v>
      </c>
      <c r="BG8" s="883">
        <f>($BC$8-$BK$8)*(VLOOKUP('Cost Allocation - Tier 2'!BG2,'RU Composites'!$B$5:$L$12,11,FALSE))</f>
        <v>385136.79698667536</v>
      </c>
      <c r="BH8" s="883">
        <f>($BC$8-$BK$8)*(VLOOKUP('Cost Allocation - Tier 2'!BH2,'RU Composites'!$B$5:$L$12,11,FALSE))</f>
        <v>288376.14520719287</v>
      </c>
      <c r="BI8" s="883">
        <f>($BC$8-$BK$8)*(VLOOKUP('Cost Allocation - Tier 2'!BI2,'RU Composites'!$B$5:$L$12,11,FALSE))</f>
        <v>189394.35918779825</v>
      </c>
      <c r="BJ8" s="883">
        <f>($BC$8-$BK$8)*(VLOOKUP('Cost Allocation - Tier 2'!BJ2,'RU Composites'!$B$5:$L$12,11,FALSE))</f>
        <v>60092.409604237728</v>
      </c>
      <c r="BK8" s="81">
        <f>'Cost Allocation - Tier 1'!BK8</f>
        <v>328307.75217279192</v>
      </c>
      <c r="BL8" s="76">
        <f>BC8+I8+H8</f>
        <v>3386378.9257101514</v>
      </c>
      <c r="BM8" s="76">
        <f t="shared" si="2"/>
        <v>0</v>
      </c>
      <c r="BN8" s="76">
        <f t="shared" si="3"/>
        <v>0</v>
      </c>
    </row>
    <row r="9" spans="1:70" x14ac:dyDescent="0.25">
      <c r="A9" s="69" t="str">
        <f>'Cost Allocation - Tier 1'!A9</f>
        <v>8000 - Corporate Functions (Vancouver rent)</v>
      </c>
      <c r="B9" s="3" t="str">
        <f>'Cost Allocation - Tier 1'!B9</f>
        <v>PRORATA CORP. ALL</v>
      </c>
      <c r="D9" s="664">
        <f>'Cost Allocation - Tier 1'!D9</f>
        <v>395345.75555555557</v>
      </c>
      <c r="E9" s="664">
        <f>'Cost Allocation - Tier 1'!E9</f>
        <v>297962.62939152383</v>
      </c>
      <c r="F9" s="775">
        <f>'Cost Allocation - Tier 1'!F9</f>
        <v>0</v>
      </c>
      <c r="G9" s="775"/>
      <c r="H9" s="351">
        <f>'Cost Allocation - Tier 1'!H9</f>
        <v>0</v>
      </c>
      <c r="I9" s="666">
        <f t="shared" si="4"/>
        <v>113478.61890441363</v>
      </c>
      <c r="J9" s="73">
        <f>'Cost Allocation - Tier 1'!J9</f>
        <v>713.47954834969266</v>
      </c>
      <c r="K9" s="73">
        <f>'Cost Allocation - Tier 1'!K9</f>
        <v>211.68816759726155</v>
      </c>
      <c r="L9" s="73">
        <f>'Cost Allocation - Tier 1'!L9</f>
        <v>222.30467843916631</v>
      </c>
      <c r="M9" s="73">
        <f>'Cost Allocation - Tier 1'!M9</f>
        <v>212.41530979323747</v>
      </c>
      <c r="N9" s="73">
        <f>'Cost Allocation - Tier 1'!N9</f>
        <v>371.92074390963705</v>
      </c>
      <c r="O9" s="73">
        <f>'Cost Allocation - Tier 1'!O9</f>
        <v>851.45789341763191</v>
      </c>
      <c r="P9" s="73">
        <f>'Cost Allocation - Tier 1'!P9</f>
        <v>102.99535743225219</v>
      </c>
      <c r="Q9" s="73">
        <f>'Cost Allocation - Tier 1'!Q9</f>
        <v>272.69258388618329</v>
      </c>
      <c r="R9" s="73">
        <f>'Cost Allocation - Tier 1'!R9</f>
        <v>233.23122339787253</v>
      </c>
      <c r="S9" s="73">
        <f>'Cost Allocation - Tier 1'!S9</f>
        <v>239.94543449149532</v>
      </c>
      <c r="T9" s="73">
        <f>'Cost Allocation - Tier 1'!T9</f>
        <v>869.08259398306018</v>
      </c>
      <c r="U9" s="73">
        <f>'Cost Allocation - Tier 1'!U9</f>
        <v>693.87473674741648</v>
      </c>
      <c r="V9" s="73">
        <f>'Cost Allocation - Tier 1'!V9</f>
        <v>550.67750891738774</v>
      </c>
      <c r="W9" s="73">
        <f>'Cost Allocation - Tier 1'!W9</f>
        <v>883.04720567597326</v>
      </c>
      <c r="X9" s="73">
        <f>'Cost Allocation - Tier 1'!X9</f>
        <v>21.838641411531881</v>
      </c>
      <c r="Y9" s="73">
        <f>'Cost Allocation - Tier 1'!Y9</f>
        <v>17.230139924970072</v>
      </c>
      <c r="Z9" s="73">
        <f>'Cost Allocation - Tier 1'!Z9</f>
        <v>83.331253090412872</v>
      </c>
      <c r="AA9" s="73">
        <f>'Cost Allocation - Tier 1'!AA9</f>
        <v>76.173698394427703</v>
      </c>
      <c r="AB9" s="73">
        <f>'Cost Allocation - Tier 1'!AB9</f>
        <v>45.830398094407499</v>
      </c>
      <c r="AC9" s="73">
        <f>'Cost Allocation - Tier 1'!AC9</f>
        <v>46.85959694483293</v>
      </c>
      <c r="AD9" s="73">
        <f>'Cost Allocation - Tier 1'!AD9</f>
        <v>265.76414577381547</v>
      </c>
      <c r="AE9" s="73">
        <f>'Cost Allocation - Tier 1'!AE9</f>
        <v>106.61601143853485</v>
      </c>
      <c r="AF9" s="73">
        <f>'Cost Allocation - Tier 1'!AF9</f>
        <v>277.37478159117904</v>
      </c>
      <c r="AG9" s="73">
        <f>'Cost Allocation - Tier 1'!AG9</f>
        <v>861.24110877072508</v>
      </c>
      <c r="AH9" s="73">
        <f>'Cost Allocation - Tier 1'!AH9</f>
        <v>7058.3838610554094</v>
      </c>
      <c r="AI9" s="73">
        <f>'Cost Allocation - Tier 1'!AI9</f>
        <v>48.997970442037406</v>
      </c>
      <c r="AJ9" s="73">
        <f>'Cost Allocation - Tier 1'!AJ9</f>
        <v>1039.5197786478661</v>
      </c>
      <c r="AK9" s="73">
        <f>'Cost Allocation - Tier 1'!AK9</f>
        <v>893.9301410368422</v>
      </c>
      <c r="AL9" s="73">
        <f>'Cost Allocation - Tier 1'!AL9</f>
        <v>0</v>
      </c>
      <c r="AM9" s="73">
        <f>'Cost Allocation - Tier 1'!AM9</f>
        <v>109.10346048839041</v>
      </c>
      <c r="AN9" s="73">
        <f>'Cost Allocation - Tier 1'!AN9</f>
        <v>184.4648818542785</v>
      </c>
      <c r="AO9" s="73">
        <f>'Cost Allocation - Tier 1'!AO9</f>
        <v>1086.8846826595782</v>
      </c>
      <c r="AP9" s="73">
        <f>'Cost Allocation - Tier 1'!AP9</f>
        <v>164.63370949148268</v>
      </c>
      <c r="AQ9" s="73">
        <f>'Cost Allocation - Tier 1'!AQ9</f>
        <v>1032.7963169511861</v>
      </c>
      <c r="AR9" s="73">
        <f>'Cost Allocation - Tier 1'!AR9</f>
        <v>3.1239372125594054</v>
      </c>
      <c r="AS9" s="73">
        <f>'Cost Allocation - Tier 1'!AS9</f>
        <v>1522.1739628058606</v>
      </c>
      <c r="AT9" s="73">
        <f>'Cost Allocation - Tier 1'!AT9</f>
        <v>1262.6738860349501</v>
      </c>
      <c r="AU9" s="73">
        <f>'Cost Allocation - Tier 1'!AU9</f>
        <v>1765.6391857955016</v>
      </c>
      <c r="AV9" s="73">
        <f>'Cost Allocation - Tier 1'!AV9</f>
        <v>2481.3552825022343</v>
      </c>
      <c r="AW9" s="73">
        <f>'Cost Allocation - Tier 1'!AW9</f>
        <v>6355.3273778119801</v>
      </c>
      <c r="AX9" s="73">
        <f>'Cost Allocation - Tier 1'!AX9</f>
        <v>66.270738051821468</v>
      </c>
      <c r="AY9" s="73">
        <f>'Cost Allocation - Tier 1'!AY9</f>
        <v>20444.241029743673</v>
      </c>
      <c r="AZ9" s="73">
        <f>'Cost Allocation - Tier 1'!AZ9</f>
        <v>687.54306874623728</v>
      </c>
      <c r="BA9" s="73">
        <f>'Cost Allocation - Tier 1'!BA9</f>
        <v>12397.427012111097</v>
      </c>
      <c r="BB9" s="73">
        <f>'Cost Allocation - Tier 1'!BB9</f>
        <v>46643.055859497552</v>
      </c>
      <c r="BC9" s="694">
        <f>'Cost Allocation - Tier 1'!BC9</f>
        <v>184484.01048711024</v>
      </c>
      <c r="BD9" s="883">
        <f>($BC$9-$BK$9)*(VLOOKUP('Cost Allocation - Tier 2'!BD2,'RU Composites'!$B$5:$L$12,11,FALSE))</f>
        <v>29387.65245999374</v>
      </c>
      <c r="BE9" s="883">
        <f>($BC$9-$BK$9)*(VLOOKUP('Cost Allocation - Tier 2'!BE2,'RU Composites'!$B$5:$L$12,11,FALSE))</f>
        <v>27318.304250336852</v>
      </c>
      <c r="BF9" s="883">
        <f>($BC$9-$BK$9)*(VLOOKUP('Cost Allocation - Tier 2'!BF2,'RU Composites'!$B$5:$L$12,11,FALSE))</f>
        <v>15430.34897343199</v>
      </c>
      <c r="BG9" s="883">
        <f>($BC$9-$BK$9)*(VLOOKUP('Cost Allocation - Tier 2'!BG2,'RU Composites'!$B$5:$L$12,11,FALSE))</f>
        <v>34579.219297182637</v>
      </c>
      <c r="BH9" s="883">
        <f>($BC$9-$BK$9)*(VLOOKUP('Cost Allocation - Tier 2'!BH2,'RU Composites'!$B$5:$L$12,11,FALSE))</f>
        <v>25891.636538538027</v>
      </c>
      <c r="BI9" s="883">
        <f>($BC$9-$BK$9)*(VLOOKUP('Cost Allocation - Tier 2'!BI2,'RU Composites'!$B$5:$L$12,11,FALSE))</f>
        <v>17004.63090321342</v>
      </c>
      <c r="BJ9" s="883">
        <f>($BC$9-$BK$9)*(VLOOKUP('Cost Allocation - Tier 2'!BJ2,'RU Composites'!$B$5:$L$12,11,FALSE))</f>
        <v>5395.3520568769536</v>
      </c>
      <c r="BK9" s="81">
        <f>'Cost Allocation - Tier 1'!BK9</f>
        <v>29476.866007536621</v>
      </c>
      <c r="BL9" s="76">
        <f t="shared" ref="BL9:BL18" si="5">BC9+I9+H9</f>
        <v>297962.62939152389</v>
      </c>
      <c r="BM9" s="76">
        <f t="shared" si="2"/>
        <v>0</v>
      </c>
      <c r="BN9" s="76">
        <f t="shared" si="3"/>
        <v>0</v>
      </c>
    </row>
    <row r="10" spans="1:70" x14ac:dyDescent="0.25">
      <c r="A10" s="69" t="str">
        <f>'Cost Allocation - Tier 1'!A10</f>
        <v>8000 - Corporate Functions ($Usd)</v>
      </c>
      <c r="B10" s="27" t="str">
        <f>'Cost Allocation - Tier 1'!B10</f>
        <v>ALL CONTRACT</v>
      </c>
      <c r="C10" s="27"/>
      <c r="D10" s="664">
        <f>'Cost Allocation - Tier 1'!D10</f>
        <v>89769.337310000003</v>
      </c>
      <c r="E10" s="664">
        <f>'Cost Allocation - Tier 1'!E10</f>
        <v>67657</v>
      </c>
      <c r="F10" s="775">
        <f>'Cost Allocation - Tier 1'!F10</f>
        <v>0</v>
      </c>
      <c r="G10" s="775"/>
      <c r="H10" s="351">
        <f>'Cost Allocation - Tier 1'!H10</f>
        <v>0</v>
      </c>
      <c r="I10" s="666">
        <f t="shared" si="4"/>
        <v>67657.000000000015</v>
      </c>
      <c r="J10" s="73">
        <f>'Cost Allocation - Tier 1'!J10</f>
        <v>420.87447093143635</v>
      </c>
      <c r="K10" s="73">
        <f>'Cost Allocation - Tier 1'!K10</f>
        <v>121.41183035443066</v>
      </c>
      <c r="L10" s="73">
        <f>'Cost Allocation - Tier 1'!L10</f>
        <v>125.45581892048241</v>
      </c>
      <c r="M10" s="73">
        <f>'Cost Allocation - Tier 1'!M10</f>
        <v>128.83357282527436</v>
      </c>
      <c r="N10" s="73">
        <f>'Cost Allocation - Tier 1'!N10</f>
        <v>214.44711572175271</v>
      </c>
      <c r="O10" s="73">
        <f>'Cost Allocation - Tier 1'!O10</f>
        <v>504.01582081722358</v>
      </c>
      <c r="P10" s="73">
        <f>'Cost Allocation - Tier 1'!P10</f>
        <v>61.459716909396796</v>
      </c>
      <c r="Q10" s="73">
        <f>'Cost Allocation - Tier 1'!Q10</f>
        <v>164.57476986464266</v>
      </c>
      <c r="R10" s="73">
        <f>'Cost Allocation - Tier 1'!R10</f>
        <v>141.26208650708932</v>
      </c>
      <c r="S10" s="73">
        <f>'Cost Allocation - Tier 1'!S10</f>
        <v>144.90377847614585</v>
      </c>
      <c r="T10" s="73">
        <f>'Cost Allocation - Tier 1'!T10</f>
        <v>527.55705099937563</v>
      </c>
      <c r="U10" s="73">
        <f>'Cost Allocation - Tier 1'!U10</f>
        <v>420.33626300915284</v>
      </c>
      <c r="V10" s="73">
        <f>'Cost Allocation - Tier 1'!V10</f>
        <v>328.27216430736985</v>
      </c>
      <c r="W10" s="73">
        <f>'Cost Allocation - Tier 1'!W10</f>
        <v>529.42360392506191</v>
      </c>
      <c r="X10" s="73">
        <f>'Cost Allocation - Tier 1'!X10</f>
        <v>12.83062758378323</v>
      </c>
      <c r="Y10" s="73">
        <f>'Cost Allocation - Tier 1'!Y10</f>
        <v>9.9149797292572401</v>
      </c>
      <c r="Z10" s="73">
        <f>'Cost Allocation - Tier 1'!Z10</f>
        <v>46.791825888221581</v>
      </c>
      <c r="AA10" s="73">
        <f>'Cost Allocation - Tier 1'!AA10</f>
        <v>42.505193954424044</v>
      </c>
      <c r="AB10" s="73">
        <f>'Cost Allocation - Tier 1'!AB10</f>
        <v>25.436455908637395</v>
      </c>
      <c r="AC10" s="73">
        <f>'Cost Allocation - Tier 1'!AC10</f>
        <v>26.899364442383636</v>
      </c>
      <c r="AD10" s="73">
        <f>'Cost Allocation - Tier 1'!AD10</f>
        <v>158.74026425970203</v>
      </c>
      <c r="AE10" s="73">
        <f>'Cost Allocation - Tier 1'!AE10</f>
        <v>62.422015508675123</v>
      </c>
      <c r="AF10" s="73">
        <f>'Cost Allocation - Tier 1'!AF10</f>
        <v>164.02325689578208</v>
      </c>
      <c r="AG10" s="73">
        <f>'Cost Allocation - Tier 1'!AG10</f>
        <v>531.20982242573984</v>
      </c>
      <c r="AH10" s="73">
        <f>'Cost Allocation - Tier 1'!AH10</f>
        <v>4045.0209361551897</v>
      </c>
      <c r="AI10" s="73">
        <f>'Cost Allocation - Tier 1'!AI10</f>
        <v>29.587991085163782</v>
      </c>
      <c r="AJ10" s="73">
        <f>'Cost Allocation - Tier 1'!AJ10</f>
        <v>634.30131211929961</v>
      </c>
      <c r="AK10" s="73">
        <f>'Cost Allocation - Tier 1'!AK10</f>
        <v>539.42256027441658</v>
      </c>
      <c r="AL10" s="73">
        <f>'Cost Allocation - Tier 1'!AL10</f>
        <v>0</v>
      </c>
      <c r="AM10" s="73">
        <f>'Cost Allocation - Tier 1'!AM10</f>
        <v>61.402950376684991</v>
      </c>
      <c r="AN10" s="73">
        <f>'Cost Allocation - Tier 1'!AN10</f>
        <v>105.78012688071635</v>
      </c>
      <c r="AO10" s="73">
        <f>'Cost Allocation - Tier 1'!AO10</f>
        <v>658.33737273632175</v>
      </c>
      <c r="AP10" s="73">
        <f>'Cost Allocation - Tier 1'!AP10</f>
        <v>98.619360667081267</v>
      </c>
      <c r="AQ10" s="73">
        <f>'Cost Allocation - Tier 1'!AQ10</f>
        <v>632.04790475708887</v>
      </c>
      <c r="AR10" s="676">
        <f>'Cost Allocation - Tier 1'!AR10</f>
        <v>1.7124010346157119</v>
      </c>
      <c r="AS10" s="676">
        <f>'Cost Allocation - Tier 1'!AS10</f>
        <v>928.61202696072348</v>
      </c>
      <c r="AT10" s="73">
        <f>'Cost Allocation - Tier 1'!AT10</f>
        <v>776.80705148626987</v>
      </c>
      <c r="AU10" s="73">
        <f>'Cost Allocation - Tier 1'!AU10</f>
        <v>1064.1445440788348</v>
      </c>
      <c r="AV10" s="73">
        <f>'Cost Allocation - Tier 1'!AV10</f>
        <v>1509.2659407749065</v>
      </c>
      <c r="AW10" s="73">
        <f>'Cost Allocation - Tier 1'!AW10</f>
        <v>3851.7640891474334</v>
      </c>
      <c r="AX10" s="73">
        <f>'Cost Allocation - Tier 1'!AX10</f>
        <v>36.326620121699364</v>
      </c>
      <c r="AY10" s="73">
        <f>'Cost Allocation - Tier 1'!AY10</f>
        <v>12394.86308676543</v>
      </c>
      <c r="AZ10" s="73">
        <f>'Cost Allocation - Tier 1'!AZ10</f>
        <v>409.6318366000329</v>
      </c>
      <c r="BA10" s="73">
        <f>'Cost Allocation - Tier 1'!BA10</f>
        <v>7170.0921142448142</v>
      </c>
      <c r="BB10" s="73">
        <f>'Cost Allocation - Tier 1'!BB10</f>
        <v>27795.657903567848</v>
      </c>
      <c r="BC10" s="694">
        <f>'Cost Allocation - Tier 1'!BC10</f>
        <v>0</v>
      </c>
      <c r="BD10" s="883">
        <f>($BC$10-$BK$10)*(VLOOKUP('Cost Allocation - Tier 2'!BD2,'RU Composites'!$B$5:$L$12,11,FALSE))</f>
        <v>0</v>
      </c>
      <c r="BE10" s="883">
        <f>($BC$10-$BK$10)*(VLOOKUP('Cost Allocation - Tier 2'!BE2,'RU Composites'!$B$5:$L$12,11,FALSE))</f>
        <v>0</v>
      </c>
      <c r="BF10" s="883">
        <f>($BC$10-$BK$10)*(VLOOKUP('Cost Allocation - Tier 2'!BF2,'RU Composites'!$B$5:$L$12,11,FALSE))</f>
        <v>0</v>
      </c>
      <c r="BG10" s="883">
        <f>($BC$10-$BK$10)*(VLOOKUP('Cost Allocation - Tier 2'!BG2,'RU Composites'!$B$5:$L$12,11,FALSE))</f>
        <v>0</v>
      </c>
      <c r="BH10" s="883">
        <f>($BC$10-$BK$10)*(VLOOKUP('Cost Allocation - Tier 2'!BH2,'RU Composites'!$B$5:$L$12,11,FALSE))</f>
        <v>0</v>
      </c>
      <c r="BI10" s="883">
        <f>($BC$10-$BK$10)*(VLOOKUP('Cost Allocation - Tier 2'!BI2,'RU Composites'!$B$5:$L$12,11,FALSE))</f>
        <v>0</v>
      </c>
      <c r="BJ10" s="883">
        <f>($BC$10-$BK$10)*(VLOOKUP('Cost Allocation - Tier 2'!BJ2,'RU Composites'!$B$5:$L$12,11,FALSE))</f>
        <v>0</v>
      </c>
      <c r="BK10" s="81">
        <f>'Cost Allocation - Tier 1'!BK10</f>
        <v>0</v>
      </c>
      <c r="BL10" s="76">
        <f t="shared" si="5"/>
        <v>67657.000000000015</v>
      </c>
      <c r="BM10" s="76">
        <f t="shared" si="2"/>
        <v>0</v>
      </c>
      <c r="BN10" s="76">
        <f t="shared" si="3"/>
        <v>0</v>
      </c>
    </row>
    <row r="11" spans="1:70" x14ac:dyDescent="0.25">
      <c r="A11" s="177" t="str">
        <f>'Cost Allocation - Tier 1'!A11</f>
        <v>8020 - Finance</v>
      </c>
      <c r="B11" s="3" t="str">
        <f>'Cost Allocation - Tier 1'!B11</f>
        <v>ALL + TRIBUS</v>
      </c>
      <c r="D11" s="664">
        <f>'Cost Allocation - Tier 1'!D11</f>
        <v>3600346</v>
      </c>
      <c r="E11" s="664">
        <f>'Cost Allocation - Tier 1'!E11</f>
        <v>2713494.5697640241</v>
      </c>
      <c r="F11" s="775">
        <f>'Cost Allocation - Tier 1'!F11</f>
        <v>692935.04066082323</v>
      </c>
      <c r="G11" s="775"/>
      <c r="H11" s="351">
        <f>'Cost Allocation - Tier 1'!H11</f>
        <v>54269.891395280487</v>
      </c>
      <c r="I11" s="666">
        <f t="shared" si="4"/>
        <v>1012761.7160382159</v>
      </c>
      <c r="J11" s="73">
        <f>'Cost Allocation - Tier 1'!J11</f>
        <v>6367.585177904396</v>
      </c>
      <c r="K11" s="73">
        <f>'Cost Allocation - Tier 1'!K11</f>
        <v>1889.2516841553625</v>
      </c>
      <c r="L11" s="73">
        <f>'Cost Allocation - Tier 1'!L11</f>
        <v>1984.0007729475208</v>
      </c>
      <c r="M11" s="73">
        <f>'Cost Allocation - Tier 1'!M11</f>
        <v>1895.7412042544809</v>
      </c>
      <c r="N11" s="73">
        <f>'Cost Allocation - Tier 1'!N11</f>
        <v>3319.2780672578638</v>
      </c>
      <c r="O11" s="73">
        <f>'Cost Allocation - Tier 1'!O11</f>
        <v>7598.9994026829472</v>
      </c>
      <c r="P11" s="73">
        <f>'Cost Allocation - Tier 1'!P11</f>
        <v>919.20183682284926</v>
      </c>
      <c r="Q11" s="73">
        <f>'Cost Allocation - Tier 1'!Q11</f>
        <v>2433.6973068036218</v>
      </c>
      <c r="R11" s="73">
        <f>'Cost Allocation - Tier 1'!R11</f>
        <v>2081.5168207244965</v>
      </c>
      <c r="S11" s="73">
        <f>'Cost Allocation - Tier 1'!S11</f>
        <v>2141.4390863871408</v>
      </c>
      <c r="T11" s="73">
        <f>'Cost Allocation - Tier 1'!T11</f>
        <v>7756.2944258479547</v>
      </c>
      <c r="U11" s="73">
        <f>'Cost Allocation - Tier 1'!U11</f>
        <v>6192.6182737191102</v>
      </c>
      <c r="V11" s="73">
        <f>'Cost Allocation - Tier 1'!V11</f>
        <v>4914.6271279931143</v>
      </c>
      <c r="W11" s="73">
        <f>'Cost Allocation - Tier 1'!W11</f>
        <v>7880.9242833353373</v>
      </c>
      <c r="X11" s="73">
        <f>'Cost Allocation - Tier 1'!X11</f>
        <v>194.90314708990556</v>
      </c>
      <c r="Y11" s="73">
        <f>'Cost Allocation - Tier 1'!Y11</f>
        <v>153.77369099539297</v>
      </c>
      <c r="Z11" s="73">
        <f>'Cost Allocation - Tier 1'!Z11</f>
        <v>743.7057632024015</v>
      </c>
      <c r="AA11" s="73">
        <f>'Cost Allocation - Tier 1'!AA11</f>
        <v>679.82679246299472</v>
      </c>
      <c r="AB11" s="73">
        <f>'Cost Allocation - Tier 1'!AB11</f>
        <v>409.02218469810293</v>
      </c>
      <c r="AC11" s="73">
        <f>'Cost Allocation - Tier 1'!AC11</f>
        <v>418.20746738804655</v>
      </c>
      <c r="AD11" s="73">
        <f>'Cost Allocation - Tier 1'!AD11</f>
        <v>2371.8631309924353</v>
      </c>
      <c r="AE11" s="73">
        <f>'Cost Allocation - Tier 1'!AE11</f>
        <v>951.5150584674675</v>
      </c>
      <c r="AF11" s="73">
        <f>'Cost Allocation - Tier 1'!AF11</f>
        <v>2475.4844789451513</v>
      </c>
      <c r="AG11" s="73">
        <f>'Cost Allocation - Tier 1'!AG11</f>
        <v>7686.311585938508</v>
      </c>
      <c r="AH11" s="73">
        <f>'Cost Allocation - Tier 1'!AH11</f>
        <v>62993.901587754444</v>
      </c>
      <c r="AI11" s="73">
        <f>'Cost Allocation - Tier 1'!AI11</f>
        <v>437.29179211342631</v>
      </c>
      <c r="AJ11" s="73">
        <f>'Cost Allocation - Tier 1'!AJ11</f>
        <v>9277.3937949127794</v>
      </c>
      <c r="AK11" s="73">
        <f>'Cost Allocation - Tier 1'!AK11</f>
        <v>7978.0511288857806</v>
      </c>
      <c r="AL11" s="73">
        <f>'Cost Allocation - Tier 1'!AL11</f>
        <v>0</v>
      </c>
      <c r="AM11" s="73">
        <f>'Cost Allocation - Tier 1'!AM11</f>
        <v>973.71477496570333</v>
      </c>
      <c r="AN11" s="73">
        <f>'Cost Allocation - Tier 1'!AN11</f>
        <v>1646.2922451751806</v>
      </c>
      <c r="AO11" s="73">
        <f>'Cost Allocation - Tier 1'!AO11</f>
        <v>9700.1109722102301</v>
      </c>
      <c r="AP11" s="73">
        <f>'Cost Allocation - Tier 1'!AP11</f>
        <v>1469.3051409338759</v>
      </c>
      <c r="AQ11" s="73">
        <f>'Cost Allocation - Tier 1'!AQ11</f>
        <v>9217.3889704675439</v>
      </c>
      <c r="AR11" s="73">
        <f>'Cost Allocation - Tier 1'!AR11</f>
        <v>27.88017727685132</v>
      </c>
      <c r="AS11" s="73">
        <f>'Cost Allocation - Tier 1'!AS11</f>
        <v>13584.933704370238</v>
      </c>
      <c r="AT11" s="73">
        <f>'Cost Allocation - Tier 1'!AT11</f>
        <v>11268.975459549423</v>
      </c>
      <c r="AU11" s="73">
        <f>'Cost Allocation - Tier 1'!AU11</f>
        <v>15757.785818814024</v>
      </c>
      <c r="AV11" s="73">
        <f>'Cost Allocation - Tier 1'!AV11</f>
        <v>22145.331501824552</v>
      </c>
      <c r="AW11" s="73">
        <f>'Cost Allocation - Tier 1'!AW11</f>
        <v>56719.339055043572</v>
      </c>
      <c r="AX11" s="73">
        <f>'Cost Allocation - Tier 1'!AX11</f>
        <v>591.44592206410232</v>
      </c>
      <c r="AY11" s="73">
        <f>'Cost Allocation - Tier 1'!AY11</f>
        <v>182458.55323479616</v>
      </c>
      <c r="AZ11" s="73">
        <f>'Cost Allocation - Tier 1'!AZ11</f>
        <v>6136.1100873121177</v>
      </c>
      <c r="BA11" s="73">
        <f>'Cost Allocation - Tier 1'!BA11</f>
        <v>110643.21699068391</v>
      </c>
      <c r="BB11" s="73">
        <f>'Cost Allocation - Tier 1'!BB11</f>
        <v>416274.90490804525</v>
      </c>
      <c r="BC11" s="694">
        <f>'Cost Allocation - Tier 1'!BC11</f>
        <v>1646462.9623305281</v>
      </c>
      <c r="BD11" s="883">
        <f>($BC$11-$BK$11)*(VLOOKUP('Cost Allocation - Tier 2'!BD2,'RU Composites'!$B$5:$L$12,11,FALSE))</f>
        <v>262275.74518498447</v>
      </c>
      <c r="BE11" s="883">
        <f>($BC$11-$BK$11)*(VLOOKUP('Cost Allocation - Tier 2'!BE2,'RU Composites'!$B$5:$L$12,11,FALSE))</f>
        <v>243807.44988736513</v>
      </c>
      <c r="BF11" s="883">
        <f>($BC$11-$BK$11)*(VLOOKUP('Cost Allocation - Tier 2'!BF2,'RU Composites'!$B$5:$L$12,11,FALSE))</f>
        <v>137711.11118795697</v>
      </c>
      <c r="BG11" s="883">
        <f>($BC$11-$BK$11)*(VLOOKUP('Cost Allocation - Tier 2'!BG2,'RU Composites'!$B$5:$L$12,11,FALSE))</f>
        <v>308608.87991750473</v>
      </c>
      <c r="BH11" s="883">
        <f>($BC$11-$BK$11)*(VLOOKUP('Cost Allocation - Tier 2'!BH2,'RU Composites'!$B$5:$L$12,11,FALSE))</f>
        <v>231074.88005203116</v>
      </c>
      <c r="BI11" s="883">
        <f>($BC$11-$BK$11)*(VLOOKUP('Cost Allocation - Tier 2'!BI2,'RU Composites'!$B$5:$L$12,11,FALSE))</f>
        <v>151761.09244545168</v>
      </c>
      <c r="BJ11" s="883">
        <f>($BC$11-$BK$11)*(VLOOKUP('Cost Allocation - Tier 2'!BJ2,'RU Composites'!$B$5:$L$12,11,FALSE))</f>
        <v>48151.855041130526</v>
      </c>
      <c r="BK11" s="81">
        <f>'Cost Allocation - Tier 1'!BK11</f>
        <v>263071.94861410349</v>
      </c>
      <c r="BL11" s="76">
        <f t="shared" si="5"/>
        <v>2713494.5697640246</v>
      </c>
      <c r="BM11" s="76">
        <f t="shared" si="2"/>
        <v>0</v>
      </c>
      <c r="BN11" s="76">
        <f t="shared" si="3"/>
        <v>0</v>
      </c>
    </row>
    <row r="12" spans="1:70" x14ac:dyDescent="0.25">
      <c r="A12" s="177" t="str">
        <f>'Cost Allocation - Tier 1'!A12</f>
        <v>8030 - IT Governance</v>
      </c>
      <c r="B12" s="3" t="str">
        <f>'Cost Allocation - Tier 1'!B12</f>
        <v>ALL</v>
      </c>
      <c r="D12" s="664">
        <f>'Cost Allocation - Tier 1'!D12</f>
        <v>1603845</v>
      </c>
      <c r="E12" s="664">
        <f>'Cost Allocation - Tier 1'!E12</f>
        <v>1208779.5723642064</v>
      </c>
      <c r="F12" s="775">
        <f>'Cost Allocation - Tier 1'!F12</f>
        <v>660860.84878997307</v>
      </c>
      <c r="G12" s="775"/>
      <c r="H12" s="884">
        <f>'Cost Allocation - Tier 1'!H12</f>
        <v>0</v>
      </c>
      <c r="I12" s="666">
        <f t="shared" si="4"/>
        <v>460361.88065556111</v>
      </c>
      <c r="J12" s="73">
        <f>'Cost Allocation - Tier 1'!J12</f>
        <v>2894.4552714746669</v>
      </c>
      <c r="K12" s="73">
        <f>'Cost Allocation - Tier 1'!K12</f>
        <v>858.77995245688157</v>
      </c>
      <c r="L12" s="73">
        <f>'Cost Allocation - Tier 1'!L12</f>
        <v>901.84918386245818</v>
      </c>
      <c r="M12" s="73">
        <f>'Cost Allocation - Tier 1'!M12</f>
        <v>861.72983457630937</v>
      </c>
      <c r="N12" s="73">
        <f>'Cost Allocation - Tier 1'!N12</f>
        <v>1508.8140371648149</v>
      </c>
      <c r="O12" s="73">
        <f>'Cost Allocation - Tier 1'!O12</f>
        <v>3454.2080340521106</v>
      </c>
      <c r="P12" s="73">
        <f>'Cost Allocation - Tier 1'!P12</f>
        <v>417.83321742964193</v>
      </c>
      <c r="Q12" s="73">
        <f>'Cost Allocation - Tier 1'!Q12</f>
        <v>1106.2636465853659</v>
      </c>
      <c r="R12" s="73">
        <f>'Cost Allocation - Tier 1'!R12</f>
        <v>946.17616664407444</v>
      </c>
      <c r="S12" s="73">
        <f>'Cost Allocation - Tier 1'!S12</f>
        <v>973.41448586244837</v>
      </c>
      <c r="T12" s="73">
        <f>'Cost Allocation - Tier 1'!T12</f>
        <v>3525.7082018954125</v>
      </c>
      <c r="U12" s="73">
        <f>'Cost Allocation - Tier 1'!U12</f>
        <v>2814.9221574285389</v>
      </c>
      <c r="V12" s="73">
        <f>'Cost Allocation - Tier 1'!V12</f>
        <v>2233.9973475837578</v>
      </c>
      <c r="W12" s="73">
        <f>'Cost Allocation - Tier 1'!W12</f>
        <v>3582.3600625158638</v>
      </c>
      <c r="X12" s="73">
        <f>'Cost Allocation - Tier 1'!X12</f>
        <v>88.595350632912982</v>
      </c>
      <c r="Y12" s="73">
        <f>'Cost Allocation - Tier 1'!Y12</f>
        <v>69.899507910817363</v>
      </c>
      <c r="Z12" s="73">
        <f>'Cost Allocation - Tier 1'!Z12</f>
        <v>338.05956364697118</v>
      </c>
      <c r="AA12" s="73">
        <f>'Cost Allocation - Tier 1'!AA12</f>
        <v>309.02268099408741</v>
      </c>
      <c r="AB12" s="73">
        <f>'Cost Allocation - Tier 1'!AB12</f>
        <v>185.92549382105557</v>
      </c>
      <c r="AC12" s="73">
        <f>'Cost Allocation - Tier 1'!AC12</f>
        <v>190.10076421934525</v>
      </c>
      <c r="AD12" s="73">
        <f>'Cost Allocation - Tier 1'!AD12</f>
        <v>1078.1562477624918</v>
      </c>
      <c r="AE12" s="73">
        <f>'Cost Allocation - Tier 1'!AE12</f>
        <v>432.52154465487354</v>
      </c>
      <c r="AF12" s="73">
        <f>'Cost Allocation - Tier 1'!AF12</f>
        <v>1125.2584613080289</v>
      </c>
      <c r="AG12" s="73">
        <f>'Cost Allocation - Tier 1'!AG12</f>
        <v>3493.8967389578515</v>
      </c>
      <c r="AH12" s="73">
        <f>'Cost Allocation - Tier 1'!AH12</f>
        <v>28634.564819663541</v>
      </c>
      <c r="AI12" s="73">
        <f>'Cost Allocation - Tier 1'!AI12</f>
        <v>198.77575210888128</v>
      </c>
      <c r="AJ12" s="73">
        <f>'Cost Allocation - Tier 1'!AJ12</f>
        <v>4217.140505385295</v>
      </c>
      <c r="AK12" s="73">
        <f>'Cost Allocation - Tier 1'!AK12</f>
        <v>3626.5101291817496</v>
      </c>
      <c r="AL12" s="73">
        <f>'Cost Allocation - Tier 1'!AL12</f>
        <v>0</v>
      </c>
      <c r="AM12" s="73">
        <f>'Cost Allocation - Tier 1'!AM12</f>
        <v>442.61266784338329</v>
      </c>
      <c r="AN12" s="73">
        <f>'Cost Allocation - Tier 1'!AN12</f>
        <v>748.34009036427062</v>
      </c>
      <c r="AO12" s="73">
        <f>'Cost Allocation - Tier 1'!AO12</f>
        <v>4409.2912074155065</v>
      </c>
      <c r="AP12" s="73">
        <f>'Cost Allocation - Tier 1'!AP12</f>
        <v>667.88867235546206</v>
      </c>
      <c r="AQ12" s="73">
        <f>'Cost Allocation - Tier 1'!AQ12</f>
        <v>4189.8646581721159</v>
      </c>
      <c r="AR12" s="73">
        <f>'Cost Allocation - Tier 1'!AR12</f>
        <v>12.673238572238246</v>
      </c>
      <c r="AS12" s="73">
        <f>'Cost Allocation - Tier 1'!AS12</f>
        <v>6175.1797384183619</v>
      </c>
      <c r="AT12" s="73">
        <f>'Cost Allocation - Tier 1'!AT12</f>
        <v>5122.4356662231694</v>
      </c>
      <c r="AU12" s="73">
        <f>'Cost Allocation - Tier 1'!AU12</f>
        <v>7162.8733586953831</v>
      </c>
      <c r="AV12" s="73">
        <f>'Cost Allocation - Tier 1'!AV12</f>
        <v>10066.401895405075</v>
      </c>
      <c r="AW12" s="73">
        <f>'Cost Allocation - Tier 1'!AW12</f>
        <v>25782.394005832444</v>
      </c>
      <c r="AX12" s="73">
        <f>'Cost Allocation - Tier 1'!AX12</f>
        <v>268.84819269493232</v>
      </c>
      <c r="AY12" s="73">
        <f>'Cost Allocation - Tier 1'!AY12</f>
        <v>82938.524806652553</v>
      </c>
      <c r="AZ12" s="73">
        <f>'Cost Allocation - Tier 1'!AZ12</f>
        <v>2789.2357451611779</v>
      </c>
      <c r="BA12" s="73">
        <f>'Cost Allocation - Tier 1'!BA12</f>
        <v>50294.080679576706</v>
      </c>
      <c r="BB12" s="73">
        <f>'Cost Allocation - Tier 1'!BB12</f>
        <v>189222.29687239806</v>
      </c>
      <c r="BC12" s="694">
        <f>'Cost Allocation - Tier 1'!BC12</f>
        <v>748417.69170864555</v>
      </c>
      <c r="BD12" s="883">
        <f>($BC$12-$BK$12)*(VLOOKUP('Cost Allocation - Tier 2'!BD2,'RU Composites'!$B$5:$L$12,11,FALSE))</f>
        <v>119220.2996930248</v>
      </c>
      <c r="BE12" s="883">
        <f>($BC$12-$BK$12)*(VLOOKUP('Cost Allocation - Tier 2'!BE2,'RU Composites'!$B$5:$L$12,11,FALSE))</f>
        <v>110825.33469674381</v>
      </c>
      <c r="BF12" s="883">
        <f>($BC$12-$BK$12)*(VLOOKUP('Cost Allocation - Tier 2'!BF2,'RU Composites'!$B$5:$L$12,11,FALSE))</f>
        <v>62598.087121277713</v>
      </c>
      <c r="BG12" s="883">
        <f>($BC$12-$BK$12)*(VLOOKUP('Cost Allocation - Tier 2'!BG2,'RU Composites'!$B$5:$L$12,11,FALSE))</f>
        <v>140281.5312782496</v>
      </c>
      <c r="BH12" s="883">
        <f>($BC$12-$BK$12)*(VLOOKUP('Cost Allocation - Tier 2'!BH2,'RU Composites'!$B$5:$L$12,11,FALSE))</f>
        <v>105037.60624873106</v>
      </c>
      <c r="BI12" s="883">
        <f>($BC$12-$BK$12)*(VLOOKUP('Cost Allocation - Tier 2'!BI2,'RU Composites'!$B$5:$L$12,11,FALSE))</f>
        <v>68984.659295607009</v>
      </c>
      <c r="BJ12" s="883">
        <f>($BC$12-$BK$12)*(VLOOKUP('Cost Allocation - Tier 2'!BJ2,'RU Composites'!$B$5:$L$12,11,FALSE))</f>
        <v>21887.950731889974</v>
      </c>
      <c r="BK12" s="81">
        <f>'Cost Allocation - Tier 1'!BK12</f>
        <v>119582.2226431216</v>
      </c>
      <c r="BL12" s="76">
        <f t="shared" si="5"/>
        <v>1208779.5723642067</v>
      </c>
      <c r="BM12" s="76">
        <f t="shared" si="2"/>
        <v>0</v>
      </c>
      <c r="BN12" s="76">
        <f t="shared" si="3"/>
        <v>0</v>
      </c>
    </row>
    <row r="13" spans="1:70" x14ac:dyDescent="0.25">
      <c r="A13" s="177" t="str">
        <f>'Cost Allocation - Tier 1'!A13</f>
        <v>8040 - HR</v>
      </c>
      <c r="B13" s="3" t="str">
        <f>'Cost Allocation - Tier 1'!B13</f>
        <v>ALL</v>
      </c>
      <c r="D13" s="664">
        <f>'Cost Allocation - Tier 1'!D13</f>
        <v>1153459</v>
      </c>
      <c r="E13" s="664">
        <f>'Cost Allocation - Tier 1'!E13</f>
        <v>869334.42867586657</v>
      </c>
      <c r="F13" s="775">
        <f>'Cost Allocation - Tier 1'!F13</f>
        <v>41884.039402184157</v>
      </c>
      <c r="G13" s="775"/>
      <c r="H13" s="884">
        <f>'Cost Allocation - Tier 1'!H13</f>
        <v>0</v>
      </c>
      <c r="I13" s="666">
        <f t="shared" si="4"/>
        <v>331084.70862152067</v>
      </c>
      <c r="J13" s="73">
        <f>'Cost Allocation - Tier 1'!J13</f>
        <v>2081.6447243841503</v>
      </c>
      <c r="K13" s="73">
        <f>'Cost Allocation - Tier 1'!K13</f>
        <v>617.62044660236006</v>
      </c>
      <c r="L13" s="73">
        <f>'Cost Allocation - Tier 1'!L13</f>
        <v>648.59513093148473</v>
      </c>
      <c r="M13" s="73">
        <f>'Cost Allocation - Tier 1'!M13</f>
        <v>619.74195340606809</v>
      </c>
      <c r="N13" s="73">
        <f>'Cost Allocation - Tier 1'!N13</f>
        <v>1085.1142912775799</v>
      </c>
      <c r="O13" s="73">
        <f>'Cost Allocation - Tier 1'!O13</f>
        <v>2484.2097239756417</v>
      </c>
      <c r="P13" s="73">
        <f>'Cost Allocation - Tier 1'!P13</f>
        <v>300.4987920548291</v>
      </c>
      <c r="Q13" s="73">
        <f>'Cost Allocation - Tier 1'!Q13</f>
        <v>795.60665745549579</v>
      </c>
      <c r="R13" s="73">
        <f>'Cost Allocation - Tier 1'!R13</f>
        <v>680.47436940671162</v>
      </c>
      <c r="S13" s="73">
        <f>'Cost Allocation - Tier 1'!S13</f>
        <v>700.06372152447022</v>
      </c>
      <c r="T13" s="73">
        <f>'Cost Allocation - Tier 1'!T13</f>
        <v>2535.6314711521877</v>
      </c>
      <c r="U13" s="73">
        <f>'Cost Allocation - Tier 1'!U13</f>
        <v>2024.445814143739</v>
      </c>
      <c r="V13" s="73">
        <f>'Cost Allocation - Tier 1'!V13</f>
        <v>1606.6542256556049</v>
      </c>
      <c r="W13" s="73">
        <f>'Cost Allocation - Tier 1'!W13</f>
        <v>2576.3745594801776</v>
      </c>
      <c r="X13" s="73">
        <f>'Cost Allocation - Tier 1'!X13</f>
        <v>63.716322054618225</v>
      </c>
      <c r="Y13" s="73">
        <f>'Cost Allocation - Tier 1'!Y13</f>
        <v>50.270578824826266</v>
      </c>
      <c r="Z13" s="73">
        <f>'Cost Allocation - Tier 1'!Z13</f>
        <v>243.12688958388853</v>
      </c>
      <c r="AA13" s="73">
        <f>'Cost Allocation - Tier 1'!AA13</f>
        <v>222.24404016395542</v>
      </c>
      <c r="AB13" s="73">
        <f>'Cost Allocation - Tier 1'!AB13</f>
        <v>133.71456355030625</v>
      </c>
      <c r="AC13" s="73">
        <f>'Cost Allocation - Tier 1'!AC13</f>
        <v>136.71734949180362</v>
      </c>
      <c r="AD13" s="73">
        <f>'Cost Allocation - Tier 1'!AD13</f>
        <v>775.39227755043419</v>
      </c>
      <c r="AE13" s="73">
        <f>'Cost Allocation - Tier 1'!AE13</f>
        <v>311.0623959148582</v>
      </c>
      <c r="AF13" s="73">
        <f>'Cost Allocation - Tier 1'!AF13</f>
        <v>809.26741644105118</v>
      </c>
      <c r="AG13" s="73">
        <f>'Cost Allocation - Tier 1'!AG13</f>
        <v>2512.7531891308604</v>
      </c>
      <c r="AH13" s="73">
        <f>'Cost Allocation - Tier 1'!AH13</f>
        <v>20593.509037546824</v>
      </c>
      <c r="AI13" s="73">
        <f>'Cost Allocation - Tier 1'!AI13</f>
        <v>142.95625839888399</v>
      </c>
      <c r="AJ13" s="73">
        <f>'Cost Allocation - Tier 1'!AJ13</f>
        <v>3032.8982353040456</v>
      </c>
      <c r="AK13" s="73">
        <f>'Cost Allocation - Tier 1'!AK13</f>
        <v>2608.1265627887055</v>
      </c>
      <c r="AL13" s="73">
        <f>'Cost Allocation - Tier 1'!AL13</f>
        <v>0</v>
      </c>
      <c r="AM13" s="73">
        <f>'Cost Allocation - Tier 1'!AM13</f>
        <v>318.31976608585057</v>
      </c>
      <c r="AN13" s="73">
        <f>'Cost Allocation - Tier 1'!AN13</f>
        <v>538.19391044114684</v>
      </c>
      <c r="AO13" s="73">
        <f>'Cost Allocation - Tier 1'!AO13</f>
        <v>3171.0898664236774</v>
      </c>
      <c r="AP13" s="73">
        <f>'Cost Allocation - Tier 1'!AP13</f>
        <v>480.33457106295117</v>
      </c>
      <c r="AQ13" s="73">
        <f>'Cost Allocation - Tier 1'!AQ13</f>
        <v>3013.281893668373</v>
      </c>
      <c r="AR13" s="73">
        <f>'Cost Allocation - Tier 1'!AR13</f>
        <v>9.1143851745619777</v>
      </c>
      <c r="AS13" s="73">
        <f>'Cost Allocation - Tier 1'!AS13</f>
        <v>4441.0879142911599</v>
      </c>
      <c r="AT13" s="73">
        <f>'Cost Allocation - Tier 1'!AT13</f>
        <v>3683.9716563172324</v>
      </c>
      <c r="AU13" s="73">
        <f>'Cost Allocation - Tier 1'!AU13</f>
        <v>5151.4209549223388</v>
      </c>
      <c r="AV13" s="73">
        <f>'Cost Allocation - Tier 1'!AV13</f>
        <v>7239.591022743497</v>
      </c>
      <c r="AW13" s="73">
        <f>'Cost Allocation - Tier 1'!AW13</f>
        <v>18542.274601082703</v>
      </c>
      <c r="AX13" s="73">
        <f>'Cost Allocation - Tier 1'!AX13</f>
        <v>193.35120756538439</v>
      </c>
      <c r="AY13" s="73">
        <f>'Cost Allocation - Tier 1'!AY13</f>
        <v>59648.025766178551</v>
      </c>
      <c r="AZ13" s="73">
        <f>'Cost Allocation - Tier 1'!AZ13</f>
        <v>2005.9725680336112</v>
      </c>
      <c r="BA13" s="73">
        <f>'Cost Allocation - Tier 1'!BA13</f>
        <v>36170.677345119926</v>
      </c>
      <c r="BB13" s="73">
        <f>'Cost Allocation - Tier 1'!BB13</f>
        <v>136085.57019421415</v>
      </c>
      <c r="BC13" s="694">
        <f>'Cost Allocation - Tier 1'!BC13</f>
        <v>538249.72005434602</v>
      </c>
      <c r="BD13" s="883">
        <f>($BC$13-$BK$13)*(VLOOKUP('Cost Allocation - Tier 2'!BD2,'RU Composites'!$B$5:$L$12,11,FALSE))</f>
        <v>85741.282769604732</v>
      </c>
      <c r="BE13" s="883">
        <f>($BC$13-$BK$13)*(VLOOKUP('Cost Allocation - Tier 2'!BE2,'RU Composites'!$B$5:$L$12,11,FALSE))</f>
        <v>79703.76173132156</v>
      </c>
      <c r="BF13" s="883">
        <f>($BC$13-$BK$13)*(VLOOKUP('Cost Allocation - Tier 2'!BF2,'RU Composites'!$B$5:$L$12,11,FALSE))</f>
        <v>45019.516831627669</v>
      </c>
      <c r="BG13" s="883">
        <f>($BC$13-$BK$13)*(VLOOKUP('Cost Allocation - Tier 2'!BG2,'RU Composites'!$B$5:$L$12,11,FALSE))</f>
        <v>100888.1748464961</v>
      </c>
      <c r="BH13" s="883">
        <f>($BC$13-$BK$13)*(VLOOKUP('Cost Allocation - Tier 2'!BH2,'RU Composites'!$B$5:$L$12,11,FALSE))</f>
        <v>75541.322425829843</v>
      </c>
      <c r="BI13" s="883">
        <f>($BC$13-$BK$13)*(VLOOKUP('Cost Allocation - Tier 2'!BI2,'RU Composites'!$B$5:$L$12,11,FALSE))</f>
        <v>49612.63471622979</v>
      </c>
      <c r="BJ13" s="883">
        <f>($BC$13-$BK$13)*(VLOOKUP('Cost Allocation - Tier 2'!BJ2,'RU Composites'!$B$5:$L$12,11,FALSE))</f>
        <v>15741.454918184163</v>
      </c>
      <c r="BK13" s="81">
        <f>'Cost Allocation - Tier 1'!BK13</f>
        <v>86001.571815052201</v>
      </c>
      <c r="BL13" s="76">
        <f t="shared" si="5"/>
        <v>869334.42867586669</v>
      </c>
      <c r="BM13" s="76">
        <f t="shared" si="2"/>
        <v>0</v>
      </c>
      <c r="BN13" s="76">
        <f t="shared" si="3"/>
        <v>0</v>
      </c>
    </row>
    <row r="14" spans="1:70" s="643" customFormat="1" ht="30" x14ac:dyDescent="0.25">
      <c r="A14" s="669" t="str">
        <f>'Cost Allocation - Tier 1'!A14</f>
        <v>8040 - HR $Usd</v>
      </c>
      <c r="B14" s="670" t="str">
        <f>'Cost Allocation - Tier 1'!B14</f>
        <v>US CONTRACT Headcount</v>
      </c>
      <c r="C14" s="670"/>
      <c r="D14" s="671">
        <f>'Cost Allocation - Tier 1'!D14</f>
        <v>158781.74609999999</v>
      </c>
      <c r="E14" s="671">
        <f>'Cost Allocation - Tier 1'!E14</f>
        <v>119670</v>
      </c>
      <c r="F14" s="775">
        <f>'Cost Allocation - Tier 1'!F14</f>
        <v>0</v>
      </c>
      <c r="G14" s="775"/>
      <c r="H14" s="884">
        <f>'Cost Allocation - Tier 1'!H14</f>
        <v>0</v>
      </c>
      <c r="I14" s="675">
        <f t="shared" si="4"/>
        <v>119670</v>
      </c>
      <c r="J14" s="676">
        <f>'Cost Allocation - Tier 1'!J14</f>
        <v>0</v>
      </c>
      <c r="K14" s="676">
        <f>'Cost Allocation - Tier 1'!K14</f>
        <v>0</v>
      </c>
      <c r="L14" s="676">
        <f>'Cost Allocation - Tier 1'!L14</f>
        <v>0</v>
      </c>
      <c r="M14" s="676">
        <f>'Cost Allocation - Tier 1'!M14</f>
        <v>0</v>
      </c>
      <c r="N14" s="676">
        <f>'Cost Allocation - Tier 1'!N14</f>
        <v>0</v>
      </c>
      <c r="O14" s="676">
        <f>'Cost Allocation - Tier 1'!O14</f>
        <v>0</v>
      </c>
      <c r="P14" s="676">
        <f>'Cost Allocation - Tier 1'!P14</f>
        <v>0</v>
      </c>
      <c r="Q14" s="676">
        <f>'Cost Allocation - Tier 1'!Q14</f>
        <v>0</v>
      </c>
      <c r="R14" s="676">
        <f>'Cost Allocation - Tier 1'!R14</f>
        <v>0</v>
      </c>
      <c r="S14" s="676">
        <f>'Cost Allocation - Tier 1'!S14</f>
        <v>0</v>
      </c>
      <c r="T14" s="676">
        <f>'Cost Allocation - Tier 1'!T14</f>
        <v>0</v>
      </c>
      <c r="U14" s="676">
        <f>'Cost Allocation - Tier 1'!U14</f>
        <v>0</v>
      </c>
      <c r="V14" s="676">
        <f>'Cost Allocation - Tier 1'!V14</f>
        <v>0</v>
      </c>
      <c r="W14" s="676">
        <f>'Cost Allocation - Tier 1'!W14</f>
        <v>0</v>
      </c>
      <c r="X14" s="676">
        <f>'Cost Allocation - Tier 1'!X14</f>
        <v>0</v>
      </c>
      <c r="Y14" s="676">
        <f>'Cost Allocation - Tier 1'!Y14</f>
        <v>0</v>
      </c>
      <c r="Z14" s="676">
        <f>'Cost Allocation - Tier 1'!Z14</f>
        <v>0</v>
      </c>
      <c r="AA14" s="676">
        <f>'Cost Allocation - Tier 1'!AA14</f>
        <v>0</v>
      </c>
      <c r="AB14" s="676">
        <f>'Cost Allocation - Tier 1'!AB14</f>
        <v>0</v>
      </c>
      <c r="AC14" s="676">
        <f>'Cost Allocation - Tier 1'!AC14</f>
        <v>0</v>
      </c>
      <c r="AD14" s="676">
        <f>'Cost Allocation - Tier 1'!AD14</f>
        <v>0</v>
      </c>
      <c r="AE14" s="676">
        <f>'Cost Allocation - Tier 1'!AE14</f>
        <v>0</v>
      </c>
      <c r="AF14" s="676">
        <f>'Cost Allocation - Tier 1'!AF14</f>
        <v>0</v>
      </c>
      <c r="AG14" s="676">
        <f>'Cost Allocation - Tier 1'!AG14</f>
        <v>0</v>
      </c>
      <c r="AH14" s="676">
        <f>'Cost Allocation - Tier 1'!AH14</f>
        <v>0</v>
      </c>
      <c r="AI14" s="676">
        <f>'Cost Allocation - Tier 1'!AI14</f>
        <v>0</v>
      </c>
      <c r="AJ14" s="676">
        <f>'Cost Allocation - Tier 1'!AJ14</f>
        <v>0</v>
      </c>
      <c r="AK14" s="676">
        <f>'Cost Allocation - Tier 1'!AK14</f>
        <v>0</v>
      </c>
      <c r="AL14" s="676">
        <f>'Cost Allocation - Tier 1'!AL14</f>
        <v>0</v>
      </c>
      <c r="AM14" s="676">
        <f>'Cost Allocation - Tier 1'!AM14</f>
        <v>0</v>
      </c>
      <c r="AN14" s="676">
        <f>'Cost Allocation - Tier 1'!AN14</f>
        <v>0</v>
      </c>
      <c r="AO14" s="676">
        <f>'Cost Allocation - Tier 1'!AO14</f>
        <v>0</v>
      </c>
      <c r="AP14" s="676">
        <f>'Cost Allocation - Tier 1'!AP14</f>
        <v>0</v>
      </c>
      <c r="AQ14" s="676">
        <f>'Cost Allocation - Tier 1'!AQ14</f>
        <v>0</v>
      </c>
      <c r="AR14" s="676">
        <f>'Cost Allocation - Tier 1'!AR14</f>
        <v>0</v>
      </c>
      <c r="AS14" s="676">
        <f>'Cost Allocation - Tier 1'!AS14</f>
        <v>0</v>
      </c>
      <c r="AT14" s="676">
        <f>'Cost Allocation - Tier 1'!AT14</f>
        <v>0</v>
      </c>
      <c r="AU14" s="676">
        <f>'Cost Allocation - Tier 1'!AU14</f>
        <v>0</v>
      </c>
      <c r="AV14" s="676">
        <f>'Cost Allocation - Tier 1'!AV14</f>
        <v>0</v>
      </c>
      <c r="AW14" s="676">
        <f>'Cost Allocation - Tier 1'!AW14</f>
        <v>0</v>
      </c>
      <c r="AX14" s="676">
        <f>'Cost Allocation - Tier 1'!AX14</f>
        <v>0</v>
      </c>
      <c r="AY14" s="676">
        <f>'Cost Allocation - Tier 1'!AY14</f>
        <v>32481.857142857149</v>
      </c>
      <c r="AZ14" s="676">
        <f>'Cost Allocation - Tier 1'!AZ14</f>
        <v>2778.0535714285716</v>
      </c>
      <c r="BA14" s="676">
        <f>'Cost Allocation - Tier 1'!BA14</f>
        <v>23506.607142857141</v>
      </c>
      <c r="BB14" s="676">
        <f>'Cost Allocation - Tier 1'!BB14</f>
        <v>60903.482142857138</v>
      </c>
      <c r="BC14" s="694">
        <f>'Cost Allocation - Tier 1'!BC14</f>
        <v>0</v>
      </c>
      <c r="BD14" s="883">
        <f>($BC$14-$BK$14)*(VLOOKUP('Cost Allocation - Tier 2'!BD2,'RU Composites'!$B$5:$L$12,11,FALSE))</f>
        <v>0</v>
      </c>
      <c r="BE14" s="883">
        <f>($BC$14-$BK$14)*(VLOOKUP('Cost Allocation - Tier 2'!BE2,'RU Composites'!$B$5:$L$12,11,FALSE))</f>
        <v>0</v>
      </c>
      <c r="BF14" s="883">
        <f>($BC$14-$BK$14)*(VLOOKUP('Cost Allocation - Tier 2'!BF2,'RU Composites'!$B$5:$L$12,11,FALSE))</f>
        <v>0</v>
      </c>
      <c r="BG14" s="883">
        <f>($BC$14-$BK$14)*(VLOOKUP('Cost Allocation - Tier 2'!BG2,'RU Composites'!$B$5:$L$12,11,FALSE))</f>
        <v>0</v>
      </c>
      <c r="BH14" s="883">
        <f>($BC$14-$BK$14)*(VLOOKUP('Cost Allocation - Tier 2'!BH2,'RU Composites'!$B$5:$L$12,11,FALSE))</f>
        <v>0</v>
      </c>
      <c r="BI14" s="883">
        <f>($BC$14-$BK$14)*(VLOOKUP('Cost Allocation - Tier 2'!BI2,'RU Composites'!$B$5:$L$12,11,FALSE))</f>
        <v>0</v>
      </c>
      <c r="BJ14" s="883">
        <f>($BC$14-$BK$14)*(VLOOKUP('Cost Allocation - Tier 2'!BJ2,'RU Composites'!$B$5:$L$12,11,FALSE))</f>
        <v>0</v>
      </c>
      <c r="BK14" s="81">
        <f>'Cost Allocation - Tier 1'!BK14</f>
        <v>0</v>
      </c>
      <c r="BL14" s="677">
        <f t="shared" si="5"/>
        <v>119670</v>
      </c>
      <c r="BM14" s="677">
        <f t="shared" si="2"/>
        <v>0</v>
      </c>
      <c r="BN14" s="76">
        <f t="shared" si="3"/>
        <v>0</v>
      </c>
    </row>
    <row r="15" spans="1:70" x14ac:dyDescent="0.25">
      <c r="A15" s="177" t="str">
        <f>'Cost Allocation - Tier 1'!A15</f>
        <v>8060 - Legal</v>
      </c>
      <c r="B15" s="3" t="str">
        <f>'Cost Allocation - Tier 1'!B15</f>
        <v>ALL</v>
      </c>
      <c r="D15" s="664">
        <f>'Cost Allocation - Tier 1'!D15</f>
        <v>881802</v>
      </c>
      <c r="E15" s="664">
        <f>'Cost Allocation - Tier 1'!E15</f>
        <v>664593.05261412542</v>
      </c>
      <c r="F15" s="775">
        <f>'Cost Allocation - Tier 1'!F15</f>
        <v>284257.96824009105</v>
      </c>
      <c r="G15" s="775"/>
      <c r="H15" s="884">
        <f>'Cost Allocation - Tier 1'!H15</f>
        <v>0</v>
      </c>
      <c r="I15" s="666">
        <f t="shared" si="4"/>
        <v>253109.26372924756</v>
      </c>
      <c r="J15" s="73">
        <f>'Cost Allocation - Tier 1'!J15</f>
        <v>1591.3859801270721</v>
      </c>
      <c r="K15" s="73">
        <f>'Cost Allocation - Tier 1'!K15</f>
        <v>472.16151164007937</v>
      </c>
      <c r="L15" s="73">
        <f>'Cost Allocation - Tier 1'!L15</f>
        <v>495.84119040698033</v>
      </c>
      <c r="M15" s="73">
        <f>'Cost Allocation - Tier 1'!M15</f>
        <v>473.78337157833755</v>
      </c>
      <c r="N15" s="73">
        <f>'Cost Allocation - Tier 1'!N15</f>
        <v>829.55350149173273</v>
      </c>
      <c r="O15" s="73">
        <f>'Cost Allocation - Tier 1'!O15</f>
        <v>1899.1408476774373</v>
      </c>
      <c r="P15" s="73">
        <f>'Cost Allocation - Tier 1'!P15</f>
        <v>229.72679205028734</v>
      </c>
      <c r="Q15" s="73">
        <f>'Cost Allocation - Tier 1'!Q15</f>
        <v>608.22928405567177</v>
      </c>
      <c r="R15" s="73">
        <f>'Cost Allocation - Tier 1'!R15</f>
        <v>520.21238716900825</v>
      </c>
      <c r="S15" s="73">
        <f>'Cost Allocation - Tier 1'!S15</f>
        <v>535.18815126304526</v>
      </c>
      <c r="T15" s="73">
        <f>'Cost Allocation - Tier 1'!T15</f>
        <v>1938.4519974484931</v>
      </c>
      <c r="U15" s="73">
        <f>'Cost Allocation - Tier 1'!U15</f>
        <v>1547.6582763700985</v>
      </c>
      <c r="V15" s="73">
        <f>'Cost Allocation - Tier 1'!V15</f>
        <v>1228.2629113748851</v>
      </c>
      <c r="W15" s="73">
        <f>'Cost Allocation - Tier 1'!W15</f>
        <v>1969.5994736689729</v>
      </c>
      <c r="X15" s="73">
        <f>'Cost Allocation - Tier 1'!X15</f>
        <v>48.710166742299869</v>
      </c>
      <c r="Y15" s="73">
        <f>'Cost Allocation - Tier 1'!Y15</f>
        <v>38.431098937100884</v>
      </c>
      <c r="Z15" s="73">
        <f>'Cost Allocation - Tier 1'!Z15</f>
        <v>185.86683834349734</v>
      </c>
      <c r="AA15" s="73">
        <f>'Cost Allocation - Tier 1'!AA15</f>
        <v>169.9022150806021</v>
      </c>
      <c r="AB15" s="73">
        <f>'Cost Allocation - Tier 1'!AB15</f>
        <v>102.22276610420236</v>
      </c>
      <c r="AC15" s="73">
        <f>'Cost Allocation - Tier 1'!AC15</f>
        <v>104.51835064494828</v>
      </c>
      <c r="AD15" s="73">
        <f>'Cost Allocation - Tier 1'!AD15</f>
        <v>592.77569564980456</v>
      </c>
      <c r="AE15" s="73">
        <f>'Cost Allocation - Tier 1'!AE15</f>
        <v>237.80250779829524</v>
      </c>
      <c r="AF15" s="73">
        <f>'Cost Allocation - Tier 1'!AF15</f>
        <v>618.67272816160073</v>
      </c>
      <c r="AG15" s="73">
        <f>'Cost Allocation - Tier 1'!AG15</f>
        <v>1920.9618960725704</v>
      </c>
      <c r="AH15" s="73">
        <f>'Cost Allocation - Tier 1'!AH15</f>
        <v>15743.426906658031</v>
      </c>
      <c r="AI15" s="73">
        <f>'Cost Allocation - Tier 1'!AI15</f>
        <v>109.28790236033764</v>
      </c>
      <c r="AJ15" s="73">
        <f>'Cost Allocation - Tier 1'!AJ15</f>
        <v>2318.6049349717487</v>
      </c>
      <c r="AK15" s="73">
        <f>'Cost Allocation - Tier 1'!AK15</f>
        <v>1993.8734010660164</v>
      </c>
      <c r="AL15" s="73">
        <f>'Cost Allocation - Tier 1'!AL15</f>
        <v>0</v>
      </c>
      <c r="AM15" s="73">
        <f>'Cost Allocation - Tier 1'!AM15</f>
        <v>243.35065778153816</v>
      </c>
      <c r="AN15" s="73">
        <f>'Cost Allocation - Tier 1'!AN15</f>
        <v>411.44112327774479</v>
      </c>
      <c r="AO15" s="73">
        <f>'Cost Allocation - Tier 1'!AO15</f>
        <v>2424.2503516745123</v>
      </c>
      <c r="AP15" s="73">
        <f>'Cost Allocation - Tier 1'!AP15</f>
        <v>367.20853141069813</v>
      </c>
      <c r="AQ15" s="73">
        <f>'Cost Allocation - Tier 1'!AQ15</f>
        <v>2303.6085377985332</v>
      </c>
      <c r="AR15" s="73">
        <f>'Cost Allocation - Tier 1'!AR15</f>
        <v>6.9678099314315478</v>
      </c>
      <c r="AS15" s="73">
        <f>'Cost Allocation - Tier 1'!AS15</f>
        <v>3395.1446952148049</v>
      </c>
      <c r="AT15" s="73">
        <f>'Cost Allocation - Tier 1'!AT15</f>
        <v>2816.3407407492141</v>
      </c>
      <c r="AU15" s="73">
        <f>'Cost Allocation - Tier 1'!AU15</f>
        <v>3938.1835859726511</v>
      </c>
      <c r="AV15" s="73">
        <f>'Cost Allocation - Tier 1'!AV15</f>
        <v>5534.5580926909934</v>
      </c>
      <c r="AW15" s="73">
        <f>'Cost Allocation - Tier 1'!AW15</f>
        <v>14175.28913275975</v>
      </c>
      <c r="AX15" s="73">
        <f>'Cost Allocation - Tier 1'!AX15</f>
        <v>147.81408054692113</v>
      </c>
      <c r="AY15" s="73">
        <f>'Cost Allocation - Tier 1'!AY15</f>
        <v>45600.015619686339</v>
      </c>
      <c r="AZ15" s="73">
        <f>'Cost Allocation - Tier 1'!AZ15</f>
        <v>1533.5357584770454</v>
      </c>
      <c r="BA15" s="73">
        <f>'Cost Allocation - Tier 1'!BA15</f>
        <v>27651.937020979021</v>
      </c>
      <c r="BB15" s="73">
        <f>'Cost Allocation - Tier 1'!BB15</f>
        <v>104035.36490538322</v>
      </c>
      <c r="BC15" s="694">
        <f>'Cost Allocation - Tier 1'!BC15</f>
        <v>411483.78888487793</v>
      </c>
      <c r="BD15" s="883">
        <f>($BC$15-$BK$15)*(VLOOKUP('Cost Allocation - Tier 2'!BD2,'RU Composites'!$B$5:$L$12,11,FALSE))</f>
        <v>65547.916855998337</v>
      </c>
      <c r="BE15" s="883">
        <f>($BC$15-$BK$15)*(VLOOKUP('Cost Allocation - Tier 2'!BE2,'RU Composites'!$B$5:$L$12,11,FALSE))</f>
        <v>60932.323127395779</v>
      </c>
      <c r="BF15" s="883">
        <f>($BC$15-$BK$15)*(VLOOKUP('Cost Allocation - Tier 2'!BF2,'RU Composites'!$B$5:$L$12,11,FALSE))</f>
        <v>34416.741280932336</v>
      </c>
      <c r="BG15" s="883">
        <f>($BC$15-$BK$15)*(VLOOKUP('Cost Allocation - Tier 2'!BG2,'RU Composites'!$B$5:$L$12,11,FALSE))</f>
        <v>77127.487284758216</v>
      </c>
      <c r="BH15" s="883">
        <f>($BC$15-$BK$15)*(VLOOKUP('Cost Allocation - Tier 2'!BH2,'RU Composites'!$B$5:$L$12,11,FALSE))</f>
        <v>57750.201088848065</v>
      </c>
      <c r="BI15" s="883">
        <f>($BC$15-$BK$15)*(VLOOKUP('Cost Allocation - Tier 2'!BI2,'RU Composites'!$B$5:$L$12,11,FALSE))</f>
        <v>37928.110594343496</v>
      </c>
      <c r="BJ15" s="883">
        <f>($BC$15-$BK$15)*(VLOOKUP('Cost Allocation - Tier 2'!BJ2,'RU Composites'!$B$5:$L$12,11,FALSE))</f>
        <v>12034.104749076152</v>
      </c>
      <c r="BK15" s="81">
        <f>'Cost Allocation - Tier 1'!BK15</f>
        <v>65746.903903525526</v>
      </c>
      <c r="BL15" s="76">
        <f t="shared" si="5"/>
        <v>664593.05261412542</v>
      </c>
      <c r="BM15" s="76">
        <f t="shared" si="2"/>
        <v>0</v>
      </c>
      <c r="BN15" s="76">
        <f t="shared" si="3"/>
        <v>0</v>
      </c>
    </row>
    <row r="16" spans="1:70" x14ac:dyDescent="0.25">
      <c r="A16" s="177" t="str">
        <f>'Cost Allocation - Tier 1'!A16</f>
        <v>8080 - Treasury</v>
      </c>
      <c r="B16" s="3" t="str">
        <f>'Cost Allocation - Tier 1'!B16</f>
        <v>ALL + TRIBUS</v>
      </c>
      <c r="D16" s="664">
        <f>'Cost Allocation - Tier 1'!D16</f>
        <v>322578</v>
      </c>
      <c r="E16" s="664">
        <f>'Cost Allocation - Tier 1'!E16</f>
        <v>243119.31445626041</v>
      </c>
      <c r="F16" s="775">
        <f>'Cost Allocation - Tier 1'!F16</f>
        <v>29.393366143364261</v>
      </c>
      <c r="G16" s="775"/>
      <c r="H16" s="884">
        <f>'Cost Allocation - Tier 1'!H16</f>
        <v>4862.3862891252084</v>
      </c>
      <c r="I16" s="666">
        <f t="shared" si="4"/>
        <v>90739.792463328675</v>
      </c>
      <c r="J16" s="73">
        <f>'Cost Allocation - Tier 1'!J16</f>
        <v>570.51263726265313</v>
      </c>
      <c r="K16" s="73">
        <f>'Cost Allocation - Tier 1'!K16</f>
        <v>169.270128418621</v>
      </c>
      <c r="L16" s="73">
        <f>'Cost Allocation - Tier 1'!L16</f>
        <v>177.75930461568564</v>
      </c>
      <c r="M16" s="73">
        <f>'Cost Allocation - Tier 1'!M16</f>
        <v>169.85156598449203</v>
      </c>
      <c r="N16" s="73">
        <f>'Cost Allocation - Tier 1'!N16</f>
        <v>297.39532822120628</v>
      </c>
      <c r="O16" s="73">
        <f>'Cost Allocation - Tier 1'!O16</f>
        <v>680.84290490932256</v>
      </c>
      <c r="P16" s="73">
        <f>'Cost Allocation - Tier 1'!P16</f>
        <v>82.35716514986089</v>
      </c>
      <c r="Q16" s="73">
        <f>'Cost Allocation - Tier 1'!Q16</f>
        <v>218.0504901012566</v>
      </c>
      <c r="R16" s="73">
        <f>'Cost Allocation - Tier 1'!R16</f>
        <v>186.49639034572417</v>
      </c>
      <c r="S16" s="73">
        <f>'Cost Allocation - Tier 1'!S16</f>
        <v>191.86520895730331</v>
      </c>
      <c r="T16" s="73">
        <f>'Cost Allocation - Tier 1'!T16</f>
        <v>694.935970959786</v>
      </c>
      <c r="U16" s="73">
        <f>'Cost Allocation - Tier 1'!U16</f>
        <v>554.8362344896193</v>
      </c>
      <c r="V16" s="73">
        <f>'Cost Allocation - Tier 1'!V16</f>
        <v>440.33284292503072</v>
      </c>
      <c r="W16" s="73">
        <f>'Cost Allocation - Tier 1'!W16</f>
        <v>706.1023561262574</v>
      </c>
      <c r="X16" s="73">
        <f>'Cost Allocation - Tier 1'!X16</f>
        <v>17.46261814335832</v>
      </c>
      <c r="Y16" s="73">
        <f>'Cost Allocation - Tier 1'!Y16</f>
        <v>13.777567404330549</v>
      </c>
      <c r="Z16" s="73">
        <f>'Cost Allocation - Tier 1'!Z16</f>
        <v>66.63335070637774</v>
      </c>
      <c r="AA16" s="73">
        <f>'Cost Allocation - Tier 1'!AA16</f>
        <v>60.910025608407615</v>
      </c>
      <c r="AB16" s="73">
        <f>'Cost Allocation - Tier 1'!AB16</f>
        <v>36.64691068456883</v>
      </c>
      <c r="AC16" s="73">
        <f>'Cost Allocation - Tier 1'!AC16</f>
        <v>37.469878843617053</v>
      </c>
      <c r="AD16" s="73">
        <f>'Cost Allocation - Tier 1'!AD16</f>
        <v>212.51037124467422</v>
      </c>
      <c r="AE16" s="73">
        <f>'Cost Allocation - Tier 1'!AE16</f>
        <v>85.252313119438725</v>
      </c>
      <c r="AF16" s="73">
        <f>'Cost Allocation - Tier 1'!AF16</f>
        <v>221.79446982294729</v>
      </c>
      <c r="AG16" s="73">
        <f>'Cost Allocation - Tier 1'!AG16</f>
        <v>688.6657612265243</v>
      </c>
      <c r="AH16" s="73">
        <f>'Cost Allocation - Tier 1'!AH16</f>
        <v>5644.0260981513029</v>
      </c>
      <c r="AI16" s="73">
        <f>'Cost Allocation - Tier 1'!AI16</f>
        <v>39.179765421535826</v>
      </c>
      <c r="AJ16" s="73">
        <f>'Cost Allocation - Tier 1'!AJ16</f>
        <v>831.22098142105631</v>
      </c>
      <c r="AK16" s="73">
        <f>'Cost Allocation - Tier 1'!AK16</f>
        <v>714.804570742289</v>
      </c>
      <c r="AL16" s="73">
        <f>'Cost Allocation - Tier 1'!AL16</f>
        <v>0</v>
      </c>
      <c r="AM16" s="73">
        <f>'Cost Allocation - Tier 1'!AM16</f>
        <v>87.241327549876218</v>
      </c>
      <c r="AN16" s="73">
        <f>'Cost Allocation - Tier 1'!AN16</f>
        <v>147.50184006318264</v>
      </c>
      <c r="AO16" s="73">
        <f>'Cost Allocation - Tier 1'!AO16</f>
        <v>869.09491398705336</v>
      </c>
      <c r="AP16" s="73">
        <f>'Cost Allocation - Tier 1'!AP16</f>
        <v>131.64443466049315</v>
      </c>
      <c r="AQ16" s="73">
        <f>'Cost Allocation - Tier 1'!AQ16</f>
        <v>825.84476584069409</v>
      </c>
      <c r="AR16" s="73">
        <f>'Cost Allocation - Tier 1'!AR16</f>
        <v>2.4979632028733199</v>
      </c>
      <c r="AS16" s="73">
        <f>'Cost Allocation - Tier 1'!AS16</f>
        <v>1217.161001883803</v>
      </c>
      <c r="AT16" s="73">
        <f>'Cost Allocation - Tier 1'!AT16</f>
        <v>1009.6595065559071</v>
      </c>
      <c r="AU16" s="73">
        <f>'Cost Allocation - Tier 1'!AU16</f>
        <v>1411.8407047159883</v>
      </c>
      <c r="AV16" s="73">
        <f>'Cost Allocation - Tier 1'!AV16</f>
        <v>1984.1417311546058</v>
      </c>
      <c r="AW16" s="73">
        <f>'Cost Allocation - Tier 1'!AW16</f>
        <v>5081.8479539738255</v>
      </c>
      <c r="AX16" s="73">
        <f>'Cost Allocation - Tier 1'!AX16</f>
        <v>52.991418782415352</v>
      </c>
      <c r="AY16" s="73">
        <f>'Cost Allocation - Tier 1'!AY16</f>
        <v>16347.627473963355</v>
      </c>
      <c r="AZ16" s="73">
        <f>'Cost Allocation - Tier 1'!AZ16</f>
        <v>549.7733050503947</v>
      </c>
      <c r="BA16" s="73">
        <f>'Cost Allocation - Tier 1'!BA16</f>
        <v>9913.2326866420153</v>
      </c>
      <c r="BB16" s="73">
        <f>'Cost Allocation - Tier 1'!BB16</f>
        <v>37296.728224294944</v>
      </c>
      <c r="BC16" s="694">
        <f>'Cost Allocation - Tier 1'!BC16</f>
        <v>147517.13570380653</v>
      </c>
      <c r="BD16" s="883">
        <f>($BC$16-$BK$16)*(VLOOKUP('Cost Allocation - Tier 2'!BD2,'RU Composites'!$B$5:$L$12,11,FALSE))</f>
        <v>23498.959636179938</v>
      </c>
      <c r="BE16" s="883">
        <f>($BC$16-$BK$16)*(VLOOKUP('Cost Allocation - Tier 2'!BE2,'RU Composites'!$B$5:$L$12,11,FALSE))</f>
        <v>21844.267070377806</v>
      </c>
      <c r="BF16" s="883">
        <f>($BC$16-$BK$16)*(VLOOKUP('Cost Allocation - Tier 2'!BF2,'RU Composites'!$B$5:$L$12,11,FALSE))</f>
        <v>12338.418258908665</v>
      </c>
      <c r="BG16" s="883">
        <f>($BC$16-$BK$16)*(VLOOKUP('Cost Allocation - Tier 2'!BG2,'RU Composites'!$B$5:$L$12,11,FALSE))</f>
        <v>27650.241189604785</v>
      </c>
      <c r="BH16" s="883">
        <f>($BC$16-$BK$16)*(VLOOKUP('Cost Allocation - Tier 2'!BH2,'RU Composites'!$B$5:$L$12,11,FALSE))</f>
        <v>20703.474793096026</v>
      </c>
      <c r="BI16" s="883">
        <f>($BC$16-$BK$16)*(VLOOKUP('Cost Allocation - Tier 2'!BI2,'RU Composites'!$B$5:$L$12,11,FALSE))</f>
        <v>13597.245842168753</v>
      </c>
      <c r="BJ16" s="883">
        <f>($BC$16-$BK$16)*(VLOOKUP('Cost Allocation - Tier 2'!BJ2,'RU Composites'!$B$5:$L$12,11,FALSE))</f>
        <v>4314.2323252981241</v>
      </c>
      <c r="BK16" s="81">
        <f>'Cost Allocation - Tier 1'!BK16</f>
        <v>23570.296588172434</v>
      </c>
      <c r="BL16" s="76">
        <f t="shared" si="5"/>
        <v>243119.31445626044</v>
      </c>
      <c r="BM16" s="76">
        <f t="shared" si="2"/>
        <v>0</v>
      </c>
      <c r="BN16" s="76">
        <f t="shared" si="3"/>
        <v>0</v>
      </c>
    </row>
    <row r="17" spans="1:66" x14ac:dyDescent="0.25">
      <c r="A17" s="69" t="str">
        <f>'Cost Allocation - Tier 1'!A17</f>
        <v>8090 - HSE</v>
      </c>
      <c r="B17" s="3" t="str">
        <f>'Cost Allocation - Tier 1'!B17</f>
        <v>ALL</v>
      </c>
      <c r="D17" s="664">
        <f>'Cost Allocation - Tier 1'!D17</f>
        <v>127101</v>
      </c>
      <c r="E17" s="664">
        <f>'Cost Allocation - Tier 1'!E17</f>
        <v>95792.980261224118</v>
      </c>
      <c r="F17" s="775">
        <f>'Cost Allocation - Tier 1'!F17</f>
        <v>28653.256257395446</v>
      </c>
      <c r="G17" s="775"/>
      <c r="H17" s="884">
        <f>'Cost Allocation - Tier 1'!H17</f>
        <v>0</v>
      </c>
      <c r="I17" s="666">
        <f t="shared" si="4"/>
        <v>36482.612342964851</v>
      </c>
      <c r="J17" s="73">
        <f>'Cost Allocation - Tier 1'!J17</f>
        <v>229.37887355679732</v>
      </c>
      <c r="K17" s="73">
        <f>'Cost Allocation - Tier 1'!K17</f>
        <v>68.056321363487186</v>
      </c>
      <c r="L17" s="73">
        <f>'Cost Allocation - Tier 1'!L17</f>
        <v>71.469458157179957</v>
      </c>
      <c r="M17" s="73">
        <f>'Cost Allocation - Tier 1'!M17</f>
        <v>68.29009268631539</v>
      </c>
      <c r="N17" s="73">
        <f>'Cost Allocation - Tier 1'!N17</f>
        <v>119.57001639041499</v>
      </c>
      <c r="O17" s="73">
        <f>'Cost Allocation - Tier 1'!O17</f>
        <v>273.73798299465176</v>
      </c>
      <c r="P17" s="73">
        <f>'Cost Allocation - Tier 1'!P17</f>
        <v>33.112314324965887</v>
      </c>
      <c r="Q17" s="73">
        <f>'Cost Allocation - Tier 1'!Q17</f>
        <v>87.668830681672233</v>
      </c>
      <c r="R17" s="73">
        <f>'Cost Allocation - Tier 1'!R17</f>
        <v>74.982268833103262</v>
      </c>
      <c r="S17" s="73">
        <f>'Cost Allocation - Tier 1'!S17</f>
        <v>77.140842517576857</v>
      </c>
      <c r="T17" s="73">
        <f>'Cost Allocation - Tier 1'!T17</f>
        <v>279.40420562405268</v>
      </c>
      <c r="U17" s="73">
        <f>'Cost Allocation - Tier 1'!U17</f>
        <v>223.07605855386569</v>
      </c>
      <c r="V17" s="73">
        <f>'Cost Allocation - Tier 1'!V17</f>
        <v>177.03911342757135</v>
      </c>
      <c r="W17" s="73">
        <f>'Cost Allocation - Tier 1'!W17</f>
        <v>283.89373431087716</v>
      </c>
      <c r="X17" s="73">
        <f>'Cost Allocation - Tier 1'!X17</f>
        <v>7.0209762544347312</v>
      </c>
      <c r="Y17" s="73">
        <f>'Cost Allocation - Tier 1'!Y17</f>
        <v>5.5393740386214363</v>
      </c>
      <c r="Z17" s="73">
        <f>'Cost Allocation - Tier 1'!Z17</f>
        <v>26.79043710526496</v>
      </c>
      <c r="AA17" s="73">
        <f>'Cost Allocation - Tier 1'!AA17</f>
        <v>24.489331436036213</v>
      </c>
      <c r="AB17" s="73">
        <f>'Cost Allocation - Tier 1'!AB17</f>
        <v>14.734164579588416</v>
      </c>
      <c r="AC17" s="73">
        <f>'Cost Allocation - Tier 1'!AC17</f>
        <v>15.065045084183945</v>
      </c>
      <c r="AD17" s="73">
        <f>'Cost Allocation - Tier 1'!AD17</f>
        <v>85.441384452275926</v>
      </c>
      <c r="AE17" s="73">
        <f>'Cost Allocation - Tier 1'!AE17</f>
        <v>34.276330223418775</v>
      </c>
      <c r="AF17" s="73">
        <f>'Cost Allocation - Tier 1'!AF17</f>
        <v>89.174125735786049</v>
      </c>
      <c r="AG17" s="73">
        <f>'Cost Allocation - Tier 1'!AG17</f>
        <v>276.88322089620999</v>
      </c>
      <c r="AH17" s="73">
        <f>'Cost Allocation - Tier 1'!AH17</f>
        <v>2269.2229131518666</v>
      </c>
      <c r="AI17" s="73">
        <f>'Cost Allocation - Tier 1'!AI17</f>
        <v>15.752517773719354</v>
      </c>
      <c r="AJ17" s="73">
        <f>'Cost Allocation - Tier 1'!AJ17</f>
        <v>334.1986135661341</v>
      </c>
      <c r="AK17" s="73">
        <f>'Cost Allocation - Tier 1'!AK17</f>
        <v>287.39252479455905</v>
      </c>
      <c r="AL17" s="73">
        <f>'Cost Allocation - Tier 1'!AL17</f>
        <v>0</v>
      </c>
      <c r="AM17" s="73">
        <f>'Cost Allocation - Tier 1'!AM17</f>
        <v>35.07602835408774</v>
      </c>
      <c r="AN17" s="73">
        <f>'Cost Allocation - Tier 1'!AN17</f>
        <v>59.304218191526708</v>
      </c>
      <c r="AO17" s="73">
        <f>'Cost Allocation - Tier 1'!AO17</f>
        <v>349.42611147194293</v>
      </c>
      <c r="AP17" s="73">
        <f>'Cost Allocation - Tier 1'!AP17</f>
        <v>52.928629727343711</v>
      </c>
      <c r="AQ17" s="73">
        <f>'Cost Allocation - Tier 1'!AQ17</f>
        <v>332.03706587502791</v>
      </c>
      <c r="AR17" s="73">
        <f>'Cost Allocation - Tier 1'!AR17</f>
        <v>1.0043247918408906</v>
      </c>
      <c r="AS17" s="73">
        <f>'Cost Allocation - Tier 1'!AS17</f>
        <v>489.36868583479838</v>
      </c>
      <c r="AT17" s="73">
        <f>'Cost Allocation - Tier 1'!AT17</f>
        <v>405.94115741398394</v>
      </c>
      <c r="AU17" s="73">
        <f>'Cost Allocation - Tier 1'!AU17</f>
        <v>567.64111666871918</v>
      </c>
      <c r="AV17" s="73">
        <f>'Cost Allocation - Tier 1'!AV17</f>
        <v>797.73902547183832</v>
      </c>
      <c r="AW17" s="73">
        <f>'Cost Allocation - Tier 1'!AW17</f>
        <v>2043.1949848865131</v>
      </c>
      <c r="AX17" s="73">
        <f>'Cost Allocation - Tier 1'!AX17</f>
        <v>21.305596326152834</v>
      </c>
      <c r="AY17" s="73">
        <f>'Cost Allocation - Tier 1'!AY17</f>
        <v>6572.6859150668206</v>
      </c>
      <c r="AZ17" s="73">
        <f>'Cost Allocation - Tier 1'!AZ17</f>
        <v>221.04046989935489</v>
      </c>
      <c r="BA17" s="73">
        <f>'Cost Allocation - Tier 1'!BA17</f>
        <v>3985.6893580457454</v>
      </c>
      <c r="BB17" s="73">
        <f>'Cost Allocation - Tier 1'!BB17</f>
        <v>14995.428582424525</v>
      </c>
      <c r="BC17" s="694">
        <f>'Cost Allocation - Tier 1'!BC17</f>
        <v>59310.367918259275</v>
      </c>
      <c r="BD17" s="883">
        <f>($BC$17-$BK$17)*(VLOOKUP('Cost Allocation - Tier 2'!BD2,'RU Composites'!$B$5:$L$12,11,FALSE))</f>
        <v>9447.9325067466889</v>
      </c>
      <c r="BE17" s="883">
        <f>($BC$17-$BK$17)*(VLOOKUP('Cost Allocation - Tier 2'!BE2,'RU Composites'!$B$5:$L$12,11,FALSE))</f>
        <v>8782.6509826640558</v>
      </c>
      <c r="BF17" s="883">
        <f>($BC$17-$BK$17)*(VLOOKUP('Cost Allocation - Tier 2'!BF2,'RU Composites'!$B$5:$L$12,11,FALSE))</f>
        <v>4960.753359084898</v>
      </c>
      <c r="BG17" s="883">
        <f>($BC$17-$BK$17)*(VLOOKUP('Cost Allocation - Tier 2'!BG2,'RU Composites'!$B$5:$L$12,11,FALSE))</f>
        <v>11116.986309148828</v>
      </c>
      <c r="BH17" s="883">
        <f>($BC$17-$BK$17)*(VLOOKUP('Cost Allocation - Tier 2'!BH2,'RU Composites'!$B$5:$L$12,11,FALSE))</f>
        <v>8323.986913835166</v>
      </c>
      <c r="BI17" s="883">
        <f>($BC$17-$BK$17)*(VLOOKUP('Cost Allocation - Tier 2'!BI2,'RU Composites'!$B$5:$L$12,11,FALSE))</f>
        <v>5466.8744056507603</v>
      </c>
      <c r="BJ17" s="883">
        <f>($BC$17-$BK$17)*(VLOOKUP('Cost Allocation - Tier 2'!BJ2,'RU Composites'!$B$5:$L$12,11,FALSE))</f>
        <v>1734.5693791943406</v>
      </c>
      <c r="BK17" s="81">
        <f>'Cost Allocation - Tier 1'!BK17</f>
        <v>9476.6140619345369</v>
      </c>
      <c r="BL17" s="76">
        <f t="shared" si="5"/>
        <v>95792.980261224118</v>
      </c>
      <c r="BM17" s="76">
        <f t="shared" si="2"/>
        <v>0</v>
      </c>
      <c r="BN17" s="76">
        <f t="shared" si="3"/>
        <v>0</v>
      </c>
    </row>
    <row r="18" spans="1:66" x14ac:dyDescent="0.25">
      <c r="A18" s="69" t="str">
        <f>'Cost Allocation - Tier 1'!A18</f>
        <v>8090 - HSE $Usd</v>
      </c>
      <c r="B18" s="3" t="str">
        <f>'Cost Allocation - Tier 1'!B18</f>
        <v>ALL</v>
      </c>
      <c r="D18" s="664">
        <f>'Cost Allocation - Tier 1'!D18</f>
        <v>273540.59963000001</v>
      </c>
      <c r="E18" s="664">
        <f>'Cost Allocation - Tier 1'!E18</f>
        <v>206161</v>
      </c>
      <c r="F18" s="775">
        <f>'Cost Allocation - Tier 1'!F18</f>
        <v>0</v>
      </c>
      <c r="G18" s="775"/>
      <c r="H18" s="884">
        <f>'Cost Allocation - Tier 1'!H18</f>
        <v>0</v>
      </c>
      <c r="I18" s="666">
        <f t="shared" si="4"/>
        <v>78516.106532312464</v>
      </c>
      <c r="J18" s="73">
        <f>'Cost Allocation - Tier 1'!J18</f>
        <v>493.65807204648502</v>
      </c>
      <c r="K18" s="73">
        <f>'Cost Allocation - Tier 1'!K18</f>
        <v>146.46750973147547</v>
      </c>
      <c r="L18" s="73">
        <f>'Cost Allocation - Tier 1'!L18</f>
        <v>153.81309698229126</v>
      </c>
      <c r="M18" s="73">
        <f>'Cost Allocation - Tier 1'!M18</f>
        <v>146.9706210195277</v>
      </c>
      <c r="N18" s="73">
        <f>'Cost Allocation - Tier 1'!N18</f>
        <v>257.33278244233361</v>
      </c>
      <c r="O18" s="73">
        <f>'Cost Allocation - Tier 1'!O18</f>
        <v>589.12559310991878</v>
      </c>
      <c r="P18" s="73">
        <f>'Cost Allocation - Tier 1'!P18</f>
        <v>71.262714814110097</v>
      </c>
      <c r="Q18" s="73">
        <f>'Cost Allocation - Tier 1'!Q18</f>
        <v>188.67659981845591</v>
      </c>
      <c r="R18" s="73">
        <f>'Cost Allocation - Tier 1'!R18</f>
        <v>161.37319752185212</v>
      </c>
      <c r="S18" s="73">
        <f>'Cost Allocation - Tier 1'!S18</f>
        <v>166.01877497597479</v>
      </c>
      <c r="T18" s="73">
        <f>'Cost Allocation - Tier 1'!T18</f>
        <v>601.32016227682868</v>
      </c>
      <c r="U18" s="73">
        <f>'Cost Allocation - Tier 1'!U18</f>
        <v>480.09345968891995</v>
      </c>
      <c r="V18" s="73">
        <f>'Cost Allocation - Tier 1'!V18</f>
        <v>381.01498213972712</v>
      </c>
      <c r="W18" s="73">
        <f>'Cost Allocation - Tier 1'!W18</f>
        <v>610.98230788583282</v>
      </c>
      <c r="X18" s="73">
        <f>'Cost Allocation - Tier 1'!X18</f>
        <v>15.110204126057765</v>
      </c>
      <c r="Y18" s="73">
        <f>'Cost Allocation - Tier 1'!Y18</f>
        <v>11.921571790146123</v>
      </c>
      <c r="Z18" s="73">
        <f>'Cost Allocation - Tier 1'!Z18</f>
        <v>57.657077679357194</v>
      </c>
      <c r="AA18" s="73">
        <f>'Cost Allocation - Tier 1'!AA18</f>
        <v>52.704749809609325</v>
      </c>
      <c r="AB18" s="73">
        <f>'Cost Allocation - Tier 1'!AB18</f>
        <v>31.710153453928154</v>
      </c>
      <c r="AC18" s="73">
        <f>'Cost Allocation - Tier 1'!AC18</f>
        <v>32.42225840694141</v>
      </c>
      <c r="AD18" s="73">
        <f>'Cost Allocation - Tier 1'!AD18</f>
        <v>183.88279821789692</v>
      </c>
      <c r="AE18" s="73">
        <f>'Cost Allocation - Tier 1'!AE18</f>
        <v>73.767853301153124</v>
      </c>
      <c r="AF18" s="73">
        <f>'Cost Allocation - Tier 1'!AF18</f>
        <v>191.91622273033201</v>
      </c>
      <c r="AG18" s="73">
        <f>'Cost Allocation - Tier 1'!AG18</f>
        <v>595.89462137540238</v>
      </c>
      <c r="AH18" s="73">
        <f>'Cost Allocation - Tier 1'!AH18</f>
        <v>4883.7113504826639</v>
      </c>
      <c r="AI18" s="73">
        <f>'Cost Allocation - Tier 1'!AI18</f>
        <v>33.901803742735503</v>
      </c>
      <c r="AJ18" s="73">
        <f>'Cost Allocation - Tier 1'!AJ18</f>
        <v>719.2460259981824</v>
      </c>
      <c r="AK18" s="73">
        <f>'Cost Allocation - Tier 1'!AK18</f>
        <v>618.51223484853244</v>
      </c>
      <c r="AL18" s="73">
        <f>'Cost Allocation - Tier 1'!AL18</f>
        <v>0</v>
      </c>
      <c r="AM18" s="73">
        <f>'Cost Allocation - Tier 1'!AM18</f>
        <v>75.488924781205839</v>
      </c>
      <c r="AN18" s="73">
        <f>'Cost Allocation - Tier 1'!AN18</f>
        <v>127.63165832447086</v>
      </c>
      <c r="AO18" s="73">
        <f>'Cost Allocation - Tier 1'!AO18</f>
        <v>752.01790747841858</v>
      </c>
      <c r="AP18" s="73">
        <f>'Cost Allocation - Tier 1'!AP18</f>
        <v>113.91042645779217</v>
      </c>
      <c r="AQ18" s="73">
        <f>'Cost Allocation - Tier 1'!AQ18</f>
        <v>714.59404803141558</v>
      </c>
      <c r="AR18" s="73">
        <f>'Cost Allocation - Tier 1'!AR18</f>
        <v>2.1614590426781235</v>
      </c>
      <c r="AS18" s="73">
        <f>'Cost Allocation - Tier 1'!AS18</f>
        <v>1053.1955198101969</v>
      </c>
      <c r="AT18" s="73">
        <f>'Cost Allocation - Tier 1'!AT18</f>
        <v>873.64684474172032</v>
      </c>
      <c r="AU18" s="73">
        <f>'Cost Allocation - Tier 1'!AU18</f>
        <v>1221.6496442058224</v>
      </c>
      <c r="AV18" s="73">
        <f>'Cost Allocation - Tier 1'!AV18</f>
        <v>1716.8551889900039</v>
      </c>
      <c r="AW18" s="73">
        <f>'Cost Allocation - Tier 1'!AW18</f>
        <v>4397.2650201561401</v>
      </c>
      <c r="AX18" s="73">
        <f>'Cost Allocation - Tier 1'!AX18</f>
        <v>45.852869721957902</v>
      </c>
      <c r="AY18" s="73">
        <f>'Cost Allocation - Tier 1'!AY18</f>
        <v>14145.415428572816</v>
      </c>
      <c r="AZ18" s="73">
        <f>'Cost Allocation - Tier 1'!AZ18</f>
        <v>475.71256464360238</v>
      </c>
      <c r="BA18" s="73">
        <f>'Cost Allocation - Tier 1'!BA18</f>
        <v>8577.8070742066793</v>
      </c>
      <c r="BB18" s="73">
        <f>'Cost Allocation - Tier 1'!BB18</f>
        <v>32272.433152730864</v>
      </c>
      <c r="BC18" s="694">
        <f>'Cost Allocation - Tier 1'!BC18</f>
        <v>127644.89346768757</v>
      </c>
      <c r="BD18" s="883">
        <f>($BC$18-$BK$18)*(VLOOKUP('Cost Allocation - Tier 2'!BD2,'RU Composites'!$B$5:$L$12,11,FALSE))</f>
        <v>20333.381508872932</v>
      </c>
      <c r="BE18" s="883">
        <f>($BC$18-$BK$18)*(VLOOKUP('Cost Allocation - Tier 2'!BE2,'RU Composites'!$B$5:$L$12,11,FALSE))</f>
        <v>18901.594921668082</v>
      </c>
      <c r="BF18" s="883">
        <f>($BC$18-$BK$18)*(VLOOKUP('Cost Allocation - Tier 2'!BF2,'RU Composites'!$B$5:$L$12,11,FALSE))</f>
        <v>10676.292463950873</v>
      </c>
      <c r="BG18" s="883">
        <f>($BC$18-$BK$18)*(VLOOKUP('Cost Allocation - Tier 2'!BG2,'RU Composites'!$B$5:$L$12,11,FALSE))</f>
        <v>23925.438045987608</v>
      </c>
      <c r="BH18" s="883">
        <f>($BC$18-$BK$18)*(VLOOKUP('Cost Allocation - Tier 2'!BH2,'RU Composites'!$B$5:$L$12,11,FALSE))</f>
        <v>17914.480387430034</v>
      </c>
      <c r="BI18" s="883">
        <f>($BC$18-$BK$18)*(VLOOKUP('Cost Allocation - Tier 2'!BI2,'RU Composites'!$B$5:$L$12,11,FALSE))</f>
        <v>11765.541600959938</v>
      </c>
      <c r="BJ18" s="883">
        <f>($BC$18-$BK$18)*(VLOOKUP('Cost Allocation - Tier 2'!BJ2,'RU Composites'!$B$5:$L$12,11,FALSE))</f>
        <v>3733.0559797692922</v>
      </c>
      <c r="BK18" s="81">
        <f>'Cost Allocation - Tier 1'!BK18</f>
        <v>20395.108559048811</v>
      </c>
      <c r="BL18" s="76">
        <f t="shared" si="5"/>
        <v>206161.00000000003</v>
      </c>
      <c r="BM18" s="76">
        <f t="shared" si="2"/>
        <v>0</v>
      </c>
      <c r="BN18" s="76">
        <f>SUM(BD18:BK18)-BC18</f>
        <v>0</v>
      </c>
    </row>
    <row r="19" spans="1:66" x14ac:dyDescent="0.25">
      <c r="A19" s="177" t="str">
        <f>'Cost Allocation - Tier 1'!A19</f>
        <v>9000 - Transition &amp; Recovery</v>
      </c>
      <c r="B19" s="3" t="str">
        <f>'Cost Allocation - Tier 1'!B19</f>
        <v>ALL</v>
      </c>
      <c r="D19" s="664">
        <f>'Cost Allocation - Tier 1'!D19</f>
        <v>735849</v>
      </c>
      <c r="E19" s="664">
        <f>'Cost Allocation - Tier 1'!E19</f>
        <v>554591.77136483195</v>
      </c>
      <c r="F19" s="775">
        <f>'Cost Allocation - Tier 1'!F19</f>
        <v>0</v>
      </c>
      <c r="G19" s="775"/>
      <c r="H19" s="884">
        <f>'Cost Allocation - Tier 1'!H19</f>
        <v>0</v>
      </c>
      <c r="I19" s="666">
        <f t="shared" si="4"/>
        <v>211215.44134159718</v>
      </c>
      <c r="J19" s="73">
        <f>'Cost Allocation - Tier 1'!J19</f>
        <v>1327.9849468367343</v>
      </c>
      <c r="K19" s="73">
        <f>'Cost Allocation - Tier 1'!K19</f>
        <v>394.01087339203218</v>
      </c>
      <c r="L19" s="73">
        <f>'Cost Allocation - Tier 1'!L19</f>
        <v>413.77116872017302</v>
      </c>
      <c r="M19" s="73">
        <f>'Cost Allocation - Tier 1'!M19</f>
        <v>395.3642883465314</v>
      </c>
      <c r="N19" s="73">
        <f>'Cost Allocation - Tier 1'!N19</f>
        <v>692.24850308707619</v>
      </c>
      <c r="O19" s="73">
        <f>'Cost Allocation - Tier 1'!O19</f>
        <v>1584.8012293265317</v>
      </c>
      <c r="P19" s="73">
        <f>'Cost Allocation - Tier 1'!P19</f>
        <v>191.70316035052301</v>
      </c>
      <c r="Q19" s="73">
        <f>'Cost Allocation - Tier 1'!Q19</f>
        <v>507.55715052027779</v>
      </c>
      <c r="R19" s="73">
        <f>'Cost Allocation - Tier 1'!R19</f>
        <v>434.10852423324917</v>
      </c>
      <c r="S19" s="73">
        <f>'Cost Allocation - Tier 1'!S19</f>
        <v>446.6055485457739</v>
      </c>
      <c r="T19" s="73">
        <f>'Cost Allocation - Tier 1'!T19</f>
        <v>1617.6057254014804</v>
      </c>
      <c r="U19" s="73">
        <f>'Cost Allocation - Tier 1'!U19</f>
        <v>1291.4949104318889</v>
      </c>
      <c r="V19" s="73">
        <f>'Cost Allocation - Tier 1'!V19</f>
        <v>1024.9648277870745</v>
      </c>
      <c r="W19" s="73">
        <f>'Cost Allocation - Tier 1'!W19</f>
        <v>1643.5977726290482</v>
      </c>
      <c r="X19" s="73">
        <f>'Cost Allocation - Tier 1'!X19</f>
        <v>40.647818316532067</v>
      </c>
      <c r="Y19" s="73">
        <f>'Cost Allocation - Tier 1'!Y19</f>
        <v>32.070108393683327</v>
      </c>
      <c r="Z19" s="73">
        <f>'Cost Allocation - Tier 1'!Z19</f>
        <v>155.10276357756521</v>
      </c>
      <c r="AA19" s="73">
        <f>'Cost Allocation - Tier 1'!AA19</f>
        <v>141.78055285069206</v>
      </c>
      <c r="AB19" s="73">
        <f>'Cost Allocation - Tier 1'!AB19</f>
        <v>85.303186219821683</v>
      </c>
      <c r="AC19" s="73">
        <f>'Cost Allocation - Tier 1'!AC19</f>
        <v>87.218813071114084</v>
      </c>
      <c r="AD19" s="73">
        <f>'Cost Allocation - Tier 1'!AD19</f>
        <v>494.66138982244655</v>
      </c>
      <c r="AE19" s="73">
        <f>'Cost Allocation - Tier 1'!AE19</f>
        <v>198.44220988483551</v>
      </c>
      <c r="AF19" s="73">
        <f>'Cost Allocation - Tier 1'!AF19</f>
        <v>516.27202971300323</v>
      </c>
      <c r="AG19" s="73">
        <f>'Cost Allocation - Tier 1'!AG19</f>
        <v>1603.0105287389965</v>
      </c>
      <c r="AH19" s="73">
        <f>'Cost Allocation - Tier 1'!AH19</f>
        <v>13137.626072335292</v>
      </c>
      <c r="AI19" s="73">
        <f>'Cost Allocation - Tier 1'!AI19</f>
        <v>91.198924094016675</v>
      </c>
      <c r="AJ19" s="73">
        <f>'Cost Allocation - Tier 1'!AJ19</f>
        <v>1934.836984713151</v>
      </c>
      <c r="AK19" s="73">
        <f>'Cost Allocation - Tier 1'!AK19</f>
        <v>1663.853958486176</v>
      </c>
      <c r="AL19" s="73">
        <f>'Cost Allocation - Tier 1'!AL19</f>
        <v>0</v>
      </c>
      <c r="AM19" s="73">
        <f>'Cost Allocation - Tier 1'!AM19</f>
        <v>203.07204812178591</v>
      </c>
      <c r="AN19" s="73">
        <f>'Cost Allocation - Tier 1'!AN19</f>
        <v>343.34072628867386</v>
      </c>
      <c r="AO19" s="73">
        <f>'Cost Allocation - Tier 1'!AO19</f>
        <v>2022.9963155326686</v>
      </c>
      <c r="AP19" s="73">
        <f>'Cost Allocation - Tier 1'!AP19</f>
        <v>306.42936921217097</v>
      </c>
      <c r="AQ19" s="73">
        <f>'Cost Allocation - Tier 1'!AQ19</f>
        <v>1922.3227424416284</v>
      </c>
      <c r="AR19" s="73">
        <f>'Cost Allocation - Tier 1'!AR19</f>
        <v>5.8145206863150376</v>
      </c>
      <c r="AS19" s="73">
        <f>'Cost Allocation - Tier 1'!AS19</f>
        <v>2833.1913840398624</v>
      </c>
      <c r="AT19" s="73">
        <f>'Cost Allocation - Tier 1'!AT19</f>
        <v>2350.1891782277298</v>
      </c>
      <c r="AU19" s="73">
        <f>'Cost Allocation - Tier 1'!AU19</f>
        <v>3286.3482432046981</v>
      </c>
      <c r="AV19" s="73">
        <f>'Cost Allocation - Tier 1'!AV19</f>
        <v>4618.496031930722</v>
      </c>
      <c r="AW19" s="73">
        <f>'Cost Allocation - Tier 1'!AW19</f>
        <v>11829.041364220233</v>
      </c>
      <c r="AX19" s="73">
        <f>'Cost Allocation - Tier 1'!AX19</f>
        <v>123.34837452894341</v>
      </c>
      <c r="AY19" s="73">
        <f>'Cost Allocation - Tier 1'!AY19</f>
        <v>38052.449295568127</v>
      </c>
      <c r="AZ19" s="73">
        <f>'Cost Allocation - Tier 1'!AZ19</f>
        <v>1279.7099057833566</v>
      </c>
      <c r="BA19" s="73">
        <f>'Cost Allocation - Tier 1'!BA19</f>
        <v>23075.07831117461</v>
      </c>
      <c r="BB19" s="73">
        <f>'Cost Allocation - Tier 1'!BB19</f>
        <v>86815.769560809946</v>
      </c>
      <c r="BC19" s="694">
        <f>'Cost Allocation - Tier 1'!BC19</f>
        <v>343376.33002323483</v>
      </c>
      <c r="BD19" s="883">
        <f>($BC$19-$BK$19)*(VLOOKUP('Cost Allocation - Tier 2'!BD2,'RU Composites'!$B$5:$L$12,11,FALSE))</f>
        <v>54698.638776697626</v>
      </c>
      <c r="BE19" s="883">
        <f>($BC$19-$BK$19)*(VLOOKUP('Cost Allocation - Tier 2'!BE2,'RU Composites'!$B$5:$L$12,11,FALSE))</f>
        <v>50847.003115178988</v>
      </c>
      <c r="BF19" s="883">
        <f>($BC$19-$BK$19)*(VLOOKUP('Cost Allocation - Tier 2'!BF2,'RU Composites'!$B$5:$L$12,11,FALSE))</f>
        <v>28720.194164713601</v>
      </c>
      <c r="BG19" s="883">
        <f>($BC$19-$BK$19)*(VLOOKUP('Cost Allocation - Tier 2'!BG2,'RU Composites'!$B$5:$L$12,11,FALSE))</f>
        <v>64361.596357234455</v>
      </c>
      <c r="BH19" s="883">
        <f>($BC$19-$BK$19)*(VLOOKUP('Cost Allocation - Tier 2'!BH2,'RU Composites'!$B$5:$L$12,11,FALSE))</f>
        <v>48191.575570284222</v>
      </c>
      <c r="BI19" s="883">
        <f>($BC$19-$BK$19)*(VLOOKUP('Cost Allocation - Tier 2'!BI2,'RU Composites'!$B$5:$L$12,11,FALSE))</f>
        <v>31650.373046031953</v>
      </c>
      <c r="BJ19" s="883">
        <f>($BC$19-$BK$19)*(VLOOKUP('Cost Allocation - Tier 2'!BJ2,'RU Composites'!$B$5:$L$12,11,FALSE))</f>
        <v>10042.258858000932</v>
      </c>
      <c r="BK19" s="81">
        <f>'Cost Allocation - Tier 1'!BK19</f>
        <v>54864.690135093086</v>
      </c>
      <c r="BL19" s="76">
        <f>BC19+I19+H19</f>
        <v>554591.77136483206</v>
      </c>
      <c r="BM19" s="76">
        <f t="shared" si="2"/>
        <v>0</v>
      </c>
      <c r="BN19" s="76">
        <f t="shared" si="3"/>
        <v>0</v>
      </c>
    </row>
    <row r="20" spans="1:66" x14ac:dyDescent="0.25">
      <c r="A20" s="177" t="str">
        <f>'Cost Allocation - Tier 1'!A20</f>
        <v>9100 - Transformation</v>
      </c>
      <c r="B20" s="3" t="str">
        <f>'Cost Allocation - Tier 1'!B20</f>
        <v>ALL</v>
      </c>
      <c r="D20" s="681">
        <f>'Cost Allocation - Tier 1'!D20</f>
        <v>1105656</v>
      </c>
      <c r="E20" s="681">
        <f>'Cost Allocation - Tier 1'!E20</f>
        <v>833306.4522207065</v>
      </c>
      <c r="F20" s="681">
        <f>'Cost Allocation - Tier 1'!F20</f>
        <v>274524.24199030775</v>
      </c>
      <c r="G20" s="681"/>
      <c r="H20" s="885">
        <f>'Cost Allocation - Tier 1'!H20</f>
        <v>0</v>
      </c>
      <c r="I20" s="684">
        <f t="shared" si="4"/>
        <v>317363.50801860844</v>
      </c>
      <c r="J20" s="78">
        <f>'Cost Allocation - Tier 1'!J20</f>
        <v>1995.3747635448526</v>
      </c>
      <c r="K20" s="78">
        <f>'Cost Allocation - Tier 1'!K20</f>
        <v>592.02429605957298</v>
      </c>
      <c r="L20" s="78">
        <f>'Cost Allocation - Tier 1'!L20</f>
        <v>621.71529121120182</v>
      </c>
      <c r="M20" s="78">
        <f>'Cost Allocation - Tier 1'!M20</f>
        <v>594.05788089142277</v>
      </c>
      <c r="N20" s="78">
        <f>'Cost Allocation - Tier 1'!N20</f>
        <v>1040.1437128123357</v>
      </c>
      <c r="O20" s="78">
        <f>'Cost Allocation - Tier 1'!O20</f>
        <v>2381.2561925235418</v>
      </c>
      <c r="P20" s="78">
        <f>'Cost Allocation - Tier 1'!P20</f>
        <v>288.04516886007576</v>
      </c>
      <c r="Q20" s="78">
        <f>'Cost Allocation - Tier 1'!Q20</f>
        <v>762.63419372133183</v>
      </c>
      <c r="R20" s="78">
        <f>'Cost Allocation - Tier 1'!R20</f>
        <v>652.27335291566249</v>
      </c>
      <c r="S20" s="78">
        <f>'Cost Allocation - Tier 1'!S20</f>
        <v>671.05086013968389</v>
      </c>
      <c r="T20" s="78">
        <f>'Cost Allocation - Tier 1'!T20</f>
        <v>2430.5468593753599</v>
      </c>
      <c r="U20" s="78">
        <f>'Cost Allocation - Tier 1'!U20</f>
        <v>1940.5463575930396</v>
      </c>
      <c r="V20" s="78">
        <f>'Cost Allocation - Tier 1'!V20</f>
        <v>1540.0693778638629</v>
      </c>
      <c r="W20" s="78">
        <f>'Cost Allocation - Tier 1'!W20</f>
        <v>2469.6014248764936</v>
      </c>
      <c r="X20" s="78">
        <f>'Cost Allocation - Tier 1'!X20</f>
        <v>61.075715545694273</v>
      </c>
      <c r="Y20" s="78">
        <f>'Cost Allocation - Tier 1'!Y20</f>
        <v>48.187206568367067</v>
      </c>
      <c r="Z20" s="78">
        <f>'Cost Allocation - Tier 1'!Z20</f>
        <v>233.05094002453825</v>
      </c>
      <c r="AA20" s="78">
        <f>'Cost Allocation - Tier 1'!AA20</f>
        <v>213.03354212981847</v>
      </c>
      <c r="AB20" s="78">
        <f>'Cost Allocation - Tier 1'!AB20</f>
        <v>128.1730078631121</v>
      </c>
      <c r="AC20" s="78">
        <f>'Cost Allocation - Tier 1'!AC20</f>
        <v>131.05134882965896</v>
      </c>
      <c r="AD20" s="78">
        <f>'Cost Allocation - Tier 1'!AD20</f>
        <v>743.25756184424665</v>
      </c>
      <c r="AE20" s="78">
        <f>'Cost Allocation - Tier 1'!AE20</f>
        <v>298.17098346593895</v>
      </c>
      <c r="AF20" s="78">
        <f>'Cost Allocation - Tier 1'!AF20</f>
        <v>775.72880751942364</v>
      </c>
      <c r="AG20" s="78">
        <f>'Cost Allocation - Tier 1'!AG20</f>
        <v>2408.6167259362237</v>
      </c>
      <c r="AH20" s="78">
        <f>'Cost Allocation - Tier 1'!AH20</f>
        <v>19740.048695634498</v>
      </c>
      <c r="AI20" s="78">
        <f>'Cost Allocation - Tier 1'!AI20</f>
        <v>137.03169756036104</v>
      </c>
      <c r="AJ20" s="78">
        <f>'Cost Allocation - Tier 1'!AJ20</f>
        <v>2907.2053113750289</v>
      </c>
      <c r="AK20" s="78">
        <f>'Cost Allocation - Tier 1'!AK20</f>
        <v>2500.0375244431825</v>
      </c>
      <c r="AL20" s="78">
        <f>'Cost Allocation - Tier 1'!AL20</f>
        <v>0</v>
      </c>
      <c r="AM20" s="78">
        <f>'Cost Allocation - Tier 1'!AM20</f>
        <v>305.12758519498067</v>
      </c>
      <c r="AN20" s="78">
        <f>'Cost Allocation - Tier 1'!AN20</f>
        <v>515.88944751631107</v>
      </c>
      <c r="AO20" s="78">
        <f>'Cost Allocation - Tier 1'!AO20</f>
        <v>3039.6698429250951</v>
      </c>
      <c r="AP20" s="78">
        <f>'Cost Allocation - Tier 1'!AP20</f>
        <v>460.4279827052182</v>
      </c>
      <c r="AQ20" s="78">
        <f>'Cost Allocation - Tier 1'!AQ20</f>
        <v>2888.4019331643331</v>
      </c>
      <c r="AR20" s="78">
        <f>'Cost Allocation - Tier 1'!AR20</f>
        <v>8.7366561399802674</v>
      </c>
      <c r="AS20" s="78">
        <f>'Cost Allocation - Tier 1'!AS20</f>
        <v>4257.0351429600069</v>
      </c>
      <c r="AT20" s="78">
        <f>'Cost Allocation - Tier 1'!AT20</f>
        <v>3531.296184465235</v>
      </c>
      <c r="AU20" s="78">
        <f>'Cost Allocation - Tier 1'!AU20</f>
        <v>4937.9297290459508</v>
      </c>
      <c r="AV20" s="78">
        <f>'Cost Allocation - Tier 1'!AV20</f>
        <v>6939.5594050958753</v>
      </c>
      <c r="AW20" s="78">
        <f>'Cost Allocation - Tier 1'!AW20</f>
        <v>17773.823921209765</v>
      </c>
      <c r="AX20" s="78">
        <f>'Cost Allocation - Tier 1'!AX20</f>
        <v>185.33812016891164</v>
      </c>
      <c r="AY20" s="78">
        <f>'Cost Allocation - Tier 1'!AY20</f>
        <v>57176.022361028794</v>
      </c>
      <c r="AZ20" s="78">
        <f>'Cost Allocation - Tier 1'!AZ20</f>
        <v>1922.838701403145</v>
      </c>
      <c r="BA20" s="78">
        <f>'Cost Allocation - Tier 1'!BA20</f>
        <v>34671.649734143924</v>
      </c>
      <c r="BB20" s="78">
        <f>'Cost Allocation - Tier 1'!BB20</f>
        <v>130445.75247031236</v>
      </c>
      <c r="BC20" s="684">
        <f>'Cost Allocation - Tier 1'!BC20</f>
        <v>515942.94420209818</v>
      </c>
      <c r="BD20" s="886">
        <f>($BC$20-$BK$20)*(VLOOKUP('Cost Allocation - Tier 2'!BD2,'RU Composites'!$B$5:$L$12,11,FALSE))</f>
        <v>82187.892020357962</v>
      </c>
      <c r="BE20" s="886">
        <f>($BC$20-$BK$20)*(VLOOKUP('Cost Allocation - Tier 2'!BE2,'RU Composites'!$B$5:$L$12,11,FALSE))</f>
        <v>76400.585006321038</v>
      </c>
      <c r="BF20" s="886">
        <f>($BC$20-$BK$20)*(VLOOKUP('Cost Allocation - Tier 2'!BF2,'RU Composites'!$B$5:$L$12,11,FALSE))</f>
        <v>43153.765241755551</v>
      </c>
      <c r="BG20" s="886">
        <f>($BC$20-$BK$20)*(VLOOKUP('Cost Allocation - Tier 2'!BG2,'RU Composites'!$B$5:$L$12,11,FALSE))</f>
        <v>96707.048840121293</v>
      </c>
      <c r="BH20" s="886">
        <f>($BC$20-$BK$20)*(VLOOKUP('Cost Allocation - Tier 2'!BH2,'RU Composites'!$B$5:$L$12,11,FALSE))</f>
        <v>72410.650389873699</v>
      </c>
      <c r="BI20" s="886">
        <f>($BC$20-$BK$20)*(VLOOKUP('Cost Allocation - Tier 2'!BI2,'RU Composites'!$B$5:$L$12,11,FALSE))</f>
        <v>47556.529750782436</v>
      </c>
      <c r="BJ20" s="886">
        <f>($BC$20-$BK$20)*(VLOOKUP('Cost Allocation - Tier 2'!BJ2,'RU Composites'!$B$5:$L$12,11,FALSE))</f>
        <v>15089.079090821457</v>
      </c>
      <c r="BK20" s="81">
        <f>'Cost Allocation - Tier 1'!BK20</f>
        <v>82437.393862064753</v>
      </c>
      <c r="BL20" s="685">
        <f>BC20+I20+H20</f>
        <v>833306.45222070662</v>
      </c>
      <c r="BM20" s="76">
        <f t="shared" si="2"/>
        <v>0</v>
      </c>
      <c r="BN20" s="76">
        <f t="shared" si="3"/>
        <v>0</v>
      </c>
    </row>
    <row r="21" spans="1:66" s="1" customFormat="1" x14ac:dyDescent="0.25">
      <c r="A21" s="1" t="str">
        <f>'Cost Allocation - Tier 1'!A21</f>
        <v>Corporate Costs</v>
      </c>
      <c r="B21" s="35"/>
      <c r="C21" s="35"/>
      <c r="D21" s="687">
        <f>SUM(D5:D20)</f>
        <v>17328186.377785556</v>
      </c>
      <c r="E21" s="687">
        <f>SUM(E5:E20)</f>
        <v>13059839.148787376</v>
      </c>
      <c r="F21" s="687">
        <f>SUM(F5:F20)</f>
        <v>3101443.2896452448</v>
      </c>
      <c r="G21" s="687"/>
      <c r="H21" s="687">
        <f t="shared" ref="H21:BK21" si="6">SUM(H5:H20)</f>
        <v>126859.85619860872</v>
      </c>
      <c r="I21" s="666">
        <f t="shared" si="6"/>
        <v>5041489.4906200124</v>
      </c>
      <c r="J21" s="687">
        <f t="shared" si="6"/>
        <v>30940.682474066045</v>
      </c>
      <c r="K21" s="687">
        <f t="shared" si="6"/>
        <v>9176.586917780025</v>
      </c>
      <c r="L21" s="687">
        <f t="shared" si="6"/>
        <v>9634.7628759415456</v>
      </c>
      <c r="M21" s="687">
        <f t="shared" si="6"/>
        <v>9215.1129017999028</v>
      </c>
      <c r="N21" s="687">
        <f t="shared" si="6"/>
        <v>16123.732424263992</v>
      </c>
      <c r="O21" s="687">
        <f t="shared" si="6"/>
        <v>36925.986835917822</v>
      </c>
      <c r="P21" s="687">
        <f t="shared" si="6"/>
        <v>4467.1901142520665</v>
      </c>
      <c r="Q21" s="687">
        <f t="shared" si="6"/>
        <v>11829.275353553874</v>
      </c>
      <c r="R21" s="687">
        <f t="shared" si="6"/>
        <v>10117.963135477432</v>
      </c>
      <c r="S21" s="687">
        <f t="shared" si="6"/>
        <v>10408.811985582788</v>
      </c>
      <c r="T21" s="687">
        <f t="shared" si="6"/>
        <v>37703.442426523899</v>
      </c>
      <c r="U21" s="687">
        <f t="shared" si="6"/>
        <v>30101.528657016537</v>
      </c>
      <c r="V21" s="687">
        <f t="shared" si="6"/>
        <v>23884.058567263706</v>
      </c>
      <c r="W21" s="687">
        <f t="shared" si="6"/>
        <v>38302.659343159168</v>
      </c>
      <c r="X21" s="687">
        <f t="shared" si="6"/>
        <v>947.00056205622172</v>
      </c>
      <c r="Y21" s="687">
        <f t="shared" si="6"/>
        <v>746.95161041274002</v>
      </c>
      <c r="Z21" s="687">
        <f t="shared" si="6"/>
        <v>3611.3703073074416</v>
      </c>
      <c r="AA21" s="687">
        <f t="shared" si="6"/>
        <v>3300.9120470506186</v>
      </c>
      <c r="AB21" s="687">
        <f t="shared" si="6"/>
        <v>1985.8780043508793</v>
      </c>
      <c r="AC21" s="687">
        <f t="shared" si="6"/>
        <v>2031.3659327813918</v>
      </c>
      <c r="AD21" s="687">
        <f t="shared" si="6"/>
        <v>11527.069912804167</v>
      </c>
      <c r="AE21" s="687">
        <f t="shared" si="6"/>
        <v>4623.0295433495094</v>
      </c>
      <c r="AF21" s="687">
        <f t="shared" si="6"/>
        <v>12029.009574520516</v>
      </c>
      <c r="AG21" s="687">
        <f t="shared" si="6"/>
        <v>37371.667751300323</v>
      </c>
      <c r="AH21" s="687">
        <f t="shared" si="6"/>
        <v>305974.51667308481</v>
      </c>
      <c r="AI21" s="687">
        <f t="shared" si="6"/>
        <v>2125.5256446495687</v>
      </c>
      <c r="AJ21" s="687">
        <f t="shared" si="6"/>
        <v>45100.809333515666</v>
      </c>
      <c r="AK21" s="687">
        <f t="shared" si="6"/>
        <v>38778.186846882454</v>
      </c>
      <c r="AL21" s="687">
        <f t="shared" si="6"/>
        <v>0</v>
      </c>
      <c r="AM21" s="687">
        <f t="shared" si="6"/>
        <v>4728.4136226310748</v>
      </c>
      <c r="AN21" s="687">
        <f t="shared" si="6"/>
        <v>7996.4516822680016</v>
      </c>
      <c r="AO21" s="687">
        <f t="shared" si="6"/>
        <v>47150.926982410863</v>
      </c>
      <c r="AP21" s="687">
        <f t="shared" si="6"/>
        <v>7140.9924968641453</v>
      </c>
      <c r="AQ21" s="687">
        <f t="shared" si="6"/>
        <v>44810.953064132045</v>
      </c>
      <c r="AR21" s="687">
        <f t="shared" si="6"/>
        <v>135.34196920050132</v>
      </c>
      <c r="AS21" s="687">
        <f t="shared" si="6"/>
        <v>66041.140058999066</v>
      </c>
      <c r="AT21" s="687">
        <f t="shared" si="6"/>
        <v>54788.957310726626</v>
      </c>
      <c r="AU21" s="687">
        <f t="shared" si="6"/>
        <v>76591.143289778527</v>
      </c>
      <c r="AV21" s="687">
        <f t="shared" si="6"/>
        <v>107651.7433035805</v>
      </c>
      <c r="AW21" s="687">
        <f t="shared" si="6"/>
        <v>275707.30895589478</v>
      </c>
      <c r="AX21" s="687">
        <f t="shared" si="6"/>
        <v>2871.1243466240294</v>
      </c>
      <c r="AY21" s="687">
        <f t="shared" si="6"/>
        <v>919399.77059710061</v>
      </c>
      <c r="AZ21" s="687">
        <f t="shared" si="6"/>
        <v>32598.034310891002</v>
      </c>
      <c r="BA21" s="687">
        <f t="shared" si="6"/>
        <v>560989.1560299471</v>
      </c>
      <c r="BB21" s="687">
        <f t="shared" si="6"/>
        <v>2083902.9448422976</v>
      </c>
      <c r="BC21" s="666">
        <f t="shared" si="6"/>
        <v>7891489.8019687589</v>
      </c>
      <c r="BD21" s="887">
        <f t="shared" si="6"/>
        <v>1257086.5034834347</v>
      </c>
      <c r="BE21" s="887">
        <f t="shared" si="6"/>
        <v>1168568.0446201903</v>
      </c>
      <c r="BF21" s="887">
        <f t="shared" si="6"/>
        <v>660048.75567883183</v>
      </c>
      <c r="BG21" s="887">
        <f t="shared" si="6"/>
        <v>1479161.0163029504</v>
      </c>
      <c r="BH21" s="887">
        <f t="shared" si="6"/>
        <v>1107540.892897222</v>
      </c>
      <c r="BI21" s="887">
        <f t="shared" si="6"/>
        <v>727390.25460598059</v>
      </c>
      <c r="BJ21" s="887">
        <f t="shared" si="6"/>
        <v>230791.63133138037</v>
      </c>
      <c r="BK21" s="776">
        <f t="shared" si="6"/>
        <v>1260902.7030487694</v>
      </c>
      <c r="BL21" s="687">
        <f>BC21+I21+H21</f>
        <v>13059839.148787379</v>
      </c>
      <c r="BM21" s="687">
        <f>BL21-E21</f>
        <v>0</v>
      </c>
      <c r="BN21" s="76">
        <f t="shared" si="3"/>
        <v>0</v>
      </c>
    </row>
    <row r="22" spans="1:66" x14ac:dyDescent="0.25">
      <c r="D22" s="76"/>
      <c r="E22" s="76"/>
      <c r="F22" s="76"/>
      <c r="G22" s="76"/>
      <c r="H22" s="888">
        <f>H21/$E$21</f>
        <v>9.7137380294908017E-3</v>
      </c>
      <c r="I22" s="692">
        <f>I21/$E$21</f>
        <v>0.38602998346178879</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80"/>
      <c r="BC22" s="692">
        <f>BC21/$E$21</f>
        <v>0.60425627850872077</v>
      </c>
      <c r="BD22" s="889"/>
      <c r="BE22" s="889"/>
      <c r="BF22" s="889"/>
      <c r="BG22" s="889"/>
      <c r="BH22" s="889"/>
      <c r="BI22" s="889"/>
      <c r="BJ22" s="889"/>
      <c r="BK22" s="351"/>
      <c r="BL22" s="80">
        <f>BC22+I22+H22</f>
        <v>1.0000000000000002</v>
      </c>
      <c r="BM22" s="76">
        <f>BL22-1</f>
        <v>0</v>
      </c>
    </row>
    <row r="23" spans="1:66" x14ac:dyDescent="0.25">
      <c r="D23" s="76"/>
      <c r="E23" s="76"/>
      <c r="F23" s="76"/>
      <c r="G23" s="76"/>
      <c r="H23" s="177" t="s">
        <v>866</v>
      </c>
      <c r="I23" s="692">
        <f>I22/(I22+BC22)</f>
        <v>0.38981655939935139</v>
      </c>
      <c r="BB23" s="177" t="s">
        <v>866</v>
      </c>
      <c r="BC23" s="692">
        <f>BC22/(BC22+I22)</f>
        <v>0.61018344060064866</v>
      </c>
      <c r="BD23" s="890"/>
      <c r="BE23" s="890"/>
      <c r="BF23" s="890"/>
      <c r="BG23" s="890"/>
      <c r="BH23" s="890"/>
      <c r="BI23" s="890"/>
      <c r="BJ23" s="890"/>
      <c r="BK23" s="69"/>
      <c r="BL23" s="80">
        <f>BC23+I23</f>
        <v>1</v>
      </c>
      <c r="BM23" s="76">
        <f>BL23-1</f>
        <v>0</v>
      </c>
    </row>
    <row r="24" spans="1:66" x14ac:dyDescent="0.25">
      <c r="A24" s="199" t="str">
        <f>'Cost Allocation - Tier 1'!A24</f>
        <v>Corporate revenue allocation</v>
      </c>
      <c r="D24" s="76"/>
      <c r="E24" s="76"/>
      <c r="F24" s="76"/>
      <c r="G24" s="76"/>
      <c r="H24" s="888"/>
      <c r="I24" s="692"/>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D24" s="890"/>
      <c r="BE24" s="890"/>
      <c r="BF24" s="890"/>
      <c r="BG24" s="890"/>
      <c r="BH24" s="890"/>
      <c r="BI24" s="890"/>
      <c r="BJ24" s="890"/>
      <c r="BK24" s="69"/>
      <c r="BM24" s="76"/>
    </row>
    <row r="25" spans="1:66" x14ac:dyDescent="0.25">
      <c r="A25" s="199"/>
      <c r="D25" s="76"/>
      <c r="E25" s="76"/>
      <c r="F25" s="76"/>
      <c r="G25" s="76"/>
      <c r="H25" s="888"/>
      <c r="I25" s="692"/>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D25" s="890"/>
      <c r="BE25" s="890"/>
      <c r="BF25" s="890"/>
      <c r="BG25" s="890"/>
      <c r="BH25" s="890"/>
      <c r="BI25" s="890"/>
      <c r="BJ25" s="890"/>
      <c r="BK25" s="69"/>
      <c r="BM25" s="76"/>
    </row>
    <row r="26" spans="1:66" x14ac:dyDescent="0.25">
      <c r="A26" s="177" t="str">
        <f>'Cost Allocation - Tier 1'!A26</f>
        <v>Doyon Board Fees</v>
      </c>
      <c r="B26" s="3" t="str">
        <f>'Cost Allocation - Tier 1'!B26</f>
        <v>DOYON</v>
      </c>
      <c r="D26" s="713">
        <f>'Cost Allocation - Tier 1'!D26</f>
        <v>-169110</v>
      </c>
      <c r="E26" s="664">
        <f>'Cost Allocation - Tier 1'!E26</f>
        <v>-127500</v>
      </c>
      <c r="F26" s="664"/>
      <c r="G26" s="664"/>
      <c r="H26" s="884">
        <f>'Cost Allocation - Tier 1'!H26</f>
        <v>0</v>
      </c>
      <c r="I26" s="666">
        <f t="shared" ref="I26:I28" si="7">SUM(J26:BB26)</f>
        <v>-127500</v>
      </c>
      <c r="J26" s="73">
        <f>'Cost Allocation - Tier 1'!J26</f>
        <v>0</v>
      </c>
      <c r="K26" s="73">
        <f>'Cost Allocation - Tier 1'!K26</f>
        <v>0</v>
      </c>
      <c r="L26" s="73">
        <f>'Cost Allocation - Tier 1'!L26</f>
        <v>0</v>
      </c>
      <c r="M26" s="73">
        <f>'Cost Allocation - Tier 1'!M26</f>
        <v>0</v>
      </c>
      <c r="N26" s="73">
        <f>'Cost Allocation - Tier 1'!N26</f>
        <v>0</v>
      </c>
      <c r="O26" s="73">
        <f>'Cost Allocation - Tier 1'!O26</f>
        <v>0</v>
      </c>
      <c r="P26" s="73">
        <f>'Cost Allocation - Tier 1'!P26</f>
        <v>0</v>
      </c>
      <c r="Q26" s="73">
        <f>'Cost Allocation - Tier 1'!Q26</f>
        <v>0</v>
      </c>
      <c r="R26" s="73">
        <f>'Cost Allocation - Tier 1'!R26</f>
        <v>0</v>
      </c>
      <c r="S26" s="73">
        <f>'Cost Allocation - Tier 1'!S26</f>
        <v>0</v>
      </c>
      <c r="T26" s="73">
        <f>'Cost Allocation - Tier 1'!T26</f>
        <v>0</v>
      </c>
      <c r="U26" s="73">
        <f>'Cost Allocation - Tier 1'!U26</f>
        <v>0</v>
      </c>
      <c r="V26" s="73">
        <f>'Cost Allocation - Tier 1'!V26</f>
        <v>0</v>
      </c>
      <c r="W26" s="73">
        <f>'Cost Allocation - Tier 1'!W26</f>
        <v>0</v>
      </c>
      <c r="X26" s="73">
        <f>'Cost Allocation - Tier 1'!X26</f>
        <v>0</v>
      </c>
      <c r="Y26" s="73">
        <f>'Cost Allocation - Tier 1'!Y26</f>
        <v>0</v>
      </c>
      <c r="Z26" s="73">
        <f>'Cost Allocation - Tier 1'!Z26</f>
        <v>0</v>
      </c>
      <c r="AA26" s="73">
        <f>'Cost Allocation - Tier 1'!AA26</f>
        <v>0</v>
      </c>
      <c r="AB26" s="73">
        <f>'Cost Allocation - Tier 1'!AB26</f>
        <v>0</v>
      </c>
      <c r="AC26" s="73">
        <f>'Cost Allocation - Tier 1'!AC26</f>
        <v>0</v>
      </c>
      <c r="AD26" s="73">
        <f>'Cost Allocation - Tier 1'!AD26</f>
        <v>0</v>
      </c>
      <c r="AE26" s="73">
        <f>'Cost Allocation - Tier 1'!AE26</f>
        <v>0</v>
      </c>
      <c r="AF26" s="73">
        <f>'Cost Allocation - Tier 1'!AF26</f>
        <v>0</v>
      </c>
      <c r="AG26" s="73">
        <f>'Cost Allocation - Tier 1'!AG26</f>
        <v>0</v>
      </c>
      <c r="AH26" s="73">
        <f>'Cost Allocation - Tier 1'!AH26</f>
        <v>0</v>
      </c>
      <c r="AI26" s="73">
        <f>'Cost Allocation - Tier 1'!AI26</f>
        <v>0</v>
      </c>
      <c r="AJ26" s="73">
        <f>'Cost Allocation - Tier 1'!AJ26</f>
        <v>0</v>
      </c>
      <c r="AK26" s="73">
        <f>'Cost Allocation - Tier 1'!AK26</f>
        <v>0</v>
      </c>
      <c r="AL26" s="73">
        <f>'Cost Allocation - Tier 1'!AL26</f>
        <v>0</v>
      </c>
      <c r="AM26" s="73">
        <f>'Cost Allocation - Tier 1'!AM26</f>
        <v>0</v>
      </c>
      <c r="AN26" s="73">
        <f>'Cost Allocation - Tier 1'!AN26</f>
        <v>0</v>
      </c>
      <c r="AO26" s="73">
        <f>'Cost Allocation - Tier 1'!AO26</f>
        <v>0</v>
      </c>
      <c r="AP26" s="73">
        <f>'Cost Allocation - Tier 1'!AP26</f>
        <v>0</v>
      </c>
      <c r="AQ26" s="73">
        <f>'Cost Allocation - Tier 1'!AQ26</f>
        <v>0</v>
      </c>
      <c r="AR26" s="73">
        <f>'Cost Allocation - Tier 1'!AR26</f>
        <v>0</v>
      </c>
      <c r="AS26" s="73">
        <f>'Cost Allocation - Tier 1'!AS26</f>
        <v>0</v>
      </c>
      <c r="AT26" s="73">
        <f>'Cost Allocation - Tier 1'!AT26</f>
        <v>0</v>
      </c>
      <c r="AU26" s="73">
        <f>'Cost Allocation - Tier 1'!AU26</f>
        <v>0</v>
      </c>
      <c r="AV26" s="73">
        <f>'Cost Allocation - Tier 1'!AV26</f>
        <v>0</v>
      </c>
      <c r="AW26" s="73">
        <f>'Cost Allocation - Tier 1'!AW26</f>
        <v>0</v>
      </c>
      <c r="AX26" s="73">
        <f>'Cost Allocation - Tier 1'!AX26</f>
        <v>0</v>
      </c>
      <c r="AY26" s="73">
        <f>'Cost Allocation - Tier 1'!AY26</f>
        <v>0</v>
      </c>
      <c r="AZ26" s="73">
        <f>'Cost Allocation - Tier 1'!AZ26</f>
        <v>0</v>
      </c>
      <c r="BA26" s="73">
        <f>'Cost Allocation - Tier 1'!BA26</f>
        <v>0</v>
      </c>
      <c r="BB26" s="73">
        <f>'Cost Allocation - Tier 1'!BB26</f>
        <v>-127500</v>
      </c>
      <c r="BC26" s="694">
        <f>'Cost Allocation - Tier 1'!BC26</f>
        <v>0</v>
      </c>
      <c r="BD26" s="81">
        <f>$BC$26*(VLOOKUP('Cost Allocation - Tier 2'!BD2,'RU Composites'!$B$5:$L$12,11,FALSE))</f>
        <v>0</v>
      </c>
      <c r="BE26" s="81">
        <f>$BC$26*(VLOOKUP('Cost Allocation - Tier 2'!BE2,'RU Composites'!$B$5:$L$12,11,FALSE))</f>
        <v>0</v>
      </c>
      <c r="BF26" s="81">
        <f>$BC$26*(VLOOKUP('Cost Allocation - Tier 2'!BF2,'RU Composites'!$B$5:$L$12,11,FALSE))</f>
        <v>0</v>
      </c>
      <c r="BG26" s="81">
        <f>$BC$26*(VLOOKUP('Cost Allocation - Tier 2'!BG2,'RU Composites'!$B$5:$L$12,11,FALSE))</f>
        <v>0</v>
      </c>
      <c r="BH26" s="81">
        <f>$BC$26*(VLOOKUP('Cost Allocation - Tier 2'!BH2,'RU Composites'!$B$5:$L$12,11,FALSE))</f>
        <v>0</v>
      </c>
      <c r="BI26" s="81">
        <f>$BC$26*(VLOOKUP('Cost Allocation - Tier 2'!BI2,'RU Composites'!$B$5:$L$12,11,FALSE))</f>
        <v>0</v>
      </c>
      <c r="BJ26" s="81">
        <f>$BC$26*(VLOOKUP('Cost Allocation - Tier 2'!BJ2,'RU Composites'!$B$5:$L$12,11,FALSE))</f>
        <v>0</v>
      </c>
      <c r="BK26" s="81">
        <f>$BC$26*(VLOOKUP('Cost Allocation - Tier 2'!BK2,'RU Composites'!$B$5:$L$12,11,FALSE))</f>
        <v>0</v>
      </c>
      <c r="BL26" s="695">
        <f t="shared" ref="BL26:BL29" si="8">BC26+I26+H26</f>
        <v>-127500</v>
      </c>
      <c r="BM26" s="76">
        <f>BL26-E26</f>
        <v>0</v>
      </c>
      <c r="BN26" s="76">
        <f t="shared" ref="BN26:BN28" si="9">SUM(BD26:BK26)-BC26</f>
        <v>0</v>
      </c>
    </row>
    <row r="27" spans="1:66" x14ac:dyDescent="0.25">
      <c r="A27" s="177" t="str">
        <f>'Cost Allocation - Tier 1'!A27</f>
        <v>FSW Board Fees</v>
      </c>
      <c r="B27" s="3" t="str">
        <f>'Cost Allocation - Tier 1'!B27</f>
        <v>FSW</v>
      </c>
      <c r="D27" s="713">
        <f>'Cost Allocation - Tier 1'!D27</f>
        <v>-148330</v>
      </c>
      <c r="E27" s="664">
        <f>'Cost Allocation - Tier 1'!E27</f>
        <v>-111875</v>
      </c>
      <c r="F27" s="664"/>
      <c r="G27" s="664"/>
      <c r="H27" s="884">
        <f>'Cost Allocation - Tier 1'!H27</f>
        <v>0</v>
      </c>
      <c r="I27" s="666">
        <f t="shared" si="7"/>
        <v>0</v>
      </c>
      <c r="J27" s="73">
        <f>'Cost Allocation - Tier 1'!J27</f>
        <v>0</v>
      </c>
      <c r="K27" s="73">
        <f>'Cost Allocation - Tier 1'!K27</f>
        <v>0</v>
      </c>
      <c r="L27" s="73">
        <f>'Cost Allocation - Tier 1'!L27</f>
        <v>0</v>
      </c>
      <c r="M27" s="73">
        <f>'Cost Allocation - Tier 1'!M27</f>
        <v>0</v>
      </c>
      <c r="N27" s="73">
        <f>'Cost Allocation - Tier 1'!N27</f>
        <v>0</v>
      </c>
      <c r="O27" s="73">
        <f>'Cost Allocation - Tier 1'!O27</f>
        <v>0</v>
      </c>
      <c r="P27" s="73">
        <f>'Cost Allocation - Tier 1'!P27</f>
        <v>0</v>
      </c>
      <c r="Q27" s="73">
        <f>'Cost Allocation - Tier 1'!Q27</f>
        <v>0</v>
      </c>
      <c r="R27" s="73">
        <f>'Cost Allocation - Tier 1'!R27</f>
        <v>0</v>
      </c>
      <c r="S27" s="73">
        <f>'Cost Allocation - Tier 1'!S27</f>
        <v>0</v>
      </c>
      <c r="T27" s="73">
        <f>'Cost Allocation - Tier 1'!T27</f>
        <v>0</v>
      </c>
      <c r="U27" s="73">
        <f>'Cost Allocation - Tier 1'!U27</f>
        <v>0</v>
      </c>
      <c r="V27" s="73">
        <f>'Cost Allocation - Tier 1'!V27</f>
        <v>0</v>
      </c>
      <c r="W27" s="73">
        <f>'Cost Allocation - Tier 1'!W27</f>
        <v>0</v>
      </c>
      <c r="X27" s="73">
        <f>'Cost Allocation - Tier 1'!X27</f>
        <v>0</v>
      </c>
      <c r="Y27" s="73">
        <f>'Cost Allocation - Tier 1'!Y27</f>
        <v>0</v>
      </c>
      <c r="Z27" s="73">
        <f>'Cost Allocation - Tier 1'!Z27</f>
        <v>0</v>
      </c>
      <c r="AA27" s="73">
        <f>'Cost Allocation - Tier 1'!AA27</f>
        <v>0</v>
      </c>
      <c r="AB27" s="73">
        <f>'Cost Allocation - Tier 1'!AB27</f>
        <v>0</v>
      </c>
      <c r="AC27" s="73">
        <f>'Cost Allocation - Tier 1'!AC27</f>
        <v>0</v>
      </c>
      <c r="AD27" s="73">
        <f>'Cost Allocation - Tier 1'!AD27</f>
        <v>0</v>
      </c>
      <c r="AE27" s="73">
        <f>'Cost Allocation - Tier 1'!AE27</f>
        <v>0</v>
      </c>
      <c r="AF27" s="73">
        <f>'Cost Allocation - Tier 1'!AF27</f>
        <v>0</v>
      </c>
      <c r="AG27" s="73">
        <f>'Cost Allocation - Tier 1'!AG27</f>
        <v>0</v>
      </c>
      <c r="AH27" s="73">
        <f>'Cost Allocation - Tier 1'!AH27</f>
        <v>0</v>
      </c>
      <c r="AI27" s="73">
        <f>'Cost Allocation - Tier 1'!AI27</f>
        <v>0</v>
      </c>
      <c r="AJ27" s="73">
        <f>'Cost Allocation - Tier 1'!AJ27</f>
        <v>0</v>
      </c>
      <c r="AK27" s="73">
        <f>'Cost Allocation - Tier 1'!AK27</f>
        <v>0</v>
      </c>
      <c r="AL27" s="73">
        <f>'Cost Allocation - Tier 1'!AL27</f>
        <v>0</v>
      </c>
      <c r="AM27" s="73">
        <f>'Cost Allocation - Tier 1'!AM27</f>
        <v>0</v>
      </c>
      <c r="AN27" s="73">
        <f>'Cost Allocation - Tier 1'!AN27</f>
        <v>0</v>
      </c>
      <c r="AO27" s="73">
        <f>'Cost Allocation - Tier 1'!AO27</f>
        <v>0</v>
      </c>
      <c r="AP27" s="73">
        <f>'Cost Allocation - Tier 1'!AP27</f>
        <v>0</v>
      </c>
      <c r="AQ27" s="73">
        <f>'Cost Allocation - Tier 1'!AQ27</f>
        <v>0</v>
      </c>
      <c r="AR27" s="73">
        <f>'Cost Allocation - Tier 1'!AR27</f>
        <v>0</v>
      </c>
      <c r="AS27" s="73">
        <f>'Cost Allocation - Tier 1'!AS27</f>
        <v>0</v>
      </c>
      <c r="AT27" s="73">
        <f>'Cost Allocation - Tier 1'!AT27</f>
        <v>0</v>
      </c>
      <c r="AU27" s="73">
        <f>'Cost Allocation - Tier 1'!AU27</f>
        <v>0</v>
      </c>
      <c r="AV27" s="73">
        <f>'Cost Allocation - Tier 1'!AV27</f>
        <v>0</v>
      </c>
      <c r="AW27" s="73">
        <f>'Cost Allocation - Tier 1'!AW27</f>
        <v>0</v>
      </c>
      <c r="AX27" s="73">
        <f>'Cost Allocation - Tier 1'!AX27</f>
        <v>0</v>
      </c>
      <c r="AY27" s="73">
        <f>'Cost Allocation - Tier 1'!AY27</f>
        <v>0</v>
      </c>
      <c r="AZ27" s="73">
        <f>'Cost Allocation - Tier 1'!AZ27</f>
        <v>0</v>
      </c>
      <c r="BA27" s="73">
        <f>'Cost Allocation - Tier 1'!BA27</f>
        <v>0</v>
      </c>
      <c r="BB27" s="73">
        <f>'Cost Allocation - Tier 1'!BB27</f>
        <v>0</v>
      </c>
      <c r="BC27" s="694">
        <f>'Cost Allocation - Tier 1'!BC27</f>
        <v>-111875</v>
      </c>
      <c r="BD27" s="81">
        <f>'Cost Allocation - Tier 1'!BD27</f>
        <v>0</v>
      </c>
      <c r="BE27" s="81">
        <f>'Cost Allocation - Tier 1'!BE27</f>
        <v>0</v>
      </c>
      <c r="BF27" s="81">
        <f>'Cost Allocation - Tier 1'!BF27</f>
        <v>0</v>
      </c>
      <c r="BG27" s="81">
        <f>'Cost Allocation - Tier 1'!BG27</f>
        <v>0</v>
      </c>
      <c r="BH27" s="81">
        <f>'Cost Allocation - Tier 1'!BH27</f>
        <v>0</v>
      </c>
      <c r="BI27" s="81">
        <f>'Cost Allocation - Tier 1'!BI27</f>
        <v>0</v>
      </c>
      <c r="BJ27" s="81">
        <f>'Cost Allocation - Tier 1'!BJ27</f>
        <v>0</v>
      </c>
      <c r="BK27" s="81">
        <f>'Cost Allocation - Tier 1'!BK27</f>
        <v>-111875</v>
      </c>
      <c r="BL27" s="695">
        <f t="shared" si="8"/>
        <v>-111875</v>
      </c>
      <c r="BM27" s="76">
        <f>BL27-E27</f>
        <v>0</v>
      </c>
      <c r="BN27" s="76">
        <f t="shared" si="9"/>
        <v>0</v>
      </c>
    </row>
    <row r="28" spans="1:66" x14ac:dyDescent="0.25">
      <c r="A28" s="177" t="str">
        <f>'Cost Allocation - Tier 1'!A28</f>
        <v>Other</v>
      </c>
      <c r="B28" s="3" t="str">
        <f>'Cost Allocation - Tier 1'!B28</f>
        <v>ALL</v>
      </c>
      <c r="D28" s="713">
        <f>'Cost Allocation - Tier 1'!D28</f>
        <v>0</v>
      </c>
      <c r="E28" s="664">
        <f>'Cost Allocation - Tier 1'!E28</f>
        <v>0</v>
      </c>
      <c r="F28" s="664"/>
      <c r="G28" s="664"/>
      <c r="H28" s="884">
        <f>'Cost Allocation - Tier 1'!H28</f>
        <v>0</v>
      </c>
      <c r="I28" s="666">
        <f t="shared" si="7"/>
        <v>0</v>
      </c>
      <c r="J28" s="73">
        <f>'Cost Allocation - Tier 1'!J28</f>
        <v>0</v>
      </c>
      <c r="K28" s="73">
        <f>'Cost Allocation - Tier 1'!K28</f>
        <v>0</v>
      </c>
      <c r="L28" s="73">
        <f>'Cost Allocation - Tier 1'!L28</f>
        <v>0</v>
      </c>
      <c r="M28" s="73">
        <f>'Cost Allocation - Tier 1'!M28</f>
        <v>0</v>
      </c>
      <c r="N28" s="73">
        <f>'Cost Allocation - Tier 1'!N28</f>
        <v>0</v>
      </c>
      <c r="O28" s="73">
        <f>'Cost Allocation - Tier 1'!O28</f>
        <v>0</v>
      </c>
      <c r="P28" s="73">
        <f>'Cost Allocation - Tier 1'!P28</f>
        <v>0</v>
      </c>
      <c r="Q28" s="73">
        <f>'Cost Allocation - Tier 1'!Q28</f>
        <v>0</v>
      </c>
      <c r="R28" s="73">
        <f>'Cost Allocation - Tier 1'!R28</f>
        <v>0</v>
      </c>
      <c r="S28" s="73">
        <f>'Cost Allocation - Tier 1'!S28</f>
        <v>0</v>
      </c>
      <c r="T28" s="73">
        <f>'Cost Allocation - Tier 1'!T28</f>
        <v>0</v>
      </c>
      <c r="U28" s="73">
        <f>'Cost Allocation - Tier 1'!U28</f>
        <v>0</v>
      </c>
      <c r="V28" s="73">
        <f>'Cost Allocation - Tier 1'!V28</f>
        <v>0</v>
      </c>
      <c r="W28" s="73">
        <f>'Cost Allocation - Tier 1'!W28</f>
        <v>0</v>
      </c>
      <c r="X28" s="73">
        <f>'Cost Allocation - Tier 1'!X28</f>
        <v>0</v>
      </c>
      <c r="Y28" s="73">
        <f>'Cost Allocation - Tier 1'!Y28</f>
        <v>0</v>
      </c>
      <c r="Z28" s="73">
        <f>'Cost Allocation - Tier 1'!Z28</f>
        <v>0</v>
      </c>
      <c r="AA28" s="73">
        <f>'Cost Allocation - Tier 1'!AA28</f>
        <v>0</v>
      </c>
      <c r="AB28" s="73">
        <f>'Cost Allocation - Tier 1'!AB28</f>
        <v>0</v>
      </c>
      <c r="AC28" s="73">
        <f>'Cost Allocation - Tier 1'!AC28</f>
        <v>0</v>
      </c>
      <c r="AD28" s="73">
        <f>'Cost Allocation - Tier 1'!AD28</f>
        <v>0</v>
      </c>
      <c r="AE28" s="73">
        <f>'Cost Allocation - Tier 1'!AE28</f>
        <v>0</v>
      </c>
      <c r="AF28" s="73">
        <f>'Cost Allocation - Tier 1'!AF28</f>
        <v>0</v>
      </c>
      <c r="AG28" s="73">
        <f>'Cost Allocation - Tier 1'!AG28</f>
        <v>0</v>
      </c>
      <c r="AH28" s="73">
        <f>'Cost Allocation - Tier 1'!AH28</f>
        <v>0</v>
      </c>
      <c r="AI28" s="73">
        <f>'Cost Allocation - Tier 1'!AI28</f>
        <v>0</v>
      </c>
      <c r="AJ28" s="73">
        <f>'Cost Allocation - Tier 1'!AJ28</f>
        <v>0</v>
      </c>
      <c r="AK28" s="73">
        <f>'Cost Allocation - Tier 1'!AK28</f>
        <v>0</v>
      </c>
      <c r="AL28" s="73">
        <f>'Cost Allocation - Tier 1'!AL28</f>
        <v>0</v>
      </c>
      <c r="AM28" s="73">
        <f>'Cost Allocation - Tier 1'!AM28</f>
        <v>0</v>
      </c>
      <c r="AN28" s="73">
        <f>'Cost Allocation - Tier 1'!AN28</f>
        <v>0</v>
      </c>
      <c r="AO28" s="73">
        <f>'Cost Allocation - Tier 1'!AO28</f>
        <v>0</v>
      </c>
      <c r="AP28" s="73">
        <f>'Cost Allocation - Tier 1'!AP28</f>
        <v>0</v>
      </c>
      <c r="AQ28" s="73">
        <f>'Cost Allocation - Tier 1'!AQ28</f>
        <v>0</v>
      </c>
      <c r="AR28" s="73">
        <f>'Cost Allocation - Tier 1'!AR28</f>
        <v>0</v>
      </c>
      <c r="AS28" s="73">
        <f>'Cost Allocation - Tier 1'!AS28</f>
        <v>0</v>
      </c>
      <c r="AT28" s="73">
        <f>'Cost Allocation - Tier 1'!AT28</f>
        <v>0</v>
      </c>
      <c r="AU28" s="73">
        <f>'Cost Allocation - Tier 1'!AU28</f>
        <v>0</v>
      </c>
      <c r="AV28" s="73">
        <f>'Cost Allocation - Tier 1'!AV28</f>
        <v>0</v>
      </c>
      <c r="AW28" s="73">
        <f>'Cost Allocation - Tier 1'!AW28</f>
        <v>0</v>
      </c>
      <c r="AX28" s="73">
        <f>'Cost Allocation - Tier 1'!AX28</f>
        <v>0</v>
      </c>
      <c r="AY28" s="73">
        <f>'Cost Allocation - Tier 1'!AY28</f>
        <v>0</v>
      </c>
      <c r="AZ28" s="73">
        <f>'Cost Allocation - Tier 1'!AZ28</f>
        <v>0</v>
      </c>
      <c r="BA28" s="73">
        <f>'Cost Allocation - Tier 1'!BA28</f>
        <v>0</v>
      </c>
      <c r="BB28" s="73">
        <f>'Cost Allocation - Tier 1'!BB28</f>
        <v>0</v>
      </c>
      <c r="BC28" s="694">
        <f>'Cost Allocation - Tier 1'!BC28</f>
        <v>0</v>
      </c>
      <c r="BD28" s="81">
        <f>$BC$28*(VLOOKUP('Cost Allocation - Tier 2'!BD2,'RU Composites'!$B$5:$L$12,11,FALSE))</f>
        <v>0</v>
      </c>
      <c r="BE28" s="81">
        <f>$BC$28*(VLOOKUP('Cost Allocation - Tier 2'!BE2,'RU Composites'!$B$5:$L$12,11,FALSE))</f>
        <v>0</v>
      </c>
      <c r="BF28" s="81">
        <f>$BC$28*(VLOOKUP('Cost Allocation - Tier 2'!BF2,'RU Composites'!$B$5:$L$12,11,FALSE))</f>
        <v>0</v>
      </c>
      <c r="BG28" s="81">
        <f>$BC$28*(VLOOKUP('Cost Allocation - Tier 2'!BG2,'RU Composites'!$B$5:$L$12,11,FALSE))</f>
        <v>0</v>
      </c>
      <c r="BH28" s="81">
        <f>$BC$28*(VLOOKUP('Cost Allocation - Tier 2'!BH2,'RU Composites'!$B$5:$L$12,11,FALSE))</f>
        <v>0</v>
      </c>
      <c r="BI28" s="81">
        <f>$BC$28*(VLOOKUP('Cost Allocation - Tier 2'!BI2,'RU Composites'!$B$5:$L$12,11,FALSE))</f>
        <v>0</v>
      </c>
      <c r="BJ28" s="81">
        <f>$BC$28*(VLOOKUP('Cost Allocation - Tier 2'!BJ2,'RU Composites'!$B$5:$L$12,11,FALSE))</f>
        <v>0</v>
      </c>
      <c r="BK28" s="81">
        <f>$BC$28*(VLOOKUP('Cost Allocation - Tier 2'!BK2,'RU Composites'!$B$5:$L$12,11,FALSE))</f>
        <v>0</v>
      </c>
      <c r="BL28" s="695">
        <f t="shared" si="8"/>
        <v>0</v>
      </c>
      <c r="BM28" s="76">
        <f>BL28-E28</f>
        <v>0</v>
      </c>
      <c r="BN28" s="76">
        <f t="shared" si="9"/>
        <v>0</v>
      </c>
    </row>
    <row r="29" spans="1:66" x14ac:dyDescent="0.25">
      <c r="D29" s="685"/>
      <c r="E29" s="685"/>
      <c r="F29" s="685"/>
      <c r="G29" s="685"/>
      <c r="H29" s="891"/>
      <c r="I29" s="684"/>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5"/>
      <c r="AQ29" s="685"/>
      <c r="AR29" s="685"/>
      <c r="AS29" s="685"/>
      <c r="AT29" s="685"/>
      <c r="AU29" s="685"/>
      <c r="AV29" s="685"/>
      <c r="AW29" s="685"/>
      <c r="AX29" s="685"/>
      <c r="AY29" s="685"/>
      <c r="AZ29" s="685"/>
      <c r="BA29" s="685"/>
      <c r="BB29" s="91"/>
      <c r="BC29" s="684"/>
      <c r="BD29" s="885"/>
      <c r="BE29" s="885"/>
      <c r="BF29" s="885"/>
      <c r="BG29" s="885"/>
      <c r="BH29" s="885"/>
      <c r="BI29" s="885"/>
      <c r="BJ29" s="885"/>
      <c r="BK29" s="885"/>
      <c r="BL29" s="685">
        <f t="shared" si="8"/>
        <v>0</v>
      </c>
      <c r="BM29" s="76">
        <f>BL29-E29</f>
        <v>0</v>
      </c>
    </row>
    <row r="30" spans="1:66" s="1" customFormat="1" x14ac:dyDescent="0.25">
      <c r="A30" s="1" t="str">
        <f>'Cost Allocation - Tier 1'!A30</f>
        <v>Net revenue allocated</v>
      </c>
      <c r="B30" s="35"/>
      <c r="C30" s="35"/>
      <c r="D30" s="687">
        <f t="shared" ref="D30:AK30" si="10">SUM(D26:D29)</f>
        <v>-317440</v>
      </c>
      <c r="E30" s="687">
        <f t="shared" si="10"/>
        <v>-239375</v>
      </c>
      <c r="F30" s="687"/>
      <c r="G30" s="687"/>
      <c r="H30" s="687">
        <f t="shared" si="10"/>
        <v>0</v>
      </c>
      <c r="I30" s="688">
        <f t="shared" si="10"/>
        <v>-127500</v>
      </c>
      <c r="J30" s="698">
        <f t="shared" si="10"/>
        <v>0</v>
      </c>
      <c r="K30" s="698">
        <f t="shared" si="10"/>
        <v>0</v>
      </c>
      <c r="L30" s="698">
        <f t="shared" si="10"/>
        <v>0</v>
      </c>
      <c r="M30" s="698">
        <f t="shared" si="10"/>
        <v>0</v>
      </c>
      <c r="N30" s="698">
        <f t="shared" si="10"/>
        <v>0</v>
      </c>
      <c r="O30" s="698">
        <f t="shared" si="10"/>
        <v>0</v>
      </c>
      <c r="P30" s="698">
        <f t="shared" si="10"/>
        <v>0</v>
      </c>
      <c r="Q30" s="698">
        <f t="shared" si="10"/>
        <v>0</v>
      </c>
      <c r="R30" s="698">
        <f t="shared" si="10"/>
        <v>0</v>
      </c>
      <c r="S30" s="698">
        <f t="shared" si="10"/>
        <v>0</v>
      </c>
      <c r="T30" s="698">
        <f t="shared" si="10"/>
        <v>0</v>
      </c>
      <c r="U30" s="698">
        <f t="shared" si="10"/>
        <v>0</v>
      </c>
      <c r="V30" s="698">
        <f t="shared" si="10"/>
        <v>0</v>
      </c>
      <c r="W30" s="698">
        <f t="shared" si="10"/>
        <v>0</v>
      </c>
      <c r="X30" s="698">
        <f t="shared" si="10"/>
        <v>0</v>
      </c>
      <c r="Y30" s="698">
        <f t="shared" si="10"/>
        <v>0</v>
      </c>
      <c r="Z30" s="698">
        <f t="shared" si="10"/>
        <v>0</v>
      </c>
      <c r="AA30" s="698">
        <f t="shared" si="10"/>
        <v>0</v>
      </c>
      <c r="AB30" s="698">
        <f t="shared" si="10"/>
        <v>0</v>
      </c>
      <c r="AC30" s="698">
        <f t="shared" si="10"/>
        <v>0</v>
      </c>
      <c r="AD30" s="698">
        <f t="shared" si="10"/>
        <v>0</v>
      </c>
      <c r="AE30" s="698">
        <f t="shared" si="10"/>
        <v>0</v>
      </c>
      <c r="AF30" s="698">
        <f t="shared" si="10"/>
        <v>0</v>
      </c>
      <c r="AG30" s="698">
        <f t="shared" si="10"/>
        <v>0</v>
      </c>
      <c r="AH30" s="698">
        <f t="shared" si="10"/>
        <v>0</v>
      </c>
      <c r="AI30" s="698">
        <f t="shared" si="10"/>
        <v>0</v>
      </c>
      <c r="AJ30" s="698">
        <f t="shared" si="10"/>
        <v>0</v>
      </c>
      <c r="AK30" s="698">
        <f t="shared" si="10"/>
        <v>0</v>
      </c>
      <c r="AL30" s="698">
        <f t="shared" ref="AL30:BL30" si="11">SUM(AL26:AL29)</f>
        <v>0</v>
      </c>
      <c r="AM30" s="698">
        <f t="shared" si="11"/>
        <v>0</v>
      </c>
      <c r="AN30" s="698">
        <f t="shared" si="11"/>
        <v>0</v>
      </c>
      <c r="AO30" s="698">
        <f t="shared" si="11"/>
        <v>0</v>
      </c>
      <c r="AP30" s="698">
        <f t="shared" si="11"/>
        <v>0</v>
      </c>
      <c r="AQ30" s="698">
        <f t="shared" si="11"/>
        <v>0</v>
      </c>
      <c r="AR30" s="698">
        <f t="shared" si="11"/>
        <v>0</v>
      </c>
      <c r="AS30" s="698">
        <f t="shared" si="11"/>
        <v>0</v>
      </c>
      <c r="AT30" s="698">
        <f t="shared" si="11"/>
        <v>0</v>
      </c>
      <c r="AU30" s="698">
        <f t="shared" si="11"/>
        <v>0</v>
      </c>
      <c r="AV30" s="698">
        <f t="shared" si="11"/>
        <v>0</v>
      </c>
      <c r="AW30" s="698">
        <f t="shared" si="11"/>
        <v>0</v>
      </c>
      <c r="AX30" s="698">
        <f t="shared" si="11"/>
        <v>0</v>
      </c>
      <c r="AY30" s="698">
        <f t="shared" si="11"/>
        <v>0</v>
      </c>
      <c r="AZ30" s="698">
        <f t="shared" si="11"/>
        <v>0</v>
      </c>
      <c r="BA30" s="698">
        <f t="shared" si="11"/>
        <v>0</v>
      </c>
      <c r="BB30" s="698">
        <f t="shared" si="11"/>
        <v>-127500</v>
      </c>
      <c r="BC30" s="688">
        <f t="shared" si="11"/>
        <v>-111875</v>
      </c>
      <c r="BD30" s="698">
        <f t="shared" si="11"/>
        <v>0</v>
      </c>
      <c r="BE30" s="698">
        <f t="shared" si="11"/>
        <v>0</v>
      </c>
      <c r="BF30" s="698">
        <f t="shared" si="11"/>
        <v>0</v>
      </c>
      <c r="BG30" s="698">
        <f t="shared" si="11"/>
        <v>0</v>
      </c>
      <c r="BH30" s="698">
        <f t="shared" si="11"/>
        <v>0</v>
      </c>
      <c r="BI30" s="698">
        <f t="shared" si="11"/>
        <v>0</v>
      </c>
      <c r="BJ30" s="698">
        <f t="shared" si="11"/>
        <v>0</v>
      </c>
      <c r="BK30" s="698">
        <f t="shared" si="11"/>
        <v>-111875</v>
      </c>
      <c r="BL30" s="698">
        <f t="shared" si="11"/>
        <v>-239375</v>
      </c>
      <c r="BM30" s="687">
        <f>BL30-E30</f>
        <v>0</v>
      </c>
    </row>
    <row r="31" spans="1:66" x14ac:dyDescent="0.25">
      <c r="D31" s="76"/>
      <c r="E31" s="76"/>
      <c r="F31" s="76"/>
      <c r="G31" s="76"/>
      <c r="H31" s="888"/>
      <c r="I31" s="692"/>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80"/>
      <c r="BC31" s="692"/>
      <c r="BL31" s="80"/>
      <c r="BM31" s="76"/>
    </row>
    <row r="32" spans="1:66" x14ac:dyDescent="0.25">
      <c r="D32" s="76"/>
      <c r="E32" s="76"/>
      <c r="F32" s="76"/>
      <c r="G32" s="76"/>
      <c r="H32" s="888"/>
      <c r="I32" s="692"/>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80"/>
      <c r="BC32" s="692"/>
      <c r="BD32" s="76"/>
      <c r="BE32" s="76"/>
      <c r="BF32" s="76"/>
      <c r="BG32" s="76"/>
      <c r="BH32" s="76"/>
      <c r="BI32" s="76"/>
      <c r="BJ32" s="76"/>
      <c r="BK32" s="76"/>
      <c r="BL32" s="80"/>
      <c r="BM32" s="76"/>
    </row>
    <row r="33" spans="1:71" s="699" customFormat="1" x14ac:dyDescent="0.25">
      <c r="A33" s="699" t="str">
        <f>'Cost Allocation - Tier 1'!A33</f>
        <v>Net corporate costs (no mark up)</v>
      </c>
      <c r="B33" s="700"/>
      <c r="C33" s="700"/>
      <c r="D33" s="702">
        <f t="shared" ref="D33:BL33" si="12">D21+D30</f>
        <v>17010746.377785556</v>
      </c>
      <c r="E33" s="702">
        <f t="shared" si="12"/>
        <v>12820464.148787376</v>
      </c>
      <c r="F33" s="702"/>
      <c r="G33" s="702"/>
      <c r="H33" s="702">
        <f t="shared" si="12"/>
        <v>126859.85619860872</v>
      </c>
      <c r="I33" s="702">
        <f t="shared" si="12"/>
        <v>4913989.4906200124</v>
      </c>
      <c r="J33" s="702">
        <f t="shared" si="12"/>
        <v>30940.682474066045</v>
      </c>
      <c r="K33" s="702">
        <f t="shared" si="12"/>
        <v>9176.586917780025</v>
      </c>
      <c r="L33" s="702">
        <f t="shared" si="12"/>
        <v>9634.7628759415456</v>
      </c>
      <c r="M33" s="702">
        <f t="shared" si="12"/>
        <v>9215.1129017999028</v>
      </c>
      <c r="N33" s="702">
        <f t="shared" si="12"/>
        <v>16123.732424263992</v>
      </c>
      <c r="O33" s="702">
        <f t="shared" si="12"/>
        <v>36925.986835917822</v>
      </c>
      <c r="P33" s="702">
        <f t="shared" si="12"/>
        <v>4467.1901142520665</v>
      </c>
      <c r="Q33" s="702">
        <f t="shared" si="12"/>
        <v>11829.275353553874</v>
      </c>
      <c r="R33" s="702">
        <f t="shared" si="12"/>
        <v>10117.963135477432</v>
      </c>
      <c r="S33" s="702">
        <f t="shared" si="12"/>
        <v>10408.811985582788</v>
      </c>
      <c r="T33" s="702">
        <f t="shared" si="12"/>
        <v>37703.442426523899</v>
      </c>
      <c r="U33" s="702">
        <f t="shared" si="12"/>
        <v>30101.528657016537</v>
      </c>
      <c r="V33" s="702">
        <f t="shared" si="12"/>
        <v>23884.058567263706</v>
      </c>
      <c r="W33" s="702">
        <f t="shared" si="12"/>
        <v>38302.659343159168</v>
      </c>
      <c r="X33" s="702">
        <f t="shared" si="12"/>
        <v>947.00056205622172</v>
      </c>
      <c r="Y33" s="702">
        <f t="shared" si="12"/>
        <v>746.95161041274002</v>
      </c>
      <c r="Z33" s="702">
        <f t="shared" si="12"/>
        <v>3611.3703073074416</v>
      </c>
      <c r="AA33" s="702">
        <f t="shared" si="12"/>
        <v>3300.9120470506186</v>
      </c>
      <c r="AB33" s="702">
        <f t="shared" si="12"/>
        <v>1985.8780043508793</v>
      </c>
      <c r="AC33" s="702">
        <f t="shared" si="12"/>
        <v>2031.3659327813918</v>
      </c>
      <c r="AD33" s="702">
        <f t="shared" si="12"/>
        <v>11527.069912804167</v>
      </c>
      <c r="AE33" s="702">
        <f t="shared" si="12"/>
        <v>4623.0295433495094</v>
      </c>
      <c r="AF33" s="702">
        <f t="shared" si="12"/>
        <v>12029.009574520516</v>
      </c>
      <c r="AG33" s="702">
        <f t="shared" si="12"/>
        <v>37371.667751300323</v>
      </c>
      <c r="AH33" s="702">
        <f t="shared" si="12"/>
        <v>305974.51667308481</v>
      </c>
      <c r="AI33" s="702">
        <f t="shared" si="12"/>
        <v>2125.5256446495687</v>
      </c>
      <c r="AJ33" s="702">
        <f t="shared" si="12"/>
        <v>45100.809333515666</v>
      </c>
      <c r="AK33" s="702">
        <f t="shared" si="12"/>
        <v>38778.186846882454</v>
      </c>
      <c r="AL33" s="702">
        <f t="shared" si="12"/>
        <v>0</v>
      </c>
      <c r="AM33" s="702">
        <f t="shared" si="12"/>
        <v>4728.4136226310748</v>
      </c>
      <c r="AN33" s="702">
        <f t="shared" si="12"/>
        <v>7996.4516822680016</v>
      </c>
      <c r="AO33" s="702">
        <f t="shared" si="12"/>
        <v>47150.926982410863</v>
      </c>
      <c r="AP33" s="702">
        <f t="shared" si="12"/>
        <v>7140.9924968641453</v>
      </c>
      <c r="AQ33" s="702">
        <f t="shared" si="12"/>
        <v>44810.953064132045</v>
      </c>
      <c r="AR33" s="702">
        <f t="shared" si="12"/>
        <v>135.34196920050132</v>
      </c>
      <c r="AS33" s="702">
        <f t="shared" si="12"/>
        <v>66041.140058999066</v>
      </c>
      <c r="AT33" s="702">
        <f t="shared" si="12"/>
        <v>54788.957310726626</v>
      </c>
      <c r="AU33" s="702">
        <f t="shared" si="12"/>
        <v>76591.143289778527</v>
      </c>
      <c r="AV33" s="702">
        <f t="shared" si="12"/>
        <v>107651.7433035805</v>
      </c>
      <c r="AW33" s="702">
        <f t="shared" si="12"/>
        <v>275707.30895589478</v>
      </c>
      <c r="AX33" s="702">
        <f t="shared" si="12"/>
        <v>2871.1243466240294</v>
      </c>
      <c r="AY33" s="702">
        <f t="shared" si="12"/>
        <v>919399.77059710061</v>
      </c>
      <c r="AZ33" s="702">
        <f t="shared" si="12"/>
        <v>32598.034310891002</v>
      </c>
      <c r="BA33" s="702">
        <f t="shared" si="12"/>
        <v>560989.1560299471</v>
      </c>
      <c r="BB33" s="702">
        <f t="shared" si="12"/>
        <v>1956402.9448422976</v>
      </c>
      <c r="BC33" s="702">
        <f t="shared" si="12"/>
        <v>7779614.8019687589</v>
      </c>
      <c r="BD33" s="702">
        <f t="shared" si="12"/>
        <v>1257086.5034834347</v>
      </c>
      <c r="BE33" s="702">
        <f t="shared" si="12"/>
        <v>1168568.0446201903</v>
      </c>
      <c r="BF33" s="702">
        <f t="shared" si="12"/>
        <v>660048.75567883183</v>
      </c>
      <c r="BG33" s="702">
        <f t="shared" si="12"/>
        <v>1479161.0163029504</v>
      </c>
      <c r="BH33" s="702">
        <f t="shared" si="12"/>
        <v>1107540.892897222</v>
      </c>
      <c r="BI33" s="702">
        <f t="shared" si="12"/>
        <v>727390.25460598059</v>
      </c>
      <c r="BJ33" s="702">
        <f t="shared" si="12"/>
        <v>230791.63133138037</v>
      </c>
      <c r="BK33" s="702">
        <f t="shared" si="12"/>
        <v>1149027.7030487694</v>
      </c>
      <c r="BL33" s="702">
        <f t="shared" si="12"/>
        <v>12820464.148787379</v>
      </c>
      <c r="BM33" s="892">
        <f>BL33-E33</f>
        <v>0</v>
      </c>
      <c r="BP33" s="702">
        <f>SUM(J33:AE33)+AH33+AI33+AM33+AQ33+AR33+AS33+AT33+AU33+AV33++AW33+AX33</f>
        <v>1249031.5401720132</v>
      </c>
      <c r="BQ33" s="702">
        <f>AF33+AG33+AJ33+AK33+AL33+AN33+AO33+AP33</f>
        <v>195568.04466776198</v>
      </c>
      <c r="BR33" s="702">
        <f>SUM(AY32:BB33)</f>
        <v>3469389.9057802362</v>
      </c>
      <c r="BS33" s="702">
        <f>BR33+BQ33+BP33-I33</f>
        <v>0</v>
      </c>
    </row>
    <row r="34" spans="1:71" x14ac:dyDescent="0.25">
      <c r="D34" s="76"/>
      <c r="E34" s="76"/>
      <c r="F34" s="76"/>
      <c r="G34" s="76"/>
      <c r="H34" s="888"/>
      <c r="I34" s="692"/>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80"/>
      <c r="BC34" s="692"/>
      <c r="BD34" s="76"/>
      <c r="BE34" s="76"/>
      <c r="BF34" s="76"/>
      <c r="BG34" s="76"/>
      <c r="BH34" s="76"/>
      <c r="BI34" s="76"/>
      <c r="BJ34" s="76"/>
      <c r="BK34" s="76"/>
      <c r="BL34" s="80"/>
      <c r="BM34" s="76"/>
    </row>
    <row r="35" spans="1:71" x14ac:dyDescent="0.25">
      <c r="A35" s="199" t="str">
        <f>'Cost Allocation - Tier 1'!A35</f>
        <v>Non-Corporate Cost Allocation</v>
      </c>
    </row>
    <row r="36" spans="1:71" x14ac:dyDescent="0.25">
      <c r="A36" s="1"/>
    </row>
    <row r="37" spans="1:71" x14ac:dyDescent="0.25">
      <c r="A37" s="343" t="str">
        <f>'Cost Allocation - Tier 1'!A37</f>
        <v>FP&amp;A Canada (6700)</v>
      </c>
      <c r="I37" s="705"/>
      <c r="AY37" s="706"/>
      <c r="AZ37" s="706"/>
      <c r="BA37" s="706"/>
      <c r="BC37" s="694"/>
    </row>
    <row r="38" spans="1:71" x14ac:dyDescent="0.25">
      <c r="A38" s="781" t="str">
        <f>'Cost Allocation - Tier 1'!A38</f>
        <v>COO office</v>
      </c>
      <c r="B38" s="19" t="str">
        <f>'Cost Allocation - Tier 1'!B38</f>
        <v>ALL CONTRACT</v>
      </c>
      <c r="C38" s="19"/>
      <c r="D38" s="713">
        <f>'Cost Allocation - Tier 1'!D38</f>
        <v>0</v>
      </c>
      <c r="E38" s="664">
        <f>'Cost Allocation - Tier 1'!E38</f>
        <v>0</v>
      </c>
      <c r="F38" s="664"/>
      <c r="G38" s="664"/>
      <c r="I38" s="694">
        <f t="shared" ref="I38:I40" si="13">SUM(J38:BB38)</f>
        <v>0</v>
      </c>
      <c r="J38" s="73">
        <f>'Cost Allocation - Tier 1'!J38</f>
        <v>0</v>
      </c>
      <c r="K38" s="73">
        <f>'Cost Allocation - Tier 1'!K38</f>
        <v>0</v>
      </c>
      <c r="L38" s="73">
        <f>'Cost Allocation - Tier 1'!L38</f>
        <v>0</v>
      </c>
      <c r="M38" s="73">
        <f>'Cost Allocation - Tier 1'!M38</f>
        <v>0</v>
      </c>
      <c r="N38" s="73">
        <f>'Cost Allocation - Tier 1'!N38</f>
        <v>0</v>
      </c>
      <c r="O38" s="73">
        <f>'Cost Allocation - Tier 1'!O38</f>
        <v>0</v>
      </c>
      <c r="P38" s="73">
        <f>'Cost Allocation - Tier 1'!P38</f>
        <v>0</v>
      </c>
      <c r="Q38" s="73">
        <f>'Cost Allocation - Tier 1'!Q38</f>
        <v>0</v>
      </c>
      <c r="R38" s="73">
        <f>'Cost Allocation - Tier 1'!R38</f>
        <v>0</v>
      </c>
      <c r="S38" s="73">
        <f>'Cost Allocation - Tier 1'!S38</f>
        <v>0</v>
      </c>
      <c r="T38" s="73">
        <f>'Cost Allocation - Tier 1'!T38</f>
        <v>0</v>
      </c>
      <c r="U38" s="73">
        <f>'Cost Allocation - Tier 1'!U38</f>
        <v>0</v>
      </c>
      <c r="V38" s="73">
        <f>'Cost Allocation - Tier 1'!V38</f>
        <v>0</v>
      </c>
      <c r="W38" s="73">
        <f>'Cost Allocation - Tier 1'!W38</f>
        <v>0</v>
      </c>
      <c r="X38" s="73">
        <f>'Cost Allocation - Tier 1'!X38</f>
        <v>0</v>
      </c>
      <c r="Y38" s="73">
        <f>'Cost Allocation - Tier 1'!Y38</f>
        <v>0</v>
      </c>
      <c r="Z38" s="73">
        <f>'Cost Allocation - Tier 1'!Z38</f>
        <v>0</v>
      </c>
      <c r="AA38" s="73">
        <f>'Cost Allocation - Tier 1'!AA38</f>
        <v>0</v>
      </c>
      <c r="AB38" s="73">
        <f>'Cost Allocation - Tier 1'!AB38</f>
        <v>0</v>
      </c>
      <c r="AC38" s="73">
        <f>'Cost Allocation - Tier 1'!AC38</f>
        <v>0</v>
      </c>
      <c r="AD38" s="73">
        <f>'Cost Allocation - Tier 1'!AD38</f>
        <v>0</v>
      </c>
      <c r="AE38" s="73">
        <f>'Cost Allocation - Tier 1'!AE38</f>
        <v>0</v>
      </c>
      <c r="AF38" s="73">
        <f>'Cost Allocation - Tier 1'!AF38</f>
        <v>0</v>
      </c>
      <c r="AG38" s="73">
        <f>'Cost Allocation - Tier 1'!AG38</f>
        <v>0</v>
      </c>
      <c r="AH38" s="73">
        <f>'Cost Allocation - Tier 1'!AH38</f>
        <v>0</v>
      </c>
      <c r="AI38" s="73">
        <f>'Cost Allocation - Tier 1'!AI38</f>
        <v>0</v>
      </c>
      <c r="AJ38" s="73">
        <f>'Cost Allocation - Tier 1'!AJ38</f>
        <v>0</v>
      </c>
      <c r="AK38" s="73">
        <f>'Cost Allocation - Tier 1'!AK38</f>
        <v>0</v>
      </c>
      <c r="AL38" s="73">
        <f>'Cost Allocation - Tier 1'!AL38</f>
        <v>0</v>
      </c>
      <c r="AM38" s="73">
        <f>'Cost Allocation - Tier 1'!AM38</f>
        <v>0</v>
      </c>
      <c r="AN38" s="73">
        <f>'Cost Allocation - Tier 1'!AN38</f>
        <v>0</v>
      </c>
      <c r="AO38" s="73">
        <f>'Cost Allocation - Tier 1'!AO38</f>
        <v>0</v>
      </c>
      <c r="AP38" s="73">
        <f>'Cost Allocation - Tier 1'!AP38</f>
        <v>0</v>
      </c>
      <c r="AQ38" s="73">
        <f>'Cost Allocation - Tier 1'!AQ38</f>
        <v>0</v>
      </c>
      <c r="AR38" s="73">
        <f>'Cost Allocation - Tier 1'!AR38</f>
        <v>0</v>
      </c>
      <c r="AS38" s="73">
        <f>'Cost Allocation - Tier 1'!AS38</f>
        <v>0</v>
      </c>
      <c r="AT38" s="73">
        <f>'Cost Allocation - Tier 1'!AT38</f>
        <v>0</v>
      </c>
      <c r="AU38" s="73">
        <f>'Cost Allocation - Tier 1'!AU38</f>
        <v>0</v>
      </c>
      <c r="AV38" s="73">
        <f>'Cost Allocation - Tier 1'!AV38</f>
        <v>0</v>
      </c>
      <c r="AW38" s="73">
        <f>'Cost Allocation - Tier 1'!AW38</f>
        <v>0</v>
      </c>
      <c r="AX38" s="73">
        <f>'Cost Allocation - Tier 1'!AX38</f>
        <v>0</v>
      </c>
      <c r="AY38" s="73">
        <f>'Cost Allocation - Tier 1'!AY38</f>
        <v>0</v>
      </c>
      <c r="AZ38" s="73">
        <f>'Cost Allocation - Tier 1'!AZ38</f>
        <v>0</v>
      </c>
      <c r="BA38" s="73">
        <f>'Cost Allocation - Tier 1'!BA38</f>
        <v>0</v>
      </c>
      <c r="BB38" s="73">
        <f>'Cost Allocation - Tier 1'!BB38</f>
        <v>0</v>
      </c>
      <c r="BC38" s="666">
        <f t="shared" ref="BC38:BC40" si="14">SUM(BD38:BK38)</f>
        <v>0</v>
      </c>
      <c r="BD38" s="73">
        <f>'Cost Allocation - Tier 1'!BD38</f>
        <v>0</v>
      </c>
      <c r="BE38" s="73">
        <f>'Cost Allocation - Tier 1'!BE38</f>
        <v>0</v>
      </c>
      <c r="BF38" s="73">
        <f>'Cost Allocation - Tier 1'!BF38</f>
        <v>0</v>
      </c>
      <c r="BG38" s="73">
        <f>'Cost Allocation - Tier 1'!BG38</f>
        <v>0</v>
      </c>
      <c r="BH38" s="73">
        <f>'Cost Allocation - Tier 1'!BH38</f>
        <v>0</v>
      </c>
      <c r="BI38" s="73">
        <f>'Cost Allocation - Tier 1'!BI38</f>
        <v>0</v>
      </c>
      <c r="BJ38" s="73">
        <f>'Cost Allocation - Tier 1'!BJ38</f>
        <v>0</v>
      </c>
      <c r="BK38" s="73">
        <f>'Cost Allocation - Tier 1'!BK38</f>
        <v>0</v>
      </c>
      <c r="BL38" s="76">
        <f t="shared" ref="BL38:BL41" si="15">BC38+I38+H38</f>
        <v>0</v>
      </c>
      <c r="BM38" s="76">
        <f t="shared" ref="BM38:BM43" si="16">BL38-E38</f>
        <v>0</v>
      </c>
    </row>
    <row r="39" spans="1:71" x14ac:dyDescent="0.25">
      <c r="A39" s="71" t="str">
        <f>'Cost Allocation - Tier 1'!A39</f>
        <v>Langley Office rent</v>
      </c>
      <c r="B39" s="19" t="str">
        <f>'Cost Allocation - Tier 1'!B39</f>
        <v>CDN CONTRACT</v>
      </c>
      <c r="C39" s="19"/>
      <c r="D39" s="713">
        <f>'Cost Allocation - Tier 1'!D39</f>
        <v>753533</v>
      </c>
      <c r="E39" s="664">
        <f>'Cost Allocation - Tier 1'!E39</f>
        <v>567919.77872071031</v>
      </c>
      <c r="F39" s="664"/>
      <c r="G39" s="664"/>
      <c r="I39" s="694">
        <f t="shared" si="13"/>
        <v>567919.77872071054</v>
      </c>
      <c r="J39" s="73">
        <f>'Cost Allocation - Tier 1'!J39</f>
        <v>14599.913922650792</v>
      </c>
      <c r="K39" s="73">
        <f>'Cost Allocation - Tier 1'!K39</f>
        <v>3719.7579516262308</v>
      </c>
      <c r="L39" s="73">
        <f>'Cost Allocation - Tier 1'!L39</f>
        <v>3544.6786242343082</v>
      </c>
      <c r="M39" s="73">
        <f>'Cost Allocation - Tier 1'!M39</f>
        <v>4971.214479491292</v>
      </c>
      <c r="N39" s="73">
        <f>'Cost Allocation - Tier 1'!N39</f>
        <v>6736.1137126283829</v>
      </c>
      <c r="O39" s="73">
        <f>'Cost Allocation - Tier 1'!O39</f>
        <v>19598.923773719362</v>
      </c>
      <c r="P39" s="73">
        <f>'Cost Allocation - Tier 1'!P39</f>
        <v>2490.4120327431369</v>
      </c>
      <c r="Q39" s="73">
        <f>'Cost Allocation - Tier 1'!Q39</f>
        <v>7044.1060334562499</v>
      </c>
      <c r="R39" s="73">
        <f>'Cost Allocation - Tier 1'!R39</f>
        <v>6147.0259936691391</v>
      </c>
      <c r="S39" s="73">
        <f>'Cost Allocation - Tier 1'!S39</f>
        <v>6220.6778916426656</v>
      </c>
      <c r="T39" s="73">
        <f>'Cost Allocation - Tier 1'!T39</f>
        <v>23191.463861110202</v>
      </c>
      <c r="U39" s="73">
        <f>'Cost Allocation - Tier 1'!U39</f>
        <v>18305.797549512376</v>
      </c>
      <c r="V39" s="73">
        <f>'Cost Allocation - Tier 1'!V39</f>
        <v>9356.5437254249191</v>
      </c>
      <c r="W39" s="73">
        <f>'Cost Allocation - Tier 1'!W39</f>
        <v>15352.719162477264</v>
      </c>
      <c r="X39" s="73">
        <f>'Cost Allocation - Tier 1'!X39</f>
        <v>545.18529982856944</v>
      </c>
      <c r="Y39" s="73">
        <f>'Cost Allocation - Tier 1'!Y39</f>
        <v>382.9325131068415</v>
      </c>
      <c r="Z39" s="73">
        <f>'Cost Allocation - Tier 1'!Z39</f>
        <v>1588.6780453355432</v>
      </c>
      <c r="AA39" s="73">
        <f>'Cost Allocation - Tier 1'!AA39</f>
        <v>1391.5206111393359</v>
      </c>
      <c r="AB39" s="73">
        <f>'Cost Allocation - Tier 1'!AB39</f>
        <v>806.11947105810339</v>
      </c>
      <c r="AC39" s="73">
        <f>'Cost Allocation - Tier 1'!AC39</f>
        <v>1026.5270919398949</v>
      </c>
      <c r="AD39" s="73">
        <f>'Cost Allocation - Tier 1'!AD39</f>
        <v>7224.1784490901337</v>
      </c>
      <c r="AE39" s="73">
        <f>'Cost Allocation - Tier 1'!AE39</f>
        <v>2612.3630837705809</v>
      </c>
      <c r="AF39" s="73">
        <f>'Cost Allocation - Tier 1'!AF39</f>
        <v>5231.9606085170162</v>
      </c>
      <c r="AG39" s="73">
        <f>'Cost Allocation - Tier 1'!AG39</f>
        <v>10109.980923680778</v>
      </c>
      <c r="AH39" s="73">
        <f>'Cost Allocation - Tier 1'!AH39</f>
        <v>139420.13015345743</v>
      </c>
      <c r="AI39" s="73">
        <f>'Cost Allocation - Tier 1'!AI39</f>
        <v>1404.865187511424</v>
      </c>
      <c r="AJ39" s="73">
        <f>'Cost Allocation - Tier 1'!AJ39</f>
        <v>24457.437008287383</v>
      </c>
      <c r="AK39" s="73">
        <f>'Cost Allocation - Tier 1'!AK39</f>
        <v>19536.370824101454</v>
      </c>
      <c r="AL39" s="73">
        <f>'Cost Allocation - Tier 1'!AL39</f>
        <v>0</v>
      </c>
      <c r="AM39" s="73">
        <f>'Cost Allocation - Tier 1'!AM39</f>
        <v>2111.6917933774757</v>
      </c>
      <c r="AN39" s="73">
        <f>'Cost Allocation - Tier 1'!AN39</f>
        <v>2662.1218544969088</v>
      </c>
      <c r="AO39" s="73">
        <f>'Cost Allocation - Tier 1'!AO39</f>
        <v>24367.377494150038</v>
      </c>
      <c r="AP39" s="73">
        <f>'Cost Allocation - Tier 1'!AP39</f>
        <v>3418.4456723181829</v>
      </c>
      <c r="AQ39" s="73">
        <f>'Cost Allocation - Tier 1'!AQ39</f>
        <v>12383.804132564923</v>
      </c>
      <c r="AR39" s="73">
        <f>'Cost Allocation - Tier 1'!AR39</f>
        <v>50.086885504980565</v>
      </c>
      <c r="AS39" s="73">
        <f>'Cost Allocation - Tier 1'!AS39</f>
        <v>18454.293986368946</v>
      </c>
      <c r="AT39" s="73">
        <f>'Cost Allocation - Tier 1'!AT39</f>
        <v>14857.85917054842</v>
      </c>
      <c r="AU39" s="73">
        <f>'Cost Allocation - Tier 1'!AU39</f>
        <v>22403.475393911685</v>
      </c>
      <c r="AV39" s="73">
        <f>'Cost Allocation - Tier 1'!AV39</f>
        <v>30310.924830223474</v>
      </c>
      <c r="AW39" s="73">
        <f>'Cost Allocation - Tier 1'!AW39</f>
        <v>78819.563804035148</v>
      </c>
      <c r="AX39" s="73">
        <f>'Cost Allocation - Tier 1'!AX39</f>
        <v>1062.5357179994924</v>
      </c>
      <c r="AY39" s="73">
        <f>'Cost Allocation - Tier 1'!AY39</f>
        <v>0</v>
      </c>
      <c r="AZ39" s="73">
        <f>'Cost Allocation - Tier 1'!AZ39</f>
        <v>0</v>
      </c>
      <c r="BA39" s="73">
        <f>'Cost Allocation - Tier 1'!BA39</f>
        <v>0</v>
      </c>
      <c r="BB39" s="73">
        <f>'Cost Allocation - Tier 1'!BB39</f>
        <v>0</v>
      </c>
      <c r="BC39" s="666">
        <f t="shared" si="14"/>
        <v>0</v>
      </c>
      <c r="BD39" s="73">
        <f>'Cost Allocation - Tier 1'!BD39</f>
        <v>0</v>
      </c>
      <c r="BE39" s="73">
        <f>'Cost Allocation - Tier 1'!BE39</f>
        <v>0</v>
      </c>
      <c r="BF39" s="73">
        <f>'Cost Allocation - Tier 1'!BF39</f>
        <v>0</v>
      </c>
      <c r="BG39" s="73">
        <f>'Cost Allocation - Tier 1'!BG39</f>
        <v>0</v>
      </c>
      <c r="BH39" s="73">
        <f>'Cost Allocation - Tier 1'!BH39</f>
        <v>0</v>
      </c>
      <c r="BI39" s="73">
        <f>'Cost Allocation - Tier 1'!BI39</f>
        <v>0</v>
      </c>
      <c r="BJ39" s="73">
        <f>'Cost Allocation - Tier 1'!BJ39</f>
        <v>0</v>
      </c>
      <c r="BK39" s="73">
        <f>'Cost Allocation - Tier 1'!BK39</f>
        <v>0</v>
      </c>
      <c r="BL39" s="76">
        <f t="shared" si="15"/>
        <v>567919.77872071054</v>
      </c>
      <c r="BM39" s="76">
        <f t="shared" si="16"/>
        <v>0</v>
      </c>
    </row>
    <row r="40" spans="1:71" x14ac:dyDescent="0.25">
      <c r="A40" s="71" t="str">
        <f>'Cost Allocation - Tier 1'!A40</f>
        <v>Other costs</v>
      </c>
      <c r="B40" s="19" t="str">
        <f>'Cost Allocation - Tier 1'!B40</f>
        <v>CDN CONTRACT</v>
      </c>
      <c r="C40" s="19"/>
      <c r="D40" s="681">
        <f>'Cost Allocation - Tier 1'!D40</f>
        <v>1968597.65</v>
      </c>
      <c r="E40" s="681">
        <f>'Cost Allocation - Tier 1'!E40</f>
        <v>1483684.9106517036</v>
      </c>
      <c r="F40" s="681"/>
      <c r="G40" s="681"/>
      <c r="H40" s="79"/>
      <c r="I40" s="684">
        <f t="shared" si="13"/>
        <v>1483684.9106517041</v>
      </c>
      <c r="J40" s="78">
        <f>'Cost Allocation - Tier 1'!J40</f>
        <v>38142.133441179918</v>
      </c>
      <c r="K40" s="78">
        <f>'Cost Allocation - Tier 1'!K40</f>
        <v>9717.8315510272423</v>
      </c>
      <c r="L40" s="78">
        <f>'Cost Allocation - Tier 1'!L40</f>
        <v>9260.4385072357691</v>
      </c>
      <c r="M40" s="78">
        <f>'Cost Allocation - Tier 1'!M40</f>
        <v>12987.249585582224</v>
      </c>
      <c r="N40" s="78">
        <f>'Cost Allocation - Tier 1'!N40</f>
        <v>17598.03170506535</v>
      </c>
      <c r="O40" s="78">
        <f>'Cost Allocation - Tier 1'!O40</f>
        <v>51201.998165273537</v>
      </c>
      <c r="P40" s="78">
        <f>'Cost Allocation - Tier 1'!P40</f>
        <v>6506.1772678699699</v>
      </c>
      <c r="Q40" s="78">
        <f>'Cost Allocation - Tier 1'!Q40</f>
        <v>18402.658654382478</v>
      </c>
      <c r="R40" s="78">
        <f>'Cost Allocation - Tier 1'!R40</f>
        <v>16059.045755960231</v>
      </c>
      <c r="S40" s="78">
        <f>'Cost Allocation - Tier 1'!S40</f>
        <v>16251.46062467696</v>
      </c>
      <c r="T40" s="78">
        <f>'Cost Allocation - Tier 1'!T40</f>
        <v>60587.474280544404</v>
      </c>
      <c r="U40" s="78">
        <f>'Cost Allocation - Tier 1'!U40</f>
        <v>47823.718453399939</v>
      </c>
      <c r="V40" s="78">
        <f>'Cost Allocation - Tier 1'!V40</f>
        <v>24443.879684093114</v>
      </c>
      <c r="W40" s="78">
        <f>'Cost Allocation - Tier 1'!W40</f>
        <v>40108.829824788969</v>
      </c>
      <c r="X40" s="78">
        <f>'Cost Allocation - Tier 1'!X40</f>
        <v>1424.2913051678786</v>
      </c>
      <c r="Y40" s="78">
        <f>'Cost Allocation - Tier 1'!Y40</f>
        <v>1000.4074744048664</v>
      </c>
      <c r="Z40" s="78">
        <f>'Cost Allocation - Tier 1'!Z40</f>
        <v>4150.4059764524491</v>
      </c>
      <c r="AA40" s="78">
        <f>'Cost Allocation - Tier 1'!AA40</f>
        <v>3635.3340928870534</v>
      </c>
      <c r="AB40" s="78">
        <f>'Cost Allocation - Tier 1'!AB40</f>
        <v>2105.9792953251217</v>
      </c>
      <c r="AC40" s="78">
        <f>'Cost Allocation - Tier 1'!AC40</f>
        <v>2681.7920659801375</v>
      </c>
      <c r="AD40" s="78">
        <f>'Cost Allocation - Tier 1'!AD40</f>
        <v>18873.096092751719</v>
      </c>
      <c r="AE40" s="78">
        <f>'Cost Allocation - Tier 1'!AE40</f>
        <v>6824.7732052312476</v>
      </c>
      <c r="AF40" s="78">
        <f>'Cost Allocation - Tier 1'!AF40</f>
        <v>13668.446317306829</v>
      </c>
      <c r="AG40" s="78">
        <f>'Cost Allocation - Tier 1'!AG40</f>
        <v>26412.227052966235</v>
      </c>
      <c r="AH40" s="78">
        <f>'Cost Allocation - Tier 1'!AH40</f>
        <v>364233.73705304269</v>
      </c>
      <c r="AI40" s="78">
        <f>'Cost Allocation - Tier 1'!AI40</f>
        <v>3670.196669159543</v>
      </c>
      <c r="AJ40" s="78">
        <f>'Cost Allocation - Tier 1'!AJ40</f>
        <v>63894.816842178865</v>
      </c>
      <c r="AK40" s="78">
        <f>'Cost Allocation - Tier 1'!AK40</f>
        <v>51038.579191428478</v>
      </c>
      <c r="AL40" s="78">
        <f>'Cost Allocation - Tier 1'!AL40</f>
        <v>0</v>
      </c>
      <c r="AM40" s="78">
        <f>'Cost Allocation - Tier 1'!AM40</f>
        <v>5516.7743177368266</v>
      </c>
      <c r="AN40" s="78">
        <f>'Cost Allocation - Tier 1'!AN40</f>
        <v>6954.7675108804206</v>
      </c>
      <c r="AO40" s="78">
        <f>'Cost Allocation - Tier 1'!AO40</f>
        <v>63659.53723545836</v>
      </c>
      <c r="AP40" s="78">
        <f>'Cost Allocation - Tier 1'!AP40</f>
        <v>8930.6561453556042</v>
      </c>
      <c r="AQ40" s="78">
        <f>'Cost Allocation - Tier 1'!AQ40</f>
        <v>32352.568120344553</v>
      </c>
      <c r="AR40" s="78">
        <f>'Cost Allocation - Tier 1'!AR40</f>
        <v>130.85150232428279</v>
      </c>
      <c r="AS40" s="78">
        <f>'Cost Allocation - Tier 1'!AS40</f>
        <v>48211.663953635783</v>
      </c>
      <c r="AT40" s="78">
        <f>'Cost Allocation - Tier 1'!AT40</f>
        <v>38816.012898137924</v>
      </c>
      <c r="AU40" s="78">
        <f>'Cost Allocation - Tier 1'!AU40</f>
        <v>58528.862056853999</v>
      </c>
      <c r="AV40" s="78">
        <f>'Cost Allocation - Tier 1'!AV40</f>
        <v>79186.996973064975</v>
      </c>
      <c r="AW40" s="78">
        <f>'Cost Allocation - Tier 1'!AW40</f>
        <v>205915.34555042529</v>
      </c>
      <c r="AX40" s="78">
        <f>'Cost Allocation - Tier 1'!AX40</f>
        <v>2775.8642521228176</v>
      </c>
      <c r="AY40" s="78">
        <f>'Cost Allocation - Tier 1'!AY40</f>
        <v>0</v>
      </c>
      <c r="AZ40" s="78">
        <f>'Cost Allocation - Tier 1'!AZ40</f>
        <v>0</v>
      </c>
      <c r="BA40" s="78">
        <f>'Cost Allocation - Tier 1'!BA40</f>
        <v>0</v>
      </c>
      <c r="BB40" s="78">
        <f>'Cost Allocation - Tier 1'!BB40</f>
        <v>0</v>
      </c>
      <c r="BC40" s="684">
        <f t="shared" si="14"/>
        <v>0</v>
      </c>
      <c r="BD40" s="78">
        <f>'Cost Allocation - Tier 1'!BD40</f>
        <v>0</v>
      </c>
      <c r="BE40" s="78">
        <f>'Cost Allocation - Tier 1'!BE40</f>
        <v>0</v>
      </c>
      <c r="BF40" s="78">
        <f>'Cost Allocation - Tier 1'!BF40</f>
        <v>0</v>
      </c>
      <c r="BG40" s="78">
        <f>'Cost Allocation - Tier 1'!BG40</f>
        <v>0</v>
      </c>
      <c r="BH40" s="78">
        <f>'Cost Allocation - Tier 1'!BH40</f>
        <v>0</v>
      </c>
      <c r="BI40" s="78">
        <f>'Cost Allocation - Tier 1'!BI40</f>
        <v>0</v>
      </c>
      <c r="BJ40" s="78">
        <f>'Cost Allocation - Tier 1'!BJ40</f>
        <v>0</v>
      </c>
      <c r="BK40" s="78">
        <f>'Cost Allocation - Tier 1'!BK40</f>
        <v>0</v>
      </c>
      <c r="BL40" s="685">
        <f t="shared" si="15"/>
        <v>1483684.9106517041</v>
      </c>
      <c r="BM40" s="76">
        <f t="shared" si="16"/>
        <v>0</v>
      </c>
    </row>
    <row r="41" spans="1:71" x14ac:dyDescent="0.25">
      <c r="A41" s="177" t="str">
        <f>'Cost Allocation - Tier 1'!A41</f>
        <v>Net income</v>
      </c>
      <c r="D41" s="893">
        <f>SUM(D38:D40)</f>
        <v>2722130.65</v>
      </c>
      <c r="E41" s="893">
        <f>SUM(E38:E40)</f>
        <v>2051604.6893724138</v>
      </c>
      <c r="F41" s="893"/>
      <c r="G41" s="893"/>
      <c r="H41" s="76"/>
      <c r="I41" s="666">
        <f>SUM(I38:I40)</f>
        <v>2051604.6893724147</v>
      </c>
      <c r="J41" s="73">
        <f>SUM(J38:J40)</f>
        <v>52742.047363830708</v>
      </c>
      <c r="K41" s="73">
        <f t="shared" ref="K41:BB41" si="17">SUM(K38:K40)</f>
        <v>13437.589502653473</v>
      </c>
      <c r="L41" s="73">
        <f t="shared" si="17"/>
        <v>12805.117131470077</v>
      </c>
      <c r="M41" s="73">
        <f t="shared" si="17"/>
        <v>17958.464065073516</v>
      </c>
      <c r="N41" s="73">
        <f t="shared" si="17"/>
        <v>24334.145417693733</v>
      </c>
      <c r="O41" s="73">
        <f t="shared" si="17"/>
        <v>70800.921938992891</v>
      </c>
      <c r="P41" s="73">
        <f t="shared" si="17"/>
        <v>8996.5893006131064</v>
      </c>
      <c r="Q41" s="73">
        <f t="shared" si="17"/>
        <v>25446.764687838728</v>
      </c>
      <c r="R41" s="73">
        <f t="shared" si="17"/>
        <v>22206.071749629369</v>
      </c>
      <c r="S41" s="73">
        <f t="shared" si="17"/>
        <v>22472.138516319625</v>
      </c>
      <c r="T41" s="73">
        <f t="shared" si="17"/>
        <v>83778.938141654609</v>
      </c>
      <c r="U41" s="73">
        <f t="shared" si="17"/>
        <v>66129.516002912307</v>
      </c>
      <c r="V41" s="73">
        <f t="shared" si="17"/>
        <v>33800.423409518029</v>
      </c>
      <c r="W41" s="73">
        <f t="shared" si="17"/>
        <v>55461.548987266229</v>
      </c>
      <c r="X41" s="73">
        <f t="shared" si="17"/>
        <v>1969.476604996448</v>
      </c>
      <c r="Y41" s="73">
        <f t="shared" si="17"/>
        <v>1383.3399875117079</v>
      </c>
      <c r="Z41" s="73">
        <f t="shared" si="17"/>
        <v>5739.0840217879922</v>
      </c>
      <c r="AA41" s="73">
        <f t="shared" si="17"/>
        <v>5026.8547040263893</v>
      </c>
      <c r="AB41" s="73">
        <f t="shared" si="17"/>
        <v>2912.0987663832252</v>
      </c>
      <c r="AC41" s="73">
        <f t="shared" si="17"/>
        <v>3708.3191579200325</v>
      </c>
      <c r="AD41" s="73">
        <f t="shared" si="17"/>
        <v>26097.274541841853</v>
      </c>
      <c r="AE41" s="73">
        <f t="shared" si="17"/>
        <v>9437.1362890018281</v>
      </c>
      <c r="AF41" s="73">
        <f t="shared" si="17"/>
        <v>18900.406925823845</v>
      </c>
      <c r="AG41" s="73">
        <f t="shared" si="17"/>
        <v>36522.207976647012</v>
      </c>
      <c r="AH41" s="73">
        <f t="shared" si="17"/>
        <v>503653.86720650014</v>
      </c>
      <c r="AI41" s="73">
        <f t="shared" si="17"/>
        <v>5075.0618566709672</v>
      </c>
      <c r="AJ41" s="73">
        <f t="shared" si="17"/>
        <v>88352.253850466252</v>
      </c>
      <c r="AK41" s="73">
        <f t="shared" si="17"/>
        <v>70574.950015529932</v>
      </c>
      <c r="AL41" s="73">
        <f t="shared" si="17"/>
        <v>0</v>
      </c>
      <c r="AM41" s="73">
        <f t="shared" si="17"/>
        <v>7628.4661111143023</v>
      </c>
      <c r="AN41" s="73">
        <f t="shared" si="17"/>
        <v>9616.8893653773303</v>
      </c>
      <c r="AO41" s="73">
        <f t="shared" si="17"/>
        <v>88026.914729608397</v>
      </c>
      <c r="AP41" s="73">
        <f t="shared" si="17"/>
        <v>12349.101817673787</v>
      </c>
      <c r="AQ41" s="73">
        <f t="shared" si="17"/>
        <v>44736.372252909474</v>
      </c>
      <c r="AR41" s="73">
        <f t="shared" si="17"/>
        <v>180.93838782926335</v>
      </c>
      <c r="AS41" s="73">
        <f t="shared" si="17"/>
        <v>66665.957940004737</v>
      </c>
      <c r="AT41" s="73">
        <f t="shared" si="17"/>
        <v>53673.872068686345</v>
      </c>
      <c r="AU41" s="73">
        <f t="shared" si="17"/>
        <v>80932.337450765684</v>
      </c>
      <c r="AV41" s="73">
        <f t="shared" si="17"/>
        <v>109497.92180328845</v>
      </c>
      <c r="AW41" s="73">
        <f t="shared" si="17"/>
        <v>284734.90935446043</v>
      </c>
      <c r="AX41" s="73">
        <f t="shared" si="17"/>
        <v>3838.3999701223102</v>
      </c>
      <c r="AY41" s="73">
        <f t="shared" si="17"/>
        <v>0</v>
      </c>
      <c r="AZ41" s="73">
        <f t="shared" si="17"/>
        <v>0</v>
      </c>
      <c r="BA41" s="73">
        <f t="shared" si="17"/>
        <v>0</v>
      </c>
      <c r="BB41" s="73">
        <f t="shared" si="17"/>
        <v>0</v>
      </c>
      <c r="BC41" s="666">
        <f>SUM(BC38:BC40)</f>
        <v>0</v>
      </c>
      <c r="BD41" s="73">
        <f>SUM(BD38:BD40)</f>
        <v>0</v>
      </c>
      <c r="BE41" s="73">
        <f t="shared" ref="BE41:BK41" si="18">SUM(BE38:BE40)</f>
        <v>0</v>
      </c>
      <c r="BF41" s="73">
        <f t="shared" si="18"/>
        <v>0</v>
      </c>
      <c r="BG41" s="73">
        <f t="shared" si="18"/>
        <v>0</v>
      </c>
      <c r="BH41" s="73">
        <f t="shared" si="18"/>
        <v>0</v>
      </c>
      <c r="BI41" s="73">
        <f t="shared" si="18"/>
        <v>0</v>
      </c>
      <c r="BJ41" s="73">
        <f t="shared" si="18"/>
        <v>0</v>
      </c>
      <c r="BK41" s="73">
        <f t="shared" si="18"/>
        <v>0</v>
      </c>
      <c r="BL41" s="76">
        <f t="shared" si="15"/>
        <v>2051604.6893724147</v>
      </c>
      <c r="BM41" s="76">
        <f t="shared" si="16"/>
        <v>0</v>
      </c>
      <c r="BO41" s="20"/>
      <c r="BP41" s="894">
        <f>SUM(J41:AE41)+AH41+AI41+AM41+AQ41+AR41+AS41+AT41+AU41+AV41++AW41+AX41</f>
        <v>1727261.9646912881</v>
      </c>
      <c r="BQ41" s="894">
        <f>AF41+AG41+AJ41+AK41+AL41+AN41+AO41+AP41</f>
        <v>324342.72468112654</v>
      </c>
      <c r="BR41" s="894">
        <f>SUM(AY40:BB41)</f>
        <v>0</v>
      </c>
      <c r="BS41" s="894">
        <f>BR41+BQ41+BP41-I41</f>
        <v>0</v>
      </c>
    </row>
    <row r="42" spans="1:71" x14ac:dyDescent="0.25">
      <c r="D42" s="893"/>
      <c r="E42" s="893"/>
      <c r="F42" s="893"/>
      <c r="G42" s="893"/>
      <c r="I42" s="666"/>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BC42" s="666"/>
      <c r="BD42" s="73"/>
      <c r="BE42" s="73"/>
      <c r="BF42" s="73"/>
      <c r="BG42" s="73"/>
      <c r="BH42" s="73"/>
      <c r="BI42" s="73"/>
      <c r="BJ42" s="73"/>
      <c r="BK42" s="73"/>
      <c r="BL42" s="76"/>
      <c r="BM42" s="76"/>
      <c r="BO42" s="20"/>
      <c r="BP42" s="20"/>
      <c r="BQ42" s="20"/>
      <c r="BR42" s="20"/>
      <c r="BS42" s="20"/>
    </row>
    <row r="43" spans="1:71" x14ac:dyDescent="0.25">
      <c r="A43" s="343" t="str">
        <f>'Cost Allocation - Tier 1'!A43</f>
        <v xml:space="preserve">Vancouver Rent direct </v>
      </c>
      <c r="B43" s="3" t="str">
        <f>'Cost Allocation - Tier 1'!B43</f>
        <v>CDN CONTRACT</v>
      </c>
      <c r="D43" s="893">
        <f>'Cost Allocation - Tier 1'!D43</f>
        <v>178543.24444444446</v>
      </c>
      <c r="E43" s="664">
        <f>'Cost Allocation - Tier 1'!E43</f>
        <v>134563.7681123011</v>
      </c>
      <c r="F43" s="664"/>
      <c r="G43" s="664"/>
      <c r="I43" s="694">
        <f t="shared" ref="I43" si="19">SUM(J43:BB43)</f>
        <v>134563.7681123011</v>
      </c>
      <c r="J43" s="73">
        <f>'Cost Allocation - Tier 1'!J43</f>
        <v>3459.3256040010037</v>
      </c>
      <c r="K43" s="73">
        <f>'Cost Allocation - Tier 1'!K43</f>
        <v>881.36505399414239</v>
      </c>
      <c r="L43" s="73">
        <f>'Cost Allocation - Tier 1'!L43</f>
        <v>839.88149435215598</v>
      </c>
      <c r="M43" s="73">
        <f>'Cost Allocation - Tier 1'!M43</f>
        <v>1177.8870494027142</v>
      </c>
      <c r="N43" s="73">
        <f>'Cost Allocation - Tier 1'!N43</f>
        <v>1596.0649330545359</v>
      </c>
      <c r="O43" s="73">
        <f>'Cost Allocation - Tier 1'!O43</f>
        <v>4643.7985306273376</v>
      </c>
      <c r="P43" s="73">
        <f>'Cost Allocation - Tier 1'!P43</f>
        <v>590.08197959405061</v>
      </c>
      <c r="Q43" s="73">
        <f>'Cost Allocation - Tier 1'!Q43</f>
        <v>1669.0410976346957</v>
      </c>
      <c r="R43" s="73">
        <f>'Cost Allocation - Tier 1'!R43</f>
        <v>1456.4856012862385</v>
      </c>
      <c r="S43" s="73">
        <f>'Cost Allocation - Tier 1'!S43</f>
        <v>1473.9367929708555</v>
      </c>
      <c r="T43" s="73">
        <f>'Cost Allocation - Tier 1'!T43</f>
        <v>5495.0203921775137</v>
      </c>
      <c r="U43" s="73">
        <f>'Cost Allocation - Tier 1'!U43</f>
        <v>4337.4032545795608</v>
      </c>
      <c r="V43" s="73">
        <f>'Cost Allocation - Tier 1'!V43</f>
        <v>2216.95356875369</v>
      </c>
      <c r="W43" s="73">
        <f>'Cost Allocation - Tier 1'!W43</f>
        <v>3637.6964118533424</v>
      </c>
      <c r="X43" s="73">
        <f>'Cost Allocation - Tier 1'!X43</f>
        <v>129.17702642725669</v>
      </c>
      <c r="Y43" s="73">
        <f>'Cost Allocation - Tier 1'!Y43</f>
        <v>90.732606658713323</v>
      </c>
      <c r="Z43" s="73">
        <f>'Cost Allocation - Tier 1'!Z43</f>
        <v>376.42376988382205</v>
      </c>
      <c r="AA43" s="73">
        <f>'Cost Allocation - Tier 1'!AA43</f>
        <v>329.70899034831012</v>
      </c>
      <c r="AB43" s="73">
        <f>'Cost Allocation - Tier 1'!AB43</f>
        <v>191.00316213431026</v>
      </c>
      <c r="AC43" s="73">
        <f>'Cost Allocation - Tier 1'!AC43</f>
        <v>243.22687593651423</v>
      </c>
      <c r="AD43" s="73">
        <f>'Cost Allocation - Tier 1'!AD43</f>
        <v>1711.707727128324</v>
      </c>
      <c r="AE43" s="73">
        <f>'Cost Allocation - Tier 1'!AE43</f>
        <v>618.97724538048567</v>
      </c>
      <c r="AF43" s="73">
        <f>'Cost Allocation - Tier 1'!AF43</f>
        <v>1239.668630106655</v>
      </c>
      <c r="AG43" s="73">
        <f>'Cost Allocation - Tier 1'!AG43</f>
        <v>2395.4741137885235</v>
      </c>
      <c r="AH43" s="73">
        <f>'Cost Allocation - Tier 1'!AH43</f>
        <v>33034.415716982548</v>
      </c>
      <c r="AI43" s="73">
        <f>'Cost Allocation - Tier 1'!AI43</f>
        <v>332.87087438153662</v>
      </c>
      <c r="AJ43" s="73">
        <f>'Cost Allocation - Tier 1'!AJ43</f>
        <v>5794.9819772395585</v>
      </c>
      <c r="AK43" s="73">
        <f>'Cost Allocation - Tier 1'!AK43</f>
        <v>4628.9771404900093</v>
      </c>
      <c r="AL43" s="73">
        <f>'Cost Allocation - Tier 1'!AL43</f>
        <v>0</v>
      </c>
      <c r="AM43" s="73">
        <f>'Cost Allocation - Tier 1'!AM43</f>
        <v>500.34743542263175</v>
      </c>
      <c r="AN43" s="73">
        <f>'Cost Allocation - Tier 1'!AN43</f>
        <v>630.76716349295839</v>
      </c>
      <c r="AO43" s="73">
        <f>'Cost Allocation - Tier 1'!AO43</f>
        <v>5773.6431402580702</v>
      </c>
      <c r="AP43" s="73">
        <f>'Cost Allocation - Tier 1'!AP43</f>
        <v>809.97166851718316</v>
      </c>
      <c r="AQ43" s="73">
        <f>'Cost Allocation - Tier 1'!AQ43</f>
        <v>2934.23721110112</v>
      </c>
      <c r="AR43" s="73">
        <f>'Cost Allocation - Tier 1'!AR43</f>
        <v>11.86766212253033</v>
      </c>
      <c r="AS43" s="73">
        <f>'Cost Allocation - Tier 1'!AS43</f>
        <v>4372.5882240829687</v>
      </c>
      <c r="AT43" s="73">
        <f>'Cost Allocation - Tier 1'!AT43</f>
        <v>3520.443539710082</v>
      </c>
      <c r="AU43" s="73">
        <f>'Cost Allocation - Tier 1'!AU43</f>
        <v>5308.3132174175125</v>
      </c>
      <c r="AV43" s="73">
        <f>'Cost Allocation - Tier 1'!AV43</f>
        <v>7181.916201811694</v>
      </c>
      <c r="AW43" s="73">
        <f>'Cost Allocation - Tier 1'!AW43</f>
        <v>18675.626213143063</v>
      </c>
      <c r="AX43" s="73">
        <f>'Cost Allocation - Tier 1'!AX43</f>
        <v>251.75881405291693</v>
      </c>
      <c r="AY43" s="73">
        <f>'Cost Allocation - Tier 1'!AY43</f>
        <v>0</v>
      </c>
      <c r="AZ43" s="73">
        <f>'Cost Allocation - Tier 1'!AZ43</f>
        <v>0</v>
      </c>
      <c r="BA43" s="73">
        <f>'Cost Allocation - Tier 1'!BA43</f>
        <v>0</v>
      </c>
      <c r="BB43" s="73">
        <f>'Cost Allocation - Tier 1'!BB43</f>
        <v>0</v>
      </c>
      <c r="BC43" s="666">
        <f t="shared" ref="BC43" si="20">SUM(BD43:BK43)</f>
        <v>0</v>
      </c>
      <c r="BD43" s="73">
        <f>'Cost Allocation - Tier 1'!BD43</f>
        <v>0</v>
      </c>
      <c r="BE43" s="73">
        <f>'Cost Allocation - Tier 1'!BE43</f>
        <v>0</v>
      </c>
      <c r="BF43" s="73">
        <f>'Cost Allocation - Tier 1'!BF43</f>
        <v>0</v>
      </c>
      <c r="BG43" s="73">
        <f>'Cost Allocation - Tier 1'!BG43</f>
        <v>0</v>
      </c>
      <c r="BH43" s="73">
        <f>'Cost Allocation - Tier 1'!BH43</f>
        <v>0</v>
      </c>
      <c r="BI43" s="73">
        <f>'Cost Allocation - Tier 1'!BI43</f>
        <v>0</v>
      </c>
      <c r="BJ43" s="73">
        <f>'Cost Allocation - Tier 1'!BJ43</f>
        <v>0</v>
      </c>
      <c r="BK43" s="73">
        <f>'Cost Allocation - Tier 1'!BK43</f>
        <v>0</v>
      </c>
      <c r="BL43" s="76">
        <f>BC43+I43+H43</f>
        <v>134563.7681123011</v>
      </c>
      <c r="BM43" s="76">
        <f t="shared" si="16"/>
        <v>0</v>
      </c>
      <c r="BO43" s="20"/>
      <c r="BP43" s="894">
        <f>SUM(J43:AE43)+AH43+AI43+AM43+AQ43+AR43+AS43+AT43+AU43+AV43++AW43+AX43</f>
        <v>113290.28427840816</v>
      </c>
      <c r="BQ43" s="894">
        <f>AF43+AG43+AJ43+AK43+AL43+AN43+AO43+AP43</f>
        <v>21273.483833892959</v>
      </c>
      <c r="BR43" s="894">
        <f>SUM(AY42:BB43)</f>
        <v>0</v>
      </c>
      <c r="BS43" s="894">
        <f>BR43+BQ43+BP43-I43</f>
        <v>0</v>
      </c>
    </row>
    <row r="44" spans="1:71" x14ac:dyDescent="0.25">
      <c r="D44" s="893"/>
      <c r="E44" s="893"/>
      <c r="F44" s="893"/>
      <c r="G44" s="893"/>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BD44" s="73"/>
      <c r="BE44" s="73"/>
      <c r="BF44" s="73"/>
      <c r="BG44" s="73"/>
      <c r="BH44" s="73"/>
      <c r="BI44" s="73"/>
      <c r="BJ44" s="73"/>
      <c r="BK44" s="73"/>
      <c r="BL44" s="73"/>
      <c r="BM44" s="76"/>
      <c r="BO44" s="20"/>
      <c r="BP44" s="20"/>
      <c r="BQ44" s="20"/>
      <c r="BR44" s="20"/>
      <c r="BS44" s="20"/>
    </row>
    <row r="45" spans="1:71" x14ac:dyDescent="0.25">
      <c r="A45" s="343" t="str">
        <f>'Cost Allocation - Tier 1'!A45</f>
        <v>Energy Services (6139)</v>
      </c>
      <c r="B45" s="3" t="str">
        <f>'Cost Allocation - Tier 1'!B45</f>
        <v>DES</v>
      </c>
      <c r="D45" s="713">
        <f>'Cost Allocation - Tier 1'!D45</f>
        <v>1135998</v>
      </c>
      <c r="E45" s="713">
        <f>'Cost Allocation - Tier 1'!E45</f>
        <v>856174.49108024396</v>
      </c>
      <c r="F45" s="713"/>
      <c r="G45" s="713"/>
      <c r="I45" s="694">
        <f t="shared" ref="I45:I57" si="21">SUM(J45:BB45)</f>
        <v>856174.49108024407</v>
      </c>
      <c r="J45" s="73">
        <f>'Cost Allocation - Tier 1'!J45</f>
        <v>0</v>
      </c>
      <c r="K45" s="73">
        <f>'Cost Allocation - Tier 1'!K45</f>
        <v>0</v>
      </c>
      <c r="L45" s="73">
        <f>'Cost Allocation - Tier 1'!L45</f>
        <v>0</v>
      </c>
      <c r="M45" s="73">
        <f>'Cost Allocation - Tier 1'!M45</f>
        <v>0</v>
      </c>
      <c r="N45" s="73">
        <f>'Cost Allocation - Tier 1'!N45</f>
        <v>0</v>
      </c>
      <c r="O45" s="73">
        <f>'Cost Allocation - Tier 1'!O45</f>
        <v>0</v>
      </c>
      <c r="P45" s="73">
        <f>'Cost Allocation - Tier 1'!P45</f>
        <v>0</v>
      </c>
      <c r="Q45" s="73">
        <f>'Cost Allocation - Tier 1'!Q45</f>
        <v>0</v>
      </c>
      <c r="R45" s="73">
        <f>'Cost Allocation - Tier 1'!R45</f>
        <v>0</v>
      </c>
      <c r="S45" s="73">
        <f>'Cost Allocation - Tier 1'!S45</f>
        <v>0</v>
      </c>
      <c r="T45" s="73">
        <f>'Cost Allocation - Tier 1'!T45</f>
        <v>0</v>
      </c>
      <c r="U45" s="73">
        <f>'Cost Allocation - Tier 1'!U45</f>
        <v>0</v>
      </c>
      <c r="V45" s="73">
        <f>'Cost Allocation - Tier 1'!V45</f>
        <v>0</v>
      </c>
      <c r="W45" s="73">
        <f>'Cost Allocation - Tier 1'!W45</f>
        <v>0</v>
      </c>
      <c r="X45" s="73">
        <f>'Cost Allocation - Tier 1'!X45</f>
        <v>0</v>
      </c>
      <c r="Y45" s="73">
        <f>'Cost Allocation - Tier 1'!Y45</f>
        <v>0</v>
      </c>
      <c r="Z45" s="73">
        <f>'Cost Allocation - Tier 1'!Z45</f>
        <v>0</v>
      </c>
      <c r="AA45" s="73">
        <f>'Cost Allocation - Tier 1'!AA45</f>
        <v>0</v>
      </c>
      <c r="AB45" s="73">
        <f>'Cost Allocation - Tier 1'!AB45</f>
        <v>0</v>
      </c>
      <c r="AC45" s="73">
        <f>'Cost Allocation - Tier 1'!AC45</f>
        <v>0</v>
      </c>
      <c r="AD45" s="73">
        <f>'Cost Allocation - Tier 1'!AD45</f>
        <v>0</v>
      </c>
      <c r="AE45" s="73">
        <f>'Cost Allocation - Tier 1'!AE45</f>
        <v>0</v>
      </c>
      <c r="AF45" s="73">
        <f>'Cost Allocation - Tier 1'!AF45</f>
        <v>66315.798642938636</v>
      </c>
      <c r="AG45" s="73">
        <f>'Cost Allocation - Tier 1'!AG45</f>
        <v>0</v>
      </c>
      <c r="AH45" s="73">
        <f>'Cost Allocation - Tier 1'!AH45</f>
        <v>0</v>
      </c>
      <c r="AI45" s="73">
        <f>'Cost Allocation - Tier 1'!AI45</f>
        <v>0</v>
      </c>
      <c r="AJ45" s="73">
        <f>'Cost Allocation - Tier 1'!AJ45</f>
        <v>241530.1604478964</v>
      </c>
      <c r="AK45" s="73">
        <f>'Cost Allocation - Tier 1'!AK45</f>
        <v>209862.28841385114</v>
      </c>
      <c r="AL45" s="73">
        <f>'Cost Allocation - Tier 1'!AL45</f>
        <v>0</v>
      </c>
      <c r="AM45" s="73">
        <f>'Cost Allocation - Tier 1'!AM45</f>
        <v>0</v>
      </c>
      <c r="AN45" s="73">
        <f>'Cost Allocation - Tier 1'!AN45</f>
        <v>45282.667666193593</v>
      </c>
      <c r="AO45" s="73">
        <f>'Cost Allocation - Tier 1'!AO45</f>
        <v>254274.34151038347</v>
      </c>
      <c r="AP45" s="73">
        <f>'Cost Allocation - Tier 1'!AP45</f>
        <v>38909.234398980887</v>
      </c>
      <c r="AQ45" s="73">
        <f>'Cost Allocation - Tier 1'!AQ45</f>
        <v>0</v>
      </c>
      <c r="AR45" s="73">
        <f>'Cost Allocation - Tier 1'!AR45</f>
        <v>0</v>
      </c>
      <c r="AS45" s="73">
        <f>'Cost Allocation - Tier 1'!AS45</f>
        <v>0</v>
      </c>
      <c r="AT45" s="73">
        <f>'Cost Allocation - Tier 1'!AT45</f>
        <v>0</v>
      </c>
      <c r="AU45" s="73">
        <f>'Cost Allocation - Tier 1'!AU45</f>
        <v>0</v>
      </c>
      <c r="AV45" s="73">
        <f>'Cost Allocation - Tier 1'!AV45</f>
        <v>0</v>
      </c>
      <c r="AW45" s="73">
        <f>'Cost Allocation - Tier 1'!AW45</f>
        <v>0</v>
      </c>
      <c r="AX45" s="73">
        <f>'Cost Allocation - Tier 1'!AX45</f>
        <v>0</v>
      </c>
      <c r="AY45" s="73">
        <f>'Cost Allocation - Tier 1'!AY45</f>
        <v>0</v>
      </c>
      <c r="AZ45" s="73">
        <f>'Cost Allocation - Tier 1'!AZ45</f>
        <v>0</v>
      </c>
      <c r="BA45" s="73">
        <f>'Cost Allocation - Tier 1'!BA45</f>
        <v>0</v>
      </c>
      <c r="BB45" s="73">
        <f>'Cost Allocation - Tier 1'!BB45</f>
        <v>0</v>
      </c>
      <c r="BC45" s="666">
        <f t="shared" ref="BC45:BC48" si="22">SUM(BD45:BK45)</f>
        <v>0</v>
      </c>
      <c r="BD45" s="73">
        <f>'Cost Allocation - Tier 1'!BD45</f>
        <v>0</v>
      </c>
      <c r="BE45" s="73">
        <f>'Cost Allocation - Tier 1'!BE45</f>
        <v>0</v>
      </c>
      <c r="BF45" s="73">
        <f>'Cost Allocation - Tier 1'!BF45</f>
        <v>0</v>
      </c>
      <c r="BG45" s="73">
        <f>'Cost Allocation - Tier 1'!BG45</f>
        <v>0</v>
      </c>
      <c r="BH45" s="73">
        <f>'Cost Allocation - Tier 1'!BH45</f>
        <v>0</v>
      </c>
      <c r="BI45" s="73">
        <f>'Cost Allocation - Tier 1'!BI45</f>
        <v>0</v>
      </c>
      <c r="BJ45" s="73">
        <f>'Cost Allocation - Tier 1'!BJ45</f>
        <v>0</v>
      </c>
      <c r="BK45" s="73">
        <f>'Cost Allocation - Tier 1'!BK45</f>
        <v>0</v>
      </c>
      <c r="BL45" s="76">
        <f>BC45+I45+H45</f>
        <v>856174.49108024407</v>
      </c>
      <c r="BM45" s="76">
        <f>BL45-E45</f>
        <v>0</v>
      </c>
      <c r="BO45" s="20"/>
      <c r="BP45" s="894">
        <f>SUM(J45:AE45)+AH45+AI45+AM45+AQ45+AR45+AS45+AT45+AU45+AV45++AW45+AX45</f>
        <v>0</v>
      </c>
      <c r="BQ45" s="894">
        <f>AF45+AG45+AJ45+AK45+AL45+AN45+AO45+AP45</f>
        <v>856174.49108024407</v>
      </c>
      <c r="BR45" s="894">
        <f>SUM(AY44:BB45)</f>
        <v>0</v>
      </c>
      <c r="BS45" s="894">
        <f>BR45+BQ45+BP45-I45</f>
        <v>0</v>
      </c>
    </row>
    <row r="46" spans="1:71" x14ac:dyDescent="0.25">
      <c r="A46" s="343" t="str">
        <f>'Cost Allocation - Tier 1'!A46</f>
        <v>BC Ops</v>
      </c>
      <c r="B46" s="3" t="str">
        <f>'Cost Allocation - Tier 1'!B46</f>
        <v>Rick</v>
      </c>
      <c r="D46" s="713">
        <f>'Cost Allocation - Tier 1'!D46</f>
        <v>704894</v>
      </c>
      <c r="E46" s="713">
        <f>'Cost Allocation - Tier 1'!E46</f>
        <v>531261.72908360534</v>
      </c>
      <c r="F46" s="713"/>
      <c r="G46" s="713"/>
      <c r="I46" s="694">
        <f t="shared" si="21"/>
        <v>531261.72908360558</v>
      </c>
      <c r="J46" s="73">
        <f>'Cost Allocation - Tier 1'!J46</f>
        <v>16464.047006191959</v>
      </c>
      <c r="K46" s="73">
        <f>'Cost Allocation - Tier 1'!K46</f>
        <v>4015.4830353516045</v>
      </c>
      <c r="L46" s="73">
        <f>'Cost Allocation - Tier 1'!L46</f>
        <v>3703.1634436142167</v>
      </c>
      <c r="M46" s="73">
        <f>'Cost Allocation - Tier 1'!M46</f>
        <v>5788.8384771076271</v>
      </c>
      <c r="N46" s="73">
        <f>'Cost Allocation - Tier 1'!N46</f>
        <v>7340.1075809320209</v>
      </c>
      <c r="O46" s="73">
        <f>'Cost Allocation - Tier 1'!O46</f>
        <v>22549.418783010155</v>
      </c>
      <c r="P46" s="73">
        <f>'Cost Allocation - Tier 1'!P46</f>
        <v>2894.3281971884589</v>
      </c>
      <c r="Q46" s="73">
        <f>'Cost Allocation - Tier 1'!Q46</f>
        <v>8290.5033213782699</v>
      </c>
      <c r="R46" s="73">
        <f>'Cost Allocation - Tier 1'!R46</f>
        <v>7261.0987741477384</v>
      </c>
      <c r="S46" s="73">
        <f>'Cost Allocation - Tier 1'!S46</f>
        <v>7326.2323271179575</v>
      </c>
      <c r="T46" s="73">
        <f>'Cost Allocation - Tier 1'!T46</f>
        <v>27455.164569147135</v>
      </c>
      <c r="U46" s="73">
        <f>'Cost Allocation - Tier 1'!U46</f>
        <v>21627.325561634607</v>
      </c>
      <c r="V46" s="73">
        <f>'Cost Allocation - Tier 1'!V46</f>
        <v>10246.418323206721</v>
      </c>
      <c r="W46" s="73">
        <f>'Cost Allocation - Tier 1'!W46</f>
        <v>16945.117262977557</v>
      </c>
      <c r="X46" s="73">
        <f>'Cost Allocation - Tier 1'!X46</f>
        <v>632.69895718458247</v>
      </c>
      <c r="Y46" s="73">
        <f>'Cost Allocation - Tier 1'!Y46</f>
        <v>433.18262372380622</v>
      </c>
      <c r="Z46" s="73">
        <f>'Cost Allocation - Tier 1'!Z46</f>
        <v>1726.8564531260431</v>
      </c>
      <c r="AA46" s="73">
        <f>'Cost Allocation - Tier 1'!AA46</f>
        <v>1493.6605485300399</v>
      </c>
      <c r="AB46" s="73">
        <f>'Cost Allocation - Tier 1'!AB46</f>
        <v>855.19014179356191</v>
      </c>
      <c r="AC46" s="73">
        <f>'Cost Allocation - Tier 1'!AC46</f>
        <v>1157.2529571222185</v>
      </c>
      <c r="AD46" s="73">
        <f>'Cost Allocation - Tier 1'!AD46</f>
        <v>8523.9269296358816</v>
      </c>
      <c r="AE46" s="73">
        <f>'Cost Allocation - Tier 1'!AE46</f>
        <v>3020.003265511888</v>
      </c>
      <c r="AF46" s="73">
        <f>'Cost Allocation - Tier 1'!AF46</f>
        <v>0</v>
      </c>
      <c r="AG46" s="73">
        <f>'Cost Allocation - Tier 1'!AG46</f>
        <v>10376.495861710981</v>
      </c>
      <c r="AH46" s="73">
        <f>'Cost Allocation - Tier 1'!AH46</f>
        <v>154135.86398939916</v>
      </c>
      <c r="AI46" s="73">
        <f>'Cost Allocation - Tier 1'!AI46</f>
        <v>1673.5499608484329</v>
      </c>
      <c r="AJ46" s="73">
        <f>'Cost Allocation - Tier 1'!AJ46</f>
        <v>0</v>
      </c>
      <c r="AK46" s="73">
        <f>'Cost Allocation - Tier 1'!AK46</f>
        <v>0</v>
      </c>
      <c r="AL46" s="73">
        <f>'Cost Allocation - Tier 1'!AL46</f>
        <v>0</v>
      </c>
      <c r="AM46" s="73">
        <f>'Cost Allocation - Tier 1'!AM46</f>
        <v>2305.2181276839524</v>
      </c>
      <c r="AN46" s="73">
        <f>'Cost Allocation - Tier 1'!AN46</f>
        <v>0</v>
      </c>
      <c r="AO46" s="73">
        <f>'Cost Allocation - Tier 1'!AO46</f>
        <v>0</v>
      </c>
      <c r="AP46" s="73">
        <f>'Cost Allocation - Tier 1'!AP46</f>
        <v>0</v>
      </c>
      <c r="AQ46" s="73">
        <f>'Cost Allocation - Tier 1'!AQ46</f>
        <v>12697.278789506669</v>
      </c>
      <c r="AR46" s="73">
        <f>'Cost Allocation - Tier 1'!AR46</f>
        <v>51.496295228307488</v>
      </c>
      <c r="AS46" s="73">
        <f>'Cost Allocation - Tier 1'!AS46</f>
        <v>18928.614425093561</v>
      </c>
      <c r="AT46" s="73">
        <f>'Cost Allocation - Tier 1'!AT46</f>
        <v>15224.0358782975</v>
      </c>
      <c r="AU46" s="73">
        <f>'Cost Allocation - Tier 1'!AU46</f>
        <v>23039.385360816421</v>
      </c>
      <c r="AV46" s="73">
        <f>'Cost Allocation - Tier 1'!AV46</f>
        <v>31076.272885046012</v>
      </c>
      <c r="AW46" s="73">
        <f>'Cost Allocation - Tier 1'!AW46</f>
        <v>80911.064244701847</v>
      </c>
      <c r="AX46" s="73">
        <f>'Cost Allocation - Tier 1'!AX46</f>
        <v>1092.4347256385622</v>
      </c>
      <c r="AY46" s="73">
        <f>'Cost Allocation - Tier 1'!AY46</f>
        <v>0</v>
      </c>
      <c r="AZ46" s="73">
        <f>'Cost Allocation - Tier 1'!AZ46</f>
        <v>0</v>
      </c>
      <c r="BA46" s="73">
        <f>'Cost Allocation - Tier 1'!BA46</f>
        <v>0</v>
      </c>
      <c r="BB46" s="73">
        <f>'Cost Allocation - Tier 1'!BB46</f>
        <v>0</v>
      </c>
      <c r="BC46" s="666">
        <f t="shared" si="22"/>
        <v>0</v>
      </c>
      <c r="BD46" s="73">
        <f>'Cost Allocation - Tier 1'!BD46</f>
        <v>0</v>
      </c>
      <c r="BE46" s="73">
        <f>'Cost Allocation - Tier 1'!BE46</f>
        <v>0</v>
      </c>
      <c r="BF46" s="73">
        <f>'Cost Allocation - Tier 1'!BF46</f>
        <v>0</v>
      </c>
      <c r="BG46" s="73">
        <f>'Cost Allocation - Tier 1'!BG46</f>
        <v>0</v>
      </c>
      <c r="BH46" s="73">
        <f>'Cost Allocation - Tier 1'!BH46</f>
        <v>0</v>
      </c>
      <c r="BI46" s="73">
        <f>'Cost Allocation - Tier 1'!BI46</f>
        <v>0</v>
      </c>
      <c r="BJ46" s="73">
        <f>'Cost Allocation - Tier 1'!BJ46</f>
        <v>0</v>
      </c>
      <c r="BK46" s="73">
        <f>'Cost Allocation - Tier 1'!BK46</f>
        <v>0</v>
      </c>
      <c r="BL46" s="76">
        <f>BC46+I46+H46</f>
        <v>531261.72908360558</v>
      </c>
      <c r="BM46" s="76">
        <f>BL46-E46</f>
        <v>0</v>
      </c>
      <c r="BO46" s="20"/>
      <c r="BP46" s="894">
        <f>SUM(J46:AE46)+AH46+AI46+AM46+AQ46+AR46+AS46+AT46+AU46+AV46++AW46+AX46</f>
        <v>520885.23322189454</v>
      </c>
      <c r="BQ46" s="894">
        <f>AF46+AG46+AJ46+AK46+AL46+AN46+AO46+AP46</f>
        <v>10376.495861710981</v>
      </c>
      <c r="BR46" s="894">
        <f>SUM(AY45:BB46)</f>
        <v>0</v>
      </c>
      <c r="BS46" s="894">
        <f>BR46+BQ46+BP46-I46</f>
        <v>0</v>
      </c>
    </row>
    <row r="47" spans="1:71" x14ac:dyDescent="0.25">
      <c r="A47" s="343" t="str">
        <f>'Cost Allocation - Tier 1'!A47</f>
        <v>CMUS Admin</v>
      </c>
      <c r="B47" s="3" t="str">
        <f>'Cost Allocation - Tier 1'!B47</f>
        <v>CDN CONTRACT</v>
      </c>
      <c r="D47" s="664">
        <f>'Cost Allocation - Tier 1'!D47</f>
        <v>40160.489999999991</v>
      </c>
      <c r="E47" s="713">
        <f>'Cost Allocation - Tier 1'!E47</f>
        <v>30267.99966838253</v>
      </c>
      <c r="F47" s="713"/>
      <c r="G47" s="713"/>
      <c r="I47" s="694">
        <f t="shared" si="21"/>
        <v>30267.999668382545</v>
      </c>
      <c r="J47" s="73">
        <f>'Cost Allocation - Tier 1'!J47</f>
        <v>778.12079509653563</v>
      </c>
      <c r="K47" s="73">
        <f>'Cost Allocation - Tier 1'!K47</f>
        <v>198.24918353768936</v>
      </c>
      <c r="L47" s="73">
        <f>'Cost Allocation - Tier 1'!L47</f>
        <v>188.9181103439075</v>
      </c>
      <c r="M47" s="73">
        <f>'Cost Allocation - Tier 1'!M47</f>
        <v>264.94713488522092</v>
      </c>
      <c r="N47" s="73">
        <f>'Cost Allocation - Tier 1'!N47</f>
        <v>359.00966168021171</v>
      </c>
      <c r="O47" s="73">
        <f>'Cost Allocation - Tier 1'!O47</f>
        <v>1044.54931930681</v>
      </c>
      <c r="P47" s="73">
        <f>'Cost Allocation - Tier 1'!P47</f>
        <v>132.72964493507305</v>
      </c>
      <c r="Q47" s="73">
        <f>'Cost Allocation - Tier 1'!Q47</f>
        <v>375.42450020843057</v>
      </c>
      <c r="R47" s="73">
        <f>'Cost Allocation - Tier 1'!R47</f>
        <v>327.61348998449898</v>
      </c>
      <c r="S47" s="73">
        <f>'Cost Allocation - Tier 1'!S47</f>
        <v>331.53886062128169</v>
      </c>
      <c r="T47" s="73">
        <f>'Cost Allocation - Tier 1'!T47</f>
        <v>1236.0182665914797</v>
      </c>
      <c r="U47" s="73">
        <f>'Cost Allocation - Tier 1'!U47</f>
        <v>975.63052902688537</v>
      </c>
      <c r="V47" s="73">
        <f>'Cost Allocation - Tier 1'!V47</f>
        <v>498.66877856641992</v>
      </c>
      <c r="W47" s="73">
        <f>'Cost Allocation - Tier 1'!W47</f>
        <v>818.24249820177272</v>
      </c>
      <c r="X47" s="73">
        <f>'Cost Allocation - Tier 1'!X47</f>
        <v>29.056336991096948</v>
      </c>
      <c r="Y47" s="73">
        <f>'Cost Allocation - Tier 1'!Y47</f>
        <v>20.408870432087475</v>
      </c>
      <c r="Z47" s="73">
        <f>'Cost Allocation - Tier 1'!Z47</f>
        <v>84.670596712974231</v>
      </c>
      <c r="AA47" s="73">
        <f>'Cost Allocation - Tier 1'!AA47</f>
        <v>74.162843018759858</v>
      </c>
      <c r="AB47" s="73">
        <f>'Cost Allocation - Tier 1'!AB47</f>
        <v>42.963152186081089</v>
      </c>
      <c r="AC47" s="73">
        <f>'Cost Allocation - Tier 1'!AC47</f>
        <v>54.710053853754545</v>
      </c>
      <c r="AD47" s="73">
        <f>'Cost Allocation - Tier 1'!AD47</f>
        <v>385.02168632680952</v>
      </c>
      <c r="AE47" s="73">
        <f>'Cost Allocation - Tier 1'!AE47</f>
        <v>139.22917974678953</v>
      </c>
      <c r="AF47" s="73">
        <f>'Cost Allocation - Tier 1'!AF47</f>
        <v>278.84392813419117</v>
      </c>
      <c r="AG47" s="73">
        <f>'Cost Allocation - Tier 1'!AG47</f>
        <v>538.82416269184296</v>
      </c>
      <c r="AH47" s="73">
        <f>'Cost Allocation - Tier 1'!AH47</f>
        <v>7430.5713788601479</v>
      </c>
      <c r="AI47" s="73">
        <f>'Cost Allocation - Tier 1'!AI47</f>
        <v>74.874059018517642</v>
      </c>
      <c r="AJ47" s="73">
        <f>'Cost Allocation - Tier 1'!AJ47</f>
        <v>1303.4898994429641</v>
      </c>
      <c r="AK47" s="73">
        <f>'Cost Allocation - Tier 1'!AK47</f>
        <v>1041.215481097202</v>
      </c>
      <c r="AL47" s="73">
        <f>'Cost Allocation - Tier 1'!AL47</f>
        <v>0</v>
      </c>
      <c r="AM47" s="73">
        <f>'Cost Allocation - Tier 1'!AM47</f>
        <v>112.5452729356487</v>
      </c>
      <c r="AN47" s="73">
        <f>'Cost Allocation - Tier 1'!AN47</f>
        <v>141.88113608336269</v>
      </c>
      <c r="AO47" s="73">
        <f>'Cost Allocation - Tier 1'!AO47</f>
        <v>1298.6900642440839</v>
      </c>
      <c r="AP47" s="73">
        <f>'Cost Allocation - Tier 1'!AP47</f>
        <v>182.19036623303509</v>
      </c>
      <c r="AQ47" s="73">
        <f>'Cost Allocation - Tier 1'!AQ47</f>
        <v>660.01043355477748</v>
      </c>
      <c r="AR47" s="73">
        <f>'Cost Allocation - Tier 1'!AR47</f>
        <v>2.6694436268271149</v>
      </c>
      <c r="AS47" s="73">
        <f>'Cost Allocation - Tier 1'!AS47</f>
        <v>983.54483359936455</v>
      </c>
      <c r="AT47" s="73">
        <f>'Cost Allocation - Tier 1'!AT47</f>
        <v>791.86831185922574</v>
      </c>
      <c r="AU47" s="73">
        <f>'Cost Allocation - Tier 1'!AU47</f>
        <v>1194.0214290846402</v>
      </c>
      <c r="AV47" s="73">
        <f>'Cost Allocation - Tier 1'!AV47</f>
        <v>1615.4589029743106</v>
      </c>
      <c r="AW47" s="73">
        <f>'Cost Allocation - Tier 1'!AW47</f>
        <v>4200.7878937701662</v>
      </c>
      <c r="AX47" s="73">
        <f>'Cost Allocation - Tier 1'!AX47</f>
        <v>56.62917891766044</v>
      </c>
      <c r="AY47" s="73">
        <f>'Cost Allocation - Tier 1'!AY47</f>
        <v>0</v>
      </c>
      <c r="AZ47" s="73">
        <f>'Cost Allocation - Tier 1'!AZ47</f>
        <v>0</v>
      </c>
      <c r="BA47" s="73">
        <f>'Cost Allocation - Tier 1'!BA47</f>
        <v>0</v>
      </c>
      <c r="BB47" s="73">
        <f>'Cost Allocation - Tier 1'!BB47</f>
        <v>0</v>
      </c>
      <c r="BC47" s="666">
        <f t="shared" si="22"/>
        <v>0</v>
      </c>
      <c r="BD47" s="73">
        <f>'Cost Allocation - Tier 1'!BD47</f>
        <v>0</v>
      </c>
      <c r="BE47" s="73">
        <f>'Cost Allocation - Tier 1'!BE47</f>
        <v>0</v>
      </c>
      <c r="BF47" s="73">
        <f>'Cost Allocation - Tier 1'!BF47</f>
        <v>0</v>
      </c>
      <c r="BG47" s="73">
        <f>'Cost Allocation - Tier 1'!BG47</f>
        <v>0</v>
      </c>
      <c r="BH47" s="73">
        <f>'Cost Allocation - Tier 1'!BH47</f>
        <v>0</v>
      </c>
      <c r="BI47" s="73">
        <f>'Cost Allocation - Tier 1'!BI47</f>
        <v>0</v>
      </c>
      <c r="BJ47" s="73">
        <f>'Cost Allocation - Tier 1'!BJ47</f>
        <v>0</v>
      </c>
      <c r="BK47" s="73">
        <f>'Cost Allocation - Tier 1'!BK47</f>
        <v>0</v>
      </c>
      <c r="BL47" s="76">
        <f>BC47+I47+H47</f>
        <v>30267.999668382545</v>
      </c>
      <c r="BM47" s="76">
        <f>BL47-E47</f>
        <v>0</v>
      </c>
      <c r="BO47" s="20"/>
      <c r="BP47" s="894">
        <f>SUM(J47:AE47)+AH47+AI47+AM47+AQ47+AR47+AS47+AT47+AU47+AV47++AW47+AX47</f>
        <v>25482.864630455864</v>
      </c>
      <c r="BQ47" s="894">
        <f>AF47+AG47+AJ47+AK47+AL47+AN47+AO47+AP47</f>
        <v>4785.1350379266823</v>
      </c>
      <c r="BR47" s="894">
        <f>SUM(AY46:BB47)</f>
        <v>0</v>
      </c>
      <c r="BS47" s="894">
        <f>BR47+BQ47+BP47-I47</f>
        <v>0</v>
      </c>
    </row>
    <row r="48" spans="1:71" x14ac:dyDescent="0.25">
      <c r="A48" s="343" t="str">
        <f>'Cost Allocation - Tier 1'!A48</f>
        <v>COO Office</v>
      </c>
      <c r="B48" s="3" t="str">
        <f>'Cost Allocation - Tier 1'!B48</f>
        <v>ALL CONTRACT</v>
      </c>
      <c r="D48" s="664">
        <f>'Cost Allocation - Tier 1'!D48</f>
        <v>1675906</v>
      </c>
      <c r="E48" s="713">
        <f>'Cost Allocation - Tier 1'!E48</f>
        <v>1263090.2225605391</v>
      </c>
      <c r="F48" s="713"/>
      <c r="G48" s="713"/>
      <c r="I48" s="694">
        <f t="shared" si="21"/>
        <v>1263090.2225605394</v>
      </c>
      <c r="J48" s="73">
        <f>'Cost Allocation - Tier 1'!J48</f>
        <v>7857.316008082491</v>
      </c>
      <c r="K48" s="73">
        <f>'Cost Allocation - Tier 1'!K48</f>
        <v>2266.6404928368129</v>
      </c>
      <c r="L48" s="73">
        <f>'Cost Allocation - Tier 1'!L48</f>
        <v>2342.1378163647046</v>
      </c>
      <c r="M48" s="73">
        <f>'Cost Allocation - Tier 1'!M48</f>
        <v>2405.1971883640308</v>
      </c>
      <c r="N48" s="73">
        <f>'Cost Allocation - Tier 1'!N48</f>
        <v>4003.5185586776583</v>
      </c>
      <c r="O48" s="73">
        <f>'Cost Allocation - Tier 1'!O48</f>
        <v>9409.4839453428285</v>
      </c>
      <c r="P48" s="73">
        <f>'Cost Allocation - Tier 1'!P48</f>
        <v>1147.3929897807725</v>
      </c>
      <c r="Q48" s="73">
        <f>'Cost Allocation - Tier 1'!Q48</f>
        <v>3072.4504884369835</v>
      </c>
      <c r="R48" s="73">
        <f>'Cost Allocation - Tier 1'!R48</f>
        <v>2637.2254206601765</v>
      </c>
      <c r="S48" s="73">
        <f>'Cost Allocation - Tier 1'!S48</f>
        <v>2705.2122589724363</v>
      </c>
      <c r="T48" s="73">
        <f>'Cost Allocation - Tier 1'!T48</f>
        <v>9848.9757594954408</v>
      </c>
      <c r="U48" s="73">
        <f>'Cost Allocation - Tier 1'!U48</f>
        <v>7847.2681909410139</v>
      </c>
      <c r="V48" s="73">
        <f>'Cost Allocation - Tier 1'!V48</f>
        <v>6128.5212332120209</v>
      </c>
      <c r="W48" s="73">
        <f>'Cost Allocation - Tier 1'!W48</f>
        <v>9883.8224826774622</v>
      </c>
      <c r="X48" s="73">
        <f>'Cost Allocation - Tier 1'!X48</f>
        <v>239.53530677375812</v>
      </c>
      <c r="Y48" s="73">
        <f>'Cost Allocation - Tier 1'!Y48</f>
        <v>185.10300416676415</v>
      </c>
      <c r="Z48" s="73">
        <f>'Cost Allocation - Tier 1'!Z48</f>
        <v>873.55776601338812</v>
      </c>
      <c r="AA48" s="73">
        <f>'Cost Allocation - Tier 1'!AA48</f>
        <v>793.53052739365251</v>
      </c>
      <c r="AB48" s="73">
        <f>'Cost Allocation - Tier 1'!AB48</f>
        <v>474.87383056878298</v>
      </c>
      <c r="AC48" s="73">
        <f>'Cost Allocation - Tier 1'!AC48</f>
        <v>502.18490651769065</v>
      </c>
      <c r="AD48" s="73">
        <f>'Cost Allocation - Tier 1'!AD48</f>
        <v>2963.5259575964915</v>
      </c>
      <c r="AE48" s="73">
        <f>'Cost Allocation - Tier 1'!AE48</f>
        <v>1165.358166361646</v>
      </c>
      <c r="AF48" s="73">
        <f>'Cost Allocation - Tier 1'!AF48</f>
        <v>3062.1542790486997</v>
      </c>
      <c r="AG48" s="73">
        <f>'Cost Allocation - Tier 1'!AG48</f>
        <v>9917.1694404728605</v>
      </c>
      <c r="AH48" s="73">
        <f>'Cost Allocation - Tier 1'!AH48</f>
        <v>75516.596871133792</v>
      </c>
      <c r="AI48" s="73">
        <f>'Cost Allocation - Tier 1'!AI48</f>
        <v>552.37894445332734</v>
      </c>
      <c r="AJ48" s="73">
        <f>'Cost Allocation - Tier 1'!AJ48</f>
        <v>11841.78703600822</v>
      </c>
      <c r="AK48" s="73">
        <f>'Cost Allocation - Tier 1'!AK48</f>
        <v>10070.493248461928</v>
      </c>
      <c r="AL48" s="73">
        <f>'Cost Allocation - Tier 1'!AL48</f>
        <v>0</v>
      </c>
      <c r="AM48" s="73">
        <f>'Cost Allocation - Tier 1'!AM48</f>
        <v>1146.333213963977</v>
      </c>
      <c r="AN48" s="73">
        <f>'Cost Allocation - Tier 1'!AN48</f>
        <v>1974.811830324225</v>
      </c>
      <c r="AO48" s="73">
        <f>'Cost Allocation - Tier 1'!AO48</f>
        <v>12290.516851906546</v>
      </c>
      <c r="AP48" s="73">
        <f>'Cost Allocation - Tier 1'!AP48</f>
        <v>1841.1273070600494</v>
      </c>
      <c r="AQ48" s="73">
        <f>'Cost Allocation - Tier 1'!AQ48</f>
        <v>11799.718117690021</v>
      </c>
      <c r="AR48" s="73">
        <f>'Cost Allocation - Tier 1'!AR48</f>
        <v>31.968857678077022</v>
      </c>
      <c r="AS48" s="73">
        <f>'Cost Allocation - Tier 1'!AS48</f>
        <v>17336.281121040152</v>
      </c>
      <c r="AT48" s="73">
        <f>'Cost Allocation - Tier 1'!AT48</f>
        <v>14502.230242966563</v>
      </c>
      <c r="AU48" s="73">
        <f>'Cost Allocation - Tier 1'!AU48</f>
        <v>19866.541067696155</v>
      </c>
      <c r="AV48" s="73">
        <f>'Cost Allocation - Tier 1'!AV48</f>
        <v>28176.523538383586</v>
      </c>
      <c r="AW48" s="73">
        <f>'Cost Allocation - Tier 1'!AW48</f>
        <v>71908.679968250493</v>
      </c>
      <c r="AX48" s="73">
        <f>'Cost Allocation - Tier 1'!AX48</f>
        <v>678.18257821643601</v>
      </c>
      <c r="AY48" s="73">
        <f>'Cost Allocation - Tier 1'!AY48</f>
        <v>231400.00849682896</v>
      </c>
      <c r="AZ48" s="73">
        <f>'Cost Allocation - Tier 1'!AZ48</f>
        <v>7647.4269869934806</v>
      </c>
      <c r="BA48" s="73">
        <f>'Cost Allocation - Tier 1'!BA48</f>
        <v>133858.62873554917</v>
      </c>
      <c r="BB48" s="73">
        <f>'Cost Allocation - Tier 1'!BB48</f>
        <v>518917.83152717561</v>
      </c>
      <c r="BC48" s="666">
        <f t="shared" si="22"/>
        <v>0</v>
      </c>
      <c r="BD48" s="73">
        <f>'Cost Allocation - Tier 1'!BD48</f>
        <v>0</v>
      </c>
      <c r="BE48" s="73">
        <f>'Cost Allocation - Tier 1'!BE48</f>
        <v>0</v>
      </c>
      <c r="BF48" s="73">
        <f>'Cost Allocation - Tier 1'!BF48</f>
        <v>0</v>
      </c>
      <c r="BG48" s="73">
        <f>'Cost Allocation - Tier 1'!BG48</f>
        <v>0</v>
      </c>
      <c r="BH48" s="73">
        <f>'Cost Allocation - Tier 1'!BH48</f>
        <v>0</v>
      </c>
      <c r="BI48" s="73">
        <f>'Cost Allocation - Tier 1'!BI48</f>
        <v>0</v>
      </c>
      <c r="BJ48" s="73">
        <f>'Cost Allocation - Tier 1'!BJ48</f>
        <v>0</v>
      </c>
      <c r="BK48" s="73">
        <f>'Cost Allocation - Tier 1'!BK48</f>
        <v>0</v>
      </c>
      <c r="BL48" s="76">
        <f>BC48+I48+H48</f>
        <v>1263090.2225605394</v>
      </c>
      <c r="BM48" s="76">
        <f>BL48-E48</f>
        <v>0</v>
      </c>
      <c r="BO48" s="20"/>
      <c r="BP48" s="894">
        <f>SUM(J48:AE48)+AH48+AI48+AM48+AQ48+AR48+AS48+AT48+AU48+AV48++AW48+AX48</f>
        <v>320268.26682070957</v>
      </c>
      <c r="BQ48" s="894">
        <f>AF48+AG48+AJ48+AK48+AL48+AN48+AO48+AP48</f>
        <v>50998.059993282528</v>
      </c>
      <c r="BR48" s="894">
        <f>SUM(AY47:BB48)</f>
        <v>891823.89574654726</v>
      </c>
      <c r="BS48" s="894">
        <f>BR48+BQ48+BP48-I48</f>
        <v>0</v>
      </c>
    </row>
    <row r="49" spans="1:71" x14ac:dyDescent="0.25">
      <c r="D49" s="895"/>
      <c r="E49" s="895"/>
      <c r="F49" s="895"/>
      <c r="G49" s="895"/>
      <c r="BD49" s="73"/>
      <c r="BE49" s="73"/>
      <c r="BF49" s="73"/>
      <c r="BG49" s="73"/>
      <c r="BH49" s="73"/>
      <c r="BI49" s="73"/>
      <c r="BJ49" s="73"/>
      <c r="BK49" s="73"/>
      <c r="BL49" s="76"/>
      <c r="BM49" s="76"/>
      <c r="BO49" s="20"/>
      <c r="BP49" s="20"/>
      <c r="BQ49" s="20"/>
      <c r="BR49" s="20"/>
      <c r="BS49" s="20"/>
    </row>
    <row r="50" spans="1:71" s="721" customFormat="1" ht="30" x14ac:dyDescent="0.25">
      <c r="A50" s="896" t="str">
        <f>'Cost Allocation - Tier 1'!A50</f>
        <v>US Senior Tax Manager</v>
      </c>
      <c r="B50" s="897" t="str">
        <f>'Cost Allocation - Tier 1'!B50</f>
        <v>US CONTRACT/ REGULATED</v>
      </c>
      <c r="C50" s="897"/>
      <c r="D50" s="898">
        <f>'Cost Allocation - Tier 1'!D50</f>
        <v>146957.03714</v>
      </c>
      <c r="E50" s="898">
        <f>'Cost Allocation - Tier 1'!E50</f>
        <v>110758</v>
      </c>
      <c r="F50" s="898"/>
      <c r="G50" s="898"/>
      <c r="H50" s="899"/>
      <c r="I50" s="900">
        <f>SUM(J50:BB50)</f>
        <v>110758</v>
      </c>
      <c r="J50" s="901">
        <f>'Cost Allocation - Tier 1'!J50</f>
        <v>0</v>
      </c>
      <c r="K50" s="901">
        <f>'Cost Allocation - Tier 1'!K50</f>
        <v>0</v>
      </c>
      <c r="L50" s="901">
        <f>'Cost Allocation - Tier 1'!L50</f>
        <v>0</v>
      </c>
      <c r="M50" s="901">
        <f>'Cost Allocation - Tier 1'!M50</f>
        <v>0</v>
      </c>
      <c r="N50" s="901">
        <f>'Cost Allocation - Tier 1'!N50</f>
        <v>0</v>
      </c>
      <c r="O50" s="901">
        <f>'Cost Allocation - Tier 1'!O50</f>
        <v>0</v>
      </c>
      <c r="P50" s="901">
        <f>'Cost Allocation - Tier 1'!P50</f>
        <v>0</v>
      </c>
      <c r="Q50" s="901">
        <f>'Cost Allocation - Tier 1'!Q50</f>
        <v>0</v>
      </c>
      <c r="R50" s="901">
        <f>'Cost Allocation - Tier 1'!R50</f>
        <v>0</v>
      </c>
      <c r="S50" s="901">
        <f>'Cost Allocation - Tier 1'!S50</f>
        <v>0</v>
      </c>
      <c r="T50" s="901">
        <f>'Cost Allocation - Tier 1'!T50</f>
        <v>0</v>
      </c>
      <c r="U50" s="901">
        <f>'Cost Allocation - Tier 1'!U50</f>
        <v>0</v>
      </c>
      <c r="V50" s="901">
        <f>'Cost Allocation - Tier 1'!V50</f>
        <v>0</v>
      </c>
      <c r="W50" s="901">
        <f>'Cost Allocation - Tier 1'!W50</f>
        <v>0</v>
      </c>
      <c r="X50" s="901">
        <f>'Cost Allocation - Tier 1'!X50</f>
        <v>0</v>
      </c>
      <c r="Y50" s="901">
        <f>'Cost Allocation - Tier 1'!Y50</f>
        <v>0</v>
      </c>
      <c r="Z50" s="901">
        <f>'Cost Allocation - Tier 1'!Z50</f>
        <v>0</v>
      </c>
      <c r="AA50" s="901">
        <f>'Cost Allocation - Tier 1'!AA50</f>
        <v>0</v>
      </c>
      <c r="AB50" s="901">
        <f>'Cost Allocation - Tier 1'!AB50</f>
        <v>0</v>
      </c>
      <c r="AC50" s="901">
        <f>'Cost Allocation - Tier 1'!AC50</f>
        <v>0</v>
      </c>
      <c r="AD50" s="901">
        <f>'Cost Allocation - Tier 1'!AD50</f>
        <v>0</v>
      </c>
      <c r="AE50" s="901">
        <f>'Cost Allocation - Tier 1'!AE50</f>
        <v>0</v>
      </c>
      <c r="AF50" s="901">
        <f>'Cost Allocation - Tier 1'!AF50</f>
        <v>0</v>
      </c>
      <c r="AG50" s="901">
        <f>'Cost Allocation - Tier 1'!AG50</f>
        <v>0</v>
      </c>
      <c r="AH50" s="901">
        <f>'Cost Allocation - Tier 1'!AH50</f>
        <v>0</v>
      </c>
      <c r="AI50" s="901">
        <f>'Cost Allocation - Tier 1'!AI50</f>
        <v>0</v>
      </c>
      <c r="AJ50" s="901">
        <f>'Cost Allocation - Tier 1'!AJ50</f>
        <v>0</v>
      </c>
      <c r="AK50" s="901">
        <f>'Cost Allocation - Tier 1'!AK50</f>
        <v>0</v>
      </c>
      <c r="AL50" s="901">
        <f>'Cost Allocation - Tier 1'!AL50</f>
        <v>0</v>
      </c>
      <c r="AM50" s="901">
        <f>'Cost Allocation - Tier 1'!AM50</f>
        <v>0</v>
      </c>
      <c r="AN50" s="901">
        <f>'Cost Allocation - Tier 1'!AN50</f>
        <v>0</v>
      </c>
      <c r="AO50" s="901">
        <f>'Cost Allocation - Tier 1'!AO50</f>
        <v>0</v>
      </c>
      <c r="AP50" s="901">
        <f>'Cost Allocation - Tier 1'!AP50</f>
        <v>0</v>
      </c>
      <c r="AQ50" s="901">
        <f>'Cost Allocation - Tier 1'!AQ50</f>
        <v>0</v>
      </c>
      <c r="AR50" s="901">
        <f>'Cost Allocation - Tier 1'!AR50</f>
        <v>0</v>
      </c>
      <c r="AS50" s="901">
        <f>'Cost Allocation - Tier 1'!AS50</f>
        <v>0</v>
      </c>
      <c r="AT50" s="901">
        <f>'Cost Allocation - Tier 1'!AT50</f>
        <v>0</v>
      </c>
      <c r="AU50" s="901">
        <f>'Cost Allocation - Tier 1'!AU50</f>
        <v>0</v>
      </c>
      <c r="AV50" s="901">
        <f>'Cost Allocation - Tier 1'!AV50</f>
        <v>0</v>
      </c>
      <c r="AW50" s="901">
        <f>'Cost Allocation - Tier 1'!AW50</f>
        <v>0</v>
      </c>
      <c r="AX50" s="901">
        <f>'Cost Allocation - Tier 1'!AX50</f>
        <v>0</v>
      </c>
      <c r="AY50" s="901">
        <f>'Cost Allocation - Tier 1'!AY50</f>
        <v>28402.423647378499</v>
      </c>
      <c r="AZ50" s="901">
        <f>'Cost Allocation - Tier 1'!AZ50</f>
        <v>1159.6842519688196</v>
      </c>
      <c r="BA50" s="901">
        <f>'Cost Allocation - Tier 1'!BA50</f>
        <v>17804.148565767387</v>
      </c>
      <c r="BB50" s="901">
        <f>'Cost Allocation - Tier 1'!BB50</f>
        <v>63391.743534885296</v>
      </c>
      <c r="BC50" s="902">
        <f>'Cost Allocation - Tier 1'!BC50</f>
        <v>0</v>
      </c>
      <c r="BD50" s="901">
        <f>($BC$50-$BK$50)*(VLOOKUP('Cost Allocation - Tier 2'!BD2,'RU Composites'!$B$5:$L$12,11,FALSE))</f>
        <v>0</v>
      </c>
      <c r="BE50" s="901">
        <f>($BC$50-$BK$50)*(VLOOKUP('Cost Allocation - Tier 2'!BE2,'RU Composites'!$B$5:$L$12,11,FALSE))</f>
        <v>0</v>
      </c>
      <c r="BF50" s="901">
        <f>($BC$50-$BK$50)*(VLOOKUP('Cost Allocation - Tier 2'!BF2,'RU Composites'!$B$5:$L$12,11,FALSE))</f>
        <v>0</v>
      </c>
      <c r="BG50" s="901">
        <f>($BC$50-$BK$50)*(VLOOKUP('Cost Allocation - Tier 2'!BG2,'RU Composites'!$B$5:$L$12,11,FALSE))</f>
        <v>0</v>
      </c>
      <c r="BH50" s="901">
        <f>($BC$50-$BK$50)*(VLOOKUP('Cost Allocation - Tier 2'!BH2,'RU Composites'!$B$5:$L$12,11,FALSE))</f>
        <v>0</v>
      </c>
      <c r="BI50" s="901">
        <f>($BC$50-$BK$50)*(VLOOKUP('Cost Allocation - Tier 2'!BI2,'RU Composites'!$B$5:$L$12,11,FALSE))</f>
        <v>0</v>
      </c>
      <c r="BJ50" s="901">
        <f>($BC$50-$BK$50)*(VLOOKUP('Cost Allocation - Tier 2'!BJ2,'RU Composites'!$B$5:$L$12,11,FALSE))</f>
        <v>0</v>
      </c>
      <c r="BK50" s="903">
        <f>'Cost Allocation - Tier 1'!BK50</f>
        <v>0</v>
      </c>
      <c r="BL50" s="904">
        <f>BC50+I50+H50</f>
        <v>110758</v>
      </c>
      <c r="BM50" s="904">
        <f>BL50-E50</f>
        <v>0</v>
      </c>
      <c r="BN50" s="720">
        <f t="shared" ref="BN50" si="23">SUM(BD50:BK50)-BC50</f>
        <v>0</v>
      </c>
      <c r="BO50" s="905"/>
      <c r="BP50" s="905"/>
      <c r="BQ50" s="905"/>
      <c r="BR50" s="905"/>
      <c r="BS50" s="905"/>
    </row>
    <row r="51" spans="1:71" s="721" customFormat="1" x14ac:dyDescent="0.25">
      <c r="A51" s="714"/>
      <c r="B51" s="670"/>
      <c r="C51" s="670"/>
      <c r="D51" s="782"/>
      <c r="E51" s="782"/>
      <c r="F51" s="782"/>
      <c r="G51" s="782"/>
      <c r="I51" s="718"/>
      <c r="J51" s="715"/>
      <c r="K51" s="715"/>
      <c r="L51" s="715"/>
      <c r="M51" s="715"/>
      <c r="N51" s="715"/>
      <c r="O51" s="715"/>
      <c r="P51" s="715"/>
      <c r="Q51" s="715"/>
      <c r="R51" s="715"/>
      <c r="S51" s="715"/>
      <c r="T51" s="715"/>
      <c r="U51" s="715"/>
      <c r="V51" s="715"/>
      <c r="W51" s="715"/>
      <c r="X51" s="715"/>
      <c r="Y51" s="715"/>
      <c r="Z51" s="715"/>
      <c r="AA51" s="715"/>
      <c r="AB51" s="715"/>
      <c r="AC51" s="715"/>
      <c r="AD51" s="715"/>
      <c r="AE51" s="715"/>
      <c r="AF51" s="715"/>
      <c r="AG51" s="715"/>
      <c r="AH51" s="715"/>
      <c r="AI51" s="715"/>
      <c r="AJ51" s="715"/>
      <c r="AK51" s="715"/>
      <c r="AL51" s="715"/>
      <c r="AM51" s="715"/>
      <c r="AN51" s="715"/>
      <c r="AO51" s="715"/>
      <c r="AP51" s="715"/>
      <c r="AQ51" s="715"/>
      <c r="AR51" s="715"/>
      <c r="AS51" s="715"/>
      <c r="AT51" s="715"/>
      <c r="AU51" s="715"/>
      <c r="AV51" s="715"/>
      <c r="AW51" s="715"/>
      <c r="AX51" s="715"/>
      <c r="AY51" s="715"/>
      <c r="AZ51" s="715"/>
      <c r="BA51" s="715"/>
      <c r="BB51" s="715"/>
      <c r="BC51" s="906"/>
      <c r="BD51" s="907"/>
      <c r="BE51" s="907"/>
      <c r="BF51" s="907"/>
      <c r="BG51" s="907"/>
      <c r="BH51" s="907"/>
      <c r="BI51" s="907"/>
      <c r="BJ51" s="907"/>
      <c r="BK51" s="907"/>
      <c r="BL51" s="720"/>
      <c r="BM51" s="720"/>
      <c r="BN51" s="720"/>
      <c r="BO51" s="905"/>
      <c r="BP51" s="905"/>
      <c r="BQ51" s="905"/>
      <c r="BR51" s="905"/>
      <c r="BS51" s="905"/>
    </row>
    <row r="52" spans="1:71" s="730" customFormat="1" x14ac:dyDescent="0.25">
      <c r="A52" s="725" t="str">
        <f>'Cost Allocation - Tier 1'!A52</f>
        <v>Non-Corporate Cost Allocation (no mark up)</v>
      </c>
      <c r="B52" s="726"/>
      <c r="C52" s="726"/>
      <c r="D52" s="728">
        <f t="shared" ref="D52:AK52" si="24">D50+SUM(D45:D48)+D41+D43</f>
        <v>6604589.4215844451</v>
      </c>
      <c r="E52" s="728">
        <f t="shared" si="24"/>
        <v>4977720.8998774858</v>
      </c>
      <c r="F52" s="728"/>
      <c r="G52" s="728"/>
      <c r="H52" s="728">
        <f t="shared" si="24"/>
        <v>0</v>
      </c>
      <c r="I52" s="728">
        <f t="shared" si="24"/>
        <v>4977720.8998774877</v>
      </c>
      <c r="J52" s="728">
        <f t="shared" si="24"/>
        <v>81300.856777202687</v>
      </c>
      <c r="K52" s="728">
        <f t="shared" si="24"/>
        <v>20799.32726837372</v>
      </c>
      <c r="L52" s="728">
        <f t="shared" si="24"/>
        <v>19879.217996145064</v>
      </c>
      <c r="M52" s="728">
        <f t="shared" si="24"/>
        <v>27595.333914833111</v>
      </c>
      <c r="N52" s="728">
        <f t="shared" si="24"/>
        <v>37632.846152038161</v>
      </c>
      <c r="O52" s="728">
        <f t="shared" si="24"/>
        <v>108448.17251728002</v>
      </c>
      <c r="P52" s="728">
        <f t="shared" si="24"/>
        <v>13761.122112111461</v>
      </c>
      <c r="Q52" s="728">
        <f t="shared" si="24"/>
        <v>38854.184095497105</v>
      </c>
      <c r="R52" s="728">
        <f t="shared" si="24"/>
        <v>33888.495035708023</v>
      </c>
      <c r="S52" s="728">
        <f t="shared" si="24"/>
        <v>34309.058756002152</v>
      </c>
      <c r="T52" s="728">
        <f t="shared" si="24"/>
        <v>127814.11712906617</v>
      </c>
      <c r="U52" s="728">
        <f t="shared" si="24"/>
        <v>100917.14353909438</v>
      </c>
      <c r="V52" s="728">
        <f t="shared" si="24"/>
        <v>52890.985313256882</v>
      </c>
      <c r="W52" s="728">
        <f t="shared" si="24"/>
        <v>86746.427642976356</v>
      </c>
      <c r="X52" s="728">
        <f t="shared" si="24"/>
        <v>2999.9442323731423</v>
      </c>
      <c r="Y52" s="728">
        <f t="shared" si="24"/>
        <v>2112.767092493079</v>
      </c>
      <c r="Z52" s="728">
        <f t="shared" si="24"/>
        <v>8800.5926075242205</v>
      </c>
      <c r="AA52" s="728">
        <f t="shared" si="24"/>
        <v>7717.9176133171513</v>
      </c>
      <c r="AB52" s="728">
        <f t="shared" si="24"/>
        <v>4476.1290530659617</v>
      </c>
      <c r="AC52" s="728">
        <f t="shared" si="24"/>
        <v>5665.6939513502102</v>
      </c>
      <c r="AD52" s="728">
        <f t="shared" si="24"/>
        <v>39681.456842529362</v>
      </c>
      <c r="AE52" s="728">
        <f t="shared" si="24"/>
        <v>14380.704146002638</v>
      </c>
      <c r="AF52" s="728">
        <f t="shared" si="24"/>
        <v>89796.872406052018</v>
      </c>
      <c r="AG52" s="728">
        <f t="shared" si="24"/>
        <v>59750.171555311215</v>
      </c>
      <c r="AH52" s="728">
        <f t="shared" si="24"/>
        <v>773771.31516287581</v>
      </c>
      <c r="AI52" s="728">
        <f t="shared" si="24"/>
        <v>7708.7356953727813</v>
      </c>
      <c r="AJ52" s="728">
        <f t="shared" si="24"/>
        <v>348822.67321105342</v>
      </c>
      <c r="AK52" s="728">
        <f t="shared" si="24"/>
        <v>296177.92429943022</v>
      </c>
      <c r="AL52" s="728">
        <f t="shared" ref="AL52:BC52" si="25">AL50+SUM(AL45:AL48)+AL41+AL43</f>
        <v>0</v>
      </c>
      <c r="AM52" s="728">
        <f t="shared" si="25"/>
        <v>11692.910161120511</v>
      </c>
      <c r="AN52" s="728">
        <f t="shared" si="25"/>
        <v>57647.017161471464</v>
      </c>
      <c r="AO52" s="728">
        <f t="shared" si="25"/>
        <v>361664.1062964006</v>
      </c>
      <c r="AP52" s="728">
        <f t="shared" si="25"/>
        <v>54091.625558464941</v>
      </c>
      <c r="AQ52" s="728">
        <f t="shared" si="25"/>
        <v>72827.616804762059</v>
      </c>
      <c r="AR52" s="728">
        <f t="shared" si="25"/>
        <v>278.94064648500529</v>
      </c>
      <c r="AS52" s="728">
        <f t="shared" si="25"/>
        <v>108286.98654382078</v>
      </c>
      <c r="AT52" s="728">
        <f t="shared" si="25"/>
        <v>87712.450041519711</v>
      </c>
      <c r="AU52" s="728">
        <f t="shared" si="25"/>
        <v>130340.59852578041</v>
      </c>
      <c r="AV52" s="728">
        <f t="shared" si="25"/>
        <v>177548.09333150406</v>
      </c>
      <c r="AW52" s="728">
        <f t="shared" si="25"/>
        <v>460431.06767432595</v>
      </c>
      <c r="AX52" s="728">
        <f t="shared" si="25"/>
        <v>5917.405266947886</v>
      </c>
      <c r="AY52" s="728">
        <f t="shared" si="25"/>
        <v>259802.43214420747</v>
      </c>
      <c r="AZ52" s="728">
        <f t="shared" si="25"/>
        <v>8807.1112389622995</v>
      </c>
      <c r="BA52" s="728">
        <f t="shared" si="25"/>
        <v>151662.77730131656</v>
      </c>
      <c r="BB52" s="728">
        <f t="shared" si="25"/>
        <v>582309.57506206096</v>
      </c>
      <c r="BC52" s="728">
        <f t="shared" si="25"/>
        <v>0</v>
      </c>
      <c r="BD52" s="728">
        <f>BD50+BD48+BD47+BD46+BD45+BD43+BD41</f>
        <v>0</v>
      </c>
      <c r="BE52" s="728">
        <f t="shared" ref="BE52:BK52" si="26">BE50+BE48+BE47+BE46+BE45+BE43+BE41</f>
        <v>0</v>
      </c>
      <c r="BF52" s="728">
        <f t="shared" si="26"/>
        <v>0</v>
      </c>
      <c r="BG52" s="728">
        <f t="shared" si="26"/>
        <v>0</v>
      </c>
      <c r="BH52" s="728">
        <f t="shared" si="26"/>
        <v>0</v>
      </c>
      <c r="BI52" s="728">
        <f t="shared" si="26"/>
        <v>0</v>
      </c>
      <c r="BJ52" s="728">
        <f t="shared" si="26"/>
        <v>0</v>
      </c>
      <c r="BK52" s="728">
        <f t="shared" si="26"/>
        <v>0</v>
      </c>
      <c r="BL52" s="728">
        <f>BL50+SUM(BL45:BL48)+BL41+BL43</f>
        <v>4977720.8998774877</v>
      </c>
      <c r="BM52" s="908">
        <f>BL52-E52</f>
        <v>0</v>
      </c>
      <c r="BO52" s="20"/>
      <c r="BP52" s="894">
        <f>SUM(J52:AE52)+AH52+AI52+AM52+AQ52+AR52+AS52+AT52+AU52+AV52++AW52+AX52</f>
        <v>2707188.6136427564</v>
      </c>
      <c r="BQ52" s="894">
        <f>AF52+AG52+AJ52+AK52+AL52+AN52+AO52+AP52</f>
        <v>1267950.3904881838</v>
      </c>
      <c r="BR52" s="894">
        <f>SUM(AY51:BB52)</f>
        <v>1002581.8957465473</v>
      </c>
      <c r="BS52" s="894">
        <f>BR52+BQ52+BP52-I52</f>
        <v>0</v>
      </c>
    </row>
    <row r="53" spans="1:71" x14ac:dyDescent="0.25">
      <c r="D53" s="895"/>
      <c r="E53" s="895"/>
      <c r="F53" s="895"/>
      <c r="G53" s="895"/>
      <c r="BD53" s="73"/>
      <c r="BE53" s="73"/>
      <c r="BF53" s="73"/>
      <c r="BG53" s="73"/>
      <c r="BH53" s="73"/>
      <c r="BI53" s="73"/>
      <c r="BJ53" s="73"/>
      <c r="BK53" s="73"/>
      <c r="BL53" s="80"/>
      <c r="BM53" s="76"/>
      <c r="BO53" s="20"/>
      <c r="BP53" s="20"/>
      <c r="BQ53" s="20"/>
      <c r="BR53" s="20"/>
      <c r="BS53" s="20"/>
    </row>
    <row r="54" spans="1:71" x14ac:dyDescent="0.25">
      <c r="A54" s="1" t="str">
        <f>'Cost Allocation - Tier 1'!A54</f>
        <v>Shared Services</v>
      </c>
      <c r="D54" s="895"/>
      <c r="E54" s="895"/>
      <c r="F54" s="895"/>
      <c r="G54" s="895"/>
      <c r="BD54" s="73"/>
      <c r="BE54" s="73"/>
      <c r="BF54" s="73"/>
      <c r="BG54" s="73"/>
      <c r="BH54" s="73"/>
      <c r="BI54" s="73"/>
      <c r="BJ54" s="73"/>
      <c r="BK54" s="73"/>
      <c r="BL54" s="80"/>
      <c r="BM54" s="76"/>
      <c r="BO54" s="20"/>
      <c r="BP54" s="20"/>
      <c r="BQ54" s="20"/>
      <c r="BR54" s="20"/>
      <c r="BS54" s="20"/>
    </row>
    <row r="55" spans="1:71" x14ac:dyDescent="0.25">
      <c r="A55" s="177" t="str">
        <f>'Cost Allocation - Tier 1'!A55</f>
        <v>8025 -Finance SS</v>
      </c>
      <c r="B55" s="3" t="str">
        <f>'Cost Allocation - Tier 1'!B55</f>
        <v>CDN CONTRACT</v>
      </c>
      <c r="D55" s="664">
        <f>'Cost Allocation - Tier 1'!D55</f>
        <v>364587</v>
      </c>
      <c r="E55" s="664">
        <f>'Cost Allocation - Tier 1'!E55</f>
        <v>274780.49184899346</v>
      </c>
      <c r="F55" s="664"/>
      <c r="G55" s="664"/>
      <c r="I55" s="694">
        <f t="shared" si="21"/>
        <v>274780.49184899352</v>
      </c>
      <c r="J55" s="81">
        <f>'Cost Allocation - Tier 1'!J55</f>
        <v>7063.9757214580968</v>
      </c>
      <c r="K55" s="81">
        <f>'Cost Allocation - Tier 1'!K55</f>
        <v>1799.7558067258533</v>
      </c>
      <c r="L55" s="81">
        <f>'Cost Allocation - Tier 1'!L55</f>
        <v>1715.0459841489537</v>
      </c>
      <c r="M55" s="81">
        <f>'Cost Allocation - Tier 1'!M55</f>
        <v>2405.2565361228926</v>
      </c>
      <c r="N55" s="81">
        <f>'Cost Allocation - Tier 1'!N55</f>
        <v>3259.1797441466319</v>
      </c>
      <c r="O55" s="81">
        <f>'Cost Allocation - Tier 1'!O55</f>
        <v>9482.6806813888979</v>
      </c>
      <c r="P55" s="81">
        <f>'Cost Allocation - Tier 1'!P55</f>
        <v>1204.9530037592542</v>
      </c>
      <c r="Q55" s="81">
        <f>'Cost Allocation - Tier 1'!Q55</f>
        <v>3408.1977649548376</v>
      </c>
      <c r="R55" s="81">
        <f>'Cost Allocation - Tier 1'!R55</f>
        <v>2974.1574237012182</v>
      </c>
      <c r="S55" s="81">
        <f>'Cost Allocation - Tier 1'!S55</f>
        <v>3009.7929227788618</v>
      </c>
      <c r="T55" s="81">
        <f>'Cost Allocation - Tier 1'!T55</f>
        <v>11220.883803006085</v>
      </c>
      <c r="U55" s="81">
        <f>'Cost Allocation - Tier 1'!U55</f>
        <v>8857.0186192032306</v>
      </c>
      <c r="V55" s="81">
        <f>'Cost Allocation - Tier 1'!V55</f>
        <v>4527.0402321086067</v>
      </c>
      <c r="W55" s="81">
        <f>'Cost Allocation - Tier 1'!W55</f>
        <v>7428.2106043001413</v>
      </c>
      <c r="X55" s="81">
        <f>'Cost Allocation - Tier 1'!X55</f>
        <v>263.78071419380257</v>
      </c>
      <c r="Y55" s="81">
        <f>'Cost Allocation - Tier 1'!Y55</f>
        <v>185.27684408789528</v>
      </c>
      <c r="Z55" s="81">
        <f>'Cost Allocation - Tier 1'!Z55</f>
        <v>768.66091135325144</v>
      </c>
      <c r="AA55" s="81">
        <f>'Cost Allocation - Tier 1'!AA55</f>
        <v>673.26888809575291</v>
      </c>
      <c r="AB55" s="81">
        <f>'Cost Allocation - Tier 1'!AB55</f>
        <v>390.03027020005851</v>
      </c>
      <c r="AC55" s="81">
        <f>'Cost Allocation - Tier 1'!AC55</f>
        <v>496.67158952440104</v>
      </c>
      <c r="AD55" s="81">
        <f>'Cost Allocation - Tier 1'!AD55</f>
        <v>3495.3234273992307</v>
      </c>
      <c r="AE55" s="81">
        <f>'Cost Allocation - Tier 1'!AE55</f>
        <v>1263.9574107871383</v>
      </c>
      <c r="AF55" s="81">
        <f>'Cost Allocation - Tier 1'!AF55</f>
        <v>2531.415110389848</v>
      </c>
      <c r="AG55" s="81">
        <f>'Cost Allocation - Tier 1'!AG55</f>
        <v>4891.5808796987039</v>
      </c>
      <c r="AH55" s="81">
        <f>'Cost Allocation - Tier 1'!AH55</f>
        <v>67456.590477468912</v>
      </c>
      <c r="AI55" s="81">
        <f>'Cost Allocation - Tier 1'!AI55</f>
        <v>679.72548530618758</v>
      </c>
      <c r="AJ55" s="81">
        <f>'Cost Allocation - Tier 1'!AJ55</f>
        <v>11833.408207126258</v>
      </c>
      <c r="AK55" s="81">
        <f>'Cost Allocation - Tier 1'!AK55</f>
        <v>9452.415262034543</v>
      </c>
      <c r="AL55" s="81">
        <f>'Cost Allocation - Tier 1'!AL55</f>
        <v>0</v>
      </c>
      <c r="AM55" s="81">
        <f>'Cost Allocation - Tier 1'!AM55</f>
        <v>1021.7142127446492</v>
      </c>
      <c r="AN55" s="81">
        <f>'Cost Allocation - Tier 1'!AN55</f>
        <v>1288.0325354901038</v>
      </c>
      <c r="AO55" s="81">
        <f>'Cost Allocation - Tier 1'!AO55</f>
        <v>11789.834099448437</v>
      </c>
      <c r="AP55" s="81">
        <f>'Cost Allocation - Tier 1'!AP55</f>
        <v>1653.9698358711155</v>
      </c>
      <c r="AQ55" s="81">
        <f>'Cost Allocation - Tier 1'!AQ55</f>
        <v>5991.7402386882159</v>
      </c>
      <c r="AR55" s="81">
        <f>'Cost Allocation - Tier 1'!AR55</f>
        <v>24.233878709498253</v>
      </c>
      <c r="AS55" s="81">
        <f>'Cost Allocation - Tier 1'!AS55</f>
        <v>8928.8666609269858</v>
      </c>
      <c r="AT55" s="81">
        <f>'Cost Allocation - Tier 1'!AT55</f>
        <v>7188.7791263458084</v>
      </c>
      <c r="AU55" s="81">
        <f>'Cost Allocation - Tier 1'!AU55</f>
        <v>10839.625979804574</v>
      </c>
      <c r="AV55" s="81">
        <f>'Cost Allocation - Tier 1'!AV55</f>
        <v>14665.541059351994</v>
      </c>
      <c r="AW55" s="81">
        <f>'Cost Allocation - Tier 1'!AW55</f>
        <v>38135.806007994019</v>
      </c>
      <c r="AX55" s="81">
        <f>'Cost Allocation - Tier 1'!AX55</f>
        <v>514.09388814860245</v>
      </c>
      <c r="AY55" s="177">
        <f>'Cost Allocation - Tier 1'!AY55</f>
        <v>0</v>
      </c>
      <c r="AZ55" s="177">
        <f>'Cost Allocation - Tier 1'!AZ55</f>
        <v>0</v>
      </c>
      <c r="BA55" s="177">
        <f>'Cost Allocation - Tier 1'!BA55</f>
        <v>0</v>
      </c>
      <c r="BB55" s="177">
        <f>'Cost Allocation - Tier 1'!BB55</f>
        <v>0</v>
      </c>
      <c r="BC55" s="666">
        <f t="shared" ref="BC55:BC57" si="27">SUM(BD55:BK55)</f>
        <v>0</v>
      </c>
      <c r="BD55" s="73">
        <f>'Cost Allocation - Tier 1'!BD55</f>
        <v>0</v>
      </c>
      <c r="BE55" s="73">
        <f>'Cost Allocation - Tier 1'!BE55</f>
        <v>0</v>
      </c>
      <c r="BF55" s="73">
        <f>'Cost Allocation - Tier 1'!BF55</f>
        <v>0</v>
      </c>
      <c r="BG55" s="73">
        <f>'Cost Allocation - Tier 1'!BG55</f>
        <v>0</v>
      </c>
      <c r="BH55" s="73">
        <f>'Cost Allocation - Tier 1'!BH55</f>
        <v>0</v>
      </c>
      <c r="BI55" s="73">
        <f>'Cost Allocation - Tier 1'!BI55</f>
        <v>0</v>
      </c>
      <c r="BJ55" s="73">
        <f>'Cost Allocation - Tier 1'!BJ55</f>
        <v>0</v>
      </c>
      <c r="BK55" s="73">
        <f>'Cost Allocation - Tier 1'!BK55</f>
        <v>0</v>
      </c>
      <c r="BL55" s="76">
        <f>BC55+I55+H55</f>
        <v>274780.49184899352</v>
      </c>
      <c r="BM55" s="76">
        <f>BL55-E55</f>
        <v>0</v>
      </c>
      <c r="BO55" s="20"/>
      <c r="BP55" s="20"/>
      <c r="BQ55" s="20"/>
      <c r="BR55" s="20"/>
      <c r="BS55" s="20"/>
    </row>
    <row r="56" spans="1:71" x14ac:dyDescent="0.25">
      <c r="A56" s="69" t="str">
        <f>'Cost Allocation - Tier 1'!A56</f>
        <v>8033 - IT Support Service</v>
      </c>
      <c r="B56" s="27" t="str">
        <f>'Cost Allocation - Tier 1'!B56</f>
        <v>ALL CONTRACT</v>
      </c>
      <c r="C56" s="27"/>
      <c r="D56" s="664">
        <f>'Cost Allocation - Tier 1'!D56</f>
        <v>4460140</v>
      </c>
      <c r="E56" s="664">
        <f>'Cost Allocation - Tier 1'!E56</f>
        <v>3361500.7197606326</v>
      </c>
      <c r="F56" s="664"/>
      <c r="G56" s="664"/>
      <c r="I56" s="694">
        <f t="shared" si="21"/>
        <v>3361500.7197606331</v>
      </c>
      <c r="J56" s="73">
        <f>'Cost Allocation - Tier 1'!J56</f>
        <v>20910.915898796851</v>
      </c>
      <c r="K56" s="73">
        <f>'Cost Allocation - Tier 1'!K56</f>
        <v>6032.2798102764609</v>
      </c>
      <c r="L56" s="73">
        <f>'Cost Allocation - Tier 1'!L56</f>
        <v>6233.2031511796449</v>
      </c>
      <c r="M56" s="73">
        <f>'Cost Allocation - Tier 1'!M56</f>
        <v>6401.024990488695</v>
      </c>
      <c r="N56" s="73">
        <f>'Cost Allocation - Tier 1'!N56</f>
        <v>10654.686637735393</v>
      </c>
      <c r="O56" s="73">
        <f>'Cost Allocation - Tier 1'!O56</f>
        <v>25041.748000175045</v>
      </c>
      <c r="P56" s="73">
        <f>'Cost Allocation - Tier 1'!P56</f>
        <v>3053.5921283418133</v>
      </c>
      <c r="Q56" s="73">
        <f>'Cost Allocation - Tier 1'!Q56</f>
        <v>8176.8066475669439</v>
      </c>
      <c r="R56" s="73">
        <f>'Cost Allocation - Tier 1'!R56</f>
        <v>7018.5288361657995</v>
      </c>
      <c r="S56" s="73">
        <f>'Cost Allocation - Tier 1'!S56</f>
        <v>7199.4642925876042</v>
      </c>
      <c r="T56" s="73">
        <f>'Cost Allocation - Tier 1'!T56</f>
        <v>26211.381034470902</v>
      </c>
      <c r="U56" s="73">
        <f>'Cost Allocation - Tier 1'!U56</f>
        <v>20884.175335098538</v>
      </c>
      <c r="V56" s="73">
        <f>'Cost Allocation - Tier 1'!V56</f>
        <v>16310.021381329418</v>
      </c>
      <c r="W56" s="73">
        <f>'Cost Allocation - Tier 1'!W56</f>
        <v>26304.119686837483</v>
      </c>
      <c r="X56" s="73">
        <f>'Cost Allocation - Tier 1'!X56</f>
        <v>637.4826530568597</v>
      </c>
      <c r="Y56" s="73">
        <f>'Cost Allocation - Tier 1'!Y56</f>
        <v>492.62029791906673</v>
      </c>
      <c r="Z56" s="73">
        <f>'Cost Allocation - Tier 1'!Z56</f>
        <v>2324.8260549857523</v>
      </c>
      <c r="AA56" s="73">
        <f>'Cost Allocation - Tier 1'!AA56</f>
        <v>2111.847112218421</v>
      </c>
      <c r="AB56" s="73">
        <f>'Cost Allocation - Tier 1'!AB56</f>
        <v>1263.7962789518335</v>
      </c>
      <c r="AC56" s="73">
        <f>'Cost Allocation - Tier 1'!AC56</f>
        <v>1336.4800823887574</v>
      </c>
      <c r="AD56" s="73">
        <f>'Cost Allocation - Tier 1'!AD56</f>
        <v>7886.9224553849772</v>
      </c>
      <c r="AE56" s="73">
        <f>'Cost Allocation - Tier 1'!AE56</f>
        <v>3101.4034033628568</v>
      </c>
      <c r="AF56" s="73">
        <f>'Cost Allocation - Tier 1'!AF56</f>
        <v>8149.40502996962</v>
      </c>
      <c r="AG56" s="73">
        <f>'Cost Allocation - Tier 1'!AG56</f>
        <v>26392.86696761669</v>
      </c>
      <c r="AH56" s="73">
        <f>'Cost Allocation - Tier 1'!AH56</f>
        <v>200974.63364223213</v>
      </c>
      <c r="AI56" s="73">
        <f>'Cost Allocation - Tier 1'!AI56</f>
        <v>1470.0630138647773</v>
      </c>
      <c r="AJ56" s="73">
        <f>'Cost Allocation - Tier 1'!AJ56</f>
        <v>31514.910759184404</v>
      </c>
      <c r="AK56" s="73">
        <f>'Cost Allocation - Tier 1'!AK56</f>
        <v>26800.912316797589</v>
      </c>
      <c r="AL56" s="73">
        <f>'Cost Allocation - Tier 1'!AL56</f>
        <v>0</v>
      </c>
      <c r="AM56" s="73">
        <f>'Cost Allocation - Tier 1'!AM56</f>
        <v>3050.7717144811772</v>
      </c>
      <c r="AN56" s="73">
        <f>'Cost Allocation - Tier 1'!AN56</f>
        <v>5255.6272469352625</v>
      </c>
      <c r="AO56" s="73">
        <f>'Cost Allocation - Tier 1'!AO56</f>
        <v>32709.12917064708</v>
      </c>
      <c r="AP56" s="73">
        <f>'Cost Allocation - Tier 1'!AP56</f>
        <v>4899.848528086186</v>
      </c>
      <c r="AQ56" s="73">
        <f>'Cost Allocation - Tier 1'!AQ56</f>
        <v>31402.951457560252</v>
      </c>
      <c r="AR56" s="73">
        <f>'Cost Allocation - Tier 1'!AR56</f>
        <v>85.079700701768743</v>
      </c>
      <c r="AS56" s="73">
        <f>'Cost Allocation - Tier 1'!AS56</f>
        <v>46137.576259763984</v>
      </c>
      <c r="AT56" s="73">
        <f>'Cost Allocation - Tier 1'!AT56</f>
        <v>38595.229801590831</v>
      </c>
      <c r="AU56" s="73">
        <f>'Cost Allocation - Tier 1'!AU56</f>
        <v>52871.434601746354</v>
      </c>
      <c r="AV56" s="73">
        <f>'Cost Allocation - Tier 1'!AV56</f>
        <v>74987.045630534267</v>
      </c>
      <c r="AW56" s="73">
        <f>'Cost Allocation - Tier 1'!AW56</f>
        <v>191372.77381523352</v>
      </c>
      <c r="AX56" s="73">
        <f>'Cost Allocation - Tier 1'!AX56</f>
        <v>1804.8680799557103</v>
      </c>
      <c r="AY56" s="73">
        <f>'Cost Allocation - Tier 1'!AY56</f>
        <v>615831.93442654109</v>
      </c>
      <c r="AZ56" s="73">
        <f>'Cost Allocation - Tier 1'!AZ56</f>
        <v>20352.331814415069</v>
      </c>
      <c r="BA56" s="73">
        <f>'Cost Allocation - Tier 1'!BA56</f>
        <v>356242.07107592683</v>
      </c>
      <c r="BB56" s="73">
        <f>'Cost Allocation - Tier 1'!BB56</f>
        <v>1381011.9285375294</v>
      </c>
      <c r="BC56" s="666">
        <f t="shared" si="27"/>
        <v>0</v>
      </c>
      <c r="BD56" s="73">
        <f>'Cost Allocation - Tier 1'!BD56</f>
        <v>0</v>
      </c>
      <c r="BE56" s="73">
        <f>'Cost Allocation - Tier 1'!BE56</f>
        <v>0</v>
      </c>
      <c r="BF56" s="73">
        <f>'Cost Allocation - Tier 1'!BF56</f>
        <v>0</v>
      </c>
      <c r="BG56" s="73">
        <f>'Cost Allocation - Tier 1'!BG56</f>
        <v>0</v>
      </c>
      <c r="BH56" s="73">
        <f>'Cost Allocation - Tier 1'!BH56</f>
        <v>0</v>
      </c>
      <c r="BI56" s="73">
        <f>'Cost Allocation - Tier 1'!BI56</f>
        <v>0</v>
      </c>
      <c r="BJ56" s="73">
        <f>'Cost Allocation - Tier 1'!BJ56</f>
        <v>0</v>
      </c>
      <c r="BK56" s="73">
        <f>'Cost Allocation - Tier 1'!BK56</f>
        <v>0</v>
      </c>
      <c r="BL56" s="76">
        <f>BC56+I56+H56</f>
        <v>3361500.7197606331</v>
      </c>
      <c r="BM56" s="76">
        <f>BL56-E56</f>
        <v>0</v>
      </c>
      <c r="BO56" s="20"/>
      <c r="BP56" s="20"/>
      <c r="BQ56" s="20"/>
      <c r="BR56" s="20"/>
      <c r="BS56" s="20"/>
    </row>
    <row r="57" spans="1:71" s="721" customFormat="1" ht="30" x14ac:dyDescent="0.25">
      <c r="A57" s="721" t="str">
        <f>'Cost Allocation - Tier 1'!A57</f>
        <v>8045 - HR Shared Service</v>
      </c>
      <c r="B57" s="734" t="str">
        <f>'Cost Allocation - Tier 1'!B57</f>
        <v>HEADCOUNT IN CDN CONTRACT</v>
      </c>
      <c r="C57" s="734"/>
      <c r="D57" s="737">
        <f>'Cost Allocation - Tier 1'!D57</f>
        <v>293576</v>
      </c>
      <c r="E57" s="737">
        <f>'Cost Allocation - Tier 1'!E57</f>
        <v>221261.20151036681</v>
      </c>
      <c r="F57" s="737"/>
      <c r="G57" s="737"/>
      <c r="H57" s="741"/>
      <c r="I57" s="739">
        <f t="shared" si="21"/>
        <v>221261.20151036687</v>
      </c>
      <c r="J57" s="740">
        <f>'Cost Allocation - Tier 1'!J57</f>
        <v>2972.7249997507301</v>
      </c>
      <c r="K57" s="740">
        <f>'Cost Allocation - Tier 1'!K57</f>
        <v>742.22294577106948</v>
      </c>
      <c r="L57" s="740">
        <f>'Cost Allocation - Tier 1'!L57</f>
        <v>696.85239683427585</v>
      </c>
      <c r="M57" s="740">
        <f>'Cost Allocation - Tier 1'!M57</f>
        <v>1027.6787879401302</v>
      </c>
      <c r="N57" s="740">
        <f>'Cost Allocation - Tier 1'!N57</f>
        <v>1349.8861800134548</v>
      </c>
      <c r="O57" s="740">
        <f>'Cost Allocation - Tier 1'!O57</f>
        <v>2747.2950931021956</v>
      </c>
      <c r="P57" s="740">
        <f>'Cost Allocation - Tier 1'!P57</f>
        <v>336.97612958609375</v>
      </c>
      <c r="Q57" s="740">
        <f>'Cost Allocation - Tier 1'!Q57</f>
        <v>909.70298072749199</v>
      </c>
      <c r="R57" s="740">
        <f>'Cost Allocation - Tier 1'!R57</f>
        <v>782.81514956889839</v>
      </c>
      <c r="S57" s="740">
        <f>'Cost Allocation - Tier 1'!S57</f>
        <v>801.33291815485086</v>
      </c>
      <c r="T57" s="740">
        <f>'Cost Allocation - Tier 1'!T57</f>
        <v>2928.1031134325362</v>
      </c>
      <c r="U57" s="740">
        <f>'Cost Allocation - Tier 1'!U57</f>
        <v>2329.6181022431024</v>
      </c>
      <c r="V57" s="740">
        <f>'Cost Allocation - Tier 1'!V57</f>
        <v>3608.6957530751106</v>
      </c>
      <c r="W57" s="740">
        <f>'Cost Allocation - Tier 1'!W57</f>
        <v>5994.8944418066349</v>
      </c>
      <c r="X57" s="740">
        <f>'Cost Allocation - Tier 1'!X57</f>
        <v>38.750148125381692</v>
      </c>
      <c r="Y57" s="740">
        <f>'Cost Allocation - Tier 1'!Y57</f>
        <v>27.028911419153193</v>
      </c>
      <c r="Z57" s="740">
        <f>'Cost Allocation - Tier 1'!Z57</f>
        <v>110.95230486182959</v>
      </c>
      <c r="AA57" s="740">
        <f>'Cost Allocation - Tier 1'!AA57</f>
        <v>96.865054667658725</v>
      </c>
      <c r="AB57" s="740">
        <f>'Cost Allocation - Tier 1'!AB57</f>
        <v>55.944767249860703</v>
      </c>
      <c r="AC57" s="740">
        <f>'Cost Allocation - Tier 1'!AC57</f>
        <v>72.389425537592928</v>
      </c>
      <c r="AD57" s="740">
        <f>'Cost Allocation - Tier 1'!AD57</f>
        <v>515.83104749104007</v>
      </c>
      <c r="AE57" s="740">
        <f>'Cost Allocation - Tier 1'!AE57</f>
        <v>185.48211808209629</v>
      </c>
      <c r="AF57" s="740">
        <f>'Cost Allocation - Tier 1'!AF57</f>
        <v>1412.3716896341523</v>
      </c>
      <c r="AG57" s="740">
        <f>'Cost Allocation - Tier 1'!AG57</f>
        <v>9943.2537490068589</v>
      </c>
      <c r="AH57" s="740">
        <f>'Cost Allocation - Tier 1'!AH57</f>
        <v>17165.493077081628</v>
      </c>
      <c r="AI57" s="740">
        <f>'Cost Allocation - Tier 1'!AI57</f>
        <v>100.58019657843003</v>
      </c>
      <c r="AJ57" s="740">
        <f>'Cost Allocation - Tier 1'!AJ57</f>
        <v>5437.8052388127653</v>
      </c>
      <c r="AK57" s="740">
        <f>'Cost Allocation - Tier 1'!AK57</f>
        <v>4631.6032162159654</v>
      </c>
      <c r="AL57" s="740">
        <f>'Cost Allocation - Tier 1'!AL57</f>
        <v>0</v>
      </c>
      <c r="AM57" s="740">
        <f>'Cost Allocation - Tier 1'!AM57</f>
        <v>147.64515713816795</v>
      </c>
      <c r="AN57" s="740">
        <f>'Cost Allocation - Tier 1'!AN57</f>
        <v>914.90285375100257</v>
      </c>
      <c r="AO57" s="740">
        <f>'Cost Allocation - Tier 1'!AO57</f>
        <v>5649.6496789968542</v>
      </c>
      <c r="AP57" s="740">
        <f>'Cost Allocation - Tier 1'!AP57</f>
        <v>847.64004165359404</v>
      </c>
      <c r="AQ57" s="740">
        <f>'Cost Allocation - Tier 1'!AQ57</f>
        <v>11190.88760111685</v>
      </c>
      <c r="AR57" s="740">
        <f>'Cost Allocation - Tier 1'!AR57</f>
        <v>3.4484440318070679</v>
      </c>
      <c r="AS57" s="740">
        <f>'Cost Allocation - Tier 1'!AS57</f>
        <v>16039.608821898248</v>
      </c>
      <c r="AT57" s="740">
        <f>'Cost Allocation - Tier 1'!AT57</f>
        <v>14314.900034846605</v>
      </c>
      <c r="AU57" s="740">
        <f>'Cost Allocation - Tier 1'!AU57</f>
        <v>16542.228048739624</v>
      </c>
      <c r="AV57" s="740">
        <f>'Cost Allocation - Tier 1'!AV57</f>
        <v>25487.220802255557</v>
      </c>
      <c r="AW57" s="740">
        <f>'Cost Allocation - Tier 1'!AW57</f>
        <v>63026.765311856594</v>
      </c>
      <c r="AX57" s="740">
        <f>'Cost Allocation - Tier 1'!AX57</f>
        <v>73.154777310975646</v>
      </c>
      <c r="AY57" s="740">
        <f>'Cost Allocation - Tier 1'!AY57</f>
        <v>0</v>
      </c>
      <c r="AZ57" s="740">
        <f>'Cost Allocation - Tier 1'!AZ57</f>
        <v>0</v>
      </c>
      <c r="BA57" s="740">
        <f>'Cost Allocation - Tier 1'!BA57</f>
        <v>0</v>
      </c>
      <c r="BB57" s="740">
        <f>'Cost Allocation - Tier 1'!BB57</f>
        <v>0</v>
      </c>
      <c r="BC57" s="684">
        <f t="shared" si="27"/>
        <v>0</v>
      </c>
      <c r="BD57" s="909">
        <f>'Cost Allocation - Tier 1'!BD57</f>
        <v>0</v>
      </c>
      <c r="BE57" s="909">
        <f>'Cost Allocation - Tier 1'!BE57</f>
        <v>0</v>
      </c>
      <c r="BF57" s="909">
        <f>'Cost Allocation - Tier 1'!BF57</f>
        <v>0</v>
      </c>
      <c r="BG57" s="909">
        <f>'Cost Allocation - Tier 1'!BG57</f>
        <v>0</v>
      </c>
      <c r="BH57" s="909">
        <f>'Cost Allocation - Tier 1'!BH57</f>
        <v>0</v>
      </c>
      <c r="BI57" s="909">
        <f>'Cost Allocation - Tier 1'!BI57</f>
        <v>0</v>
      </c>
      <c r="BJ57" s="909">
        <f>'Cost Allocation - Tier 1'!BJ57</f>
        <v>0</v>
      </c>
      <c r="BK57" s="909">
        <f>'Cost Allocation - Tier 1'!BK57</f>
        <v>0</v>
      </c>
      <c r="BL57" s="742">
        <f>BC57+I57+H57</f>
        <v>221261.20151036687</v>
      </c>
      <c r="BM57" s="742">
        <f>BL57-E57</f>
        <v>0</v>
      </c>
      <c r="BO57" s="905"/>
      <c r="BP57" s="905"/>
      <c r="BQ57" s="905"/>
      <c r="BR57" s="905"/>
      <c r="BS57" s="905"/>
    </row>
    <row r="58" spans="1:71" s="294" customFormat="1" x14ac:dyDescent="0.25">
      <c r="A58" s="745" t="str">
        <f>'Cost Allocation - Tier 1'!A58</f>
        <v>Total Shared Services (no mark up)</v>
      </c>
      <c r="B58" s="746"/>
      <c r="C58" s="746"/>
      <c r="D58" s="910">
        <f>SUM(D55:D57)</f>
        <v>5118303</v>
      </c>
      <c r="E58" s="910">
        <f>SUM(E55:E57)</f>
        <v>3857542.4131199932</v>
      </c>
      <c r="F58" s="910"/>
      <c r="G58" s="910"/>
      <c r="H58" s="748"/>
      <c r="I58" s="749">
        <f>SUM(I55:I57)</f>
        <v>3857542.4131199936</v>
      </c>
      <c r="J58" s="748">
        <f>SUM(J55:J57)</f>
        <v>30947.61662000568</v>
      </c>
      <c r="K58" s="748">
        <f t="shared" ref="K58:BK58" si="28">SUM(K55:K57)</f>
        <v>8574.2585627733843</v>
      </c>
      <c r="L58" s="748">
        <f t="shared" si="28"/>
        <v>8645.1015321628747</v>
      </c>
      <c r="M58" s="748">
        <f t="shared" si="28"/>
        <v>9833.9603145517176</v>
      </c>
      <c r="N58" s="748">
        <f t="shared" si="28"/>
        <v>15263.752561895479</v>
      </c>
      <c r="O58" s="748">
        <f t="shared" si="28"/>
        <v>37271.723774666141</v>
      </c>
      <c r="P58" s="748">
        <f t="shared" si="28"/>
        <v>4595.5212616871613</v>
      </c>
      <c r="Q58" s="748">
        <f t="shared" si="28"/>
        <v>12494.707393249273</v>
      </c>
      <c r="R58" s="748">
        <f t="shared" si="28"/>
        <v>10775.501409435916</v>
      </c>
      <c r="S58" s="748">
        <f t="shared" si="28"/>
        <v>11010.590133521317</v>
      </c>
      <c r="T58" s="748">
        <f t="shared" si="28"/>
        <v>40360.367950909524</v>
      </c>
      <c r="U58" s="748">
        <f t="shared" si="28"/>
        <v>32070.81205654487</v>
      </c>
      <c r="V58" s="748">
        <f t="shared" si="28"/>
        <v>24445.757366513135</v>
      </c>
      <c r="W58" s="748">
        <f t="shared" si="28"/>
        <v>39727.224732944262</v>
      </c>
      <c r="X58" s="748">
        <f t="shared" si="28"/>
        <v>940.01351537604387</v>
      </c>
      <c r="Y58" s="748">
        <f t="shared" si="28"/>
        <v>704.92605342611523</v>
      </c>
      <c r="Z58" s="748">
        <f t="shared" si="28"/>
        <v>3204.439271200833</v>
      </c>
      <c r="AA58" s="748">
        <f t="shared" si="28"/>
        <v>2881.9810549818326</v>
      </c>
      <c r="AB58" s="748">
        <f t="shared" si="28"/>
        <v>1709.7713164017528</v>
      </c>
      <c r="AC58" s="748">
        <f t="shared" si="28"/>
        <v>1905.5410974507513</v>
      </c>
      <c r="AD58" s="748">
        <f t="shared" si="28"/>
        <v>11898.076930275247</v>
      </c>
      <c r="AE58" s="748">
        <f t="shared" si="28"/>
        <v>4550.8429322320917</v>
      </c>
      <c r="AF58" s="748">
        <f t="shared" si="28"/>
        <v>12093.191829993621</v>
      </c>
      <c r="AG58" s="748">
        <f t="shared" si="28"/>
        <v>41227.701596322251</v>
      </c>
      <c r="AH58" s="748">
        <f t="shared" si="28"/>
        <v>285596.7171967827</v>
      </c>
      <c r="AI58" s="748">
        <f t="shared" si="28"/>
        <v>2250.3686957493946</v>
      </c>
      <c r="AJ58" s="748">
        <f t="shared" si="28"/>
        <v>48786.124205123429</v>
      </c>
      <c r="AK58" s="748">
        <f t="shared" si="28"/>
        <v>40884.930795048102</v>
      </c>
      <c r="AL58" s="748">
        <f t="shared" si="28"/>
        <v>0</v>
      </c>
      <c r="AM58" s="748">
        <f t="shared" si="28"/>
        <v>4220.131084363994</v>
      </c>
      <c r="AN58" s="748">
        <f t="shared" si="28"/>
        <v>7458.562636176368</v>
      </c>
      <c r="AO58" s="748">
        <f t="shared" si="28"/>
        <v>50148.61294909237</v>
      </c>
      <c r="AP58" s="748">
        <f t="shared" si="28"/>
        <v>7401.4584056108961</v>
      </c>
      <c r="AQ58" s="748">
        <f t="shared" si="28"/>
        <v>48585.579297365315</v>
      </c>
      <c r="AR58" s="748">
        <f t="shared" si="28"/>
        <v>112.76202344307407</v>
      </c>
      <c r="AS58" s="748">
        <f t="shared" si="28"/>
        <v>71106.051742589218</v>
      </c>
      <c r="AT58" s="748">
        <f t="shared" si="28"/>
        <v>60098.908962783244</v>
      </c>
      <c r="AU58" s="748">
        <f t="shared" si="28"/>
        <v>80253.288630290554</v>
      </c>
      <c r="AV58" s="748">
        <f t="shared" si="28"/>
        <v>115139.80749214182</v>
      </c>
      <c r="AW58" s="748">
        <f t="shared" si="28"/>
        <v>292535.34513508412</v>
      </c>
      <c r="AX58" s="748">
        <f t="shared" si="28"/>
        <v>2392.1167454152883</v>
      </c>
      <c r="AY58" s="748">
        <f t="shared" si="28"/>
        <v>615831.93442654109</v>
      </c>
      <c r="AZ58" s="748">
        <f t="shared" si="28"/>
        <v>20352.331814415069</v>
      </c>
      <c r="BA58" s="748">
        <f t="shared" si="28"/>
        <v>356242.07107592683</v>
      </c>
      <c r="BB58" s="748">
        <f t="shared" si="28"/>
        <v>1381011.9285375294</v>
      </c>
      <c r="BC58" s="749">
        <f>SUM(BC55:BC57)</f>
        <v>0</v>
      </c>
      <c r="BD58" s="748">
        <f t="shared" si="28"/>
        <v>0</v>
      </c>
      <c r="BE58" s="748">
        <f t="shared" si="28"/>
        <v>0</v>
      </c>
      <c r="BF58" s="748">
        <f t="shared" si="28"/>
        <v>0</v>
      </c>
      <c r="BG58" s="748">
        <f t="shared" si="28"/>
        <v>0</v>
      </c>
      <c r="BH58" s="748">
        <f t="shared" si="28"/>
        <v>0</v>
      </c>
      <c r="BI58" s="748">
        <f t="shared" si="28"/>
        <v>0</v>
      </c>
      <c r="BJ58" s="748">
        <f t="shared" si="28"/>
        <v>0</v>
      </c>
      <c r="BK58" s="748">
        <f t="shared" si="28"/>
        <v>0</v>
      </c>
      <c r="BL58" s="750">
        <f>SUM(BL55:BL57)</f>
        <v>3857542.4131199936</v>
      </c>
      <c r="BM58" s="748">
        <f>BL58-E58</f>
        <v>0</v>
      </c>
      <c r="BO58" s="20"/>
      <c r="BP58" s="894">
        <f>SUM(J58:AE58)+AH58+AI58+AM58+AQ58+AR58+AS58+AT58+AU58+AV58++AW58+AX58</f>
        <v>1276103.5648482144</v>
      </c>
      <c r="BQ58" s="894">
        <f>AF58+AG58+AJ58+AK58+AL58+AN58+AO58+AP58</f>
        <v>208000.58241736703</v>
      </c>
      <c r="BR58" s="894">
        <f>SUM(AY57:BB58)</f>
        <v>2373438.2658544127</v>
      </c>
      <c r="BS58" s="894">
        <f>BR58+BQ58+BP58-I58</f>
        <v>0</v>
      </c>
    </row>
    <row r="59" spans="1:71" x14ac:dyDescent="0.2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BO59" s="20" t="s">
        <v>939</v>
      </c>
      <c r="BP59" s="884">
        <f>BP58+BP52</f>
        <v>3983292.1784909707</v>
      </c>
      <c r="BQ59" s="884">
        <f t="shared" ref="BQ59:BR59" si="29">BQ58+BQ52</f>
        <v>1475950.9729055509</v>
      </c>
      <c r="BR59" s="884">
        <f t="shared" si="29"/>
        <v>3376020.16160096</v>
      </c>
      <c r="BS59" s="20"/>
    </row>
    <row r="60" spans="1:71" x14ac:dyDescent="0.25">
      <c r="A60" s="1"/>
      <c r="D60" s="76"/>
      <c r="E60" s="76"/>
      <c r="F60" s="76"/>
      <c r="G60" s="76"/>
      <c r="I60" s="692">
        <f>I52/$BL$52</f>
        <v>1</v>
      </c>
      <c r="J60" s="692"/>
      <c r="K60" s="692"/>
      <c r="L60" s="692"/>
      <c r="M60" s="692"/>
      <c r="N60" s="692"/>
      <c r="O60" s="692"/>
      <c r="P60" s="692"/>
      <c r="Q60" s="692"/>
      <c r="R60" s="692"/>
      <c r="S60" s="692"/>
      <c r="T60" s="692"/>
      <c r="U60" s="692"/>
      <c r="V60" s="692"/>
      <c r="W60" s="692"/>
      <c r="X60" s="692"/>
      <c r="Y60" s="692"/>
      <c r="Z60" s="692"/>
      <c r="AA60" s="692"/>
      <c r="AB60" s="692"/>
      <c r="AC60" s="692"/>
      <c r="AD60" s="692"/>
      <c r="AE60" s="692"/>
      <c r="AF60" s="692"/>
      <c r="AG60" s="692"/>
      <c r="AH60" s="692"/>
      <c r="AI60" s="692"/>
      <c r="AJ60" s="692"/>
      <c r="AK60" s="692"/>
      <c r="AL60" s="692"/>
      <c r="AM60" s="692"/>
      <c r="AN60" s="692"/>
      <c r="AO60" s="692"/>
      <c r="AP60" s="692"/>
      <c r="AQ60" s="692"/>
      <c r="AR60" s="692"/>
      <c r="AS60" s="692"/>
      <c r="AT60" s="692"/>
      <c r="AU60" s="692"/>
      <c r="AV60" s="692"/>
      <c r="AW60" s="692"/>
      <c r="AX60" s="692"/>
      <c r="AY60" s="692"/>
      <c r="AZ60" s="692"/>
      <c r="BA60" s="692"/>
      <c r="BB60" s="692"/>
      <c r="BC60" s="692">
        <f>BC52/BL52</f>
        <v>0</v>
      </c>
      <c r="BD60" s="688"/>
      <c r="BE60" s="688"/>
      <c r="BF60" s="688"/>
      <c r="BG60" s="688"/>
      <c r="BH60" s="688"/>
      <c r="BI60" s="688"/>
      <c r="BJ60" s="688"/>
      <c r="BK60" s="688"/>
      <c r="BL60" s="752">
        <f>BL52/$BL$52</f>
        <v>1</v>
      </c>
      <c r="BM60" s="76"/>
      <c r="BO60" s="20"/>
      <c r="BP60" s="20"/>
      <c r="BQ60" s="20"/>
      <c r="BR60" s="20"/>
      <c r="BS60" s="20"/>
    </row>
    <row r="61" spans="1:71" x14ac:dyDescent="0.25">
      <c r="BL61" s="73"/>
      <c r="BM61" s="76"/>
      <c r="BO61" s="20"/>
      <c r="BP61" s="20"/>
      <c r="BQ61" s="20"/>
      <c r="BR61" s="20"/>
      <c r="BS61" s="20"/>
    </row>
    <row r="62" spans="1:71" s="725" customFormat="1" x14ac:dyDescent="0.25">
      <c r="A62" s="725" t="s">
        <v>940</v>
      </c>
      <c r="B62" s="911"/>
      <c r="C62" s="911"/>
      <c r="D62" s="728">
        <f>D58+D50+SUM(D45:D48)+D41+D33+D43</f>
        <v>28733638.799369998</v>
      </c>
      <c r="E62" s="728">
        <f>E58+E50+SUM(E45:E48)+E41+E33+E43</f>
        <v>21655727.461784855</v>
      </c>
      <c r="F62" s="728"/>
      <c r="G62" s="728"/>
      <c r="H62" s="728">
        <f>H58+H50+SUM(H45:H48)+H41+H33+H43</f>
        <v>126859.85619860872</v>
      </c>
      <c r="I62" s="912">
        <f t="shared" ref="I62:I64" si="30">SUM(J62:BB62)</f>
        <v>13749252.803617489</v>
      </c>
      <c r="J62" s="728">
        <f t="shared" ref="J62:BB62" si="31">J58+J50+SUM(J45:J48)+J41+J33+J43</f>
        <v>143189.15587127442</v>
      </c>
      <c r="K62" s="728">
        <f t="shared" si="31"/>
        <v>38550.172748927136</v>
      </c>
      <c r="L62" s="728">
        <f t="shared" si="31"/>
        <v>38159.082404249479</v>
      </c>
      <c r="M62" s="728">
        <f t="shared" si="31"/>
        <v>46644.407131184729</v>
      </c>
      <c r="N62" s="728">
        <f t="shared" si="31"/>
        <v>69020.331138197638</v>
      </c>
      <c r="O62" s="728">
        <f t="shared" si="31"/>
        <v>182645.88312786398</v>
      </c>
      <c r="P62" s="728">
        <f t="shared" si="31"/>
        <v>22823.833488050692</v>
      </c>
      <c r="Q62" s="728">
        <f t="shared" si="31"/>
        <v>63178.166842300256</v>
      </c>
      <c r="R62" s="728">
        <f t="shared" si="31"/>
        <v>54781.959580621369</v>
      </c>
      <c r="S62" s="728">
        <f t="shared" si="31"/>
        <v>55728.460875106262</v>
      </c>
      <c r="T62" s="728">
        <f t="shared" si="31"/>
        <v>205877.92750649957</v>
      </c>
      <c r="U62" s="728">
        <f t="shared" si="31"/>
        <v>163089.48425265576</v>
      </c>
      <c r="V62" s="728">
        <f t="shared" si="31"/>
        <v>101220.80124703371</v>
      </c>
      <c r="W62" s="728">
        <f t="shared" si="31"/>
        <v>164776.31171907979</v>
      </c>
      <c r="X62" s="728">
        <f t="shared" si="31"/>
        <v>4886.9583098054072</v>
      </c>
      <c r="Y62" s="728">
        <f t="shared" si="31"/>
        <v>3564.6447563319343</v>
      </c>
      <c r="Z62" s="728">
        <f t="shared" si="31"/>
        <v>15616.402186032494</v>
      </c>
      <c r="AA62" s="728">
        <f t="shared" si="31"/>
        <v>13900.810715349604</v>
      </c>
      <c r="AB62" s="728">
        <f t="shared" si="31"/>
        <v>8171.7783738185944</v>
      </c>
      <c r="AC62" s="728">
        <f t="shared" si="31"/>
        <v>9602.6009815823527</v>
      </c>
      <c r="AD62" s="728">
        <f t="shared" si="31"/>
        <v>63106.603685608774</v>
      </c>
      <c r="AE62" s="728">
        <f t="shared" si="31"/>
        <v>23554.576621584238</v>
      </c>
      <c r="AF62" s="728">
        <f t="shared" si="31"/>
        <v>113919.07381056616</v>
      </c>
      <c r="AG62" s="728">
        <f t="shared" si="31"/>
        <v>138349.54090293378</v>
      </c>
      <c r="AH62" s="728">
        <f t="shared" si="31"/>
        <v>1365342.5490327431</v>
      </c>
      <c r="AI62" s="728">
        <f t="shared" si="31"/>
        <v>12084.630035771745</v>
      </c>
      <c r="AJ62" s="728">
        <f t="shared" si="31"/>
        <v>442709.60674969247</v>
      </c>
      <c r="AK62" s="728">
        <f t="shared" si="31"/>
        <v>375841.04194136075</v>
      </c>
      <c r="AL62" s="728">
        <f t="shared" si="31"/>
        <v>0</v>
      </c>
      <c r="AM62" s="728">
        <f t="shared" si="31"/>
        <v>20641.454868115583</v>
      </c>
      <c r="AN62" s="728">
        <f t="shared" si="31"/>
        <v>73102.031479915837</v>
      </c>
      <c r="AO62" s="728">
        <f t="shared" si="31"/>
        <v>458963.64622790384</v>
      </c>
      <c r="AP62" s="728">
        <f t="shared" si="31"/>
        <v>68634.076460939992</v>
      </c>
      <c r="AQ62" s="728">
        <f t="shared" si="31"/>
        <v>166224.14916625939</v>
      </c>
      <c r="AR62" s="728">
        <f t="shared" si="31"/>
        <v>527.04463912858068</v>
      </c>
      <c r="AS62" s="728">
        <f t="shared" si="31"/>
        <v>245434.17834540908</v>
      </c>
      <c r="AT62" s="728">
        <f t="shared" si="31"/>
        <v>202600.3163150296</v>
      </c>
      <c r="AU62" s="728">
        <f t="shared" si="31"/>
        <v>287185.03044584946</v>
      </c>
      <c r="AV62" s="728">
        <f t="shared" si="31"/>
        <v>400339.64412722638</v>
      </c>
      <c r="AW62" s="728">
        <f t="shared" si="31"/>
        <v>1028673.7217653049</v>
      </c>
      <c r="AX62" s="728">
        <f t="shared" si="31"/>
        <v>11180.646358987204</v>
      </c>
      <c r="AY62" s="728">
        <f t="shared" si="31"/>
        <v>1795034.1371678491</v>
      </c>
      <c r="AZ62" s="728">
        <f t="shared" si="31"/>
        <v>61757.477364268372</v>
      </c>
      <c r="BA62" s="728">
        <f t="shared" si="31"/>
        <v>1068894.0044071905</v>
      </c>
      <c r="BB62" s="728">
        <f t="shared" si="31"/>
        <v>3919724.4484418882</v>
      </c>
      <c r="BC62" s="728">
        <f>SUM(BD62:BK62)</f>
        <v>7779614.8019687599</v>
      </c>
      <c r="BD62" s="728">
        <f t="shared" ref="BD62:BK62" si="32">BD58+BD50+SUM(BD45:BD48)+BD41+BD33+BD43</f>
        <v>1257086.5034834347</v>
      </c>
      <c r="BE62" s="728">
        <f t="shared" si="32"/>
        <v>1168568.0446201903</v>
      </c>
      <c r="BF62" s="728">
        <f t="shared" si="32"/>
        <v>660048.75567883183</v>
      </c>
      <c r="BG62" s="728">
        <f t="shared" si="32"/>
        <v>1479161.0163029504</v>
      </c>
      <c r="BH62" s="728">
        <f t="shared" si="32"/>
        <v>1107540.892897222</v>
      </c>
      <c r="BI62" s="728">
        <f t="shared" si="32"/>
        <v>727390.25460598059</v>
      </c>
      <c r="BJ62" s="728">
        <f t="shared" si="32"/>
        <v>230791.63133138037</v>
      </c>
      <c r="BK62" s="728">
        <f t="shared" si="32"/>
        <v>1149027.7030487694</v>
      </c>
      <c r="BL62" s="728">
        <f>I62+BC62+H62</f>
        <v>21655727.461784858</v>
      </c>
      <c r="BM62" s="728">
        <f>BL62-E58-E50-SUM(E45:E48)-E41-E33-E43</f>
        <v>4.4528860598802567E-9</v>
      </c>
      <c r="BO62" s="629"/>
      <c r="BP62" s="894">
        <f>SUM(J62:AE62)+AH62+AI62+AM62+AQ62+AR62+AS62+AT62+AU62+AV62++AW62+AX62</f>
        <v>5232323.7186629837</v>
      </c>
      <c r="BQ62" s="894">
        <f>AF62+AG62+AJ62+AK62+AL62+AN62+AO62+AP62</f>
        <v>1671519.0175733129</v>
      </c>
      <c r="BR62" s="894">
        <f>SUM(AY61:BB62)</f>
        <v>6845410.0673811957</v>
      </c>
      <c r="BS62" s="894">
        <f>BR62+BQ62+BP62-I62</f>
        <v>0</v>
      </c>
    </row>
    <row r="63" spans="1:71" x14ac:dyDescent="0.25">
      <c r="A63" s="1"/>
      <c r="H63" s="888">
        <f>H62/BL62</f>
        <v>5.8580279245975036E-3</v>
      </c>
      <c r="I63" s="692">
        <f>I62/$BL$62</f>
        <v>0.63490145172358392</v>
      </c>
      <c r="BC63" s="692">
        <f>BC62/BL62</f>
        <v>0.35924052035181858</v>
      </c>
      <c r="BL63" s="761">
        <f>SUM(H63:BC63)</f>
        <v>1</v>
      </c>
      <c r="BO63" s="20"/>
      <c r="BP63" s="20"/>
      <c r="BQ63" s="20"/>
      <c r="BR63" s="20"/>
      <c r="BS63" s="20"/>
    </row>
    <row r="64" spans="1:71" s="917" customFormat="1" x14ac:dyDescent="0.25">
      <c r="A64" s="913" t="s">
        <v>941</v>
      </c>
      <c r="B64" s="881"/>
      <c r="C64" s="881"/>
      <c r="D64" s="914">
        <f>D62-D50</f>
        <v>28586681.762229998</v>
      </c>
      <c r="E64" s="914">
        <f>E62-E50</f>
        <v>21544969.461784855</v>
      </c>
      <c r="F64" s="914"/>
      <c r="G64" s="914"/>
      <c r="H64" s="914">
        <f>H62-H50</f>
        <v>126859.85619860872</v>
      </c>
      <c r="I64" s="915">
        <f t="shared" si="30"/>
        <v>13638494.803617492</v>
      </c>
      <c r="J64" s="914">
        <f>J62-J50</f>
        <v>143189.15587127442</v>
      </c>
      <c r="K64" s="914">
        <f t="shared" ref="K64:BB64" si="33">K62-K50</f>
        <v>38550.172748927136</v>
      </c>
      <c r="L64" s="914">
        <f t="shared" si="33"/>
        <v>38159.082404249479</v>
      </c>
      <c r="M64" s="914">
        <f t="shared" si="33"/>
        <v>46644.407131184729</v>
      </c>
      <c r="N64" s="914">
        <f t="shared" si="33"/>
        <v>69020.331138197638</v>
      </c>
      <c r="O64" s="914">
        <f t="shared" si="33"/>
        <v>182645.88312786398</v>
      </c>
      <c r="P64" s="914">
        <f t="shared" si="33"/>
        <v>22823.833488050692</v>
      </c>
      <c r="Q64" s="914">
        <f t="shared" si="33"/>
        <v>63178.166842300256</v>
      </c>
      <c r="R64" s="914">
        <f t="shared" si="33"/>
        <v>54781.959580621369</v>
      </c>
      <c r="S64" s="914">
        <f t="shared" si="33"/>
        <v>55728.460875106262</v>
      </c>
      <c r="T64" s="914">
        <f t="shared" si="33"/>
        <v>205877.92750649957</v>
      </c>
      <c r="U64" s="914">
        <f t="shared" si="33"/>
        <v>163089.48425265576</v>
      </c>
      <c r="V64" s="914">
        <f t="shared" si="33"/>
        <v>101220.80124703371</v>
      </c>
      <c r="W64" s="914">
        <f t="shared" si="33"/>
        <v>164776.31171907979</v>
      </c>
      <c r="X64" s="914">
        <f t="shared" si="33"/>
        <v>4886.9583098054072</v>
      </c>
      <c r="Y64" s="914">
        <f t="shared" si="33"/>
        <v>3564.6447563319343</v>
      </c>
      <c r="Z64" s="914">
        <f t="shared" si="33"/>
        <v>15616.402186032494</v>
      </c>
      <c r="AA64" s="914">
        <f t="shared" si="33"/>
        <v>13900.810715349604</v>
      </c>
      <c r="AB64" s="914">
        <f t="shared" si="33"/>
        <v>8171.7783738185944</v>
      </c>
      <c r="AC64" s="914">
        <f t="shared" si="33"/>
        <v>9602.6009815823527</v>
      </c>
      <c r="AD64" s="914">
        <f t="shared" si="33"/>
        <v>63106.603685608774</v>
      </c>
      <c r="AE64" s="914">
        <f t="shared" si="33"/>
        <v>23554.576621584238</v>
      </c>
      <c r="AF64" s="914">
        <f t="shared" si="33"/>
        <v>113919.07381056616</v>
      </c>
      <c r="AG64" s="914">
        <f t="shared" si="33"/>
        <v>138349.54090293378</v>
      </c>
      <c r="AH64" s="914">
        <f t="shared" si="33"/>
        <v>1365342.5490327431</v>
      </c>
      <c r="AI64" s="914">
        <f t="shared" si="33"/>
        <v>12084.630035771745</v>
      </c>
      <c r="AJ64" s="914">
        <f t="shared" si="33"/>
        <v>442709.60674969247</v>
      </c>
      <c r="AK64" s="914">
        <f t="shared" si="33"/>
        <v>375841.04194136075</v>
      </c>
      <c r="AL64" s="914">
        <f t="shared" si="33"/>
        <v>0</v>
      </c>
      <c r="AM64" s="914">
        <f t="shared" si="33"/>
        <v>20641.454868115583</v>
      </c>
      <c r="AN64" s="914">
        <f t="shared" si="33"/>
        <v>73102.031479915837</v>
      </c>
      <c r="AO64" s="914">
        <f t="shared" si="33"/>
        <v>458963.64622790384</v>
      </c>
      <c r="AP64" s="914">
        <f t="shared" si="33"/>
        <v>68634.076460939992</v>
      </c>
      <c r="AQ64" s="914">
        <f t="shared" si="33"/>
        <v>166224.14916625939</v>
      </c>
      <c r="AR64" s="914">
        <f t="shared" si="33"/>
        <v>527.04463912858068</v>
      </c>
      <c r="AS64" s="914">
        <f t="shared" si="33"/>
        <v>245434.17834540908</v>
      </c>
      <c r="AT64" s="914">
        <f t="shared" si="33"/>
        <v>202600.3163150296</v>
      </c>
      <c r="AU64" s="914">
        <f t="shared" si="33"/>
        <v>287185.03044584946</v>
      </c>
      <c r="AV64" s="914">
        <f t="shared" si="33"/>
        <v>400339.64412722638</v>
      </c>
      <c r="AW64" s="914">
        <f t="shared" si="33"/>
        <v>1028673.7217653049</v>
      </c>
      <c r="AX64" s="914">
        <f t="shared" si="33"/>
        <v>11180.646358987204</v>
      </c>
      <c r="AY64" s="914">
        <f t="shared" si="33"/>
        <v>1766631.7135204705</v>
      </c>
      <c r="AZ64" s="914">
        <f t="shared" si="33"/>
        <v>60597.793112299551</v>
      </c>
      <c r="BA64" s="914">
        <f t="shared" si="33"/>
        <v>1051089.8558414232</v>
      </c>
      <c r="BB64" s="914">
        <f t="shared" si="33"/>
        <v>3856332.7049070029</v>
      </c>
      <c r="BC64" s="902">
        <f>SUM(BD64:BK64)</f>
        <v>7779614.8019687599</v>
      </c>
      <c r="BD64" s="916">
        <f>BD62-BD50</f>
        <v>1257086.5034834347</v>
      </c>
      <c r="BE64" s="916">
        <f t="shared" ref="BE64:BK64" si="34">BE62-BE50</f>
        <v>1168568.0446201903</v>
      </c>
      <c r="BF64" s="916">
        <f t="shared" si="34"/>
        <v>660048.75567883183</v>
      </c>
      <c r="BG64" s="916">
        <f t="shared" si="34"/>
        <v>1479161.0163029504</v>
      </c>
      <c r="BH64" s="916">
        <f t="shared" si="34"/>
        <v>1107540.892897222</v>
      </c>
      <c r="BI64" s="916">
        <f t="shared" si="34"/>
        <v>727390.25460598059</v>
      </c>
      <c r="BJ64" s="916">
        <f t="shared" si="34"/>
        <v>230791.63133138037</v>
      </c>
      <c r="BK64" s="916">
        <f t="shared" si="34"/>
        <v>1149027.7030487694</v>
      </c>
      <c r="BL64" s="914">
        <f>I64+BC64+H64</f>
        <v>21544969.461784862</v>
      </c>
      <c r="BM64" s="916">
        <f>BL64-E64</f>
        <v>0</v>
      </c>
      <c r="BO64" s="918"/>
      <c r="BP64" s="918"/>
      <c r="BQ64" s="918"/>
      <c r="BR64" s="918"/>
      <c r="BS64" s="918"/>
    </row>
    <row r="65" spans="1:71" x14ac:dyDescent="0.25">
      <c r="A65" s="1"/>
      <c r="H65" s="888"/>
      <c r="I65" s="692"/>
      <c r="BC65" s="692"/>
      <c r="BL65" s="761"/>
      <c r="BO65" s="20"/>
      <c r="BP65" s="20"/>
      <c r="BQ65" s="20"/>
      <c r="BR65" s="20"/>
      <c r="BS65" s="20"/>
    </row>
    <row r="66" spans="1:71" ht="15.75" thickBot="1" x14ac:dyDescent="0.3">
      <c r="A66" s="1"/>
      <c r="H66" s="888"/>
      <c r="I66" s="692"/>
      <c r="BC66" s="692"/>
      <c r="BL66" s="761"/>
      <c r="BO66" s="20"/>
      <c r="BP66" s="20"/>
      <c r="BQ66" s="20"/>
      <c r="BR66" s="20"/>
      <c r="BS66" s="20"/>
    </row>
    <row r="67" spans="1:71" x14ac:dyDescent="0.25">
      <c r="B67" s="3" t="s">
        <v>942</v>
      </c>
      <c r="D67" s="76">
        <f>D62-D52-D33-D58</f>
        <v>0</v>
      </c>
      <c r="BD67" s="919" t="s">
        <v>943</v>
      </c>
      <c r="BE67" s="16"/>
      <c r="BF67" s="16"/>
      <c r="BG67" s="16"/>
      <c r="BH67" s="16"/>
      <c r="BI67" s="16"/>
      <c r="BJ67" s="16"/>
      <c r="BK67" s="209"/>
      <c r="BM67" s="76"/>
      <c r="BO67" s="20"/>
      <c r="BP67" s="20"/>
      <c r="BQ67" s="20"/>
      <c r="BR67" s="20"/>
      <c r="BS67" s="20"/>
    </row>
    <row r="68" spans="1:71" x14ac:dyDescent="0.25">
      <c r="B68" s="3" t="s">
        <v>944</v>
      </c>
      <c r="D68" s="76">
        <f>D62-'Cost Allocation - Tier 1'!D62</f>
        <v>0</v>
      </c>
      <c r="E68" s="76">
        <f>E62-'Cost Allocation - Tier 1'!E62</f>
        <v>0</v>
      </c>
      <c r="F68" s="76"/>
      <c r="G68" s="76"/>
      <c r="H68" s="76">
        <f>H62-'Cost Allocation - Tier 1'!H62</f>
        <v>0</v>
      </c>
      <c r="I68" s="666">
        <f>I62-'Cost Allocation - Tier 1'!I62</f>
        <v>0</v>
      </c>
      <c r="J68" s="76">
        <f>J62-'Cost Allocation - Tier 1'!J62</f>
        <v>0</v>
      </c>
      <c r="K68" s="76">
        <f>K62-'Cost Allocation - Tier 1'!K62</f>
        <v>0</v>
      </c>
      <c r="L68" s="76">
        <f>L62-'Cost Allocation - Tier 1'!L62</f>
        <v>0</v>
      </c>
      <c r="M68" s="76">
        <f>M62-'Cost Allocation - Tier 1'!M62</f>
        <v>0</v>
      </c>
      <c r="N68" s="76">
        <f>N62-'Cost Allocation - Tier 1'!N62</f>
        <v>0</v>
      </c>
      <c r="O68" s="76">
        <f>O62-'Cost Allocation - Tier 1'!O62</f>
        <v>0</v>
      </c>
      <c r="P68" s="76">
        <f>P62-'Cost Allocation - Tier 1'!P62</f>
        <v>0</v>
      </c>
      <c r="Q68" s="76">
        <f>Q62-'Cost Allocation - Tier 1'!Q62</f>
        <v>0</v>
      </c>
      <c r="R68" s="76">
        <f>R62-'Cost Allocation - Tier 1'!R62</f>
        <v>0</v>
      </c>
      <c r="S68" s="76">
        <f>S62-'Cost Allocation - Tier 1'!S62</f>
        <v>0</v>
      </c>
      <c r="T68" s="76">
        <f>T62-'Cost Allocation - Tier 1'!T62</f>
        <v>0</v>
      </c>
      <c r="U68" s="76">
        <f>U62-'Cost Allocation - Tier 1'!U62</f>
        <v>0</v>
      </c>
      <c r="V68" s="76">
        <f>V62-'Cost Allocation - Tier 1'!V62</f>
        <v>0</v>
      </c>
      <c r="W68" s="76">
        <f>W62-'Cost Allocation - Tier 1'!W62</f>
        <v>0</v>
      </c>
      <c r="X68" s="76">
        <f>X62-'Cost Allocation - Tier 1'!X62</f>
        <v>0</v>
      </c>
      <c r="Y68" s="76">
        <f>Y62-'Cost Allocation - Tier 1'!Y62</f>
        <v>0</v>
      </c>
      <c r="Z68" s="76">
        <f>Z62-'Cost Allocation - Tier 1'!Z62</f>
        <v>0</v>
      </c>
      <c r="AA68" s="76">
        <f>AA62-'Cost Allocation - Tier 1'!AA62</f>
        <v>0</v>
      </c>
      <c r="AB68" s="76">
        <f>AB62-'Cost Allocation - Tier 1'!AB62</f>
        <v>0</v>
      </c>
      <c r="AC68" s="76">
        <f>AC62-'Cost Allocation - Tier 1'!AC62</f>
        <v>0</v>
      </c>
      <c r="AD68" s="76">
        <f>AD62-'Cost Allocation - Tier 1'!AD62</f>
        <v>0</v>
      </c>
      <c r="AE68" s="76">
        <f>AE62-'Cost Allocation - Tier 1'!AE62</f>
        <v>0</v>
      </c>
      <c r="AF68" s="76">
        <f>AF62-'Cost Allocation - Tier 1'!AF62</f>
        <v>0</v>
      </c>
      <c r="AG68" s="76">
        <f>AG62-'Cost Allocation - Tier 1'!AG62</f>
        <v>0</v>
      </c>
      <c r="AH68" s="76">
        <f>AH62-'Cost Allocation - Tier 1'!AH62</f>
        <v>0</v>
      </c>
      <c r="AI68" s="76">
        <f>AI62-'Cost Allocation - Tier 1'!AI62</f>
        <v>0</v>
      </c>
      <c r="AJ68" s="76">
        <f>AJ62-'Cost Allocation - Tier 1'!AJ62</f>
        <v>0</v>
      </c>
      <c r="AK68" s="76">
        <f>AK62-'Cost Allocation - Tier 1'!AK62</f>
        <v>0</v>
      </c>
      <c r="AL68" s="76">
        <f>AL62-'Cost Allocation - Tier 1'!AL62</f>
        <v>0</v>
      </c>
      <c r="AM68" s="76">
        <f>AM62-'Cost Allocation - Tier 1'!AM62</f>
        <v>0</v>
      </c>
      <c r="AN68" s="76">
        <f>AN62-'Cost Allocation - Tier 1'!AN62</f>
        <v>0</v>
      </c>
      <c r="AO68" s="76">
        <f>AO62-'Cost Allocation - Tier 1'!AO62</f>
        <v>0</v>
      </c>
      <c r="AP68" s="76">
        <f>AP62-'Cost Allocation - Tier 1'!AP62</f>
        <v>0</v>
      </c>
      <c r="AQ68" s="76">
        <f>AQ62-'Cost Allocation - Tier 1'!AQ62</f>
        <v>0</v>
      </c>
      <c r="AR68" s="76">
        <f>AR62-'Cost Allocation - Tier 1'!AR62</f>
        <v>0</v>
      </c>
      <c r="AS68" s="76">
        <f>AS62-'Cost Allocation - Tier 1'!AS62</f>
        <v>0</v>
      </c>
      <c r="AT68" s="76">
        <f>AT62-'Cost Allocation - Tier 1'!AT62</f>
        <v>0</v>
      </c>
      <c r="AU68" s="76">
        <f>AU62-'Cost Allocation - Tier 1'!AU62</f>
        <v>0</v>
      </c>
      <c r="AV68" s="76">
        <f>AV62-'Cost Allocation - Tier 1'!AV62</f>
        <v>0</v>
      </c>
      <c r="AW68" s="76">
        <f>AW62-'Cost Allocation - Tier 1'!AW62</f>
        <v>0</v>
      </c>
      <c r="AX68" s="76">
        <f>AX62-'Cost Allocation - Tier 1'!AX62</f>
        <v>0</v>
      </c>
      <c r="AY68" s="76">
        <f>AY62-'Cost Allocation - Tier 1'!AY62</f>
        <v>0</v>
      </c>
      <c r="AZ68" s="76">
        <f>AZ62-'Cost Allocation - Tier 1'!AZ62</f>
        <v>0</v>
      </c>
      <c r="BA68" s="76">
        <f>BA62-'Cost Allocation - Tier 1'!BA62</f>
        <v>0</v>
      </c>
      <c r="BB68" s="76">
        <f>BB62-'Cost Allocation - Tier 1'!BB62</f>
        <v>0</v>
      </c>
      <c r="BC68" s="637">
        <f>BC62-'Cost Allocation - Tier 1'!BC62</f>
        <v>0</v>
      </c>
      <c r="BD68" s="920">
        <f>BD62-'Cost Allocation - Tier 1'!BD62</f>
        <v>-10372.325206890469</v>
      </c>
      <c r="BE68" s="921">
        <f>BE62-'Cost Allocation - Tier 1'!BE62</f>
        <v>12645.023904243251</v>
      </c>
      <c r="BF68" s="921">
        <f>BF62-'Cost Allocation - Tier 1'!BF62</f>
        <v>-47680.439454830601</v>
      </c>
      <c r="BG68" s="921">
        <f>BG62-'Cost Allocation - Tier 1'!BG62</f>
        <v>171173.89805914392</v>
      </c>
      <c r="BH68" s="921">
        <f>BH62-'Cost Allocation - Tier 1'!BH62</f>
        <v>82925.197268923745</v>
      </c>
      <c r="BI68" s="921">
        <f>BI62-'Cost Allocation - Tier 1'!BI62</f>
        <v>-18681.107995137339</v>
      </c>
      <c r="BJ68" s="921">
        <f>BJ62-'Cost Allocation - Tier 1'!BJ62</f>
        <v>-190010.24657545137</v>
      </c>
      <c r="BK68" s="922">
        <f>BK62-'Cost Allocation - Tier 1'!BK62</f>
        <v>0</v>
      </c>
      <c r="BL68" s="76">
        <f>BL62-'Cost Allocation - Tier 1'!BL62</f>
        <v>0</v>
      </c>
      <c r="BM68" s="76"/>
      <c r="BO68" s="20"/>
      <c r="BP68" s="20"/>
      <c r="BQ68" s="20"/>
      <c r="BR68" s="20"/>
      <c r="BS68" s="20"/>
    </row>
    <row r="69" spans="1:71" x14ac:dyDescent="0.25">
      <c r="BC69" s="241" t="s">
        <v>945</v>
      </c>
      <c r="BD69" s="923">
        <f>'Cost Allocation - Tier 1'!BD62</f>
        <v>1267458.8286903251</v>
      </c>
      <c r="BE69" s="78">
        <f>'Cost Allocation - Tier 1'!BE62</f>
        <v>1155923.020715947</v>
      </c>
      <c r="BF69" s="78">
        <f>'Cost Allocation - Tier 1'!BF62</f>
        <v>707729.19513366243</v>
      </c>
      <c r="BG69" s="78">
        <f>'Cost Allocation - Tier 1'!BG62</f>
        <v>1307987.1182438065</v>
      </c>
      <c r="BH69" s="78">
        <f>'Cost Allocation - Tier 1'!BH62</f>
        <v>1024615.6956282982</v>
      </c>
      <c r="BI69" s="78">
        <f>'Cost Allocation - Tier 1'!BI62</f>
        <v>746071.36260111793</v>
      </c>
      <c r="BJ69" s="78">
        <f>'Cost Allocation - Tier 1'!BJ62</f>
        <v>420801.87790683174</v>
      </c>
      <c r="BK69" s="924">
        <f>'Cost Allocation - Tier 1'!BK62</f>
        <v>1149027.7030487694</v>
      </c>
      <c r="BL69" s="76">
        <f>SUM(BD69:BK69)</f>
        <v>7779614.8019687589</v>
      </c>
      <c r="BM69" s="76"/>
      <c r="BO69" s="20"/>
      <c r="BP69" s="20"/>
      <c r="BQ69" s="20"/>
      <c r="BR69" s="20"/>
      <c r="BS69" s="20"/>
    </row>
    <row r="70" spans="1:71" x14ac:dyDescent="0.25">
      <c r="BC70" s="241" t="s">
        <v>121</v>
      </c>
      <c r="BD70" s="925">
        <f>BD68+BD69</f>
        <v>1257086.5034834347</v>
      </c>
      <c r="BE70" s="695">
        <f t="shared" ref="BE70:BK70" si="35">BE68+BE69</f>
        <v>1168568.0446201903</v>
      </c>
      <c r="BF70" s="695">
        <f t="shared" si="35"/>
        <v>660048.75567883183</v>
      </c>
      <c r="BG70" s="695">
        <f t="shared" si="35"/>
        <v>1479161.0163029504</v>
      </c>
      <c r="BH70" s="695">
        <f t="shared" si="35"/>
        <v>1107540.892897222</v>
      </c>
      <c r="BI70" s="695">
        <f t="shared" si="35"/>
        <v>727390.25460598059</v>
      </c>
      <c r="BJ70" s="695">
        <f t="shared" si="35"/>
        <v>230791.63133138037</v>
      </c>
      <c r="BK70" s="800">
        <f t="shared" si="35"/>
        <v>1149027.7030487694</v>
      </c>
      <c r="BL70" s="76">
        <f>SUM(BD70:BK70)</f>
        <v>7779614.8019687599</v>
      </c>
      <c r="BM70" s="76"/>
    </row>
    <row r="71" spans="1:71" ht="15.75" thickBot="1" x14ac:dyDescent="0.3">
      <c r="A71" s="351"/>
      <c r="B71" s="752"/>
      <c r="C71" s="752"/>
      <c r="D71" s="343"/>
      <c r="E71" s="351"/>
      <c r="F71" s="351"/>
      <c r="G71" s="351"/>
      <c r="H71" s="351"/>
      <c r="I71" s="637"/>
      <c r="J71" s="351"/>
      <c r="K71" s="351"/>
      <c r="L71" s="351"/>
      <c r="M71" s="351"/>
      <c r="N71" s="351"/>
      <c r="O71" s="351"/>
      <c r="P71" s="69"/>
      <c r="BC71" s="241" t="s">
        <v>118</v>
      </c>
      <c r="BD71" s="926">
        <f t="shared" ref="BD71:BK71" si="36">BD70-BD62</f>
        <v>0</v>
      </c>
      <c r="BE71" s="239">
        <f>BE70-BE62</f>
        <v>0</v>
      </c>
      <c r="BF71" s="239">
        <f t="shared" si="36"/>
        <v>0</v>
      </c>
      <c r="BG71" s="239">
        <f t="shared" si="36"/>
        <v>0</v>
      </c>
      <c r="BH71" s="239">
        <f t="shared" si="36"/>
        <v>0</v>
      </c>
      <c r="BI71" s="239">
        <f t="shared" si="36"/>
        <v>0</v>
      </c>
      <c r="BJ71" s="239">
        <f t="shared" si="36"/>
        <v>0</v>
      </c>
      <c r="BK71" s="927">
        <f t="shared" si="36"/>
        <v>0</v>
      </c>
      <c r="BL71" s="76"/>
    </row>
    <row r="72" spans="1:71" x14ac:dyDescent="0.25">
      <c r="A72" s="351"/>
      <c r="B72" s="928"/>
      <c r="C72" s="928"/>
      <c r="D72" s="752"/>
      <c r="E72" s="706"/>
      <c r="F72" s="706"/>
      <c r="G72" s="706"/>
      <c r="H72" s="706"/>
      <c r="I72" s="321"/>
      <c r="J72" s="706"/>
      <c r="K72" s="706"/>
      <c r="L72" s="706"/>
      <c r="M72" s="706"/>
      <c r="N72" s="706"/>
      <c r="O72" s="928"/>
      <c r="P72" s="69"/>
      <c r="BC72" s="241" t="s">
        <v>128</v>
      </c>
      <c r="BD72" s="165">
        <f>BD68/BD69</f>
        <v>-8.1835598696395305E-3</v>
      </c>
      <c r="BE72" s="165">
        <f t="shared" ref="BE72:BK72" si="37">BE68/BE69</f>
        <v>1.0939330455077598E-2</v>
      </c>
      <c r="BF72" s="165">
        <f t="shared" si="37"/>
        <v>-6.7371022394837943E-2</v>
      </c>
      <c r="BG72" s="165">
        <f t="shared" si="37"/>
        <v>0.13086818338774908</v>
      </c>
      <c r="BH72" s="165">
        <f t="shared" si="37"/>
        <v>8.0932975771051116E-2</v>
      </c>
      <c r="BI72" s="165">
        <f t="shared" si="37"/>
        <v>-2.5039304457427712E-2</v>
      </c>
      <c r="BJ72" s="165">
        <f t="shared" si="37"/>
        <v>-0.45154324766944332</v>
      </c>
      <c r="BK72" s="165">
        <f t="shared" si="37"/>
        <v>0</v>
      </c>
    </row>
    <row r="73" spans="1:71" x14ac:dyDescent="0.25">
      <c r="A73" s="69"/>
      <c r="B73" s="27"/>
      <c r="C73" s="27"/>
      <c r="D73" s="69"/>
      <c r="E73" s="69"/>
      <c r="F73" s="69"/>
      <c r="G73" s="69"/>
      <c r="H73" s="69"/>
      <c r="J73" s="69"/>
      <c r="K73" s="69"/>
      <c r="L73" s="69"/>
      <c r="M73" s="69"/>
      <c r="N73" s="69"/>
      <c r="O73" s="69"/>
      <c r="P73" s="69"/>
    </row>
    <row r="74" spans="1:71" x14ac:dyDescent="0.25">
      <c r="A74" s="69"/>
      <c r="B74" s="27"/>
      <c r="C74" s="27"/>
      <c r="D74" s="69"/>
      <c r="E74" s="69"/>
      <c r="F74" s="69"/>
      <c r="G74" s="69"/>
      <c r="H74" s="69"/>
      <c r="J74" s="69"/>
      <c r="K74" s="69"/>
      <c r="L74" s="69"/>
      <c r="M74" s="69"/>
      <c r="N74" s="69"/>
      <c r="O74" s="69"/>
      <c r="P74" s="69"/>
      <c r="BD74" s="89">
        <f t="shared" ref="BD74:BJ74" si="38">BD68/($BC$62-$BK$62)</f>
        <v>-1.5643147510391567E-3</v>
      </c>
      <c r="BE74" s="89">
        <f t="shared" si="38"/>
        <v>1.907074549447199E-3</v>
      </c>
      <c r="BF74" s="89">
        <f t="shared" si="38"/>
        <v>-7.1909830522544427E-3</v>
      </c>
      <c r="BG74" s="89">
        <f t="shared" si="38"/>
        <v>2.5815798134530988E-2</v>
      </c>
      <c r="BH74" s="89">
        <f t="shared" si="38"/>
        <v>1.250646376132075E-2</v>
      </c>
      <c r="BI74" s="89">
        <f t="shared" si="38"/>
        <v>-2.8174138604076513E-3</v>
      </c>
      <c r="BJ74" s="89">
        <f t="shared" si="38"/>
        <v>-2.8656624781597514E-2</v>
      </c>
      <c r="BK74" s="89"/>
    </row>
    <row r="75" spans="1:71" x14ac:dyDescent="0.25">
      <c r="A75" s="69"/>
      <c r="B75" s="27"/>
      <c r="C75" s="27"/>
      <c r="D75" s="69"/>
      <c r="E75" s="69"/>
      <c r="F75" s="69"/>
      <c r="G75" s="69"/>
      <c r="H75" s="69"/>
      <c r="J75" s="69"/>
      <c r="K75" s="69"/>
      <c r="L75" s="69"/>
      <c r="M75" s="69"/>
      <c r="N75" s="69"/>
      <c r="O75" s="69"/>
      <c r="P75" s="69"/>
      <c r="BD75" s="929">
        <f>'RU Working Paper'!V21</f>
        <v>-1.6141358737525036E-3</v>
      </c>
      <c r="BE75" s="929">
        <f>'RU Working Paper'!V22</f>
        <v>2.072232403331653E-3</v>
      </c>
      <c r="BF75" s="929">
        <f>'RU Working Paper'!V23</f>
        <v>-7.5253543179601839E-3</v>
      </c>
      <c r="BG75" s="929">
        <f>'RU Working Paper'!V24</f>
        <v>2.5442965588794525E-2</v>
      </c>
      <c r="BH75" s="929">
        <f>'RU Working Paper'!V25</f>
        <v>1.2743317416230748E-2</v>
      </c>
      <c r="BI75" s="929">
        <f>'RU Working Paper'!V26</f>
        <v>-2.7591213729237091E-3</v>
      </c>
      <c r="BJ75" s="929">
        <f>'RU Working Paper'!V27</f>
        <v>-2.8326570510387103E-2</v>
      </c>
      <c r="BK75" s="929"/>
    </row>
    <row r="76" spans="1:71" x14ac:dyDescent="0.25">
      <c r="A76" s="930" t="s">
        <v>946</v>
      </c>
      <c r="B76" s="27"/>
      <c r="C76" s="27"/>
      <c r="D76" s="69"/>
      <c r="E76" s="69"/>
      <c r="F76" s="69"/>
      <c r="G76" s="69"/>
      <c r="H76" s="69"/>
      <c r="J76" s="69"/>
      <c r="K76" s="69"/>
      <c r="L76" s="69"/>
      <c r="M76" s="69"/>
      <c r="N76" s="69"/>
      <c r="O76" s="69"/>
      <c r="P76" s="69"/>
      <c r="BD76" s="771">
        <f>BD74-BD75</f>
        <v>4.9821122713346886E-5</v>
      </c>
      <c r="BE76" s="771">
        <f t="shared" ref="BE76:BJ76" si="39">BE74-BE75</f>
        <v>-1.6515785388445401E-4</v>
      </c>
      <c r="BF76" s="771">
        <f t="shared" si="39"/>
        <v>3.3437126570574124E-4</v>
      </c>
      <c r="BG76" s="771">
        <f t="shared" si="39"/>
        <v>3.7283254573646299E-4</v>
      </c>
      <c r="BH76" s="771">
        <f t="shared" si="39"/>
        <v>-2.3685365490999817E-4</v>
      </c>
      <c r="BI76" s="771">
        <f t="shared" si="39"/>
        <v>-5.8292487483942255E-5</v>
      </c>
      <c r="BJ76" s="771">
        <f t="shared" si="39"/>
        <v>-3.3005427121041153E-4</v>
      </c>
      <c r="BK76" s="771"/>
      <c r="BL76" s="177" t="s">
        <v>947</v>
      </c>
      <c r="BM76" s="177" t="s">
        <v>948</v>
      </c>
    </row>
    <row r="77" spans="1:71" x14ac:dyDescent="0.25">
      <c r="A77" s="69"/>
      <c r="B77" s="27"/>
      <c r="C77" s="27"/>
      <c r="D77" s="69"/>
      <c r="E77" s="69"/>
      <c r="F77" s="69"/>
      <c r="G77" s="69"/>
      <c r="H77" s="69"/>
      <c r="J77" s="69"/>
      <c r="K77" s="69"/>
      <c r="L77" s="69"/>
      <c r="M77" s="69"/>
      <c r="N77" s="69"/>
      <c r="O77" s="69"/>
      <c r="P77" s="69"/>
      <c r="BD77" s="65"/>
      <c r="BE77" s="65"/>
      <c r="BF77" s="65"/>
      <c r="BG77" s="65"/>
      <c r="BH77" s="65"/>
      <c r="BI77" s="65"/>
      <c r="BJ77" s="65"/>
      <c r="BK77" s="65"/>
    </row>
    <row r="78" spans="1:71" ht="15" customHeight="1" x14ac:dyDescent="0.25">
      <c r="A78" s="199" t="str">
        <f>'Cost Allocation - Tier 1'!A67</f>
        <v>Corporate cost allocation (including mark ups)</v>
      </c>
      <c r="B78" s="653"/>
      <c r="C78" s="653"/>
      <c r="D78" s="656"/>
      <c r="E78" s="656"/>
      <c r="F78" s="659"/>
      <c r="G78" s="659"/>
      <c r="H78" s="659"/>
      <c r="I78" s="773"/>
      <c r="J78" s="774"/>
      <c r="K78" s="656"/>
      <c r="L78" s="659"/>
      <c r="M78" s="656"/>
      <c r="N78" s="656"/>
      <c r="O78" s="656"/>
      <c r="P78" s="656"/>
      <c r="Q78" s="656"/>
      <c r="R78" s="656"/>
      <c r="S78" s="656"/>
      <c r="T78" s="656"/>
      <c r="U78" s="656"/>
      <c r="V78" s="656"/>
      <c r="W78" s="656"/>
      <c r="X78" s="656"/>
      <c r="Y78" s="656"/>
      <c r="Z78" s="656"/>
      <c r="AA78" s="656"/>
      <c r="AB78" s="656"/>
      <c r="AC78" s="656"/>
      <c r="AD78" s="656"/>
      <c r="AE78" s="656"/>
      <c r="AF78" s="656"/>
      <c r="AG78" s="656"/>
      <c r="AH78" s="656"/>
      <c r="AI78" s="656"/>
      <c r="AJ78" s="656"/>
      <c r="AK78" s="656"/>
      <c r="AL78" s="656"/>
      <c r="AM78" s="656"/>
      <c r="AN78" s="656"/>
      <c r="AO78" s="656"/>
      <c r="AP78" s="656"/>
      <c r="AQ78" s="656"/>
      <c r="AR78" s="656"/>
      <c r="AS78" s="656"/>
      <c r="AT78" s="656"/>
      <c r="AU78" s="656"/>
      <c r="AV78" s="656"/>
      <c r="AW78" s="661"/>
      <c r="AX78" s="656"/>
      <c r="AY78" s="656"/>
      <c r="AZ78" s="656"/>
      <c r="BA78" s="656"/>
      <c r="BB78" s="656"/>
      <c r="BC78" s="658"/>
      <c r="BD78" s="656"/>
      <c r="BE78" s="656"/>
      <c r="BF78" s="656"/>
      <c r="BG78" s="656"/>
      <c r="BH78" s="656"/>
      <c r="BI78" s="656"/>
      <c r="BJ78" s="656"/>
      <c r="BK78" s="656"/>
    </row>
    <row r="79" spans="1:71" x14ac:dyDescent="0.25">
      <c r="A79" s="1"/>
      <c r="B79" s="653"/>
      <c r="C79" s="653"/>
      <c r="D79" s="656"/>
      <c r="E79" s="656"/>
      <c r="F79" s="656"/>
      <c r="G79" s="656"/>
      <c r="H79" s="656"/>
      <c r="I79" s="658"/>
      <c r="J79" s="661"/>
      <c r="K79" s="661"/>
      <c r="L79" s="661"/>
      <c r="M79" s="661"/>
      <c r="N79" s="661"/>
      <c r="O79" s="661"/>
      <c r="P79" s="661"/>
      <c r="Q79" s="661"/>
      <c r="R79" s="661"/>
      <c r="S79" s="661"/>
      <c r="T79" s="661"/>
      <c r="U79" s="661"/>
      <c r="V79" s="661"/>
      <c r="W79" s="661"/>
      <c r="X79" s="661"/>
      <c r="Y79" s="661"/>
      <c r="Z79" s="661"/>
      <c r="AA79" s="661"/>
      <c r="AB79" s="661"/>
      <c r="AC79" s="661"/>
      <c r="AD79" s="661"/>
      <c r="AE79" s="661"/>
      <c r="AF79" s="661"/>
      <c r="AG79" s="661"/>
      <c r="AH79" s="661"/>
      <c r="AI79" s="661"/>
      <c r="AJ79" s="661"/>
      <c r="AK79" s="661"/>
      <c r="AL79" s="661"/>
      <c r="AM79" s="661"/>
      <c r="AN79" s="661"/>
      <c r="AO79" s="661"/>
      <c r="AP79" s="661"/>
      <c r="AQ79" s="661"/>
      <c r="AR79" s="661"/>
      <c r="AS79" s="661"/>
      <c r="AT79" s="661"/>
      <c r="AU79" s="661"/>
      <c r="AV79" s="661"/>
      <c r="AW79" s="661"/>
      <c r="AX79" s="661"/>
      <c r="AY79" s="661"/>
      <c r="AZ79" s="661"/>
      <c r="BA79" s="661"/>
      <c r="BB79" s="661"/>
      <c r="BC79" s="658"/>
      <c r="BD79" s="656"/>
      <c r="BE79" s="656"/>
      <c r="BF79" s="656"/>
      <c r="BG79" s="656"/>
      <c r="BH79" s="656"/>
      <c r="BI79" s="656"/>
      <c r="BJ79" s="656"/>
      <c r="BK79" s="656"/>
    </row>
    <row r="80" spans="1:71" x14ac:dyDescent="0.25">
      <c r="A80" s="693" t="str">
        <f>'Cost Allocation - Tier 1'!A69</f>
        <v>6300 - BD ($Cdn)</v>
      </c>
      <c r="B80" s="693" t="str">
        <f>'Cost Allocation - Tier 1'!B69</f>
        <v>ALL</v>
      </c>
      <c r="C80" s="693" t="str">
        <f>'Cost Allocation - Tier 1'!C69</f>
        <v>Y</v>
      </c>
      <c r="D80" s="778">
        <f>'Cost Allocation - Tier 1'!D69</f>
        <v>1385820</v>
      </c>
      <c r="E80" s="778">
        <f>'Cost Allocation - Tier 1'!E69</f>
        <v>1044459.3504819758</v>
      </c>
      <c r="F80" s="778">
        <f>'Cost Allocation - Tier 1'!F69</f>
        <v>422923.05721154937</v>
      </c>
      <c r="G80" s="778">
        <f>'Cost Allocation - Tier 1'!G69</f>
        <v>1081751.5280782015</v>
      </c>
      <c r="H80" s="778">
        <f>'Cost Allocation - Tier 1'!H69</f>
        <v>0</v>
      </c>
      <c r="I80" s="688">
        <f>'Cost Allocation - Tier 1'!I69</f>
        <v>401977.1947055473</v>
      </c>
      <c r="J80" s="931">
        <f>'Cost Allocation - Tier 1'!J69</f>
        <v>2500.9860705461078</v>
      </c>
      <c r="K80" s="931">
        <f>'Cost Allocation - Tier 1'!K69</f>
        <v>742.03831025678642</v>
      </c>
      <c r="L80" s="931">
        <f>'Cost Allocation - Tier 1'!L69</f>
        <v>779.2527557091064</v>
      </c>
      <c r="M80" s="931">
        <f>'Cost Allocation - Tier 1'!M69</f>
        <v>744.58718850795503</v>
      </c>
      <c r="N80" s="931">
        <f>'Cost Allocation - Tier 1'!N69</f>
        <v>1303.7074461582906</v>
      </c>
      <c r="O80" s="931">
        <f>'Cost Allocation - Tier 1'!O69</f>
        <v>2984.6466321559101</v>
      </c>
      <c r="P80" s="931">
        <f>'Cost Allocation - Tier 1'!P69</f>
        <v>361.03340994818473</v>
      </c>
      <c r="Q80" s="931">
        <f>'Cost Allocation - Tier 1'!Q69</f>
        <v>955.87933167539995</v>
      </c>
      <c r="R80" s="931">
        <f>'Cost Allocation - Tier 1'!R69</f>
        <v>817.55397514017329</v>
      </c>
      <c r="S80" s="931">
        <f>'Cost Allocation - Tier 1'!S69</f>
        <v>841.08954593361466</v>
      </c>
      <c r="T80" s="931">
        <f>'Cost Allocation - Tier 1'!T69</f>
        <v>3046.4271424923859</v>
      </c>
      <c r="U80" s="931">
        <f>'Cost Allocation - Tier 1'!U69</f>
        <v>2432.2646042526662</v>
      </c>
      <c r="V80" s="931">
        <f>'Cost Allocation - Tier 1'!V69</f>
        <v>1930.3101011809265</v>
      </c>
      <c r="W80" s="931">
        <f>'Cost Allocation - Tier 1'!W69</f>
        <v>3095.37780885044</v>
      </c>
      <c r="X80" s="931">
        <f>'Cost Allocation - Tier 1'!X69</f>
        <v>76.551791983703822</v>
      </c>
      <c r="Y80" s="931">
        <f>'Cost Allocation - Tier 1'!Y69</f>
        <v>60.397442429267734</v>
      </c>
      <c r="Z80" s="931">
        <f>'Cost Allocation - Tier 1'!Z69</f>
        <v>292.10410263662982</v>
      </c>
      <c r="AA80" s="931">
        <f>'Cost Allocation - Tier 1'!AA69</f>
        <v>267.01446322757261</v>
      </c>
      <c r="AB80" s="931">
        <f>'Cost Allocation - Tier 1'!AB69</f>
        <v>160.65097802287329</v>
      </c>
      <c r="AC80" s="931">
        <f>'Cost Allocation - Tier 1'!AC69</f>
        <v>164.25866656095386</v>
      </c>
      <c r="AD80" s="931">
        <f>'Cost Allocation - Tier 1'!AD69</f>
        <v>931.59282304350882</v>
      </c>
      <c r="AE80" s="931">
        <f>'Cost Allocation - Tier 1'!AE69</f>
        <v>373.72502144135927</v>
      </c>
      <c r="AF80" s="931">
        <f>'Cost Allocation - Tier 1'!AF69</f>
        <v>972.29201129154785</v>
      </c>
      <c r="AG80" s="931">
        <f>'Cost Allocation - Tier 1'!AG69</f>
        <v>3018.9400963201369</v>
      </c>
      <c r="AH80" s="931">
        <f>'Cost Allocation - Tier 1'!AH69</f>
        <v>24742.012238331092</v>
      </c>
      <c r="AI80" s="931">
        <f>'Cost Allocation - Tier 1'!AI69</f>
        <v>171.75438573398915</v>
      </c>
      <c r="AJ80" s="931">
        <f>'Cost Allocation - Tier 1'!AJ69</f>
        <v>3643.8668669185922</v>
      </c>
      <c r="AK80" s="931">
        <f>'Cost Allocation - Tier 1'!AK69</f>
        <v>3133.5261619562066</v>
      </c>
      <c r="AL80" s="931">
        <f>'Cost Allocation - Tier 1'!AL69</f>
        <v>0</v>
      </c>
      <c r="AM80" s="931">
        <f>'Cost Allocation - Tier 1'!AM69</f>
        <v>382.44436797241468</v>
      </c>
      <c r="AN80" s="931">
        <f>'Cost Allocation - Tier 1'!AN69</f>
        <v>646.61152669279977</v>
      </c>
      <c r="AO80" s="931">
        <f>'Cost Allocation - Tier 1'!AO69</f>
        <v>3809.8968049035643</v>
      </c>
      <c r="AP80" s="931">
        <f>'Cost Allocation - Tier 1'!AP69</f>
        <v>577.09658971013187</v>
      </c>
      <c r="AQ80" s="931">
        <f>'Cost Allocation - Tier 1'!AQ69</f>
        <v>3620.2988696464322</v>
      </c>
      <c r="AR80" s="931">
        <f>'Cost Allocation - Tier 1'!AR69</f>
        <v>10.950451869213799</v>
      </c>
      <c r="AS80" s="931">
        <f>'Cost Allocation - Tier 1'!AS69</f>
        <v>5335.7323089793181</v>
      </c>
      <c r="AT80" s="931">
        <f>'Cost Allocation - Tier 1'!AT69</f>
        <v>4426.0971571226601</v>
      </c>
      <c r="AU80" s="931">
        <f>'Cost Allocation - Tier 1'!AU69</f>
        <v>6189.1598988351343</v>
      </c>
      <c r="AV80" s="931">
        <f>'Cost Allocation - Tier 1'!AV69</f>
        <v>8697.98582449692</v>
      </c>
      <c r="AW80" s="931">
        <f>'Cost Allocation - Tier 1'!AW69</f>
        <v>22277.562520793916</v>
      </c>
      <c r="AX80" s="931">
        <f>'Cost Allocation - Tier 1'!AX69</f>
        <v>232.30125255276607</v>
      </c>
      <c r="AY80" s="931">
        <f>'Cost Allocation - Tier 1'!AY69</f>
        <v>74222.693696478047</v>
      </c>
      <c r="AZ80" s="931">
        <f>'Cost Allocation - Tier 1'!AZ69</f>
        <v>2496.1209623993727</v>
      </c>
      <c r="BA80" s="931">
        <f>'Cost Allocation - Tier 1'!BA69</f>
        <v>45008.783960511835</v>
      </c>
      <c r="BB80" s="931">
        <f>'Cost Allocation - Tier 1'!BB69</f>
        <v>163499.6171398774</v>
      </c>
      <c r="BC80" s="688">
        <f>'Cost Allocation - Tier 1'!BC69</f>
        <v>669768.08688379603</v>
      </c>
      <c r="BD80" s="932">
        <f>($BC$80-$BK$80)*(VLOOKUP('Cost Allocation - Tier 2'!BD2,'RU Composites'!$B$5:$L$12,11,FALSE))</f>
        <v>106691.69492881943</v>
      </c>
      <c r="BE80" s="932">
        <f>($BC$80-$BK$80)*(VLOOKUP('Cost Allocation - Tier 2'!BE2,'RU Composites'!$B$5:$L$12,11,FALSE))</f>
        <v>99178.938740254569</v>
      </c>
      <c r="BF80" s="932">
        <f>($BC$80-$BK$80)*(VLOOKUP('Cost Allocation - Tier 2'!BF2,'RU Composites'!$B$5:$L$12,11,FALSE))</f>
        <v>56019.78884022023</v>
      </c>
      <c r="BG80" s="932">
        <f>($BC$80-$BK$80)*(VLOOKUP('Cost Allocation - Tier 2'!BG2,'RU Composites'!$B$5:$L$12,11,FALSE))</f>
        <v>125539.64700494971</v>
      </c>
      <c r="BH80" s="932">
        <f>($BC$80-$BK$80)*(VLOOKUP('Cost Allocation - Tier 2'!BH2,'RU Composites'!$B$5:$L$12,11,FALSE))</f>
        <v>93999.430221183502</v>
      </c>
      <c r="BI80" s="932">
        <f>($BC$80-$BK$80)*(VLOOKUP('Cost Allocation - Tier 2'!BI2,'RU Composites'!$B$5:$L$12,11,FALSE))</f>
        <v>61735.209886962439</v>
      </c>
      <c r="BJ80" s="932">
        <f>($BC$80-$BK$80)*(VLOOKUP('Cost Allocation - Tier 2'!BJ2,'RU Composites'!$B$5:$L$12,11,FALSE))</f>
        <v>19587.793086553229</v>
      </c>
      <c r="BK80" s="931">
        <f>'Cost Allocation - Tier 1'!BK69</f>
        <v>107015.58417485295</v>
      </c>
      <c r="BL80" s="76">
        <f>BC80+I80+H80</f>
        <v>1071745.2815893432</v>
      </c>
      <c r="BM80" s="76">
        <f>BL80-G80</f>
        <v>-10006.246488858247</v>
      </c>
      <c r="BN80" s="76">
        <f>SUM(BD80:BK80)-'Cost Allocation - Tier 1'!BC69</f>
        <v>0</v>
      </c>
    </row>
    <row r="81" spans="1:98" x14ac:dyDescent="0.25">
      <c r="A81" s="693" t="str">
        <f>'Cost Allocation - Tier 1'!A70</f>
        <v>6300 - BD ($Usd)</v>
      </c>
      <c r="B81" s="693" t="str">
        <f>'Cost Allocation - Tier 1'!B70</f>
        <v>ALL</v>
      </c>
      <c r="C81" s="693" t="str">
        <f>'Cost Allocation - Tier 1'!C70</f>
        <v>Y</v>
      </c>
      <c r="D81" s="778">
        <f>'Cost Allocation - Tier 1'!D70</f>
        <v>626121.78918999992</v>
      </c>
      <c r="E81" s="778">
        <f>'Cost Allocation - Tier 1'!E70</f>
        <v>471893</v>
      </c>
      <c r="F81" s="778">
        <f>'Cost Allocation - Tier 1'!F70</f>
        <v>0</v>
      </c>
      <c r="G81" s="778">
        <f>'Cost Allocation - Tier 1'!G70</f>
        <v>500206.58</v>
      </c>
      <c r="H81" s="778">
        <f>'Cost Allocation - Tier 1'!H70</f>
        <v>0</v>
      </c>
      <c r="I81" s="688">
        <f>'Cost Allocation - Tier 1'!I70</f>
        <v>182884.63919767991</v>
      </c>
      <c r="J81" s="931">
        <f>'Cost Allocation - Tier 1'!J70</f>
        <v>1197.7581400350498</v>
      </c>
      <c r="K81" s="931">
        <f>'Cost Allocation - Tier 1'!K70</f>
        <v>355.37280147020078</v>
      </c>
      <c r="L81" s="931">
        <f>'Cost Allocation - Tier 1'!L70</f>
        <v>373.19533374750915</v>
      </c>
      <c r="M81" s="931">
        <f>'Cost Allocation - Tier 1'!M70</f>
        <v>356.59349586320428</v>
      </c>
      <c r="N81" s="931">
        <f>'Cost Allocation - Tier 1'!N70</f>
        <v>624.36421547898851</v>
      </c>
      <c r="O81" s="931">
        <f>'Cost Allocation - Tier 1'!O70</f>
        <v>1429.3901277156401</v>
      </c>
      <c r="P81" s="931">
        <f>'Cost Allocation - Tier 1'!P70</f>
        <v>172.9040839862115</v>
      </c>
      <c r="Q81" s="931">
        <f>'Cost Allocation - Tier 1'!Q70</f>
        <v>457.78433710167513</v>
      </c>
      <c r="R81" s="931">
        <f>'Cost Allocation - Tier 1'!R70</f>
        <v>391.53833768787564</v>
      </c>
      <c r="S81" s="931">
        <f>'Cost Allocation - Tier 1'!S70</f>
        <v>402.80986048050767</v>
      </c>
      <c r="T81" s="931">
        <f>'Cost Allocation - Tier 1'!T70</f>
        <v>1458.977701202155</v>
      </c>
      <c r="U81" s="931">
        <f>'Cost Allocation - Tier 1'!U70</f>
        <v>1164.8464430778008</v>
      </c>
      <c r="V81" s="931">
        <f>'Cost Allocation - Tier 1'!V70</f>
        <v>924.45322415429678</v>
      </c>
      <c r="W81" s="931">
        <f>'Cost Allocation - Tier 1'!W70</f>
        <v>1482.4208781878217</v>
      </c>
      <c r="X81" s="931">
        <f>'Cost Allocation - Tier 1'!X70</f>
        <v>36.661752363430736</v>
      </c>
      <c r="Y81" s="931">
        <f>'Cost Allocation - Tier 1'!Y70</f>
        <v>28.92520240672809</v>
      </c>
      <c r="Z81" s="931">
        <f>'Cost Allocation - Tier 1'!Z70</f>
        <v>139.89284898106627</v>
      </c>
      <c r="AA81" s="931">
        <f>'Cost Allocation - Tier 1'!AA70</f>
        <v>127.87706041404695</v>
      </c>
      <c r="AB81" s="931">
        <f>'Cost Allocation - Tier 1'!AB70</f>
        <v>76.938060110615439</v>
      </c>
      <c r="AC81" s="931">
        <f>'Cost Allocation - Tier 1'!AC70</f>
        <v>78.665833953135717</v>
      </c>
      <c r="AD81" s="931">
        <f>'Cost Allocation - Tier 1'!AD70</f>
        <v>446.15317939573589</v>
      </c>
      <c r="AE81" s="931">
        <f>'Cost Allocation - Tier 1'!AE70</f>
        <v>178.98227896503954</v>
      </c>
      <c r="AF81" s="931">
        <f>'Cost Allocation - Tier 1'!AF70</f>
        <v>465.64460503420941</v>
      </c>
      <c r="AG81" s="931">
        <f>'Cost Allocation - Tier 1'!AG70</f>
        <v>1445.8137601126543</v>
      </c>
      <c r="AH81" s="931">
        <f>'Cost Allocation - Tier 1'!AH70</f>
        <v>11849.304923492389</v>
      </c>
      <c r="AI81" s="931">
        <f>'Cost Allocation - Tier 1'!AI70</f>
        <v>82.255641493710868</v>
      </c>
      <c r="AJ81" s="931">
        <f>'Cost Allocation - Tier 1'!AJ70</f>
        <v>1745.1001636737399</v>
      </c>
      <c r="AK81" s="931">
        <f>'Cost Allocation - Tier 1'!AK70</f>
        <v>1500.6906722500437</v>
      </c>
      <c r="AL81" s="931">
        <f>'Cost Allocation - Tier 1'!AL70</f>
        <v>0</v>
      </c>
      <c r="AM81" s="931">
        <f>'Cost Allocation - Tier 1'!AM70</f>
        <v>183.15809921704019</v>
      </c>
      <c r="AN81" s="931">
        <f>'Cost Allocation - Tier 1'!AN70</f>
        <v>309.67154461907006</v>
      </c>
      <c r="AO81" s="931">
        <f>'Cost Allocation - Tier 1'!AO70</f>
        <v>1824.6142849449518</v>
      </c>
      <c r="AP81" s="931">
        <f>'Cost Allocation - Tier 1'!AP70</f>
        <v>276.37984315556162</v>
      </c>
      <c r="AQ81" s="931">
        <f>'Cost Allocation - Tier 1'!AQ70</f>
        <v>1733.8131113748484</v>
      </c>
      <c r="AR81" s="931">
        <f>'Cost Allocation - Tier 1'!AR70</f>
        <v>5.2443286341650373</v>
      </c>
      <c r="AS81" s="931">
        <f>'Cost Allocation - Tier 1'!AS70</f>
        <v>2555.3588168255919</v>
      </c>
      <c r="AT81" s="931">
        <f>'Cost Allocation - Tier 1'!AT70</f>
        <v>2119.7214814443414</v>
      </c>
      <c r="AU81" s="931">
        <f>'Cost Allocation - Tier 1'!AU70</f>
        <v>2964.0775436984263</v>
      </c>
      <c r="AV81" s="931">
        <f>'Cost Allocation - Tier 1'!AV70</f>
        <v>4165.5903029183191</v>
      </c>
      <c r="AW81" s="931">
        <f>'Cost Allocation - Tier 1'!AW70</f>
        <v>10669.044567527</v>
      </c>
      <c r="AX81" s="931">
        <f>'Cost Allocation - Tier 1'!AX70</f>
        <v>111.25240538611141</v>
      </c>
      <c r="AY81" s="931">
        <f>'Cost Allocation - Tier 1'!AY70</f>
        <v>32378.202098532271</v>
      </c>
      <c r="AZ81" s="931">
        <f>'Cost Allocation - Tier 1'!AZ70</f>
        <v>1088.8840724839492</v>
      </c>
      <c r="BA81" s="931">
        <f>'Cost Allocation - Tier 1'!BA70</f>
        <v>19634.203916689443</v>
      </c>
      <c r="BB81" s="931">
        <f>'Cost Allocation - Tier 1'!BB70</f>
        <v>73870.107817393335</v>
      </c>
      <c r="BC81" s="688">
        <f>'Cost Allocation - Tier 1'!BC70</f>
        <v>292173.2612528436</v>
      </c>
      <c r="BD81" s="932">
        <f>($BC$81-$BK$81)*(VLOOKUP('Cost Allocation - Tier 2'!BD2,'RU Composites'!$B$5:$L$12,11,FALSE))</f>
        <v>46542.170441385977</v>
      </c>
      <c r="BE81" s="932">
        <f>($BC$81-$BK$81)*(VLOOKUP('Cost Allocation - Tier 2'!BE2,'RU Composites'!$B$5:$L$12,11,FALSE))</f>
        <v>43264.877122107071</v>
      </c>
      <c r="BF81" s="932">
        <f>($BC$81-$BK$81)*(VLOOKUP('Cost Allocation - Tier 2'!BF2,'RU Composites'!$B$5:$L$12,11,FALSE))</f>
        <v>24437.539979390713</v>
      </c>
      <c r="BG81" s="932">
        <f>($BC$81-$BK$81)*(VLOOKUP('Cost Allocation - Tier 2'!BG2,'RU Composites'!$B$5:$L$12,11,FALSE))</f>
        <v>54764.22182583141</v>
      </c>
      <c r="BH81" s="932">
        <f>($BC$81-$BK$81)*(VLOOKUP('Cost Allocation - Tier 2'!BH2,'RU Composites'!$B$5:$L$12,11,FALSE))</f>
        <v>41005.417578812296</v>
      </c>
      <c r="BI81" s="932">
        <f>($BC$81-$BK$81)*(VLOOKUP('Cost Allocation - Tier 2'!BI2,'RU Composites'!$B$5:$L$12,11,FALSE))</f>
        <v>26930.780907648816</v>
      </c>
      <c r="BJ81" s="932">
        <f>($BC$81-$BK$81)*(VLOOKUP('Cost Allocation - Tier 2'!BJ2,'RU Composites'!$B$5:$L$12,11,FALSE))</f>
        <v>8544.7925915244414</v>
      </c>
      <c r="BK81" s="931">
        <f>'Cost Allocation - Tier 1'!BK70</f>
        <v>46683.460806142873</v>
      </c>
      <c r="BL81" s="76">
        <f t="shared" ref="BL81:BL96" si="40">BC81+I81+H81</f>
        <v>475057.90045052348</v>
      </c>
      <c r="BM81" s="76">
        <f t="shared" ref="BM81:BM96" si="41">BL81-G81</f>
        <v>-25148.679549476539</v>
      </c>
      <c r="BN81" s="76">
        <f>SUM(BD81:BK81)-'Cost Allocation - Tier 1'!BC70</f>
        <v>0</v>
      </c>
    </row>
    <row r="82" spans="1:98" x14ac:dyDescent="0.25">
      <c r="A82" s="693" t="str">
        <f>'Cost Allocation - Tier 1'!A71</f>
        <v>7501 - Corp Communications</v>
      </c>
      <c r="B82" s="693" t="str">
        <f>'Cost Allocation - Tier 1'!B71</f>
        <v>ALL</v>
      </c>
      <c r="C82" s="693" t="str">
        <f>'Cost Allocation - Tier 1'!C71</f>
        <v>Y</v>
      </c>
      <c r="D82" s="778">
        <f>'Cost Allocation - Tier 1'!D71</f>
        <v>375022</v>
      </c>
      <c r="E82" s="778">
        <f>'Cost Allocation - Tier 1'!E71</f>
        <v>282645.10148248082</v>
      </c>
      <c r="F82" s="778">
        <f>'Cost Allocation - Tier 1'!F71</f>
        <v>24702.486377305308</v>
      </c>
      <c r="G82" s="778">
        <f>'Cost Allocation - Tier 1'!G71</f>
        <v>298121.65838879137</v>
      </c>
      <c r="H82" s="778">
        <f>'Cost Allocation - Tier 1'!H71</f>
        <v>0</v>
      </c>
      <c r="I82" s="688">
        <f>'Cost Allocation - Tier 1'!I71</f>
        <v>109386.51121003248</v>
      </c>
      <c r="J82" s="931">
        <f>'Cost Allocation - Tier 1'!J71</f>
        <v>676.80131485210381</v>
      </c>
      <c r="K82" s="931">
        <f>'Cost Allocation - Tier 1'!K71</f>
        <v>200.8057981477541</v>
      </c>
      <c r="L82" s="931">
        <f>'Cost Allocation - Tier 1'!L71</f>
        <v>210.87654020835356</v>
      </c>
      <c r="M82" s="931">
        <f>'Cost Allocation - Tier 1'!M71</f>
        <v>201.49555974703088</v>
      </c>
      <c r="N82" s="931">
        <f>'Cost Allocation - Tier 1'!N71</f>
        <v>352.80121074394549</v>
      </c>
      <c r="O82" s="931">
        <f>'Cost Allocation - Tier 1'!O71</f>
        <v>807.68653164507214</v>
      </c>
      <c r="P82" s="931">
        <f>'Cost Allocation - Tier 1'!P71</f>
        <v>97.700618742396671</v>
      </c>
      <c r="Q82" s="931">
        <f>'Cost Allocation - Tier 1'!Q71</f>
        <v>258.67412703206179</v>
      </c>
      <c r="R82" s="931">
        <f>'Cost Allocation - Tier 1'!R71</f>
        <v>221.24137829228766</v>
      </c>
      <c r="S82" s="931">
        <f>'Cost Allocation - Tier 1'!S71</f>
        <v>227.61042826277298</v>
      </c>
      <c r="T82" s="931">
        <f>'Cost Allocation - Tier 1'!T71</f>
        <v>824.40518958579003</v>
      </c>
      <c r="U82" s="931">
        <f>'Cost Allocation - Tier 1'!U71</f>
        <v>658.20433852595829</v>
      </c>
      <c r="V82" s="931">
        <f>'Cost Allocation - Tier 1'!V71</f>
        <v>522.36852893238188</v>
      </c>
      <c r="W82" s="931">
        <f>'Cost Allocation - Tier 1'!W71</f>
        <v>837.65191484515299</v>
      </c>
      <c r="X82" s="931">
        <f>'Cost Allocation - Tier 1'!X71</f>
        <v>20.715970424234445</v>
      </c>
      <c r="Y82" s="931">
        <f>'Cost Allocation - Tier 1'!Y71</f>
        <v>16.344380694973985</v>
      </c>
      <c r="Z82" s="931">
        <f>'Cost Allocation - Tier 1'!Z71</f>
        <v>79.047397770990599</v>
      </c>
      <c r="AA82" s="931">
        <f>'Cost Allocation - Tier 1'!AA71</f>
        <v>72.257795405269619</v>
      </c>
      <c r="AB82" s="931">
        <f>'Cost Allocation - Tier 1'!AB71</f>
        <v>43.474369745056357</v>
      </c>
      <c r="AC82" s="931">
        <f>'Cost Allocation - Tier 1'!AC71</f>
        <v>44.450660007087528</v>
      </c>
      <c r="AD82" s="931">
        <f>'Cost Allocation - Tier 1'!AD71</f>
        <v>252.101862928391</v>
      </c>
      <c r="AE82" s="931">
        <f>'Cost Allocation - Tier 1'!AE71</f>
        <v>101.13514380726316</v>
      </c>
      <c r="AF82" s="931">
        <f>'Cost Allocation - Tier 1'!AF71</f>
        <v>263.11562443793485</v>
      </c>
      <c r="AG82" s="931">
        <f>'Cost Allocation - Tier 1'!AG71</f>
        <v>816.96681589396201</v>
      </c>
      <c r="AH82" s="931">
        <f>'Cost Allocation - Tier 1'!AH71</f>
        <v>6695.5296601603404</v>
      </c>
      <c r="AI82" s="931">
        <f>'Cost Allocation - Tier 1'!AI71</f>
        <v>46.479104967984362</v>
      </c>
      <c r="AJ82" s="931">
        <f>'Cost Allocation - Tier 1'!AJ71</f>
        <v>986.08061664974116</v>
      </c>
      <c r="AK82" s="931">
        <f>'Cost Allocation - Tier 1'!AK71</f>
        <v>847.97538519370516</v>
      </c>
      <c r="AL82" s="931">
        <f>'Cost Allocation - Tier 1'!AL71</f>
        <v>0</v>
      </c>
      <c r="AM82" s="931">
        <f>'Cost Allocation - Tier 1'!AM71</f>
        <v>103.49471920289136</v>
      </c>
      <c r="AN82" s="931">
        <f>'Cost Allocation - Tier 1'!AN71</f>
        <v>174.98199474923669</v>
      </c>
      <c r="AO82" s="931">
        <f>'Cost Allocation - Tier 1'!AO71</f>
        <v>1031.0106071268597</v>
      </c>
      <c r="AP82" s="931">
        <f>'Cost Allocation - Tier 1'!AP71</f>
        <v>156.1702943140329</v>
      </c>
      <c r="AQ82" s="931">
        <f>'Cost Allocation - Tier 1'!AQ71</f>
        <v>979.70279162701104</v>
      </c>
      <c r="AR82" s="931">
        <f>'Cost Allocation - Tier 1'!AR71</f>
        <v>2.9633432631195236</v>
      </c>
      <c r="AS82" s="931">
        <f>'Cost Allocation - Tier 1'!AS71</f>
        <v>1443.9227330952376</v>
      </c>
      <c r="AT82" s="931">
        <f>'Cost Allocation - Tier 1'!AT71</f>
        <v>1197.7629187473513</v>
      </c>
      <c r="AU82" s="931">
        <f>'Cost Allocation - Tier 1'!AU71</f>
        <v>1674.8720061631018</v>
      </c>
      <c r="AV82" s="931">
        <f>'Cost Allocation - Tier 1'!AV71</f>
        <v>2353.7948939072057</v>
      </c>
      <c r="AW82" s="931">
        <f>'Cost Allocation - Tier 1'!AW71</f>
        <v>6028.6155862039632</v>
      </c>
      <c r="AX82" s="931">
        <f>'Cost Allocation - Tier 1'!AX71</f>
        <v>62.863921963056846</v>
      </c>
      <c r="AY82" s="931">
        <f>'Cost Allocation - Tier 1'!AY71</f>
        <v>20455.152556325025</v>
      </c>
      <c r="AZ82" s="931">
        <f>'Cost Allocation - Tier 1'!AZ71</f>
        <v>687.91002511598151</v>
      </c>
      <c r="BA82" s="931">
        <f>'Cost Allocation - Tier 1'!BA71</f>
        <v>12404.043782779485</v>
      </c>
      <c r="BB82" s="931">
        <f>'Cost Allocation - Tier 1'!BB71</f>
        <v>44245.250767798927</v>
      </c>
      <c r="BC82" s="688">
        <f>'Cost Allocation - Tier 1'!BC71</f>
        <v>184582.4735301421</v>
      </c>
      <c r="BD82" s="932">
        <f>($BC$82-$BK$82)*(VLOOKUP('Cost Allocation - Tier 2'!BD2,'RU Composites'!$B$5:$L$12,11,FALSE))</f>
        <v>29403.337275610738</v>
      </c>
      <c r="BE82" s="932">
        <f>($BC$82-$BK$82)*(VLOOKUP('Cost Allocation - Tier 2'!BE2,'RU Composites'!$B$5:$L$12,11,FALSE))</f>
        <v>27332.884610769484</v>
      </c>
      <c r="BF82" s="932">
        <f>($BC$82-$BK$82)*(VLOOKUP('Cost Allocation - Tier 2'!BF2,'RU Composites'!$B$5:$L$12,11,FALSE))</f>
        <v>15438.584479105119</v>
      </c>
      <c r="BG82" s="932">
        <f>($BC$82-$BK$82)*(VLOOKUP('Cost Allocation - Tier 2'!BG2,'RU Composites'!$B$5:$L$12,11,FALSE))</f>
        <v>34597.674962520126</v>
      </c>
      <c r="BH82" s="932">
        <f>($BC$82-$BK$82)*(VLOOKUP('Cost Allocation - Tier 2'!BH2,'RU Composites'!$B$5:$L$12,11,FALSE))</f>
        <v>25905.455456047075</v>
      </c>
      <c r="BI82" s="932">
        <f>($BC$82-$BK$82)*(VLOOKUP('Cost Allocation - Tier 2'!BI2,'RU Composites'!$B$5:$L$12,11,FALSE))</f>
        <v>17013.70663666015</v>
      </c>
      <c r="BJ82" s="932">
        <f>($BC$82-$BK$82)*(VLOOKUP('Cost Allocation - Tier 2'!BJ2,'RU Composites'!$B$5:$L$12,11,FALSE))</f>
        <v>5398.2316711066405</v>
      </c>
      <c r="BK82" s="931">
        <f>'Cost Allocation - Tier 1'!BK71</f>
        <v>29492.598438322791</v>
      </c>
      <c r="BL82" s="76">
        <f t="shared" si="40"/>
        <v>293968.98474017461</v>
      </c>
      <c r="BM82" s="76">
        <f t="shared" si="41"/>
        <v>-4152.6736486167647</v>
      </c>
      <c r="BN82" s="76">
        <f>SUM(BD82:BK82)-'Cost Allocation - Tier 1'!BC71</f>
        <v>0</v>
      </c>
    </row>
    <row r="83" spans="1:98" x14ac:dyDescent="0.25">
      <c r="A83" s="693" t="str">
        <f>'Cost Allocation - Tier 1'!A72</f>
        <v xml:space="preserve">8000 - Corporate Functions </v>
      </c>
      <c r="B83" s="693" t="str">
        <f>'Cost Allocation - Tier 1'!B72</f>
        <v>ALL + TRIBUS</v>
      </c>
      <c r="C83" s="693" t="str">
        <f>'Cost Allocation - Tier 1'!C72</f>
        <v>Y</v>
      </c>
      <c r="D83" s="778">
        <f>'Cost Allocation - Tier 1'!D72</f>
        <v>4493149.1499999994</v>
      </c>
      <c r="E83" s="778">
        <f>'Cost Allocation - Tier 1'!E72</f>
        <v>3386378.925710151</v>
      </c>
      <c r="F83" s="778">
        <f>'Cost Allocation - Tier 1'!F72</f>
        <v>670672.9573494721</v>
      </c>
      <c r="G83" s="778">
        <f>'Cost Allocation - Tier 1'!G72</f>
        <v>3549321.2838117918</v>
      </c>
      <c r="H83" s="778">
        <f>'Cost Allocation - Tier 1'!H72</f>
        <v>70986.425676235842</v>
      </c>
      <c r="I83" s="688">
        <f>'Cost Allocation - Tier 1'!I72</f>
        <v>1281872.2751716641</v>
      </c>
      <c r="J83" s="931">
        <f>'Cost Allocation - Tier 1'!J72</f>
        <v>7946.6001127818636</v>
      </c>
      <c r="K83" s="931">
        <f>'Cost Allocation - Tier 1'!K72</f>
        <v>2357.7427277263728</v>
      </c>
      <c r="L83" s="931">
        <f>'Cost Allocation - Tier 1'!L72</f>
        <v>2475.987415256338</v>
      </c>
      <c r="M83" s="931">
        <f>'Cost Allocation - Tier 1'!M72</f>
        <v>2365.8414998214048</v>
      </c>
      <c r="N83" s="931">
        <f>'Cost Allocation - Tier 1'!N72</f>
        <v>4142.3828227935073</v>
      </c>
      <c r="O83" s="931">
        <f>'Cost Allocation - Tier 1'!O72</f>
        <v>9483.3767940679572</v>
      </c>
      <c r="P83" s="931">
        <f>'Cost Allocation - Tier 1'!P72</f>
        <v>1147.1427889983418</v>
      </c>
      <c r="Q83" s="931">
        <f>'Cost Allocation - Tier 1'!Q72</f>
        <v>3037.1983652187823</v>
      </c>
      <c r="R83" s="931">
        <f>'Cost Allocation - Tier 1'!R72</f>
        <v>2597.6852040745453</v>
      </c>
      <c r="S83" s="931">
        <f>'Cost Allocation - Tier 1'!S72</f>
        <v>2672.4668159052376</v>
      </c>
      <c r="T83" s="931">
        <f>'Cost Allocation - Tier 1'!T72</f>
        <v>9679.6773717438482</v>
      </c>
      <c r="U83" s="931">
        <f>'Cost Allocation - Tier 1'!U72</f>
        <v>7728.2454333098776</v>
      </c>
      <c r="V83" s="931">
        <f>'Cost Allocation - Tier 1'!V72</f>
        <v>6133.3418240105811</v>
      </c>
      <c r="W83" s="931">
        <f>'Cost Allocation - Tier 1'!W72</f>
        <v>9835.2125725923361</v>
      </c>
      <c r="X83" s="931">
        <f>'Cost Allocation - Tier 1'!X72</f>
        <v>243.23465291372943</v>
      </c>
      <c r="Y83" s="931">
        <f>'Cost Allocation - Tier 1'!Y72</f>
        <v>191.90603597218504</v>
      </c>
      <c r="Z83" s="931">
        <f>'Cost Allocation - Tier 1'!Z72</f>
        <v>928.12771822012974</v>
      </c>
      <c r="AA83" s="931">
        <f>'Cost Allocation - Tier 1'!AA72</f>
        <v>848.40822929305432</v>
      </c>
      <c r="AB83" s="931">
        <f>'Cost Allocation - Tier 1'!AB72</f>
        <v>510.45029602916611</v>
      </c>
      <c r="AC83" s="931">
        <f>'Cost Allocation - Tier 1'!AC72</f>
        <v>521.91331794729001</v>
      </c>
      <c r="AD83" s="931">
        <f>'Cost Allocation - Tier 1'!AD72</f>
        <v>2960.0307334170102</v>
      </c>
      <c r="AE83" s="931">
        <f>'Cost Allocation - Tier 1'!AE72</f>
        <v>1187.4689477526053</v>
      </c>
      <c r="AF83" s="931">
        <f>'Cost Allocation - Tier 1'!AF72</f>
        <v>3089.3477966869291</v>
      </c>
      <c r="AG83" s="931">
        <f>'Cost Allocation - Tier 1'!AG72</f>
        <v>9592.3403942273198</v>
      </c>
      <c r="AH83" s="931">
        <f>'Cost Allocation - Tier 1'!AH72</f>
        <v>78614.94294553982</v>
      </c>
      <c r="AI83" s="931">
        <f>'Cost Allocation - Tier 1'!AI72</f>
        <v>545.73011705997646</v>
      </c>
      <c r="AJ83" s="931">
        <f>'Cost Allocation - Tier 1'!AJ72</f>
        <v>11577.974462406564</v>
      </c>
      <c r="AK83" s="931">
        <f>'Cost Allocation - Tier 1'!AK72</f>
        <v>9956.4246459672722</v>
      </c>
      <c r="AL83" s="931">
        <f>'Cost Allocation - Tier 1'!AL72</f>
        <v>0</v>
      </c>
      <c r="AM83" s="931">
        <f>'Cost Allocation - Tier 1'!AM72</f>
        <v>1215.1736842735645</v>
      </c>
      <c r="AN83" s="931">
        <f>'Cost Allocation - Tier 1'!AN72</f>
        <v>2054.5349258266992</v>
      </c>
      <c r="AO83" s="931">
        <f>'Cost Allocation - Tier 1'!AO72</f>
        <v>12105.515794785299</v>
      </c>
      <c r="AP83" s="931">
        <f>'Cost Allocation - Tier 1'!AP72</f>
        <v>1833.6590830652594</v>
      </c>
      <c r="AQ83" s="931">
        <f>'Cost Allocation - Tier 1'!AQ72</f>
        <v>11503.089819110613</v>
      </c>
      <c r="AR83" s="931">
        <f>'Cost Allocation - Tier 1'!AR72</f>
        <v>34.793821158670255</v>
      </c>
      <c r="AS83" s="931">
        <f>'Cost Allocation - Tier 1'!AS72</f>
        <v>16953.685375404886</v>
      </c>
      <c r="AT83" s="931">
        <f>'Cost Allocation - Tier 1'!AT72</f>
        <v>14063.422656446171</v>
      </c>
      <c r="AU83" s="931">
        <f>'Cost Allocation - Tier 1'!AU72</f>
        <v>19665.354929133555</v>
      </c>
      <c r="AV83" s="931">
        <f>'Cost Allocation - Tier 1'!AV72</f>
        <v>27636.865294027633</v>
      </c>
      <c r="AW83" s="931">
        <f>'Cost Allocation - Tier 1'!AW72</f>
        <v>70784.432958313118</v>
      </c>
      <c r="AX83" s="931">
        <f>'Cost Allocation - Tier 1'!AX72</f>
        <v>738.11093211410446</v>
      </c>
      <c r="AY83" s="931">
        <f>'Cost Allocation - Tier 1'!AY72</f>
        <v>238660.52050588292</v>
      </c>
      <c r="AZ83" s="931">
        <f>'Cost Allocation - Tier 1'!AZ72</f>
        <v>8026.1911615334911</v>
      </c>
      <c r="BA83" s="931">
        <f>'Cost Allocation - Tier 1'!BA72</f>
        <v>144724.19784816165</v>
      </c>
      <c r="BB83" s="931">
        <f>'Cost Allocation - Tier 1'!BB72</f>
        <v>519501.52434069227</v>
      </c>
      <c r="BC83" s="688">
        <f>'Cost Allocation - Tier 1'!BC72</f>
        <v>2153616.2630742826</v>
      </c>
      <c r="BD83" s="932">
        <f>($BC$83-$BK$83)*(VLOOKUP('Cost Allocation - Tier 2'!BD2,'RU Composites'!$B$5:$L$12,11,FALSE))</f>
        <v>343063.47799089865</v>
      </c>
      <c r="BE83" s="932">
        <f>($BC$83-$BK$83)*(VLOOKUP('Cost Allocation - Tier 2'!BE2,'RU Composites'!$B$5:$L$12,11,FALSE))</f>
        <v>318906.46868416475</v>
      </c>
      <c r="BF83" s="932">
        <f>($BC$83-$BK$83)*(VLOOKUP('Cost Allocation - Tier 2'!BF2,'RU Composites'!$B$5:$L$12,11,FALSE))</f>
        <v>180129.70558452015</v>
      </c>
      <c r="BG83" s="932">
        <f>($BC$83-$BK$83)*(VLOOKUP('Cost Allocation - Tier 2'!BG2,'RU Composites'!$B$5:$L$12,11,FALSE))</f>
        <v>403668.42007713066</v>
      </c>
      <c r="BH83" s="932">
        <f>($BC$83-$BK$83)*(VLOOKUP('Cost Allocation - Tier 2'!BH2,'RU Composites'!$B$5:$L$12,11,FALSE))</f>
        <v>302251.93706367182</v>
      </c>
      <c r="BI83" s="932">
        <f>($BC$83-$BK$83)*(VLOOKUP('Cost Allocation - Tier 2'!BI2,'RU Composites'!$B$5:$L$12,11,FALSE))</f>
        <v>198507.44551812886</v>
      </c>
      <c r="BJ83" s="932">
        <f>($BC$83-$BK$83)*(VLOOKUP('Cost Allocation - Tier 2'!BJ2,'RU Composites'!$B$5:$L$12,11,FALSE))</f>
        <v>62983.875426501174</v>
      </c>
      <c r="BK83" s="931">
        <f>'Cost Allocation - Tier 1'!BK72</f>
        <v>344104.93272926653</v>
      </c>
      <c r="BL83" s="76">
        <f t="shared" si="40"/>
        <v>3506474.9639221826</v>
      </c>
      <c r="BM83" s="76">
        <f t="shared" si="41"/>
        <v>-42846.319889609236</v>
      </c>
      <c r="BN83" s="76">
        <f>SUM(BD83:BK83)-'Cost Allocation - Tier 1'!BC72</f>
        <v>0</v>
      </c>
    </row>
    <row r="84" spans="1:98" x14ac:dyDescent="0.25">
      <c r="A84" s="693" t="str">
        <f>'Cost Allocation - Tier 1'!A73</f>
        <v>8000 - Corporate Functions (Vancouver rent)</v>
      </c>
      <c r="B84" s="693" t="str">
        <f>'Cost Allocation - Tier 1'!B73</f>
        <v>PRORATA CORP. ALL</v>
      </c>
      <c r="C84" s="693" t="str">
        <f>'Cost Allocation - Tier 1'!C73</f>
        <v>Y</v>
      </c>
      <c r="D84" s="778">
        <f>'Cost Allocation - Tier 1'!D73</f>
        <v>395345.75555555557</v>
      </c>
      <c r="E84" s="778">
        <f>'Cost Allocation - Tier 1'!E73</f>
        <v>297962.62939152383</v>
      </c>
      <c r="F84" s="778">
        <f>'Cost Allocation - Tier 1'!F73</f>
        <v>0</v>
      </c>
      <c r="G84" s="778">
        <f>'Cost Allocation - Tier 1'!G73</f>
        <v>315840.38715501525</v>
      </c>
      <c r="H84" s="778">
        <f>'Cost Allocation - Tier 1'!H73</f>
        <v>0</v>
      </c>
      <c r="I84" s="688">
        <f>'Cost Allocation - Tier 1'!I73</f>
        <v>115490.37157104971</v>
      </c>
      <c r="J84" s="931">
        <f>'Cost Allocation - Tier 1'!J73</f>
        <v>713.47954834969266</v>
      </c>
      <c r="K84" s="931">
        <f>'Cost Allocation - Tier 1'!K73</f>
        <v>211.68816759726155</v>
      </c>
      <c r="L84" s="931">
        <f>'Cost Allocation - Tier 1'!L73</f>
        <v>222.30467843916631</v>
      </c>
      <c r="M84" s="931">
        <f>'Cost Allocation - Tier 1'!M73</f>
        <v>212.41530979323747</v>
      </c>
      <c r="N84" s="931">
        <f>'Cost Allocation - Tier 1'!N73</f>
        <v>371.92074390963705</v>
      </c>
      <c r="O84" s="931">
        <f>'Cost Allocation - Tier 1'!O73</f>
        <v>851.45789341763191</v>
      </c>
      <c r="P84" s="931">
        <f>'Cost Allocation - Tier 1'!P73</f>
        <v>102.99535743225219</v>
      </c>
      <c r="Q84" s="931">
        <f>'Cost Allocation - Tier 1'!Q73</f>
        <v>272.69258388618329</v>
      </c>
      <c r="R84" s="931">
        <f>'Cost Allocation - Tier 1'!R73</f>
        <v>233.23122339787253</v>
      </c>
      <c r="S84" s="931">
        <f>'Cost Allocation - Tier 1'!S73</f>
        <v>239.94543449149532</v>
      </c>
      <c r="T84" s="931">
        <f>'Cost Allocation - Tier 1'!T73</f>
        <v>869.08259398306018</v>
      </c>
      <c r="U84" s="931">
        <f>'Cost Allocation - Tier 1'!U73</f>
        <v>693.87473674741648</v>
      </c>
      <c r="V84" s="931">
        <f>'Cost Allocation - Tier 1'!V73</f>
        <v>550.67750891738774</v>
      </c>
      <c r="W84" s="931">
        <f>'Cost Allocation - Tier 1'!W73</f>
        <v>883.04720567597326</v>
      </c>
      <c r="X84" s="931">
        <f>'Cost Allocation - Tier 1'!X73</f>
        <v>21.838641411531881</v>
      </c>
      <c r="Y84" s="931">
        <f>'Cost Allocation - Tier 1'!Y73</f>
        <v>17.230139924970072</v>
      </c>
      <c r="Z84" s="931">
        <f>'Cost Allocation - Tier 1'!Z73</f>
        <v>83.331253090412872</v>
      </c>
      <c r="AA84" s="931">
        <f>'Cost Allocation - Tier 1'!AA73</f>
        <v>76.173698394427703</v>
      </c>
      <c r="AB84" s="931">
        <f>'Cost Allocation - Tier 1'!AB73</f>
        <v>45.830398094407499</v>
      </c>
      <c r="AC84" s="931">
        <f>'Cost Allocation - Tier 1'!AC73</f>
        <v>46.85959694483293</v>
      </c>
      <c r="AD84" s="931">
        <f>'Cost Allocation - Tier 1'!AD73</f>
        <v>265.76414577381547</v>
      </c>
      <c r="AE84" s="931">
        <f>'Cost Allocation - Tier 1'!AE73</f>
        <v>106.61601143853485</v>
      </c>
      <c r="AF84" s="931">
        <f>'Cost Allocation - Tier 1'!AF73</f>
        <v>277.37478159117904</v>
      </c>
      <c r="AG84" s="931">
        <f>'Cost Allocation - Tier 1'!AG73</f>
        <v>861.24110877072508</v>
      </c>
      <c r="AH84" s="931">
        <f>'Cost Allocation - Tier 1'!AH73</f>
        <v>7058.3838610554094</v>
      </c>
      <c r="AI84" s="931">
        <f>'Cost Allocation - Tier 1'!AI73</f>
        <v>48.997970442037406</v>
      </c>
      <c r="AJ84" s="931">
        <f>'Cost Allocation - Tier 1'!AJ73</f>
        <v>1039.5197786478661</v>
      </c>
      <c r="AK84" s="931">
        <f>'Cost Allocation - Tier 1'!AK73</f>
        <v>893.9301410368422</v>
      </c>
      <c r="AL84" s="931">
        <f>'Cost Allocation - Tier 1'!AL73</f>
        <v>0</v>
      </c>
      <c r="AM84" s="931">
        <f>'Cost Allocation - Tier 1'!AM73</f>
        <v>109.10346048839041</v>
      </c>
      <c r="AN84" s="931">
        <f>'Cost Allocation - Tier 1'!AN73</f>
        <v>184.4648818542785</v>
      </c>
      <c r="AO84" s="931">
        <f>'Cost Allocation - Tier 1'!AO73</f>
        <v>1086.8846826595782</v>
      </c>
      <c r="AP84" s="931">
        <f>'Cost Allocation - Tier 1'!AP73</f>
        <v>164.63370949148268</v>
      </c>
      <c r="AQ84" s="931">
        <f>'Cost Allocation - Tier 1'!AQ73</f>
        <v>1032.7963169511861</v>
      </c>
      <c r="AR84" s="931">
        <f>'Cost Allocation - Tier 1'!AR73</f>
        <v>3.1239372125594054</v>
      </c>
      <c r="AS84" s="931">
        <f>'Cost Allocation - Tier 1'!AS73</f>
        <v>1522.1739628058606</v>
      </c>
      <c r="AT84" s="931">
        <f>'Cost Allocation - Tier 1'!AT73</f>
        <v>1262.6738860349501</v>
      </c>
      <c r="AU84" s="931">
        <f>'Cost Allocation - Tier 1'!AU73</f>
        <v>1765.6391857955016</v>
      </c>
      <c r="AV84" s="931">
        <f>'Cost Allocation - Tier 1'!AV73</f>
        <v>2481.3552825022343</v>
      </c>
      <c r="AW84" s="931">
        <f>'Cost Allocation - Tier 1'!AW73</f>
        <v>6355.3273778119801</v>
      </c>
      <c r="AX84" s="931">
        <f>'Cost Allocation - Tier 1'!AX73</f>
        <v>66.270738051821468</v>
      </c>
      <c r="AY84" s="931">
        <f>'Cost Allocation - Tier 1'!AY73</f>
        <v>21670.895491528292</v>
      </c>
      <c r="AZ84" s="931">
        <f>'Cost Allocation - Tier 1'!AZ73</f>
        <v>728.79565287101138</v>
      </c>
      <c r="BA84" s="931">
        <f>'Cost Allocation - Tier 1'!BA73</f>
        <v>13141.272632837763</v>
      </c>
      <c r="BB84" s="931">
        <f>'Cost Allocation - Tier 1'!BB73</f>
        <v>46643.055859497552</v>
      </c>
      <c r="BC84" s="688">
        <f>'Cost Allocation - Tier 1'!BC73</f>
        <v>195553.05111633684</v>
      </c>
      <c r="BD84" s="932">
        <f>($BC$84-$BK$84)*(VLOOKUP('Cost Allocation - Tier 2'!BD2,'RU Composites'!$B$5:$L$12,11,FALSE))</f>
        <v>31150.91160759336</v>
      </c>
      <c r="BE84" s="932">
        <f>($BC$84-$BK$84)*(VLOOKUP('Cost Allocation - Tier 2'!BE2,'RU Composites'!$B$5:$L$12,11,FALSE))</f>
        <v>28957.402505357062</v>
      </c>
      <c r="BF84" s="932">
        <f>($BC$84-$BK$84)*(VLOOKUP('Cost Allocation - Tier 2'!BF2,'RU Composites'!$B$5:$L$12,11,FALSE))</f>
        <v>16356.169911837907</v>
      </c>
      <c r="BG84" s="932">
        <f>($BC$84-$BK$84)*(VLOOKUP('Cost Allocation - Tier 2'!BG2,'RU Composites'!$B$5:$L$12,11,FALSE))</f>
        <v>36653.972455013594</v>
      </c>
      <c r="BH84" s="932">
        <f>($BC$84-$BK$84)*(VLOOKUP('Cost Allocation - Tier 2'!BH2,'RU Composites'!$B$5:$L$12,11,FALSE))</f>
        <v>27445.134730850306</v>
      </c>
      <c r="BI84" s="932">
        <f>($BC$84-$BK$84)*(VLOOKUP('Cost Allocation - Tier 2'!BI2,'RU Composites'!$B$5:$L$12,11,FALSE))</f>
        <v>18024.908757406225</v>
      </c>
      <c r="BJ84" s="932">
        <f>($BC$84-$BK$84)*(VLOOKUP('Cost Allocation - Tier 2'!BJ2,'RU Composites'!$B$5:$L$12,11,FALSE))</f>
        <v>5719.0731802895698</v>
      </c>
      <c r="BK84" s="931">
        <f>'Cost Allocation - Tier 1'!BK73</f>
        <v>31245.477967988816</v>
      </c>
      <c r="BL84" s="76">
        <f t="shared" si="40"/>
        <v>311043.42268738651</v>
      </c>
      <c r="BM84" s="76">
        <f t="shared" si="41"/>
        <v>-4796.9644676287426</v>
      </c>
      <c r="BN84" s="76">
        <f>SUM(BD84:BK84)-'Cost Allocation - Tier 1'!BC73</f>
        <v>0</v>
      </c>
    </row>
    <row r="85" spans="1:98" x14ac:dyDescent="0.25">
      <c r="A85" s="693" t="str">
        <f>'Cost Allocation - Tier 1'!A74</f>
        <v>8000 - Corporate Functions ($Usd)</v>
      </c>
      <c r="B85" s="693" t="str">
        <f>'Cost Allocation - Tier 1'!B74</f>
        <v>ALL CONTRACT</v>
      </c>
      <c r="C85" s="693" t="str">
        <f>'Cost Allocation - Tier 1'!C74</f>
        <v>Y</v>
      </c>
      <c r="D85" s="778">
        <f>'Cost Allocation - Tier 1'!D74</f>
        <v>89769.337310000003</v>
      </c>
      <c r="E85" s="778">
        <f>'Cost Allocation - Tier 1'!E74</f>
        <v>67657</v>
      </c>
      <c r="F85" s="778">
        <f>'Cost Allocation - Tier 1'!F74</f>
        <v>0</v>
      </c>
      <c r="G85" s="778">
        <f>'Cost Allocation - Tier 1'!G74</f>
        <v>71716.42</v>
      </c>
      <c r="H85" s="778">
        <f>'Cost Allocation - Tier 1'!H74</f>
        <v>0</v>
      </c>
      <c r="I85" s="688">
        <f>'Cost Allocation - Tier 1'!I74</f>
        <v>68850.205303529321</v>
      </c>
      <c r="J85" s="931">
        <f>'Cost Allocation - Tier 1'!J74</f>
        <v>446.12693918732248</v>
      </c>
      <c r="K85" s="931">
        <f>'Cost Allocation - Tier 1'!K74</f>
        <v>128.6965401756965</v>
      </c>
      <c r="L85" s="931">
        <f>'Cost Allocation - Tier 1'!L74</f>
        <v>132.98316805571136</v>
      </c>
      <c r="M85" s="931">
        <f>'Cost Allocation - Tier 1'!M74</f>
        <v>136.56358719479081</v>
      </c>
      <c r="N85" s="931">
        <f>'Cost Allocation - Tier 1'!N74</f>
        <v>227.31394266505788</v>
      </c>
      <c r="O85" s="931">
        <f>'Cost Allocation - Tier 1'!O74</f>
        <v>534.25677006625699</v>
      </c>
      <c r="P85" s="931">
        <f>'Cost Allocation - Tier 1'!P74</f>
        <v>65.147299923960603</v>
      </c>
      <c r="Q85" s="931">
        <f>'Cost Allocation - Tier 1'!Q74</f>
        <v>174.44925605652119</v>
      </c>
      <c r="R85" s="931">
        <f>'Cost Allocation - Tier 1'!R74</f>
        <v>149.73781169751467</v>
      </c>
      <c r="S85" s="931">
        <f>'Cost Allocation - Tier 1'!S74</f>
        <v>153.59800518471459</v>
      </c>
      <c r="T85" s="931">
        <f>'Cost Allocation - Tier 1'!T74</f>
        <v>559.21047405933814</v>
      </c>
      <c r="U85" s="931">
        <f>'Cost Allocation - Tier 1'!U74</f>
        <v>445.55643878970199</v>
      </c>
      <c r="V85" s="931">
        <f>'Cost Allocation - Tier 1'!V74</f>
        <v>347.96849416581205</v>
      </c>
      <c r="W85" s="931">
        <f>'Cost Allocation - Tier 1'!W74</f>
        <v>561.18902016056552</v>
      </c>
      <c r="X85" s="931">
        <f>'Cost Allocation - Tier 1'!X74</f>
        <v>13.600465238810223</v>
      </c>
      <c r="Y85" s="931">
        <f>'Cost Allocation - Tier 1'!Y74</f>
        <v>10.509878513012675</v>
      </c>
      <c r="Z85" s="931">
        <f>'Cost Allocation - Tier 1'!Z74</f>
        <v>49.599335441514874</v>
      </c>
      <c r="AA85" s="931">
        <f>'Cost Allocation - Tier 1'!AA74</f>
        <v>45.055505591689482</v>
      </c>
      <c r="AB85" s="931">
        <f>'Cost Allocation - Tier 1'!AB74</f>
        <v>26.962643263155638</v>
      </c>
      <c r="AC85" s="931">
        <f>'Cost Allocation - Tier 1'!AC74</f>
        <v>28.513326308926651</v>
      </c>
      <c r="AD85" s="931">
        <f>'Cost Allocation - Tier 1'!AD74</f>
        <v>168.26468011528414</v>
      </c>
      <c r="AE85" s="931">
        <f>'Cost Allocation - Tier 1'!AE74</f>
        <v>66.167336439195623</v>
      </c>
      <c r="AF85" s="931">
        <f>'Cost Allocation - Tier 1'!AF74</f>
        <v>173.86465230952899</v>
      </c>
      <c r="AG85" s="931">
        <f>'Cost Allocation - Tier 1'!AG74</f>
        <v>563.08241177128423</v>
      </c>
      <c r="AH85" s="931">
        <f>'Cost Allocation - Tier 1'!AH74</f>
        <v>4287.7221923245015</v>
      </c>
      <c r="AI85" s="931">
        <f>'Cost Allocation - Tier 1'!AI74</f>
        <v>31.363270550273608</v>
      </c>
      <c r="AJ85" s="931">
        <f>'Cost Allocation - Tier 1'!AJ74</f>
        <v>672.35939084645759</v>
      </c>
      <c r="AK85" s="931">
        <f>'Cost Allocation - Tier 1'!AK74</f>
        <v>571.78791389088155</v>
      </c>
      <c r="AL85" s="931">
        <f>'Cost Allocation - Tier 1'!AL74</f>
        <v>0</v>
      </c>
      <c r="AM85" s="931">
        <f>'Cost Allocation - Tier 1'!AM74</f>
        <v>65.087127399286089</v>
      </c>
      <c r="AN85" s="931">
        <f>'Cost Allocation - Tier 1'!AN74</f>
        <v>112.12693449355933</v>
      </c>
      <c r="AO85" s="931">
        <f>'Cost Allocation - Tier 1'!AO74</f>
        <v>697.83761510050101</v>
      </c>
      <c r="AP85" s="931">
        <f>'Cost Allocation - Tier 1'!AP74</f>
        <v>104.53652230710614</v>
      </c>
      <c r="AQ85" s="931">
        <f>'Cost Allocation - Tier 1'!AQ74</f>
        <v>669.9707790425141</v>
      </c>
      <c r="AR85" s="931">
        <f>'Cost Allocation - Tier 1'!AR74</f>
        <v>1.8151450966926548</v>
      </c>
      <c r="AS85" s="931">
        <f>'Cost Allocation - Tier 1'!AS74</f>
        <v>984.32874857836691</v>
      </c>
      <c r="AT85" s="931">
        <f>'Cost Allocation - Tier 1'!AT74</f>
        <v>823.41547457544607</v>
      </c>
      <c r="AU85" s="931">
        <f>'Cost Allocation - Tier 1'!AU74</f>
        <v>1127.9932167235647</v>
      </c>
      <c r="AV85" s="931">
        <f>'Cost Allocation - Tier 1'!AV74</f>
        <v>1599.8218972214011</v>
      </c>
      <c r="AW85" s="931">
        <f>'Cost Allocation - Tier 1'!AW74</f>
        <v>4082.8699344962793</v>
      </c>
      <c r="AX85" s="931">
        <f>'Cost Allocation - Tier 1'!AX74</f>
        <v>38.506217329001323</v>
      </c>
      <c r="AY85" s="931">
        <f>'Cost Allocation - Tier 1'!AY74</f>
        <v>12394.86308676543</v>
      </c>
      <c r="AZ85" s="931">
        <f>'Cost Allocation - Tier 1'!AZ74</f>
        <v>409.6318366000329</v>
      </c>
      <c r="BA85" s="931">
        <f>'Cost Allocation - Tier 1'!BA74</f>
        <v>7170.0921142448142</v>
      </c>
      <c r="BB85" s="931">
        <f>'Cost Allocation - Tier 1'!BB74</f>
        <v>27795.657903567848</v>
      </c>
      <c r="BC85" s="688">
        <f>'Cost Allocation - Tier 1'!BC74</f>
        <v>0</v>
      </c>
      <c r="BD85" s="932">
        <f>($BC$85-$BK$85)*(VLOOKUP('Cost Allocation - Tier 2'!BD2,'RU Composites'!$B$5:$L$12,11,FALSE))</f>
        <v>0</v>
      </c>
      <c r="BE85" s="932">
        <f>($BC$85-$BK$85)*(VLOOKUP('Cost Allocation - Tier 2'!BE2,'RU Composites'!$B$5:$L$12,11,FALSE))</f>
        <v>0</v>
      </c>
      <c r="BF85" s="932">
        <f>($BC$85-$BK$85)*(VLOOKUP('Cost Allocation - Tier 2'!BF2,'RU Composites'!$B$5:$L$12,11,FALSE))</f>
        <v>0</v>
      </c>
      <c r="BG85" s="932">
        <f>($BC$85-$BK$85)*(VLOOKUP('Cost Allocation - Tier 2'!BG2,'RU Composites'!$B$5:$L$12,11,FALSE))</f>
        <v>0</v>
      </c>
      <c r="BH85" s="932">
        <f>($BC$85-$BK$85)*(VLOOKUP('Cost Allocation - Tier 2'!BH2,'RU Composites'!$B$5:$L$12,11,FALSE))</f>
        <v>0</v>
      </c>
      <c r="BI85" s="932">
        <f>($BC$85-$BK$85)*(VLOOKUP('Cost Allocation - Tier 2'!BI2,'RU Composites'!$B$5:$L$12,11,FALSE))</f>
        <v>0</v>
      </c>
      <c r="BJ85" s="932">
        <f>($BC$85-$BK$85)*(VLOOKUP('Cost Allocation - Tier 2'!BJ2,'RU Composites'!$B$5:$L$12,11,FALSE))</f>
        <v>0</v>
      </c>
      <c r="BK85" s="931">
        <f>'Cost Allocation - Tier 1'!BK74</f>
        <v>0</v>
      </c>
      <c r="BL85" s="76">
        <f t="shared" si="40"/>
        <v>68850.205303529321</v>
      </c>
      <c r="BM85" s="76">
        <f t="shared" si="41"/>
        <v>-2866.2146964706772</v>
      </c>
      <c r="BN85" s="76">
        <f>SUM(BD85:BK85)-'Cost Allocation - Tier 1'!BC74</f>
        <v>0</v>
      </c>
    </row>
    <row r="86" spans="1:98" x14ac:dyDescent="0.25">
      <c r="A86" s="693" t="str">
        <f>'Cost Allocation - Tier 1'!A75</f>
        <v>8020 - Finance</v>
      </c>
      <c r="B86" s="693" t="str">
        <f>'Cost Allocation - Tier 1'!B75</f>
        <v>ALL + TRIBUS</v>
      </c>
      <c r="C86" s="693" t="str">
        <f>'Cost Allocation - Tier 1'!C75</f>
        <v>Y</v>
      </c>
      <c r="D86" s="778">
        <f>'Cost Allocation - Tier 1'!D75</f>
        <v>3600346</v>
      </c>
      <c r="E86" s="778">
        <f>'Cost Allocation - Tier 1'!E75</f>
        <v>2713494.5697640241</v>
      </c>
      <c r="F86" s="778">
        <f>'Cost Allocation - Tier 1'!F75</f>
        <v>692935.04066082323</v>
      </c>
      <c r="G86" s="778">
        <f>'Cost Allocation - Tier 1'!G75</f>
        <v>2834728.1415102161</v>
      </c>
      <c r="H86" s="778">
        <f>'Cost Allocation - Tier 1'!H75</f>
        <v>56694.562830204319</v>
      </c>
      <c r="I86" s="688">
        <f>'Cost Allocation - Tier 1'!I75</f>
        <v>1026131.0728212788</v>
      </c>
      <c r="J86" s="931">
        <f>'Cost Allocation - Tier 1'!J75</f>
        <v>6367.585177904396</v>
      </c>
      <c r="K86" s="931">
        <f>'Cost Allocation - Tier 1'!K75</f>
        <v>1889.2516841553625</v>
      </c>
      <c r="L86" s="931">
        <f>'Cost Allocation - Tier 1'!L75</f>
        <v>1984.0007729475208</v>
      </c>
      <c r="M86" s="931">
        <f>'Cost Allocation - Tier 1'!M75</f>
        <v>1895.7412042544809</v>
      </c>
      <c r="N86" s="931">
        <f>'Cost Allocation - Tier 1'!N75</f>
        <v>3319.2780672578638</v>
      </c>
      <c r="O86" s="931">
        <f>'Cost Allocation - Tier 1'!O75</f>
        <v>7598.9994026829472</v>
      </c>
      <c r="P86" s="931">
        <f>'Cost Allocation - Tier 1'!P75</f>
        <v>919.20183682284926</v>
      </c>
      <c r="Q86" s="931">
        <f>'Cost Allocation - Tier 1'!Q75</f>
        <v>2433.6973068036218</v>
      </c>
      <c r="R86" s="931">
        <f>'Cost Allocation - Tier 1'!R75</f>
        <v>2081.5168207244965</v>
      </c>
      <c r="S86" s="931">
        <f>'Cost Allocation - Tier 1'!S75</f>
        <v>2141.4390863871408</v>
      </c>
      <c r="T86" s="931">
        <f>'Cost Allocation - Tier 1'!T75</f>
        <v>7756.2944258479547</v>
      </c>
      <c r="U86" s="931">
        <f>'Cost Allocation - Tier 1'!U75</f>
        <v>6192.6182737191102</v>
      </c>
      <c r="V86" s="931">
        <f>'Cost Allocation - Tier 1'!V75</f>
        <v>4914.6271279931143</v>
      </c>
      <c r="W86" s="931">
        <f>'Cost Allocation - Tier 1'!W75</f>
        <v>7880.9242833353373</v>
      </c>
      <c r="X86" s="931">
        <f>'Cost Allocation - Tier 1'!X75</f>
        <v>194.90314708990556</v>
      </c>
      <c r="Y86" s="931">
        <f>'Cost Allocation - Tier 1'!Y75</f>
        <v>153.77369099539297</v>
      </c>
      <c r="Z86" s="931">
        <f>'Cost Allocation - Tier 1'!Z75</f>
        <v>743.7057632024015</v>
      </c>
      <c r="AA86" s="931">
        <f>'Cost Allocation - Tier 1'!AA75</f>
        <v>679.82679246299472</v>
      </c>
      <c r="AB86" s="931">
        <f>'Cost Allocation - Tier 1'!AB75</f>
        <v>409.02218469810293</v>
      </c>
      <c r="AC86" s="931">
        <f>'Cost Allocation - Tier 1'!AC75</f>
        <v>418.20746738804655</v>
      </c>
      <c r="AD86" s="931">
        <f>'Cost Allocation - Tier 1'!AD75</f>
        <v>2371.8631309924353</v>
      </c>
      <c r="AE86" s="931">
        <f>'Cost Allocation - Tier 1'!AE75</f>
        <v>951.5150584674675</v>
      </c>
      <c r="AF86" s="931">
        <f>'Cost Allocation - Tier 1'!AF75</f>
        <v>2475.4844789451513</v>
      </c>
      <c r="AG86" s="931">
        <f>'Cost Allocation - Tier 1'!AG75</f>
        <v>7686.311585938508</v>
      </c>
      <c r="AH86" s="931">
        <f>'Cost Allocation - Tier 1'!AH75</f>
        <v>62993.901587754444</v>
      </c>
      <c r="AI86" s="931">
        <f>'Cost Allocation - Tier 1'!AI75</f>
        <v>437.29179211342631</v>
      </c>
      <c r="AJ86" s="931">
        <f>'Cost Allocation - Tier 1'!AJ75</f>
        <v>9277.3937949127794</v>
      </c>
      <c r="AK86" s="931">
        <f>'Cost Allocation - Tier 1'!AK75</f>
        <v>7978.0511288857806</v>
      </c>
      <c r="AL86" s="931">
        <f>'Cost Allocation - Tier 1'!AL75</f>
        <v>0</v>
      </c>
      <c r="AM86" s="931">
        <f>'Cost Allocation - Tier 1'!AM75</f>
        <v>973.71477496570333</v>
      </c>
      <c r="AN86" s="931">
        <f>'Cost Allocation - Tier 1'!AN75</f>
        <v>1646.2922451751806</v>
      </c>
      <c r="AO86" s="931">
        <f>'Cost Allocation - Tier 1'!AO75</f>
        <v>9700.1109722102301</v>
      </c>
      <c r="AP86" s="931">
        <f>'Cost Allocation - Tier 1'!AP75</f>
        <v>1469.3051409338759</v>
      </c>
      <c r="AQ86" s="931">
        <f>'Cost Allocation - Tier 1'!AQ75</f>
        <v>9217.3889704675439</v>
      </c>
      <c r="AR86" s="931">
        <f>'Cost Allocation - Tier 1'!AR75</f>
        <v>27.88017727685132</v>
      </c>
      <c r="AS86" s="931">
        <f>'Cost Allocation - Tier 1'!AS75</f>
        <v>13584.933704370238</v>
      </c>
      <c r="AT86" s="931">
        <f>'Cost Allocation - Tier 1'!AT75</f>
        <v>11268.975459549423</v>
      </c>
      <c r="AU86" s="931">
        <f>'Cost Allocation - Tier 1'!AU75</f>
        <v>15757.785818814024</v>
      </c>
      <c r="AV86" s="931">
        <f>'Cost Allocation - Tier 1'!AV75</f>
        <v>22145.331501824552</v>
      </c>
      <c r="AW86" s="931">
        <f>'Cost Allocation - Tier 1'!AW75</f>
        <v>56719.339055043572</v>
      </c>
      <c r="AX86" s="931">
        <f>'Cost Allocation - Tier 1'!AX75</f>
        <v>591.44592206410232</v>
      </c>
      <c r="AY86" s="931">
        <f>'Cost Allocation - Tier 1'!AY75</f>
        <v>190610.44060202266</v>
      </c>
      <c r="AZ86" s="931">
        <f>'Cost Allocation - Tier 1'!AZ75</f>
        <v>6410.2593525444345</v>
      </c>
      <c r="BA86" s="931">
        <f>'Cost Allocation - Tier 1'!BA75</f>
        <v>115586.53714128812</v>
      </c>
      <c r="BB86" s="931">
        <f>'Cost Allocation - Tier 1'!BB75</f>
        <v>416274.90490804525</v>
      </c>
      <c r="BC86" s="688">
        <f>'Cost Allocation - Tier 1'!BC75</f>
        <v>1720023.6717917984</v>
      </c>
      <c r="BD86" s="932">
        <f>($BC$86-$BK$86)*(VLOOKUP('Cost Allocation - Tier 2'!BD2,'RU Composites'!$B$5:$L$12,11,FALSE))</f>
        <v>273993.70685900946</v>
      </c>
      <c r="BE86" s="932">
        <f>($BC$86-$BK$86)*(VLOOKUP('Cost Allocation - Tier 2'!BE2,'RU Composites'!$B$5:$L$12,11,FALSE))</f>
        <v>254700.28464647298</v>
      </c>
      <c r="BF86" s="932">
        <f>($BC$86-$BK$86)*(VLOOKUP('Cost Allocation - Tier 2'!BF2,'RU Composites'!$B$5:$L$12,11,FALSE))</f>
        <v>143863.77132757349</v>
      </c>
      <c r="BG86" s="932">
        <f>($BC$86-$BK$86)*(VLOOKUP('Cost Allocation - Tier 2'!BG2,'RU Composites'!$B$5:$L$12,11,FALSE))</f>
        <v>322396.91443280672</v>
      </c>
      <c r="BH86" s="932">
        <f>($BC$86-$BK$86)*(VLOOKUP('Cost Allocation - Tier 2'!BH2,'RU Composites'!$B$5:$L$12,11,FALSE))</f>
        <v>241398.84876812366</v>
      </c>
      <c r="BI86" s="932">
        <f>($BC$86-$BK$86)*(VLOOKUP('Cost Allocation - Tier 2'!BI2,'RU Composites'!$B$5:$L$12,11,FALSE))</f>
        <v>158541.47796539252</v>
      </c>
      <c r="BJ86" s="932">
        <f>($BC$86-$BK$86)*(VLOOKUP('Cost Allocation - Tier 2'!BJ2,'RU Composites'!$B$5:$L$12,11,FALSE))</f>
        <v>50303.184709480964</v>
      </c>
      <c r="BK86" s="931">
        <f>'Cost Allocation - Tier 1'!BK75</f>
        <v>274825.48308293865</v>
      </c>
      <c r="BL86" s="76">
        <f t="shared" si="40"/>
        <v>2802849.3074432816</v>
      </c>
      <c r="BM86" s="76">
        <f t="shared" si="41"/>
        <v>-31878.834066934418</v>
      </c>
      <c r="BN86" s="76">
        <f>SUM(BD86:BK86)-'Cost Allocation - Tier 1'!BC75</f>
        <v>0</v>
      </c>
    </row>
    <row r="87" spans="1:98" x14ac:dyDescent="0.25">
      <c r="A87" s="693" t="str">
        <f>'Cost Allocation - Tier 1'!A76</f>
        <v>8030 - IT Governance</v>
      </c>
      <c r="B87" s="693" t="str">
        <f>'Cost Allocation - Tier 1'!B76</f>
        <v>ALL</v>
      </c>
      <c r="C87" s="693" t="str">
        <f>'Cost Allocation - Tier 1'!C76</f>
        <v>Y</v>
      </c>
      <c r="D87" s="778">
        <f>'Cost Allocation - Tier 1'!D76</f>
        <v>1603845</v>
      </c>
      <c r="E87" s="778">
        <f>'Cost Allocation - Tier 1'!E76</f>
        <v>1208779.5723642064</v>
      </c>
      <c r="F87" s="778">
        <f>'Cost Allocation - Tier 1'!F76</f>
        <v>660860.84878997307</v>
      </c>
      <c r="G87" s="778">
        <f>'Cost Allocation - Tier 1'!G76</f>
        <v>1241654.6957786605</v>
      </c>
      <c r="H87" s="778">
        <f>'Cost Allocation - Tier 1'!H76</f>
        <v>0</v>
      </c>
      <c r="I87" s="688">
        <f>'Cost Allocation - Tier 1'!I76</f>
        <v>464061.26052578603</v>
      </c>
      <c r="J87" s="931">
        <f>'Cost Allocation - Tier 1'!J76</f>
        <v>2894.4552714746669</v>
      </c>
      <c r="K87" s="931">
        <f>'Cost Allocation - Tier 1'!K76</f>
        <v>858.77995245688157</v>
      </c>
      <c r="L87" s="931">
        <f>'Cost Allocation - Tier 1'!L76</f>
        <v>901.84918386245818</v>
      </c>
      <c r="M87" s="931">
        <f>'Cost Allocation - Tier 1'!M76</f>
        <v>861.72983457630937</v>
      </c>
      <c r="N87" s="931">
        <f>'Cost Allocation - Tier 1'!N76</f>
        <v>1508.8140371648149</v>
      </c>
      <c r="O87" s="931">
        <f>'Cost Allocation - Tier 1'!O76</f>
        <v>3454.2080340521106</v>
      </c>
      <c r="P87" s="931">
        <f>'Cost Allocation - Tier 1'!P76</f>
        <v>417.83321742964193</v>
      </c>
      <c r="Q87" s="931">
        <f>'Cost Allocation - Tier 1'!Q76</f>
        <v>1106.2636465853659</v>
      </c>
      <c r="R87" s="931">
        <f>'Cost Allocation - Tier 1'!R76</f>
        <v>946.17616664407444</v>
      </c>
      <c r="S87" s="931">
        <f>'Cost Allocation - Tier 1'!S76</f>
        <v>973.41448586244837</v>
      </c>
      <c r="T87" s="931">
        <f>'Cost Allocation - Tier 1'!T76</f>
        <v>3525.7082018954125</v>
      </c>
      <c r="U87" s="931">
        <f>'Cost Allocation - Tier 1'!U76</f>
        <v>2814.9221574285389</v>
      </c>
      <c r="V87" s="931">
        <f>'Cost Allocation - Tier 1'!V76</f>
        <v>2233.9973475837578</v>
      </c>
      <c r="W87" s="931">
        <f>'Cost Allocation - Tier 1'!W76</f>
        <v>3582.3600625158638</v>
      </c>
      <c r="X87" s="931">
        <f>'Cost Allocation - Tier 1'!X76</f>
        <v>88.595350632912982</v>
      </c>
      <c r="Y87" s="931">
        <f>'Cost Allocation - Tier 1'!Y76</f>
        <v>69.899507910817363</v>
      </c>
      <c r="Z87" s="931">
        <f>'Cost Allocation - Tier 1'!Z76</f>
        <v>338.05956364697118</v>
      </c>
      <c r="AA87" s="931">
        <f>'Cost Allocation - Tier 1'!AA76</f>
        <v>309.02268099408741</v>
      </c>
      <c r="AB87" s="931">
        <f>'Cost Allocation - Tier 1'!AB76</f>
        <v>185.92549382105557</v>
      </c>
      <c r="AC87" s="931">
        <f>'Cost Allocation - Tier 1'!AC76</f>
        <v>190.10076421934525</v>
      </c>
      <c r="AD87" s="931">
        <f>'Cost Allocation - Tier 1'!AD76</f>
        <v>1078.1562477624918</v>
      </c>
      <c r="AE87" s="931">
        <f>'Cost Allocation - Tier 1'!AE76</f>
        <v>432.52154465487354</v>
      </c>
      <c r="AF87" s="931">
        <f>'Cost Allocation - Tier 1'!AF76</f>
        <v>1125.2584613080289</v>
      </c>
      <c r="AG87" s="931">
        <f>'Cost Allocation - Tier 1'!AG76</f>
        <v>3493.8967389578515</v>
      </c>
      <c r="AH87" s="931">
        <f>'Cost Allocation - Tier 1'!AH76</f>
        <v>28634.564819663541</v>
      </c>
      <c r="AI87" s="931">
        <f>'Cost Allocation - Tier 1'!AI76</f>
        <v>198.77575210888128</v>
      </c>
      <c r="AJ87" s="931">
        <f>'Cost Allocation - Tier 1'!AJ76</f>
        <v>4217.140505385295</v>
      </c>
      <c r="AK87" s="931">
        <f>'Cost Allocation - Tier 1'!AK76</f>
        <v>3626.5101291817496</v>
      </c>
      <c r="AL87" s="931">
        <f>'Cost Allocation - Tier 1'!AL76</f>
        <v>0</v>
      </c>
      <c r="AM87" s="931">
        <f>'Cost Allocation - Tier 1'!AM76</f>
        <v>442.61266784338329</v>
      </c>
      <c r="AN87" s="931">
        <f>'Cost Allocation - Tier 1'!AN76</f>
        <v>748.34009036427062</v>
      </c>
      <c r="AO87" s="931">
        <f>'Cost Allocation - Tier 1'!AO76</f>
        <v>4409.2912074155065</v>
      </c>
      <c r="AP87" s="931">
        <f>'Cost Allocation - Tier 1'!AP76</f>
        <v>667.88867235546206</v>
      </c>
      <c r="AQ87" s="931">
        <f>'Cost Allocation - Tier 1'!AQ76</f>
        <v>4189.8646581721159</v>
      </c>
      <c r="AR87" s="931">
        <f>'Cost Allocation - Tier 1'!AR76</f>
        <v>12.673238572238246</v>
      </c>
      <c r="AS87" s="931">
        <f>'Cost Allocation - Tier 1'!AS76</f>
        <v>6175.1797384183619</v>
      </c>
      <c r="AT87" s="931">
        <f>'Cost Allocation - Tier 1'!AT76</f>
        <v>5122.4356662231694</v>
      </c>
      <c r="AU87" s="931">
        <f>'Cost Allocation - Tier 1'!AU76</f>
        <v>7162.8733586953831</v>
      </c>
      <c r="AV87" s="931">
        <f>'Cost Allocation - Tier 1'!AV76</f>
        <v>10066.401895405075</v>
      </c>
      <c r="AW87" s="931">
        <f>'Cost Allocation - Tier 1'!AW76</f>
        <v>25782.394005832444</v>
      </c>
      <c r="AX87" s="931">
        <f>'Cost Allocation - Tier 1'!AX76</f>
        <v>268.84819269493232</v>
      </c>
      <c r="AY87" s="931">
        <f>'Cost Allocation - Tier 1'!AY76</f>
        <v>85194.200118486769</v>
      </c>
      <c r="AZ87" s="931">
        <f>'Cost Allocation - Tier 1'!AZ76</f>
        <v>2865.0944636989461</v>
      </c>
      <c r="BA87" s="931">
        <f>'Cost Allocation - Tier 1'!BA76</f>
        <v>51661.926519429646</v>
      </c>
      <c r="BB87" s="931">
        <f>'Cost Allocation - Tier 1'!BB76</f>
        <v>189222.29687239806</v>
      </c>
      <c r="BC87" s="688">
        <f>'Cost Allocation - Tier 1'!BC76</f>
        <v>768772.37385500234</v>
      </c>
      <c r="BD87" s="932">
        <f>($BC$87-$BK$87)*(VLOOKUP('Cost Allocation - Tier 2'!BD2,'RU Composites'!$B$5:$L$12,11,FALSE))</f>
        <v>122462.72879715882</v>
      </c>
      <c r="BE87" s="932">
        <f>($BC$87-$BK$87)*(VLOOKUP('Cost Allocation - Tier 2'!BE2,'RU Composites'!$B$5:$L$12,11,FALSE))</f>
        <v>113839.44631717568</v>
      </c>
      <c r="BF87" s="932">
        <f>($BC$87-$BK$87)*(VLOOKUP('Cost Allocation - Tier 2'!BF2,'RU Composites'!$B$5:$L$12,11,FALSE))</f>
        <v>64300.564468405399</v>
      </c>
      <c r="BG87" s="932">
        <f>($BC$87-$BK$87)*(VLOOKUP('Cost Allocation - Tier 2'!BG2,'RU Composites'!$B$5:$L$12,11,FALSE))</f>
        <v>144096.76174621744</v>
      </c>
      <c r="BH87" s="932">
        <f>($BC$87-$BK$87)*(VLOOKUP('Cost Allocation - Tier 2'!BH2,'RU Composites'!$B$5:$L$12,11,FALSE))</f>
        <v>107894.30928006374</v>
      </c>
      <c r="BI87" s="932">
        <f>($BC$87-$BK$87)*(VLOOKUP('Cost Allocation - Tier 2'!BI2,'RU Composites'!$B$5:$L$12,11,FALSE))</f>
        <v>70860.831957601506</v>
      </c>
      <c r="BJ87" s="932">
        <f>($BC$87-$BK$87)*(VLOOKUP('Cost Allocation - Tier 2'!BJ2,'RU Composites'!$B$5:$L$12,11,FALSE))</f>
        <v>22483.236339002768</v>
      </c>
      <c r="BK87" s="931">
        <f>'Cost Allocation - Tier 1'!BK76</f>
        <v>122834.49494937698</v>
      </c>
      <c r="BL87" s="76">
        <f t="shared" si="40"/>
        <v>1232833.6343807883</v>
      </c>
      <c r="BM87" s="76">
        <f t="shared" si="41"/>
        <v>-8821.0613978721667</v>
      </c>
      <c r="BN87" s="76">
        <f>SUM(BD87:BK87)-'Cost Allocation - Tier 1'!BC76</f>
        <v>0</v>
      </c>
    </row>
    <row r="88" spans="1:98" x14ac:dyDescent="0.25">
      <c r="A88" s="693" t="str">
        <f>'Cost Allocation - Tier 1'!A77</f>
        <v>8040 - HR</v>
      </c>
      <c r="B88" s="693" t="str">
        <f>'Cost Allocation - Tier 1'!B77</f>
        <v>ALL</v>
      </c>
      <c r="C88" s="693" t="str">
        <f>'Cost Allocation - Tier 1'!C77</f>
        <v>Y</v>
      </c>
      <c r="D88" s="778">
        <f>'Cost Allocation - Tier 1'!D77</f>
        <v>1153459</v>
      </c>
      <c r="E88" s="778">
        <f>'Cost Allocation - Tier 1'!E77</f>
        <v>869334.42867586657</v>
      </c>
      <c r="F88" s="778">
        <f>'Cost Allocation - Tier 1'!F77</f>
        <v>41884.039402184157</v>
      </c>
      <c r="G88" s="778">
        <f>'Cost Allocation - Tier 1'!G77</f>
        <v>918981.45203228761</v>
      </c>
      <c r="H88" s="778">
        <f>'Cost Allocation - Tier 1'!H77</f>
        <v>0</v>
      </c>
      <c r="I88" s="688">
        <f>'Cost Allocation - Tier 1'!I77</f>
        <v>336671.40092091996</v>
      </c>
      <c r="J88" s="931">
        <f>'Cost Allocation - Tier 1'!J77</f>
        <v>2081.6447243841503</v>
      </c>
      <c r="K88" s="931">
        <f>'Cost Allocation - Tier 1'!K77</f>
        <v>617.62044660236006</v>
      </c>
      <c r="L88" s="931">
        <f>'Cost Allocation - Tier 1'!L77</f>
        <v>648.59513093148473</v>
      </c>
      <c r="M88" s="931">
        <f>'Cost Allocation - Tier 1'!M77</f>
        <v>619.74195340606809</v>
      </c>
      <c r="N88" s="931">
        <f>'Cost Allocation - Tier 1'!N77</f>
        <v>1085.1142912775799</v>
      </c>
      <c r="O88" s="931">
        <f>'Cost Allocation - Tier 1'!O77</f>
        <v>2484.2097239756417</v>
      </c>
      <c r="P88" s="931">
        <f>'Cost Allocation - Tier 1'!P77</f>
        <v>300.4987920548291</v>
      </c>
      <c r="Q88" s="931">
        <f>'Cost Allocation - Tier 1'!Q77</f>
        <v>795.60665745549579</v>
      </c>
      <c r="R88" s="931">
        <f>'Cost Allocation - Tier 1'!R77</f>
        <v>680.47436940671162</v>
      </c>
      <c r="S88" s="931">
        <f>'Cost Allocation - Tier 1'!S77</f>
        <v>700.06372152447022</v>
      </c>
      <c r="T88" s="931">
        <f>'Cost Allocation - Tier 1'!T77</f>
        <v>2535.6314711521877</v>
      </c>
      <c r="U88" s="931">
        <f>'Cost Allocation - Tier 1'!U77</f>
        <v>2024.445814143739</v>
      </c>
      <c r="V88" s="931">
        <f>'Cost Allocation - Tier 1'!V77</f>
        <v>1606.6542256556049</v>
      </c>
      <c r="W88" s="931">
        <f>'Cost Allocation - Tier 1'!W77</f>
        <v>2576.3745594801776</v>
      </c>
      <c r="X88" s="931">
        <f>'Cost Allocation - Tier 1'!X77</f>
        <v>63.716322054618225</v>
      </c>
      <c r="Y88" s="931">
        <f>'Cost Allocation - Tier 1'!Y77</f>
        <v>50.270578824826266</v>
      </c>
      <c r="Z88" s="931">
        <f>'Cost Allocation - Tier 1'!Z77</f>
        <v>243.12688958388853</v>
      </c>
      <c r="AA88" s="931">
        <f>'Cost Allocation - Tier 1'!AA77</f>
        <v>222.24404016395542</v>
      </c>
      <c r="AB88" s="931">
        <f>'Cost Allocation - Tier 1'!AB77</f>
        <v>133.71456355030625</v>
      </c>
      <c r="AC88" s="931">
        <f>'Cost Allocation - Tier 1'!AC77</f>
        <v>136.71734949180362</v>
      </c>
      <c r="AD88" s="931">
        <f>'Cost Allocation - Tier 1'!AD77</f>
        <v>775.39227755043419</v>
      </c>
      <c r="AE88" s="931">
        <f>'Cost Allocation - Tier 1'!AE77</f>
        <v>311.0623959148582</v>
      </c>
      <c r="AF88" s="931">
        <f>'Cost Allocation - Tier 1'!AF77</f>
        <v>809.26741644105118</v>
      </c>
      <c r="AG88" s="931">
        <f>'Cost Allocation - Tier 1'!AG77</f>
        <v>2512.7531891308604</v>
      </c>
      <c r="AH88" s="931">
        <f>'Cost Allocation - Tier 1'!AH77</f>
        <v>20593.509037546824</v>
      </c>
      <c r="AI88" s="931">
        <f>'Cost Allocation - Tier 1'!AI77</f>
        <v>142.95625839888399</v>
      </c>
      <c r="AJ88" s="931">
        <f>'Cost Allocation - Tier 1'!AJ77</f>
        <v>3032.8982353040456</v>
      </c>
      <c r="AK88" s="931">
        <f>'Cost Allocation - Tier 1'!AK77</f>
        <v>2608.1265627887055</v>
      </c>
      <c r="AL88" s="931">
        <f>'Cost Allocation - Tier 1'!AL77</f>
        <v>0</v>
      </c>
      <c r="AM88" s="931">
        <f>'Cost Allocation - Tier 1'!AM77</f>
        <v>318.31976608585057</v>
      </c>
      <c r="AN88" s="931">
        <f>'Cost Allocation - Tier 1'!AN77</f>
        <v>538.19391044114684</v>
      </c>
      <c r="AO88" s="931">
        <f>'Cost Allocation - Tier 1'!AO77</f>
        <v>3171.0898664236774</v>
      </c>
      <c r="AP88" s="931">
        <f>'Cost Allocation - Tier 1'!AP77</f>
        <v>480.33457106295117</v>
      </c>
      <c r="AQ88" s="931">
        <f>'Cost Allocation - Tier 1'!AQ77</f>
        <v>3013.281893668373</v>
      </c>
      <c r="AR88" s="931">
        <f>'Cost Allocation - Tier 1'!AR77</f>
        <v>9.1143851745619777</v>
      </c>
      <c r="AS88" s="931">
        <f>'Cost Allocation - Tier 1'!AS77</f>
        <v>4441.0879142911599</v>
      </c>
      <c r="AT88" s="931">
        <f>'Cost Allocation - Tier 1'!AT77</f>
        <v>3683.9716563172324</v>
      </c>
      <c r="AU88" s="931">
        <f>'Cost Allocation - Tier 1'!AU77</f>
        <v>5151.4209549223388</v>
      </c>
      <c r="AV88" s="931">
        <f>'Cost Allocation - Tier 1'!AV77</f>
        <v>7239.591022743497</v>
      </c>
      <c r="AW88" s="931">
        <f>'Cost Allocation - Tier 1'!AW77</f>
        <v>18542.274601082703</v>
      </c>
      <c r="AX88" s="931">
        <f>'Cost Allocation - Tier 1'!AX77</f>
        <v>193.35120756538439</v>
      </c>
      <c r="AY88" s="931">
        <f>'Cost Allocation - Tier 1'!AY77</f>
        <v>63054.478830379026</v>
      </c>
      <c r="AZ88" s="931">
        <f>'Cost Allocation - Tier 1'!AZ77</f>
        <v>2120.5321249226631</v>
      </c>
      <c r="BA88" s="931">
        <f>'Cost Allocation - Tier 1'!BA77</f>
        <v>38236.357023429657</v>
      </c>
      <c r="BB88" s="931">
        <f>'Cost Allocation - Tier 1'!BB77</f>
        <v>136085.57019421415</v>
      </c>
      <c r="BC88" s="688">
        <f>'Cost Allocation - Tier 1'!BC77</f>
        <v>568988.74929517298</v>
      </c>
      <c r="BD88" s="932">
        <f>($BC$88-$BK$88)*(VLOOKUP('Cost Allocation - Tier 2'!BD2,'RU Composites'!$B$5:$L$12,11,FALSE))</f>
        <v>90637.90175518411</v>
      </c>
      <c r="BE88" s="932">
        <f>($BC$88-$BK$88)*(VLOOKUP('Cost Allocation - Tier 2'!BE2,'RU Composites'!$B$5:$L$12,11,FALSE))</f>
        <v>84255.582514833761</v>
      </c>
      <c r="BF88" s="932">
        <f>($BC$88-$BK$88)*(VLOOKUP('Cost Allocation - Tier 2'!BF2,'RU Composites'!$B$5:$L$12,11,FALSE))</f>
        <v>47590.546955257974</v>
      </c>
      <c r="BG88" s="932">
        <f>($BC$88-$BK$88)*(VLOOKUP('Cost Allocation - Tier 2'!BG2,'RU Composites'!$B$5:$L$12,11,FALSE))</f>
        <v>106649.82123684997</v>
      </c>
      <c r="BH88" s="932">
        <f>($BC$88-$BK$88)*(VLOOKUP('Cost Allocation - Tier 2'!BH2,'RU Composites'!$B$5:$L$12,11,FALSE))</f>
        <v>79855.429488818874</v>
      </c>
      <c r="BI88" s="932">
        <f>($BC$88-$BK$88)*(VLOOKUP('Cost Allocation - Tier 2'!BI2,'RU Composites'!$B$5:$L$12,11,FALSE))</f>
        <v>52445.974284158729</v>
      </c>
      <c r="BJ88" s="932">
        <f>($BC$88-$BK$88)*(VLOOKUP('Cost Allocation - Tier 2'!BJ2,'RU Composites'!$B$5:$L$12,11,FALSE))</f>
        <v>16640.437351420478</v>
      </c>
      <c r="BK88" s="931">
        <f>'Cost Allocation - Tier 1'!BK77</f>
        <v>90913.055708649132</v>
      </c>
      <c r="BL88" s="76">
        <f t="shared" si="40"/>
        <v>905660.15021609294</v>
      </c>
      <c r="BM88" s="76">
        <f t="shared" si="41"/>
        <v>-13321.301816194667</v>
      </c>
      <c r="BN88" s="76">
        <f>SUM(BD88:BK88)-'Cost Allocation - Tier 1'!BC77</f>
        <v>0</v>
      </c>
    </row>
    <row r="89" spans="1:98" x14ac:dyDescent="0.25">
      <c r="A89" s="693" t="str">
        <f>'Cost Allocation - Tier 1'!A78</f>
        <v>8040 - HR $Usd</v>
      </c>
      <c r="B89" s="693" t="str">
        <f>'Cost Allocation - Tier 1'!B78</f>
        <v>US CONTRACT Headcount</v>
      </c>
      <c r="C89" s="693" t="str">
        <f>'Cost Allocation - Tier 1'!C78</f>
        <v>N</v>
      </c>
      <c r="D89" s="778">
        <f>'Cost Allocation - Tier 1'!D78</f>
        <v>158781.74609999999</v>
      </c>
      <c r="E89" s="778">
        <f>'Cost Allocation - Tier 1'!E78</f>
        <v>119670</v>
      </c>
      <c r="F89" s="778">
        <f>'Cost Allocation - Tier 1'!F78</f>
        <v>0</v>
      </c>
      <c r="G89" s="778">
        <f>'Cost Allocation - Tier 1'!G78</f>
        <v>119670</v>
      </c>
      <c r="H89" s="778">
        <f>'Cost Allocation - Tier 1'!H78</f>
        <v>0</v>
      </c>
      <c r="I89" s="688">
        <f>'Cost Allocation - Tier 1'!I78</f>
        <v>119670</v>
      </c>
      <c r="J89" s="931">
        <f>'Cost Allocation - Tier 1'!J78</f>
        <v>0</v>
      </c>
      <c r="K89" s="931">
        <f>'Cost Allocation - Tier 1'!K78</f>
        <v>0</v>
      </c>
      <c r="L89" s="931">
        <f>'Cost Allocation - Tier 1'!L78</f>
        <v>0</v>
      </c>
      <c r="M89" s="931">
        <f>'Cost Allocation - Tier 1'!M78</f>
        <v>0</v>
      </c>
      <c r="N89" s="931">
        <f>'Cost Allocation - Tier 1'!N78</f>
        <v>0</v>
      </c>
      <c r="O89" s="931">
        <f>'Cost Allocation - Tier 1'!O78</f>
        <v>0</v>
      </c>
      <c r="P89" s="931">
        <f>'Cost Allocation - Tier 1'!P78</f>
        <v>0</v>
      </c>
      <c r="Q89" s="931">
        <f>'Cost Allocation - Tier 1'!Q78</f>
        <v>0</v>
      </c>
      <c r="R89" s="931">
        <f>'Cost Allocation - Tier 1'!R78</f>
        <v>0</v>
      </c>
      <c r="S89" s="931">
        <f>'Cost Allocation - Tier 1'!S78</f>
        <v>0</v>
      </c>
      <c r="T89" s="931">
        <f>'Cost Allocation - Tier 1'!T78</f>
        <v>0</v>
      </c>
      <c r="U89" s="931">
        <f>'Cost Allocation - Tier 1'!U78</f>
        <v>0</v>
      </c>
      <c r="V89" s="931">
        <f>'Cost Allocation - Tier 1'!V78</f>
        <v>0</v>
      </c>
      <c r="W89" s="931">
        <f>'Cost Allocation - Tier 1'!W78</f>
        <v>0</v>
      </c>
      <c r="X89" s="931">
        <f>'Cost Allocation - Tier 1'!X78</f>
        <v>0</v>
      </c>
      <c r="Y89" s="931">
        <f>'Cost Allocation - Tier 1'!Y78</f>
        <v>0</v>
      </c>
      <c r="Z89" s="931">
        <f>'Cost Allocation - Tier 1'!Z78</f>
        <v>0</v>
      </c>
      <c r="AA89" s="931">
        <f>'Cost Allocation - Tier 1'!AA78</f>
        <v>0</v>
      </c>
      <c r="AB89" s="931">
        <f>'Cost Allocation - Tier 1'!AB78</f>
        <v>0</v>
      </c>
      <c r="AC89" s="931">
        <f>'Cost Allocation - Tier 1'!AC78</f>
        <v>0</v>
      </c>
      <c r="AD89" s="931">
        <f>'Cost Allocation - Tier 1'!AD78</f>
        <v>0</v>
      </c>
      <c r="AE89" s="931">
        <f>'Cost Allocation - Tier 1'!AE78</f>
        <v>0</v>
      </c>
      <c r="AF89" s="931">
        <f>'Cost Allocation - Tier 1'!AF78</f>
        <v>0</v>
      </c>
      <c r="AG89" s="931">
        <f>'Cost Allocation - Tier 1'!AG78</f>
        <v>0</v>
      </c>
      <c r="AH89" s="931">
        <f>'Cost Allocation - Tier 1'!AH78</f>
        <v>0</v>
      </c>
      <c r="AI89" s="931">
        <f>'Cost Allocation - Tier 1'!AI78</f>
        <v>0</v>
      </c>
      <c r="AJ89" s="931">
        <f>'Cost Allocation - Tier 1'!AJ78</f>
        <v>0</v>
      </c>
      <c r="AK89" s="931">
        <f>'Cost Allocation - Tier 1'!AK78</f>
        <v>0</v>
      </c>
      <c r="AL89" s="931">
        <f>'Cost Allocation - Tier 1'!AL78</f>
        <v>0</v>
      </c>
      <c r="AM89" s="931">
        <f>'Cost Allocation - Tier 1'!AM78</f>
        <v>0</v>
      </c>
      <c r="AN89" s="931">
        <f>'Cost Allocation - Tier 1'!AN78</f>
        <v>0</v>
      </c>
      <c r="AO89" s="931">
        <f>'Cost Allocation - Tier 1'!AO78</f>
        <v>0</v>
      </c>
      <c r="AP89" s="931">
        <f>'Cost Allocation - Tier 1'!AP78</f>
        <v>0</v>
      </c>
      <c r="AQ89" s="931">
        <f>'Cost Allocation - Tier 1'!AQ78</f>
        <v>0</v>
      </c>
      <c r="AR89" s="931">
        <f>'Cost Allocation - Tier 1'!AR78</f>
        <v>0</v>
      </c>
      <c r="AS89" s="931">
        <f>'Cost Allocation - Tier 1'!AS78</f>
        <v>0</v>
      </c>
      <c r="AT89" s="931">
        <f>'Cost Allocation - Tier 1'!AT78</f>
        <v>0</v>
      </c>
      <c r="AU89" s="931">
        <f>'Cost Allocation - Tier 1'!AU78</f>
        <v>0</v>
      </c>
      <c r="AV89" s="931">
        <f>'Cost Allocation - Tier 1'!AV78</f>
        <v>0</v>
      </c>
      <c r="AW89" s="931">
        <f>'Cost Allocation - Tier 1'!AW78</f>
        <v>0</v>
      </c>
      <c r="AX89" s="931">
        <f>'Cost Allocation - Tier 1'!AX78</f>
        <v>0</v>
      </c>
      <c r="AY89" s="931">
        <f>'Cost Allocation - Tier 1'!AY78</f>
        <v>32481.857142857149</v>
      </c>
      <c r="AZ89" s="931">
        <f>'Cost Allocation - Tier 1'!AZ78</f>
        <v>2778.0535714285716</v>
      </c>
      <c r="BA89" s="931">
        <f>'Cost Allocation - Tier 1'!BA78</f>
        <v>23506.607142857141</v>
      </c>
      <c r="BB89" s="931">
        <f>'Cost Allocation - Tier 1'!BB78</f>
        <v>60903.482142857138</v>
      </c>
      <c r="BC89" s="688">
        <f>'Cost Allocation - Tier 1'!BC78</f>
        <v>0</v>
      </c>
      <c r="BD89" s="932">
        <f>($BC$89-$BK$89)*(VLOOKUP('Cost Allocation - Tier 2'!BD2,'RU Composites'!$B$5:$L$12,11,FALSE))</f>
        <v>0</v>
      </c>
      <c r="BE89" s="932">
        <f>($BC$89-$BK$89)*(VLOOKUP('Cost Allocation - Tier 2'!BE2,'RU Composites'!$B$5:$L$12,11,FALSE))</f>
        <v>0</v>
      </c>
      <c r="BF89" s="932">
        <f>($BC$89-$BK$89)*(VLOOKUP('Cost Allocation - Tier 2'!BF2,'RU Composites'!$B$5:$L$12,11,FALSE))</f>
        <v>0</v>
      </c>
      <c r="BG89" s="932">
        <f>($BC$89-$BK$89)*(VLOOKUP('Cost Allocation - Tier 2'!BG2,'RU Composites'!$B$5:$L$12,11,FALSE))</f>
        <v>0</v>
      </c>
      <c r="BH89" s="932">
        <f>($BC$89-$BK$89)*(VLOOKUP('Cost Allocation - Tier 2'!BH2,'RU Composites'!$B$5:$L$12,11,FALSE))</f>
        <v>0</v>
      </c>
      <c r="BI89" s="932">
        <f>($BC$89-$BK$89)*(VLOOKUP('Cost Allocation - Tier 2'!BI2,'RU Composites'!$B$5:$L$12,11,FALSE))</f>
        <v>0</v>
      </c>
      <c r="BJ89" s="932">
        <f>($BC$89-$BK$89)*(VLOOKUP('Cost Allocation - Tier 2'!BJ2,'RU Composites'!$B$5:$L$12,11,FALSE))</f>
        <v>0</v>
      </c>
      <c r="BK89" s="931">
        <f>'Cost Allocation - Tier 1'!BK78</f>
        <v>0</v>
      </c>
      <c r="BL89" s="76">
        <f t="shared" si="40"/>
        <v>119670</v>
      </c>
      <c r="BM89" s="76">
        <f t="shared" si="41"/>
        <v>0</v>
      </c>
      <c r="BN89" s="76">
        <f>SUM(BD89:BK89)-'Cost Allocation - Tier 1'!BC78</f>
        <v>0</v>
      </c>
    </row>
    <row r="90" spans="1:98" x14ac:dyDescent="0.25">
      <c r="A90" s="693" t="str">
        <f>'Cost Allocation - Tier 1'!A79</f>
        <v>8060 - Legal</v>
      </c>
      <c r="B90" s="693" t="str">
        <f>'Cost Allocation - Tier 1'!B79</f>
        <v>ALL</v>
      </c>
      <c r="C90" s="693" t="str">
        <f>'Cost Allocation - Tier 1'!C79</f>
        <v>Y</v>
      </c>
      <c r="D90" s="778">
        <f>'Cost Allocation - Tier 1'!D79</f>
        <v>881802</v>
      </c>
      <c r="E90" s="778">
        <f>'Cost Allocation - Tier 1'!E79</f>
        <v>664593.05261412542</v>
      </c>
      <c r="F90" s="778">
        <f>'Cost Allocation - Tier 1'!F79</f>
        <v>284257.96824009105</v>
      </c>
      <c r="G90" s="778">
        <f>'Cost Allocation - Tier 1'!G79</f>
        <v>687413.15767656756</v>
      </c>
      <c r="H90" s="778">
        <f>'Cost Allocation - Tier 1'!H79</f>
        <v>0</v>
      </c>
      <c r="I90" s="688">
        <f>'Cost Allocation - Tier 1'!I79</f>
        <v>255677.17005282658</v>
      </c>
      <c r="J90" s="931">
        <f>'Cost Allocation - Tier 1'!J79</f>
        <v>1591.3859801270721</v>
      </c>
      <c r="K90" s="931">
        <f>'Cost Allocation - Tier 1'!K79</f>
        <v>472.16151164007937</v>
      </c>
      <c r="L90" s="931">
        <f>'Cost Allocation - Tier 1'!L79</f>
        <v>495.84119040698033</v>
      </c>
      <c r="M90" s="931">
        <f>'Cost Allocation - Tier 1'!M79</f>
        <v>473.78337157833755</v>
      </c>
      <c r="N90" s="931">
        <f>'Cost Allocation - Tier 1'!N79</f>
        <v>829.55350149173273</v>
      </c>
      <c r="O90" s="931">
        <f>'Cost Allocation - Tier 1'!O79</f>
        <v>1899.1408476774373</v>
      </c>
      <c r="P90" s="931">
        <f>'Cost Allocation - Tier 1'!P79</f>
        <v>229.72679205028734</v>
      </c>
      <c r="Q90" s="931">
        <f>'Cost Allocation - Tier 1'!Q79</f>
        <v>608.22928405567177</v>
      </c>
      <c r="R90" s="931">
        <f>'Cost Allocation - Tier 1'!R79</f>
        <v>520.21238716900825</v>
      </c>
      <c r="S90" s="931">
        <f>'Cost Allocation - Tier 1'!S79</f>
        <v>535.18815126304526</v>
      </c>
      <c r="T90" s="931">
        <f>'Cost Allocation - Tier 1'!T79</f>
        <v>1938.4519974484931</v>
      </c>
      <c r="U90" s="931">
        <f>'Cost Allocation - Tier 1'!U79</f>
        <v>1547.6582763700985</v>
      </c>
      <c r="V90" s="931">
        <f>'Cost Allocation - Tier 1'!V79</f>
        <v>1228.2629113748851</v>
      </c>
      <c r="W90" s="931">
        <f>'Cost Allocation - Tier 1'!W79</f>
        <v>1969.5994736689729</v>
      </c>
      <c r="X90" s="931">
        <f>'Cost Allocation - Tier 1'!X79</f>
        <v>48.710166742299869</v>
      </c>
      <c r="Y90" s="931">
        <f>'Cost Allocation - Tier 1'!Y79</f>
        <v>38.431098937100884</v>
      </c>
      <c r="Z90" s="931">
        <f>'Cost Allocation - Tier 1'!Z79</f>
        <v>185.86683834349734</v>
      </c>
      <c r="AA90" s="931">
        <f>'Cost Allocation - Tier 1'!AA79</f>
        <v>169.9022150806021</v>
      </c>
      <c r="AB90" s="931">
        <f>'Cost Allocation - Tier 1'!AB79</f>
        <v>102.22276610420236</v>
      </c>
      <c r="AC90" s="931">
        <f>'Cost Allocation - Tier 1'!AC79</f>
        <v>104.51835064494828</v>
      </c>
      <c r="AD90" s="931">
        <f>'Cost Allocation - Tier 1'!AD79</f>
        <v>592.77569564980456</v>
      </c>
      <c r="AE90" s="931">
        <f>'Cost Allocation - Tier 1'!AE79</f>
        <v>237.80250779829524</v>
      </c>
      <c r="AF90" s="931">
        <f>'Cost Allocation - Tier 1'!AF79</f>
        <v>618.67272816160073</v>
      </c>
      <c r="AG90" s="931">
        <f>'Cost Allocation - Tier 1'!AG79</f>
        <v>1920.9618960725704</v>
      </c>
      <c r="AH90" s="931">
        <f>'Cost Allocation - Tier 1'!AH79</f>
        <v>15743.426906658031</v>
      </c>
      <c r="AI90" s="931">
        <f>'Cost Allocation - Tier 1'!AI79</f>
        <v>109.28790236033764</v>
      </c>
      <c r="AJ90" s="931">
        <f>'Cost Allocation - Tier 1'!AJ79</f>
        <v>2318.6049349717487</v>
      </c>
      <c r="AK90" s="931">
        <f>'Cost Allocation - Tier 1'!AK79</f>
        <v>1993.8734010660164</v>
      </c>
      <c r="AL90" s="931">
        <f>'Cost Allocation - Tier 1'!AL79</f>
        <v>0</v>
      </c>
      <c r="AM90" s="931">
        <f>'Cost Allocation - Tier 1'!AM79</f>
        <v>243.35065778153816</v>
      </c>
      <c r="AN90" s="931">
        <f>'Cost Allocation - Tier 1'!AN79</f>
        <v>411.44112327774479</v>
      </c>
      <c r="AO90" s="931">
        <f>'Cost Allocation - Tier 1'!AO79</f>
        <v>2424.2503516745123</v>
      </c>
      <c r="AP90" s="931">
        <f>'Cost Allocation - Tier 1'!AP79</f>
        <v>367.20853141069813</v>
      </c>
      <c r="AQ90" s="931">
        <f>'Cost Allocation - Tier 1'!AQ79</f>
        <v>2303.6085377985332</v>
      </c>
      <c r="AR90" s="931">
        <f>'Cost Allocation - Tier 1'!AR79</f>
        <v>6.9678099314315478</v>
      </c>
      <c r="AS90" s="931">
        <f>'Cost Allocation - Tier 1'!AS79</f>
        <v>3395.1446952148049</v>
      </c>
      <c r="AT90" s="931">
        <f>'Cost Allocation - Tier 1'!AT79</f>
        <v>2816.3407407492141</v>
      </c>
      <c r="AU90" s="931">
        <f>'Cost Allocation - Tier 1'!AU79</f>
        <v>3938.1835859726511</v>
      </c>
      <c r="AV90" s="931">
        <f>'Cost Allocation - Tier 1'!AV79</f>
        <v>5534.5580926909934</v>
      </c>
      <c r="AW90" s="931">
        <f>'Cost Allocation - Tier 1'!AW79</f>
        <v>14175.28913275975</v>
      </c>
      <c r="AX90" s="931">
        <f>'Cost Allocation - Tier 1'!AX79</f>
        <v>147.81408054692113</v>
      </c>
      <c r="AY90" s="931">
        <f>'Cost Allocation - Tier 1'!AY79</f>
        <v>47165.781531919602</v>
      </c>
      <c r="AZ90" s="931">
        <f>'Cost Allocation - Tier 1'!AZ79</f>
        <v>1586.1927144711026</v>
      </c>
      <c r="BA90" s="931">
        <f>'Cost Allocation - Tier 1'!BA79</f>
        <v>28601.420476330695</v>
      </c>
      <c r="BB90" s="931">
        <f>'Cost Allocation - Tier 1'!BB79</f>
        <v>104035.36490538322</v>
      </c>
      <c r="BC90" s="688">
        <f>'Cost Allocation - Tier 1'!BC79</f>
        <v>425612.89128357056</v>
      </c>
      <c r="BD90" s="932">
        <f>($BC$90-$BK$90)*(VLOOKUP('Cost Allocation - Tier 2'!BD2,'RU Composites'!$B$5:$L$12,11,FALSE))</f>
        <v>67798.633055023369</v>
      </c>
      <c r="BE90" s="932">
        <f>($BC$90-$BK$90)*(VLOOKUP('Cost Allocation - Tier 2'!BE2,'RU Composites'!$B$5:$L$12,11,FALSE))</f>
        <v>63024.553869195588</v>
      </c>
      <c r="BF90" s="932">
        <f>($BC$90-$BK$90)*(VLOOKUP('Cost Allocation - Tier 2'!BF2,'RU Composites'!$B$5:$L$12,11,FALSE))</f>
        <v>35598.507549551134</v>
      </c>
      <c r="BG90" s="932">
        <f>($BC$90-$BK$90)*(VLOOKUP('Cost Allocation - Tier 2'!BG2,'RU Composites'!$B$5:$L$12,11,FALSE))</f>
        <v>79775.810730387559</v>
      </c>
      <c r="BH90" s="932">
        <f>($BC$90-$BK$90)*(VLOOKUP('Cost Allocation - Tier 2'!BH2,'RU Composites'!$B$5:$L$12,11,FALSE))</f>
        <v>59733.16743350208</v>
      </c>
      <c r="BI90" s="932">
        <f>($BC$90-$BK$90)*(VLOOKUP('Cost Allocation - Tier 2'!BI2,'RU Composites'!$B$5:$L$12,11,FALSE))</f>
        <v>39230.446610614476</v>
      </c>
      <c r="BJ90" s="932">
        <f>($BC$90-$BK$90)*(VLOOKUP('Cost Allocation - Tier 2'!BJ2,'RU Composites'!$B$5:$L$12,11,FALSE))</f>
        <v>12447.319322454792</v>
      </c>
      <c r="BK90" s="931">
        <f>'Cost Allocation - Tier 1'!BK79</f>
        <v>68004.452712841579</v>
      </c>
      <c r="BL90" s="76">
        <f t="shared" si="40"/>
        <v>681290.06133639719</v>
      </c>
      <c r="BM90" s="76">
        <f t="shared" si="41"/>
        <v>-6123.096340170363</v>
      </c>
      <c r="BN90" s="76">
        <f>SUM(BD90:BK90)-'Cost Allocation - Tier 1'!BC79</f>
        <v>0</v>
      </c>
    </row>
    <row r="91" spans="1:98" x14ac:dyDescent="0.25">
      <c r="A91" s="693" t="str">
        <f>'Cost Allocation - Tier 1'!A80</f>
        <v>8080 - Treasury</v>
      </c>
      <c r="B91" s="693" t="str">
        <f>'Cost Allocation - Tier 1'!B80</f>
        <v>ALL + TRIBUS</v>
      </c>
      <c r="C91" s="693" t="str">
        <f>'Cost Allocation - Tier 1'!C80</f>
        <v>Y</v>
      </c>
      <c r="D91" s="778">
        <f>'Cost Allocation - Tier 1'!D80</f>
        <v>322578</v>
      </c>
      <c r="E91" s="778">
        <f>'Cost Allocation - Tier 1'!E80</f>
        <v>243119.31445626041</v>
      </c>
      <c r="F91" s="778">
        <f>'Cost Allocation - Tier 1'!F80</f>
        <v>29.393366143364261</v>
      </c>
      <c r="G91" s="778">
        <f>'Cost Allocation - Tier 1'!G80</f>
        <v>257704.70972166746</v>
      </c>
      <c r="H91" s="778">
        <f>'Cost Allocation - Tier 1'!H80</f>
        <v>5154.094194433349</v>
      </c>
      <c r="I91" s="688">
        <f>'Cost Allocation - Tier 1'!I80</f>
        <v>92348.235985338091</v>
      </c>
      <c r="J91" s="931">
        <f>'Cost Allocation - Tier 1'!J80</f>
        <v>570.51263726265313</v>
      </c>
      <c r="K91" s="931">
        <f>'Cost Allocation - Tier 1'!K80</f>
        <v>169.270128418621</v>
      </c>
      <c r="L91" s="931">
        <f>'Cost Allocation - Tier 1'!L80</f>
        <v>177.75930461568564</v>
      </c>
      <c r="M91" s="931">
        <f>'Cost Allocation - Tier 1'!M80</f>
        <v>169.85156598449203</v>
      </c>
      <c r="N91" s="931">
        <f>'Cost Allocation - Tier 1'!N80</f>
        <v>297.39532822120628</v>
      </c>
      <c r="O91" s="931">
        <f>'Cost Allocation - Tier 1'!O80</f>
        <v>680.84290490932256</v>
      </c>
      <c r="P91" s="931">
        <f>'Cost Allocation - Tier 1'!P80</f>
        <v>82.35716514986089</v>
      </c>
      <c r="Q91" s="931">
        <f>'Cost Allocation - Tier 1'!Q80</f>
        <v>218.0504901012566</v>
      </c>
      <c r="R91" s="931">
        <f>'Cost Allocation - Tier 1'!R80</f>
        <v>186.49639034572417</v>
      </c>
      <c r="S91" s="931">
        <f>'Cost Allocation - Tier 1'!S80</f>
        <v>191.86520895730331</v>
      </c>
      <c r="T91" s="931">
        <f>'Cost Allocation - Tier 1'!T80</f>
        <v>694.935970959786</v>
      </c>
      <c r="U91" s="931">
        <f>'Cost Allocation - Tier 1'!U80</f>
        <v>554.8362344896193</v>
      </c>
      <c r="V91" s="931">
        <f>'Cost Allocation - Tier 1'!V80</f>
        <v>440.33284292503072</v>
      </c>
      <c r="W91" s="931">
        <f>'Cost Allocation - Tier 1'!W80</f>
        <v>706.1023561262574</v>
      </c>
      <c r="X91" s="931">
        <f>'Cost Allocation - Tier 1'!X80</f>
        <v>17.46261814335832</v>
      </c>
      <c r="Y91" s="931">
        <f>'Cost Allocation - Tier 1'!Y80</f>
        <v>13.777567404330549</v>
      </c>
      <c r="Z91" s="931">
        <f>'Cost Allocation - Tier 1'!Z80</f>
        <v>66.63335070637774</v>
      </c>
      <c r="AA91" s="931">
        <f>'Cost Allocation - Tier 1'!AA80</f>
        <v>60.910025608407615</v>
      </c>
      <c r="AB91" s="931">
        <f>'Cost Allocation - Tier 1'!AB80</f>
        <v>36.64691068456883</v>
      </c>
      <c r="AC91" s="931">
        <f>'Cost Allocation - Tier 1'!AC80</f>
        <v>37.469878843617053</v>
      </c>
      <c r="AD91" s="931">
        <f>'Cost Allocation - Tier 1'!AD80</f>
        <v>212.51037124467422</v>
      </c>
      <c r="AE91" s="931">
        <f>'Cost Allocation - Tier 1'!AE80</f>
        <v>85.252313119438725</v>
      </c>
      <c r="AF91" s="931">
        <f>'Cost Allocation - Tier 1'!AF80</f>
        <v>221.79446982294729</v>
      </c>
      <c r="AG91" s="931">
        <f>'Cost Allocation - Tier 1'!AG80</f>
        <v>688.6657612265243</v>
      </c>
      <c r="AH91" s="931">
        <f>'Cost Allocation - Tier 1'!AH80</f>
        <v>5644.0260981513029</v>
      </c>
      <c r="AI91" s="931">
        <f>'Cost Allocation - Tier 1'!AI80</f>
        <v>39.179765421535826</v>
      </c>
      <c r="AJ91" s="931">
        <f>'Cost Allocation - Tier 1'!AJ80</f>
        <v>831.22098142105631</v>
      </c>
      <c r="AK91" s="931">
        <f>'Cost Allocation - Tier 1'!AK80</f>
        <v>714.804570742289</v>
      </c>
      <c r="AL91" s="931">
        <f>'Cost Allocation - Tier 1'!AL80</f>
        <v>0</v>
      </c>
      <c r="AM91" s="931">
        <f>'Cost Allocation - Tier 1'!AM80</f>
        <v>87.241327549876218</v>
      </c>
      <c r="AN91" s="931">
        <f>'Cost Allocation - Tier 1'!AN80</f>
        <v>147.50184006318264</v>
      </c>
      <c r="AO91" s="931">
        <f>'Cost Allocation - Tier 1'!AO80</f>
        <v>869.09491398705336</v>
      </c>
      <c r="AP91" s="931">
        <f>'Cost Allocation - Tier 1'!AP80</f>
        <v>131.64443466049315</v>
      </c>
      <c r="AQ91" s="931">
        <f>'Cost Allocation - Tier 1'!AQ80</f>
        <v>825.84476584069409</v>
      </c>
      <c r="AR91" s="931">
        <f>'Cost Allocation - Tier 1'!AR80</f>
        <v>2.4979632028733199</v>
      </c>
      <c r="AS91" s="931">
        <f>'Cost Allocation - Tier 1'!AS80</f>
        <v>1217.161001883803</v>
      </c>
      <c r="AT91" s="931">
        <f>'Cost Allocation - Tier 1'!AT80</f>
        <v>1009.6595065559071</v>
      </c>
      <c r="AU91" s="931">
        <f>'Cost Allocation - Tier 1'!AU80</f>
        <v>1411.8407047159883</v>
      </c>
      <c r="AV91" s="931">
        <f>'Cost Allocation - Tier 1'!AV80</f>
        <v>1984.1417311546058</v>
      </c>
      <c r="AW91" s="931">
        <f>'Cost Allocation - Tier 1'!AW80</f>
        <v>5081.8479539738255</v>
      </c>
      <c r="AX91" s="931">
        <f>'Cost Allocation - Tier 1'!AX80</f>
        <v>52.991418782415352</v>
      </c>
      <c r="AY91" s="931">
        <f>'Cost Allocation - Tier 1'!AY80</f>
        <v>17328.366535739053</v>
      </c>
      <c r="AZ91" s="931">
        <f>'Cost Allocation - Tier 1'!AZ80</f>
        <v>582.75571526516126</v>
      </c>
      <c r="BA91" s="931">
        <f>'Cost Allocation - Tier 1'!BA80</f>
        <v>10507.954736660957</v>
      </c>
      <c r="BB91" s="931">
        <f>'Cost Allocation - Tier 1'!BB80</f>
        <v>37296.728224294944</v>
      </c>
      <c r="BC91" s="688">
        <f>'Cost Allocation - Tier 1'!BC80</f>
        <v>156367.09374795776</v>
      </c>
      <c r="BD91" s="932">
        <f>($BC$91-$BK$91)*(VLOOKUP('Cost Allocation - Tier 2'!BD2,'RU Composites'!$B$5:$L$12,11,FALSE))</f>
        <v>24908.726751499747</v>
      </c>
      <c r="BE91" s="932">
        <f>($BC$91-$BK$91)*(VLOOKUP('Cost Allocation - Tier 2'!BE2,'RU Composites'!$B$5:$L$12,11,FALSE))</f>
        <v>23154.764634987787</v>
      </c>
      <c r="BF91" s="932">
        <f>($BC$91-$BK$91)*(VLOOKUP('Cost Allocation - Tier 2'!BF2,'RU Composites'!$B$5:$L$12,11,FALSE))</f>
        <v>13078.633850823209</v>
      </c>
      <c r="BG91" s="932">
        <f>($BC$91-$BK$91)*(VLOOKUP('Cost Allocation - Tier 2'!BG2,'RU Composites'!$B$5:$L$12,11,FALSE))</f>
        <v>29309.055084486765</v>
      </c>
      <c r="BH91" s="932">
        <f>($BC$91-$BK$91)*(VLOOKUP('Cost Allocation - Tier 2'!BH2,'RU Composites'!$B$5:$L$12,11,FALSE))</f>
        <v>21945.533096444135</v>
      </c>
      <c r="BI91" s="932">
        <f>($BC$91-$BK$91)*(VLOOKUP('Cost Allocation - Tier 2'!BI2,'RU Composites'!$B$5:$L$12,11,FALSE))</f>
        <v>14412.981957468735</v>
      </c>
      <c r="BJ91" s="932">
        <f>($BC$91-$BK$91)*(VLOOKUP('Cost Allocation - Tier 2'!BJ2,'RU Composites'!$B$5:$L$12,11,FALSE))</f>
        <v>4573.0549691181004</v>
      </c>
      <c r="BK91" s="931">
        <f>'Cost Allocation - Tier 1'!BK80</f>
        <v>24984.343403129293</v>
      </c>
      <c r="BL91" s="76">
        <f t="shared" si="40"/>
        <v>253869.42392772919</v>
      </c>
      <c r="BM91" s="76">
        <f t="shared" si="41"/>
        <v>-3835.2857939382666</v>
      </c>
      <c r="BN91" s="76">
        <f>SUM(BD91:BK91)-'Cost Allocation - Tier 1'!BC80</f>
        <v>0</v>
      </c>
    </row>
    <row r="92" spans="1:98" x14ac:dyDescent="0.25">
      <c r="A92" s="693" t="str">
        <f>'Cost Allocation - Tier 1'!A81</f>
        <v>8090 - HSE</v>
      </c>
      <c r="B92" s="693" t="str">
        <f>'Cost Allocation - Tier 1'!B81</f>
        <v>ALL</v>
      </c>
      <c r="C92" s="693" t="str">
        <f>'Cost Allocation - Tier 1'!C81</f>
        <v>Y</v>
      </c>
      <c r="D92" s="778">
        <f>'Cost Allocation - Tier 1'!D81</f>
        <v>127101</v>
      </c>
      <c r="E92" s="778">
        <f>'Cost Allocation - Tier 1'!E81</f>
        <v>95792.980261224118</v>
      </c>
      <c r="F92" s="778">
        <f>'Cost Allocation - Tier 1'!F81</f>
        <v>28653.256257395446</v>
      </c>
      <c r="G92" s="778">
        <f>'Cost Allocation - Tier 1'!G81</f>
        <v>99821.36370145384</v>
      </c>
      <c r="H92" s="778">
        <f>'Cost Allocation - Tier 1'!H81</f>
        <v>0</v>
      </c>
      <c r="I92" s="688">
        <f>'Cost Allocation - Tier 1'!I81</f>
        <v>36935.91925288755</v>
      </c>
      <c r="J92" s="931">
        <f>'Cost Allocation - Tier 1'!J81</f>
        <v>229.37887355679732</v>
      </c>
      <c r="K92" s="931">
        <f>'Cost Allocation - Tier 1'!K81</f>
        <v>68.056321363487186</v>
      </c>
      <c r="L92" s="931">
        <f>'Cost Allocation - Tier 1'!L81</f>
        <v>71.469458157179957</v>
      </c>
      <c r="M92" s="931">
        <f>'Cost Allocation - Tier 1'!M81</f>
        <v>68.29009268631539</v>
      </c>
      <c r="N92" s="931">
        <f>'Cost Allocation - Tier 1'!N81</f>
        <v>119.57001639041499</v>
      </c>
      <c r="O92" s="931">
        <f>'Cost Allocation - Tier 1'!O81</f>
        <v>273.73798299465176</v>
      </c>
      <c r="P92" s="931">
        <f>'Cost Allocation - Tier 1'!P81</f>
        <v>33.112314324965887</v>
      </c>
      <c r="Q92" s="931">
        <f>'Cost Allocation - Tier 1'!Q81</f>
        <v>87.668830681672233</v>
      </c>
      <c r="R92" s="931">
        <f>'Cost Allocation - Tier 1'!R81</f>
        <v>74.982268833103262</v>
      </c>
      <c r="S92" s="931">
        <f>'Cost Allocation - Tier 1'!S81</f>
        <v>77.140842517576857</v>
      </c>
      <c r="T92" s="931">
        <f>'Cost Allocation - Tier 1'!T81</f>
        <v>279.40420562405268</v>
      </c>
      <c r="U92" s="931">
        <f>'Cost Allocation - Tier 1'!U81</f>
        <v>223.07605855386569</v>
      </c>
      <c r="V92" s="931">
        <f>'Cost Allocation - Tier 1'!V81</f>
        <v>177.03911342757135</v>
      </c>
      <c r="W92" s="931">
        <f>'Cost Allocation - Tier 1'!W81</f>
        <v>283.89373431087716</v>
      </c>
      <c r="X92" s="931">
        <f>'Cost Allocation - Tier 1'!X81</f>
        <v>7.0209762544347312</v>
      </c>
      <c r="Y92" s="931">
        <f>'Cost Allocation - Tier 1'!Y81</f>
        <v>5.5393740386214363</v>
      </c>
      <c r="Z92" s="931">
        <f>'Cost Allocation - Tier 1'!Z81</f>
        <v>26.79043710526496</v>
      </c>
      <c r="AA92" s="931">
        <f>'Cost Allocation - Tier 1'!AA81</f>
        <v>24.489331436036213</v>
      </c>
      <c r="AB92" s="931">
        <f>'Cost Allocation - Tier 1'!AB81</f>
        <v>14.734164579588416</v>
      </c>
      <c r="AC92" s="931">
        <f>'Cost Allocation - Tier 1'!AC81</f>
        <v>15.065045084183945</v>
      </c>
      <c r="AD92" s="931">
        <f>'Cost Allocation - Tier 1'!AD81</f>
        <v>85.441384452275926</v>
      </c>
      <c r="AE92" s="931">
        <f>'Cost Allocation - Tier 1'!AE81</f>
        <v>34.276330223418775</v>
      </c>
      <c r="AF92" s="931">
        <f>'Cost Allocation - Tier 1'!AF81</f>
        <v>89.174125735786049</v>
      </c>
      <c r="AG92" s="931">
        <f>'Cost Allocation - Tier 1'!AG81</f>
        <v>276.88322089620999</v>
      </c>
      <c r="AH92" s="931">
        <f>'Cost Allocation - Tier 1'!AH81</f>
        <v>2269.2229131518666</v>
      </c>
      <c r="AI92" s="931">
        <f>'Cost Allocation - Tier 1'!AI81</f>
        <v>15.752517773719354</v>
      </c>
      <c r="AJ92" s="931">
        <f>'Cost Allocation - Tier 1'!AJ81</f>
        <v>334.1986135661341</v>
      </c>
      <c r="AK92" s="931">
        <f>'Cost Allocation - Tier 1'!AK81</f>
        <v>287.39252479455905</v>
      </c>
      <c r="AL92" s="931">
        <f>'Cost Allocation - Tier 1'!AL81</f>
        <v>0</v>
      </c>
      <c r="AM92" s="931">
        <f>'Cost Allocation - Tier 1'!AM81</f>
        <v>35.07602835408774</v>
      </c>
      <c r="AN92" s="931">
        <f>'Cost Allocation - Tier 1'!AN81</f>
        <v>59.304218191526708</v>
      </c>
      <c r="AO92" s="931">
        <f>'Cost Allocation - Tier 1'!AO81</f>
        <v>349.42611147194293</v>
      </c>
      <c r="AP92" s="931">
        <f>'Cost Allocation - Tier 1'!AP81</f>
        <v>52.928629727343711</v>
      </c>
      <c r="AQ92" s="931">
        <f>'Cost Allocation - Tier 1'!AQ81</f>
        <v>332.03706587502791</v>
      </c>
      <c r="AR92" s="931">
        <f>'Cost Allocation - Tier 1'!AR81</f>
        <v>1.0043247918408906</v>
      </c>
      <c r="AS92" s="931">
        <f>'Cost Allocation - Tier 1'!AS81</f>
        <v>489.36868583479838</v>
      </c>
      <c r="AT92" s="931">
        <f>'Cost Allocation - Tier 1'!AT81</f>
        <v>405.94115741398394</v>
      </c>
      <c r="AU92" s="931">
        <f>'Cost Allocation - Tier 1'!AU81</f>
        <v>567.64111666871918</v>
      </c>
      <c r="AV92" s="931">
        <f>'Cost Allocation - Tier 1'!AV81</f>
        <v>797.73902547183832</v>
      </c>
      <c r="AW92" s="931">
        <f>'Cost Allocation - Tier 1'!AW81</f>
        <v>2043.1949848865131</v>
      </c>
      <c r="AX92" s="931">
        <f>'Cost Allocation - Tier 1'!AX81</f>
        <v>21.305596326152834</v>
      </c>
      <c r="AY92" s="931">
        <f>'Cost Allocation - Tier 1'!AY81</f>
        <v>6849.0871610232953</v>
      </c>
      <c r="AZ92" s="931">
        <f>'Cost Allocation - Tier 1'!AZ81</f>
        <v>230.33588764431877</v>
      </c>
      <c r="BA92" s="931">
        <f>'Cost Allocation - Tier 1'!BA81</f>
        <v>4153.2996042669974</v>
      </c>
      <c r="BB92" s="931">
        <f>'Cost Allocation - Tier 1'!BB81</f>
        <v>14995.428582424525</v>
      </c>
      <c r="BC92" s="688">
        <f>'Cost Allocation - Tier 1'!BC81</f>
        <v>61804.547588881353</v>
      </c>
      <c r="BD92" s="932">
        <f>($BC$92-$BK$92)*(VLOOKUP('Cost Allocation - Tier 2'!BD2,'RU Composites'!$B$5:$L$12,11,FALSE))</f>
        <v>9845.2465348810911</v>
      </c>
      <c r="BE92" s="932">
        <f>($BC$92-$BK$92)*(VLOOKUP('Cost Allocation - Tier 2'!BE2,'RU Composites'!$B$5:$L$12,11,FALSE))</f>
        <v>9151.9879182453624</v>
      </c>
      <c r="BF92" s="932">
        <f>($BC$92-$BK$92)*(VLOOKUP('Cost Allocation - Tier 2'!BF2,'RU Composites'!$B$5:$L$12,11,FALSE))</f>
        <v>5169.3679843769214</v>
      </c>
      <c r="BG92" s="932">
        <f>($BC$92-$BK$92)*(VLOOKUP('Cost Allocation - Tier 2'!BG2,'RU Composites'!$B$5:$L$12,11,FALSE))</f>
        <v>11584.489078463577</v>
      </c>
      <c r="BH92" s="932">
        <f>($BC$92-$BK$92)*(VLOOKUP('Cost Allocation - Tier 2'!BH2,'RU Composites'!$B$5:$L$12,11,FALSE))</f>
        <v>8674.0356433865509</v>
      </c>
      <c r="BI92" s="932">
        <f>($BC$92-$BK$92)*(VLOOKUP('Cost Allocation - Tier 2'!BI2,'RU Composites'!$B$5:$L$12,11,FALSE))</f>
        <v>5696.7729458724352</v>
      </c>
      <c r="BJ92" s="932">
        <f>($BC$92-$BK$92)*(VLOOKUP('Cost Allocation - Tier 2'!BJ2,'RU Composites'!$B$5:$L$12,11,FALSE))</f>
        <v>1807.5132477744944</v>
      </c>
      <c r="BK92" s="931">
        <f>'Cost Allocation - Tier 1'!BK81</f>
        <v>9875.1342358809161</v>
      </c>
      <c r="BL92" s="76">
        <f t="shared" si="40"/>
        <v>98740.46684176891</v>
      </c>
      <c r="BM92" s="76">
        <f t="shared" si="41"/>
        <v>-1080.89685968493</v>
      </c>
      <c r="BN92" s="76">
        <f>SUM(BD92:BK92)-'Cost Allocation - Tier 1'!BC81</f>
        <v>0</v>
      </c>
    </row>
    <row r="93" spans="1:98" x14ac:dyDescent="0.25">
      <c r="A93" s="693" t="str">
        <f>'Cost Allocation - Tier 1'!A82</f>
        <v>8090 - HSE $Usd</v>
      </c>
      <c r="B93" s="693" t="str">
        <f>'Cost Allocation - Tier 1'!B82</f>
        <v>ALL</v>
      </c>
      <c r="C93" s="693" t="str">
        <f>'Cost Allocation - Tier 1'!C82</f>
        <v>Y</v>
      </c>
      <c r="D93" s="778">
        <f>'Cost Allocation - Tier 1'!D82</f>
        <v>273540.59963000001</v>
      </c>
      <c r="E93" s="778">
        <f>'Cost Allocation - Tier 1'!E82</f>
        <v>206161</v>
      </c>
      <c r="F93" s="778">
        <f>'Cost Allocation - Tier 1'!F82</f>
        <v>0</v>
      </c>
      <c r="G93" s="778">
        <f>'Cost Allocation - Tier 1'!G82</f>
        <v>218530.66</v>
      </c>
      <c r="H93" s="778">
        <f>'Cost Allocation - Tier 1'!H82</f>
        <v>0</v>
      </c>
      <c r="I93" s="688">
        <f>'Cost Allocation - Tier 1'!I82</f>
        <v>79898.790831041973</v>
      </c>
      <c r="J93" s="931">
        <f>'Cost Allocation - Tier 1'!J82</f>
        <v>523.27755636927407</v>
      </c>
      <c r="K93" s="931">
        <f>'Cost Allocation - Tier 1'!K82</f>
        <v>155.25556031536399</v>
      </c>
      <c r="L93" s="931">
        <f>'Cost Allocation - Tier 1'!L82</f>
        <v>163.04188280122872</v>
      </c>
      <c r="M93" s="931">
        <f>'Cost Allocation - Tier 1'!M82</f>
        <v>155.78885828069934</v>
      </c>
      <c r="N93" s="931">
        <f>'Cost Allocation - Tier 1'!N82</f>
        <v>272.77274938887365</v>
      </c>
      <c r="O93" s="931">
        <f>'Cost Allocation - Tier 1'!O82</f>
        <v>624.47312869651398</v>
      </c>
      <c r="P93" s="931">
        <f>'Cost Allocation - Tier 1'!P82</f>
        <v>75.538477702956712</v>
      </c>
      <c r="Q93" s="931">
        <f>'Cost Allocation - Tier 1'!Q82</f>
        <v>199.99719580756326</v>
      </c>
      <c r="R93" s="931">
        <f>'Cost Allocation - Tier 1'!R82</f>
        <v>171.05558937316326</v>
      </c>
      <c r="S93" s="931">
        <f>'Cost Allocation - Tier 1'!S82</f>
        <v>175.97990147453328</v>
      </c>
      <c r="T93" s="931">
        <f>'Cost Allocation - Tier 1'!T82</f>
        <v>637.39937201343832</v>
      </c>
      <c r="U93" s="931">
        <f>'Cost Allocation - Tier 1'!U82</f>
        <v>508.89906727025516</v>
      </c>
      <c r="V93" s="931">
        <f>'Cost Allocation - Tier 1'!V82</f>
        <v>403.87588106811074</v>
      </c>
      <c r="W93" s="931">
        <f>'Cost Allocation - Tier 1'!W82</f>
        <v>647.64124635898281</v>
      </c>
      <c r="X93" s="931">
        <f>'Cost Allocation - Tier 1'!X82</f>
        <v>16.016816373621232</v>
      </c>
      <c r="Y93" s="931">
        <f>'Cost Allocation - Tier 1'!Y82</f>
        <v>12.63686609755489</v>
      </c>
      <c r="Z93" s="931">
        <f>'Cost Allocation - Tier 1'!Z82</f>
        <v>61.116502340118629</v>
      </c>
      <c r="AA93" s="931">
        <f>'Cost Allocation - Tier 1'!AA82</f>
        <v>55.867034798185891</v>
      </c>
      <c r="AB93" s="931">
        <f>'Cost Allocation - Tier 1'!AB82</f>
        <v>33.612762661163842</v>
      </c>
      <c r="AC93" s="931">
        <f>'Cost Allocation - Tier 1'!AC82</f>
        <v>34.367593911357893</v>
      </c>
      <c r="AD93" s="931">
        <f>'Cost Allocation - Tier 1'!AD82</f>
        <v>194.91576611097074</v>
      </c>
      <c r="AE93" s="931">
        <f>'Cost Allocation - Tier 1'!AE82</f>
        <v>78.193924499222305</v>
      </c>
      <c r="AF93" s="931">
        <f>'Cost Allocation - Tier 1'!AF82</f>
        <v>203.43119609415194</v>
      </c>
      <c r="AG93" s="931">
        <f>'Cost Allocation - Tier 1'!AG82</f>
        <v>631.6482986579266</v>
      </c>
      <c r="AH93" s="931">
        <f>'Cost Allocation - Tier 1'!AH82</f>
        <v>5176.7340315116235</v>
      </c>
      <c r="AI93" s="931">
        <f>'Cost Allocation - Tier 1'!AI82</f>
        <v>35.935911967299631</v>
      </c>
      <c r="AJ93" s="931">
        <f>'Cost Allocation - Tier 1'!AJ82</f>
        <v>762.40078755807338</v>
      </c>
      <c r="AK93" s="931">
        <f>'Cost Allocation - Tier 1'!AK82</f>
        <v>655.62296893944438</v>
      </c>
      <c r="AL93" s="931">
        <f>'Cost Allocation - Tier 1'!AL82</f>
        <v>0</v>
      </c>
      <c r="AM93" s="931">
        <f>'Cost Allocation - Tier 1'!AM82</f>
        <v>80.018260268078194</v>
      </c>
      <c r="AN93" s="931">
        <f>'Cost Allocation - Tier 1'!AN82</f>
        <v>135.28955782393911</v>
      </c>
      <c r="AO93" s="931">
        <f>'Cost Allocation - Tier 1'!AO82</f>
        <v>797.13898192712372</v>
      </c>
      <c r="AP93" s="931">
        <f>'Cost Allocation - Tier 1'!AP82</f>
        <v>120.7450520452597</v>
      </c>
      <c r="AQ93" s="931">
        <f>'Cost Allocation - Tier 1'!AQ82</f>
        <v>757.4696909133005</v>
      </c>
      <c r="AR93" s="931">
        <f>'Cost Allocation - Tier 1'!AR82</f>
        <v>2.2911465852388111</v>
      </c>
      <c r="AS93" s="931">
        <f>'Cost Allocation - Tier 1'!AS82</f>
        <v>1116.3872509988089</v>
      </c>
      <c r="AT93" s="931">
        <f>'Cost Allocation - Tier 1'!AT82</f>
        <v>926.06565542622354</v>
      </c>
      <c r="AU93" s="931">
        <f>'Cost Allocation - Tier 1'!AU82</f>
        <v>1294.9486228581718</v>
      </c>
      <c r="AV93" s="931">
        <f>'Cost Allocation - Tier 1'!AV82</f>
        <v>1819.8665003294043</v>
      </c>
      <c r="AW93" s="931">
        <f>'Cost Allocation - Tier 1'!AW82</f>
        <v>4661.1009213655088</v>
      </c>
      <c r="AX93" s="931">
        <f>'Cost Allocation - Tier 1'!AX82</f>
        <v>48.604041905275373</v>
      </c>
      <c r="AY93" s="931">
        <f>'Cost Allocation - Tier 1'!AY82</f>
        <v>14145.415428572816</v>
      </c>
      <c r="AZ93" s="931">
        <f>'Cost Allocation - Tier 1'!AZ82</f>
        <v>475.71256464360238</v>
      </c>
      <c r="BA93" s="931">
        <f>'Cost Allocation - Tier 1'!BA82</f>
        <v>8577.8070742066793</v>
      </c>
      <c r="BB93" s="931">
        <f>'Cost Allocation - Tier 1'!BB82</f>
        <v>32272.433152730864</v>
      </c>
      <c r="BC93" s="688">
        <f>'Cost Allocation - Tier 1'!BC82</f>
        <v>127644.89346768757</v>
      </c>
      <c r="BD93" s="932">
        <f>($BC$93-$BK$93)*(VLOOKUP('Cost Allocation - Tier 2'!BD2,'RU Composites'!$B$5:$L$12,11,FALSE))</f>
        <v>20333.381508872932</v>
      </c>
      <c r="BE93" s="932">
        <f>($BC$93-$BK$93)*(VLOOKUP('Cost Allocation - Tier 2'!BE2,'RU Composites'!$B$5:$L$12,11,FALSE))</f>
        <v>18901.594921668082</v>
      </c>
      <c r="BF93" s="932">
        <f>($BC$93-$BK$93)*(VLOOKUP('Cost Allocation - Tier 2'!BF2,'RU Composites'!$B$5:$L$12,11,FALSE))</f>
        <v>10676.292463950873</v>
      </c>
      <c r="BG93" s="932">
        <f>($BC$93-$BK$93)*(VLOOKUP('Cost Allocation - Tier 2'!BG2,'RU Composites'!$B$5:$L$12,11,FALSE))</f>
        <v>23925.438045987608</v>
      </c>
      <c r="BH93" s="932">
        <f>($BC$93-$BK$93)*(VLOOKUP('Cost Allocation - Tier 2'!BH2,'RU Composites'!$B$5:$L$12,11,FALSE))</f>
        <v>17914.480387430034</v>
      </c>
      <c r="BI93" s="932">
        <f>($BC$93-$BK$93)*(VLOOKUP('Cost Allocation - Tier 2'!BI2,'RU Composites'!$B$5:$L$12,11,FALSE))</f>
        <v>11765.541600959938</v>
      </c>
      <c r="BJ93" s="932">
        <f>($BC$93-$BK$93)*(VLOOKUP('Cost Allocation - Tier 2'!BJ2,'RU Composites'!$B$5:$L$12,11,FALSE))</f>
        <v>3733.0559797692922</v>
      </c>
      <c r="BK93" s="931">
        <f>'Cost Allocation - Tier 1'!BK82</f>
        <v>20395.108559048811</v>
      </c>
      <c r="BL93" s="76">
        <f t="shared" si="40"/>
        <v>207543.68429872952</v>
      </c>
      <c r="BM93" s="76">
        <f t="shared" si="41"/>
        <v>-10986.975701270479</v>
      </c>
      <c r="BN93" s="76">
        <f>SUM(BD93:BK93)-'Cost Allocation - Tier 1'!BC82</f>
        <v>0</v>
      </c>
    </row>
    <row r="94" spans="1:98" x14ac:dyDescent="0.25">
      <c r="A94" s="693" t="str">
        <f>'Cost Allocation - Tier 1'!A83</f>
        <v>9000 - Transition &amp; Recovery</v>
      </c>
      <c r="B94" s="693" t="str">
        <f>'Cost Allocation - Tier 1'!B83</f>
        <v>ALL</v>
      </c>
      <c r="C94" s="693" t="str">
        <f>'Cost Allocation - Tier 1'!C83</f>
        <v>Y</v>
      </c>
      <c r="D94" s="778">
        <f>'Cost Allocation - Tier 1'!D83</f>
        <v>735849</v>
      </c>
      <c r="E94" s="778">
        <f>'Cost Allocation - Tier 1'!E83</f>
        <v>554591.77136483195</v>
      </c>
      <c r="F94" s="778">
        <f>'Cost Allocation - Tier 1'!F83</f>
        <v>0</v>
      </c>
      <c r="G94" s="778">
        <f>'Cost Allocation - Tier 1'!G83</f>
        <v>587867.27764672192</v>
      </c>
      <c r="H94" s="778">
        <f>'Cost Allocation - Tier 1'!H83</f>
        <v>0</v>
      </c>
      <c r="I94" s="688">
        <f>'Cost Allocation - Tier 1'!I83</f>
        <v>214959.87559234875</v>
      </c>
      <c r="J94" s="931">
        <f>'Cost Allocation - Tier 1'!J83</f>
        <v>1327.9849468367343</v>
      </c>
      <c r="K94" s="931">
        <f>'Cost Allocation - Tier 1'!K83</f>
        <v>394.01087339203218</v>
      </c>
      <c r="L94" s="931">
        <f>'Cost Allocation - Tier 1'!L83</f>
        <v>413.77116872017302</v>
      </c>
      <c r="M94" s="931">
        <f>'Cost Allocation - Tier 1'!M83</f>
        <v>395.3642883465314</v>
      </c>
      <c r="N94" s="931">
        <f>'Cost Allocation - Tier 1'!N83</f>
        <v>692.24850308707619</v>
      </c>
      <c r="O94" s="931">
        <f>'Cost Allocation - Tier 1'!O83</f>
        <v>1584.8012293265317</v>
      </c>
      <c r="P94" s="931">
        <f>'Cost Allocation - Tier 1'!P83</f>
        <v>191.70316035052301</v>
      </c>
      <c r="Q94" s="931">
        <f>'Cost Allocation - Tier 1'!Q83</f>
        <v>507.55715052027779</v>
      </c>
      <c r="R94" s="931">
        <f>'Cost Allocation - Tier 1'!R83</f>
        <v>434.10852423324917</v>
      </c>
      <c r="S94" s="931">
        <f>'Cost Allocation - Tier 1'!S83</f>
        <v>446.6055485457739</v>
      </c>
      <c r="T94" s="931">
        <f>'Cost Allocation - Tier 1'!T83</f>
        <v>1617.6057254014804</v>
      </c>
      <c r="U94" s="931">
        <f>'Cost Allocation - Tier 1'!U83</f>
        <v>1291.4949104318889</v>
      </c>
      <c r="V94" s="931">
        <f>'Cost Allocation - Tier 1'!V83</f>
        <v>1024.9648277870745</v>
      </c>
      <c r="W94" s="931">
        <f>'Cost Allocation - Tier 1'!W83</f>
        <v>1643.5977726290482</v>
      </c>
      <c r="X94" s="931">
        <f>'Cost Allocation - Tier 1'!X83</f>
        <v>40.647818316532067</v>
      </c>
      <c r="Y94" s="931">
        <f>'Cost Allocation - Tier 1'!Y83</f>
        <v>32.070108393683327</v>
      </c>
      <c r="Z94" s="931">
        <f>'Cost Allocation - Tier 1'!Z83</f>
        <v>155.10276357756521</v>
      </c>
      <c r="AA94" s="931">
        <f>'Cost Allocation - Tier 1'!AA83</f>
        <v>141.78055285069206</v>
      </c>
      <c r="AB94" s="931">
        <f>'Cost Allocation - Tier 1'!AB83</f>
        <v>85.303186219821683</v>
      </c>
      <c r="AC94" s="931">
        <f>'Cost Allocation - Tier 1'!AC83</f>
        <v>87.218813071114084</v>
      </c>
      <c r="AD94" s="931">
        <f>'Cost Allocation - Tier 1'!AD83</f>
        <v>494.66138982244655</v>
      </c>
      <c r="AE94" s="931">
        <f>'Cost Allocation - Tier 1'!AE83</f>
        <v>198.44220988483551</v>
      </c>
      <c r="AF94" s="931">
        <f>'Cost Allocation - Tier 1'!AF83</f>
        <v>516.27202971300323</v>
      </c>
      <c r="AG94" s="931">
        <f>'Cost Allocation - Tier 1'!AG83</f>
        <v>1603.0105287389965</v>
      </c>
      <c r="AH94" s="931">
        <f>'Cost Allocation - Tier 1'!AH83</f>
        <v>13137.626072335292</v>
      </c>
      <c r="AI94" s="931">
        <f>'Cost Allocation - Tier 1'!AI83</f>
        <v>91.198924094016675</v>
      </c>
      <c r="AJ94" s="931">
        <f>'Cost Allocation - Tier 1'!AJ83</f>
        <v>1934.836984713151</v>
      </c>
      <c r="AK94" s="931">
        <f>'Cost Allocation - Tier 1'!AK83</f>
        <v>1663.853958486176</v>
      </c>
      <c r="AL94" s="931">
        <f>'Cost Allocation - Tier 1'!AL83</f>
        <v>0</v>
      </c>
      <c r="AM94" s="931">
        <f>'Cost Allocation - Tier 1'!AM83</f>
        <v>203.07204812178591</v>
      </c>
      <c r="AN94" s="931">
        <f>'Cost Allocation - Tier 1'!AN83</f>
        <v>343.34072628867386</v>
      </c>
      <c r="AO94" s="931">
        <f>'Cost Allocation - Tier 1'!AO83</f>
        <v>2022.9963155326686</v>
      </c>
      <c r="AP94" s="931">
        <f>'Cost Allocation - Tier 1'!AP83</f>
        <v>306.42936921217097</v>
      </c>
      <c r="AQ94" s="931">
        <f>'Cost Allocation - Tier 1'!AQ83</f>
        <v>1922.3227424416284</v>
      </c>
      <c r="AR94" s="931">
        <f>'Cost Allocation - Tier 1'!AR83</f>
        <v>5.8145206863150376</v>
      </c>
      <c r="AS94" s="931">
        <f>'Cost Allocation - Tier 1'!AS83</f>
        <v>2833.1913840398624</v>
      </c>
      <c r="AT94" s="931">
        <f>'Cost Allocation - Tier 1'!AT83</f>
        <v>2350.1891782277298</v>
      </c>
      <c r="AU94" s="931">
        <f>'Cost Allocation - Tier 1'!AU83</f>
        <v>3286.3482432046981</v>
      </c>
      <c r="AV94" s="931">
        <f>'Cost Allocation - Tier 1'!AV83</f>
        <v>4618.496031930722</v>
      </c>
      <c r="AW94" s="931">
        <f>'Cost Allocation - Tier 1'!AW83</f>
        <v>11829.041364220233</v>
      </c>
      <c r="AX94" s="931">
        <f>'Cost Allocation - Tier 1'!AX83</f>
        <v>123.34837452894341</v>
      </c>
      <c r="AY94" s="931">
        <f>'Cost Allocation - Tier 1'!AY83</f>
        <v>40335.596253302225</v>
      </c>
      <c r="AZ94" s="931">
        <f>'Cost Allocation - Tier 1'!AZ83</f>
        <v>1356.4925001303579</v>
      </c>
      <c r="BA94" s="931">
        <f>'Cost Allocation - Tier 1'!BA83</f>
        <v>24459.583009845086</v>
      </c>
      <c r="BB94" s="931">
        <f>'Cost Allocation - Tier 1'!BB83</f>
        <v>86815.769560809946</v>
      </c>
      <c r="BC94" s="688">
        <f>'Cost Allocation - Tier 1'!BC83</f>
        <v>363978.90982462891</v>
      </c>
      <c r="BD94" s="932">
        <f>($BC$94-$BK$94)*(VLOOKUP('Cost Allocation - Tier 2'!BD2,'RU Composites'!$B$5:$L$12,11,FALSE))</f>
        <v>57980.557103299478</v>
      </c>
      <c r="BE94" s="932">
        <f>($BC$94-$BK$94)*(VLOOKUP('Cost Allocation - Tier 2'!BE2,'RU Composites'!$B$5:$L$12,11,FALSE))</f>
        <v>53897.823302089724</v>
      </c>
      <c r="BF94" s="932">
        <f>($BC$94-$BK$94)*(VLOOKUP('Cost Allocation - Tier 2'!BF2,'RU Composites'!$B$5:$L$12,11,FALSE))</f>
        <v>30443.405814596415</v>
      </c>
      <c r="BG94" s="932">
        <f>($BC$94-$BK$94)*(VLOOKUP('Cost Allocation - Tier 2'!BG2,'RU Composites'!$B$5:$L$12,11,FALSE))</f>
        <v>68223.292138668519</v>
      </c>
      <c r="BH94" s="932">
        <f>($BC$94-$BK$94)*(VLOOKUP('Cost Allocation - Tier 2'!BH2,'RU Composites'!$B$5:$L$12,11,FALSE))</f>
        <v>51083.070104501268</v>
      </c>
      <c r="BI94" s="932">
        <f>($BC$94-$BK$94)*(VLOOKUP('Cost Allocation - Tier 2'!BI2,'RU Composites'!$B$5:$L$12,11,FALSE))</f>
        <v>33549.395428793869</v>
      </c>
      <c r="BJ94" s="932">
        <f>($BC$94-$BK$94)*(VLOOKUP('Cost Allocation - Tier 2'!BJ2,'RU Composites'!$B$5:$L$12,11,FALSE))</f>
        <v>10644.794389480987</v>
      </c>
      <c r="BK94" s="931">
        <f>'Cost Allocation - Tier 1'!BK83</f>
        <v>58156.571543198683</v>
      </c>
      <c r="BL94" s="76">
        <f t="shared" si="40"/>
        <v>578938.78541697771</v>
      </c>
      <c r="BM94" s="76">
        <f t="shared" si="41"/>
        <v>-8928.4922297442099</v>
      </c>
      <c r="BN94" s="76">
        <f>SUM(BD94:BK94)-'Cost Allocation - Tier 1'!BC83</f>
        <v>0</v>
      </c>
    </row>
    <row r="95" spans="1:98" x14ac:dyDescent="0.25">
      <c r="A95" s="693" t="str">
        <f>'Cost Allocation - Tier 1'!A84</f>
        <v>9100 - Transformation</v>
      </c>
      <c r="B95" s="693" t="str">
        <f>'Cost Allocation - Tier 1'!B84</f>
        <v>ALL</v>
      </c>
      <c r="C95" s="693" t="str">
        <f>'Cost Allocation - Tier 1'!C84</f>
        <v>Y</v>
      </c>
      <c r="D95" s="778">
        <f>'Cost Allocation - Tier 1'!D84</f>
        <v>1105656</v>
      </c>
      <c r="E95" s="778">
        <f>'Cost Allocation - Tier 1'!E84</f>
        <v>833306.4522207065</v>
      </c>
      <c r="F95" s="778">
        <f>'Cost Allocation - Tier 1'!F84</f>
        <v>274524.24199030775</v>
      </c>
      <c r="G95" s="778">
        <f>'Cost Allocation - Tier 1'!G84</f>
        <v>866833.3848345303</v>
      </c>
      <c r="H95" s="778">
        <f>'Cost Allocation - Tier 1'!H84</f>
        <v>0</v>
      </c>
      <c r="I95" s="688">
        <f>'Cost Allocation - Tier 1'!I84</f>
        <v>321136.23483269045</v>
      </c>
      <c r="J95" s="931">
        <f>'Cost Allocation - Tier 1'!J84</f>
        <v>1995.3747635448526</v>
      </c>
      <c r="K95" s="931">
        <f>'Cost Allocation - Tier 1'!K84</f>
        <v>592.02429605957298</v>
      </c>
      <c r="L95" s="931">
        <f>'Cost Allocation - Tier 1'!L84</f>
        <v>621.71529121120182</v>
      </c>
      <c r="M95" s="931">
        <f>'Cost Allocation - Tier 1'!M84</f>
        <v>594.05788089142277</v>
      </c>
      <c r="N95" s="931">
        <f>'Cost Allocation - Tier 1'!N84</f>
        <v>1040.1437128123357</v>
      </c>
      <c r="O95" s="931">
        <f>'Cost Allocation - Tier 1'!O84</f>
        <v>2381.2561925235418</v>
      </c>
      <c r="P95" s="931">
        <f>'Cost Allocation - Tier 1'!P84</f>
        <v>288.04516886007576</v>
      </c>
      <c r="Q95" s="931">
        <f>'Cost Allocation - Tier 1'!Q84</f>
        <v>762.63419372133183</v>
      </c>
      <c r="R95" s="931">
        <f>'Cost Allocation - Tier 1'!R84</f>
        <v>652.27335291566249</v>
      </c>
      <c r="S95" s="931">
        <f>'Cost Allocation - Tier 1'!S84</f>
        <v>671.05086013968389</v>
      </c>
      <c r="T95" s="931">
        <f>'Cost Allocation - Tier 1'!T84</f>
        <v>2430.5468593753599</v>
      </c>
      <c r="U95" s="931">
        <f>'Cost Allocation - Tier 1'!U84</f>
        <v>1940.5463575930396</v>
      </c>
      <c r="V95" s="931">
        <f>'Cost Allocation - Tier 1'!V84</f>
        <v>1540.0693778638629</v>
      </c>
      <c r="W95" s="931">
        <f>'Cost Allocation - Tier 1'!W84</f>
        <v>2469.6014248764936</v>
      </c>
      <c r="X95" s="931">
        <f>'Cost Allocation - Tier 1'!X84</f>
        <v>61.075715545694273</v>
      </c>
      <c r="Y95" s="931">
        <f>'Cost Allocation - Tier 1'!Y84</f>
        <v>48.187206568367067</v>
      </c>
      <c r="Z95" s="931">
        <f>'Cost Allocation - Tier 1'!Z84</f>
        <v>233.05094002453825</v>
      </c>
      <c r="AA95" s="931">
        <f>'Cost Allocation - Tier 1'!AA84</f>
        <v>213.03354212981847</v>
      </c>
      <c r="AB95" s="931">
        <f>'Cost Allocation - Tier 1'!AB84</f>
        <v>128.1730078631121</v>
      </c>
      <c r="AC95" s="931">
        <f>'Cost Allocation - Tier 1'!AC84</f>
        <v>131.05134882965896</v>
      </c>
      <c r="AD95" s="931">
        <f>'Cost Allocation - Tier 1'!AD84</f>
        <v>743.25756184424665</v>
      </c>
      <c r="AE95" s="931">
        <f>'Cost Allocation - Tier 1'!AE84</f>
        <v>298.17098346593895</v>
      </c>
      <c r="AF95" s="931">
        <f>'Cost Allocation - Tier 1'!AF84</f>
        <v>775.72880751942364</v>
      </c>
      <c r="AG95" s="931">
        <f>'Cost Allocation - Tier 1'!AG84</f>
        <v>2408.6167259362237</v>
      </c>
      <c r="AH95" s="931">
        <f>'Cost Allocation - Tier 1'!AH84</f>
        <v>19740.048695634498</v>
      </c>
      <c r="AI95" s="931">
        <f>'Cost Allocation - Tier 1'!AI84</f>
        <v>137.03169756036104</v>
      </c>
      <c r="AJ95" s="931">
        <f>'Cost Allocation - Tier 1'!AJ84</f>
        <v>2907.2053113750289</v>
      </c>
      <c r="AK95" s="931">
        <f>'Cost Allocation - Tier 1'!AK84</f>
        <v>2500.0375244431825</v>
      </c>
      <c r="AL95" s="931">
        <f>'Cost Allocation - Tier 1'!AL84</f>
        <v>0</v>
      </c>
      <c r="AM95" s="931">
        <f>'Cost Allocation - Tier 1'!AM84</f>
        <v>305.12758519498067</v>
      </c>
      <c r="AN95" s="931">
        <f>'Cost Allocation - Tier 1'!AN84</f>
        <v>515.88944751631107</v>
      </c>
      <c r="AO95" s="931">
        <f>'Cost Allocation - Tier 1'!AO84</f>
        <v>3039.6698429250951</v>
      </c>
      <c r="AP95" s="931">
        <f>'Cost Allocation - Tier 1'!AP84</f>
        <v>460.4279827052182</v>
      </c>
      <c r="AQ95" s="931">
        <f>'Cost Allocation - Tier 1'!AQ84</f>
        <v>2888.4019331643331</v>
      </c>
      <c r="AR95" s="931">
        <f>'Cost Allocation - Tier 1'!AR84</f>
        <v>8.7366561399802674</v>
      </c>
      <c r="AS95" s="931">
        <f>'Cost Allocation - Tier 1'!AS84</f>
        <v>4257.0351429600069</v>
      </c>
      <c r="AT95" s="931">
        <f>'Cost Allocation - Tier 1'!AT84</f>
        <v>3531.296184465235</v>
      </c>
      <c r="AU95" s="931">
        <f>'Cost Allocation - Tier 1'!AU84</f>
        <v>4937.9297290459508</v>
      </c>
      <c r="AV95" s="931">
        <f>'Cost Allocation - Tier 1'!AV84</f>
        <v>6939.5594050958753</v>
      </c>
      <c r="AW95" s="931">
        <f>'Cost Allocation - Tier 1'!AW84</f>
        <v>17773.823921209765</v>
      </c>
      <c r="AX95" s="931">
        <f>'Cost Allocation - Tier 1'!AX84</f>
        <v>185.33812016891164</v>
      </c>
      <c r="AY95" s="931">
        <f>'Cost Allocation - Tier 1'!AY84</f>
        <v>59476.42054433361</v>
      </c>
      <c r="AZ95" s="931">
        <f>'Cost Allocation - Tier 1'!AZ84</f>
        <v>2000.2014572025219</v>
      </c>
      <c r="BA95" s="931">
        <f>'Cost Allocation - Tier 1'!BA84</f>
        <v>36066.615609121771</v>
      </c>
      <c r="BB95" s="931">
        <f>'Cost Allocation - Tier 1'!BB84</f>
        <v>130445.75247031236</v>
      </c>
      <c r="BC95" s="688">
        <f>'Cost Allocation - Tier 1'!BC84</f>
        <v>536701.19499536115</v>
      </c>
      <c r="BD95" s="932">
        <f>($BC$95-$BK$95)*(VLOOKUP('Cost Allocation - Tier 2'!BD2,'RU Composites'!$B$5:$L$12,11,FALSE))</f>
        <v>85494.608187136138</v>
      </c>
      <c r="BE95" s="932">
        <f>($BC$95-$BK$95)*(VLOOKUP('Cost Allocation - Tier 2'!BE2,'RU Composites'!$B$5:$L$12,11,FALSE))</f>
        <v>79474.456879432648</v>
      </c>
      <c r="BF95" s="932">
        <f>($BC$95-$BK$95)*(VLOOKUP('Cost Allocation - Tier 2'!BF2,'RU Composites'!$B$5:$L$12,11,FALSE))</f>
        <v>44889.997303126795</v>
      </c>
      <c r="BG95" s="932">
        <f>($BC$95-$BK$95)*(VLOOKUP('Cost Allocation - Tier 2'!BG2,'RU Composites'!$B$5:$L$12,11,FALSE))</f>
        <v>100597.92320105301</v>
      </c>
      <c r="BH95" s="932">
        <f>($BC$95-$BK$95)*(VLOOKUP('Cost Allocation - Tier 2'!BH2,'RU Composites'!$B$5:$L$12,11,FALSE))</f>
        <v>75323.992761908346</v>
      </c>
      <c r="BI95" s="932">
        <f>($BC$95-$BK$95)*(VLOOKUP('Cost Allocation - Tier 2'!BI2,'RU Composites'!$B$5:$L$12,11,FALSE))</f>
        <v>49469.900953000724</v>
      </c>
      <c r="BJ95" s="932">
        <f>($BC$95-$BK$95)*(VLOOKUP('Cost Allocation - Tier 2'!BJ2,'RU Composites'!$B$5:$L$12,11,FALSE))</f>
        <v>15696.167319329066</v>
      </c>
      <c r="BK95" s="931">
        <f>'Cost Allocation - Tier 1'!BK84</f>
        <v>85754.148390374423</v>
      </c>
      <c r="BL95" s="76">
        <f t="shared" si="40"/>
        <v>857837.42982805159</v>
      </c>
      <c r="BM95" s="76">
        <f t="shared" si="41"/>
        <v>-8995.9550064787036</v>
      </c>
      <c r="BN95" s="695">
        <f>SUM(BD95:BK95)-'Cost Allocation - Tier 1'!BC84</f>
        <v>0</v>
      </c>
      <c r="BO95" s="71"/>
      <c r="BP95" s="71"/>
      <c r="BQ95" s="71"/>
      <c r="BR95" s="71"/>
      <c r="BS95" s="71"/>
      <c r="BT95" s="71"/>
      <c r="BU95" s="71"/>
      <c r="BV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row>
    <row r="96" spans="1:98" s="938" customFormat="1" ht="15.75" thickBot="1" x14ac:dyDescent="0.3">
      <c r="A96" s="933" t="str">
        <f>'Cost Allocation - Tier 1'!A85</f>
        <v>Corporate Costs</v>
      </c>
      <c r="B96" s="933"/>
      <c r="C96" s="933"/>
      <c r="D96" s="934">
        <f>SUM(D80:D95)</f>
        <v>17328186.377785556</v>
      </c>
      <c r="E96" s="934">
        <f t="shared" ref="E96:H96" si="42">SUM(E80:E95)</f>
        <v>13059839.148787376</v>
      </c>
      <c r="F96" s="934">
        <f t="shared" si="42"/>
        <v>3101443.2896452448</v>
      </c>
      <c r="G96" s="934">
        <f t="shared" si="42"/>
        <v>13650162.700335907</v>
      </c>
      <c r="H96" s="934">
        <f t="shared" si="42"/>
        <v>132835.08270087352</v>
      </c>
      <c r="I96" s="935">
        <f>SUM(I80:I95)</f>
        <v>5107951.1579746203</v>
      </c>
      <c r="J96" s="936">
        <f>SUM(J80:J95)</f>
        <v>31063.352057212745</v>
      </c>
      <c r="K96" s="936">
        <f t="shared" ref="K96:BK96" si="43">SUM(K80:K95)</f>
        <v>9212.7751197778325</v>
      </c>
      <c r="L96" s="936">
        <f t="shared" si="43"/>
        <v>9672.6432750700988</v>
      </c>
      <c r="M96" s="936">
        <f t="shared" si="43"/>
        <v>9251.8456909322813</v>
      </c>
      <c r="N96" s="936">
        <f t="shared" si="43"/>
        <v>16187.380588841324</v>
      </c>
      <c r="O96" s="936">
        <f t="shared" si="43"/>
        <v>37072.484195907164</v>
      </c>
      <c r="P96" s="936">
        <f t="shared" si="43"/>
        <v>4484.9404837773382</v>
      </c>
      <c r="Q96" s="936">
        <f t="shared" si="43"/>
        <v>11876.38275670288</v>
      </c>
      <c r="R96" s="936">
        <f t="shared" si="43"/>
        <v>10158.283799935463</v>
      </c>
      <c r="S96" s="936">
        <f t="shared" si="43"/>
        <v>10450.267896930318</v>
      </c>
      <c r="T96" s="936">
        <f t="shared" si="43"/>
        <v>37853.758702784748</v>
      </c>
      <c r="U96" s="936">
        <f t="shared" si="43"/>
        <v>30221.489144703581</v>
      </c>
      <c r="V96" s="936">
        <f t="shared" si="43"/>
        <v>23978.9433370404</v>
      </c>
      <c r="W96" s="936">
        <f t="shared" si="43"/>
        <v>38454.994313614297</v>
      </c>
      <c r="X96" s="936">
        <f t="shared" si="43"/>
        <v>950.75220548881782</v>
      </c>
      <c r="Y96" s="936">
        <f t="shared" si="43"/>
        <v>749.89907911183218</v>
      </c>
      <c r="Z96" s="936">
        <f t="shared" si="43"/>
        <v>3625.5557046713675</v>
      </c>
      <c r="AA96" s="936">
        <f t="shared" si="43"/>
        <v>3313.862967850841</v>
      </c>
      <c r="AB96" s="936">
        <f t="shared" si="43"/>
        <v>1993.6617854471965</v>
      </c>
      <c r="AC96" s="936">
        <f t="shared" si="43"/>
        <v>2039.3780132063023</v>
      </c>
      <c r="AD96" s="936">
        <f t="shared" si="43"/>
        <v>11572.881250103525</v>
      </c>
      <c r="AE96" s="936">
        <f t="shared" si="43"/>
        <v>4641.3320078723464</v>
      </c>
      <c r="AF96" s="936">
        <f t="shared" si="43"/>
        <v>12076.723185092473</v>
      </c>
      <c r="AG96" s="936">
        <f t="shared" si="43"/>
        <v>37521.132532651754</v>
      </c>
      <c r="AH96" s="936">
        <f t="shared" si="43"/>
        <v>307180.95598331094</v>
      </c>
      <c r="AI96" s="936">
        <f t="shared" si="43"/>
        <v>2133.9910120464338</v>
      </c>
      <c r="AJ96" s="936">
        <f t="shared" si="43"/>
        <v>45280.801428350285</v>
      </c>
      <c r="AK96" s="936">
        <f t="shared" si="43"/>
        <v>38932.607689622862</v>
      </c>
      <c r="AL96" s="936">
        <f t="shared" si="43"/>
        <v>0</v>
      </c>
      <c r="AM96" s="936">
        <f t="shared" si="43"/>
        <v>4746.9945747188713</v>
      </c>
      <c r="AN96" s="936">
        <f t="shared" si="43"/>
        <v>8027.9849673776207</v>
      </c>
      <c r="AO96" s="936">
        <f t="shared" si="43"/>
        <v>47338.828353088553</v>
      </c>
      <c r="AP96" s="936">
        <f t="shared" si="43"/>
        <v>7169.3884261570474</v>
      </c>
      <c r="AQ96" s="936">
        <f t="shared" si="43"/>
        <v>44989.891946094154</v>
      </c>
      <c r="AR96" s="936">
        <f t="shared" si="43"/>
        <v>135.87124959575209</v>
      </c>
      <c r="AS96" s="936">
        <f t="shared" si="43"/>
        <v>66304.691463701107</v>
      </c>
      <c r="AT96" s="936">
        <f t="shared" si="43"/>
        <v>55007.968779299044</v>
      </c>
      <c r="AU96" s="936">
        <f t="shared" si="43"/>
        <v>76896.068915247204</v>
      </c>
      <c r="AV96" s="936">
        <f t="shared" si="43"/>
        <v>108081.09870172027</v>
      </c>
      <c r="AW96" s="936">
        <f t="shared" si="43"/>
        <v>276806.15888552059</v>
      </c>
      <c r="AX96" s="936">
        <f t="shared" si="43"/>
        <v>2882.3524219799001</v>
      </c>
      <c r="AY96" s="936">
        <f t="shared" si="43"/>
        <v>956423.97158414824</v>
      </c>
      <c r="AZ96" s="936">
        <f t="shared" si="43"/>
        <v>33843.164062955519</v>
      </c>
      <c r="BA96" s="936">
        <f t="shared" si="43"/>
        <v>583440.70259266172</v>
      </c>
      <c r="BB96" s="936">
        <f t="shared" si="43"/>
        <v>2083902.9448422976</v>
      </c>
      <c r="BC96" s="935">
        <f>SUM(BC80:BC95)</f>
        <v>8225587.4617074635</v>
      </c>
      <c r="BD96" s="937">
        <f t="shared" si="43"/>
        <v>1310307.0827963736</v>
      </c>
      <c r="BE96" s="937">
        <f t="shared" si="43"/>
        <v>1218041.0666667544</v>
      </c>
      <c r="BF96" s="937">
        <f t="shared" si="43"/>
        <v>687992.87651273631</v>
      </c>
      <c r="BG96" s="937">
        <f t="shared" si="43"/>
        <v>1541783.4420203664</v>
      </c>
      <c r="BH96" s="937">
        <f t="shared" si="43"/>
        <v>1154430.2420147436</v>
      </c>
      <c r="BI96" s="937">
        <f t="shared" si="43"/>
        <v>758185.37541066937</v>
      </c>
      <c r="BJ96" s="937">
        <f t="shared" si="43"/>
        <v>240562.52958380603</v>
      </c>
      <c r="BK96" s="936">
        <f t="shared" si="43"/>
        <v>1314284.8467020125</v>
      </c>
      <c r="BL96" s="76">
        <f t="shared" si="40"/>
        <v>13466373.702382958</v>
      </c>
      <c r="BM96" s="76">
        <f t="shared" si="41"/>
        <v>-183788.99795294926</v>
      </c>
      <c r="BN96" s="71"/>
      <c r="BO96" s="71"/>
      <c r="BP96" s="71"/>
      <c r="BQ96" s="71"/>
      <c r="BR96" s="71"/>
      <c r="BS96" s="71"/>
      <c r="BT96" s="71"/>
      <c r="BU96" s="71"/>
      <c r="BV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row>
    <row r="97" spans="1:98" x14ac:dyDescent="0.25">
      <c r="A97" s="1"/>
      <c r="B97" s="1"/>
      <c r="C97" s="1"/>
      <c r="D97" s="698"/>
      <c r="E97" s="698"/>
      <c r="F97" s="698"/>
      <c r="G97" s="698"/>
      <c r="H97" s="888">
        <f>H96/G96</f>
        <v>9.7313918974463714E-3</v>
      </c>
      <c r="I97" s="692">
        <f>I96/G96</f>
        <v>0.37420441573556645</v>
      </c>
      <c r="J97" s="752"/>
      <c r="K97" s="752"/>
      <c r="L97" s="752"/>
      <c r="M97" s="752"/>
      <c r="N97" s="752"/>
      <c r="O97" s="752"/>
      <c r="P97" s="752"/>
      <c r="Q97" s="752"/>
      <c r="R97" s="752"/>
      <c r="S97" s="752"/>
      <c r="T97" s="752"/>
      <c r="U97" s="752"/>
      <c r="V97" s="752"/>
      <c r="W97" s="752"/>
      <c r="X97" s="752"/>
      <c r="Y97" s="752"/>
      <c r="Z97" s="752"/>
      <c r="AA97" s="752"/>
      <c r="AB97" s="752"/>
      <c r="AC97" s="752"/>
      <c r="AD97" s="752"/>
      <c r="AE97" s="752"/>
      <c r="AF97" s="752"/>
      <c r="AG97" s="752"/>
      <c r="AH97" s="752"/>
      <c r="AI97" s="752"/>
      <c r="AJ97" s="752"/>
      <c r="AK97" s="752"/>
      <c r="AL97" s="752"/>
      <c r="AM97" s="752"/>
      <c r="AN97" s="752"/>
      <c r="AO97" s="752"/>
      <c r="AP97" s="752"/>
      <c r="AQ97" s="752"/>
      <c r="AR97" s="752"/>
      <c r="AS97" s="752"/>
      <c r="AT97" s="752"/>
      <c r="AU97" s="752"/>
      <c r="AV97" s="752"/>
      <c r="AW97" s="752"/>
      <c r="AX97" s="752"/>
      <c r="AY97" s="752"/>
      <c r="AZ97" s="752"/>
      <c r="BA97" s="752"/>
      <c r="BB97" s="752"/>
      <c r="BC97" s="692">
        <f>BC96/G96</f>
        <v>0.60259995739867966</v>
      </c>
      <c r="BD97" s="888">
        <f>BD96/$BC$96</f>
        <v>0.15929647443373982</v>
      </c>
      <c r="BE97" s="888">
        <f t="shared" ref="BE97:BK97" si="44">BE96/$BC$96</f>
        <v>0.14807952287141737</v>
      </c>
      <c r="BF97" s="888">
        <f t="shared" si="44"/>
        <v>8.3640576398408759E-2</v>
      </c>
      <c r="BG97" s="888">
        <f t="shared" si="44"/>
        <v>0.18743748689048936</v>
      </c>
      <c r="BH97" s="888">
        <f t="shared" si="44"/>
        <v>0.14034623634955642</v>
      </c>
      <c r="BI97" s="888">
        <f t="shared" si="44"/>
        <v>9.217400932641541E-2</v>
      </c>
      <c r="BJ97" s="888">
        <f t="shared" si="44"/>
        <v>2.9245635123776335E-2</v>
      </c>
      <c r="BK97" s="888">
        <f t="shared" si="44"/>
        <v>0.15978005860619635</v>
      </c>
      <c r="BL97" s="888">
        <f>'Cost Allocation - Tier 1'!BL86</f>
        <v>1</v>
      </c>
      <c r="BM97" s="698">
        <f>'Cost Allocation - Tier 1'!BM86</f>
        <v>0</v>
      </c>
      <c r="BN97" s="71"/>
      <c r="BO97" s="71"/>
      <c r="BP97" s="71"/>
      <c r="BQ97" s="71"/>
      <c r="BR97" s="71"/>
      <c r="BS97" s="71"/>
      <c r="BT97" s="71"/>
      <c r="BU97" s="71"/>
      <c r="BV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row>
    <row r="98" spans="1:98" x14ac:dyDescent="0.25">
      <c r="A98" s="1"/>
      <c r="B98" s="1"/>
      <c r="C98" s="1"/>
      <c r="D98" s="698"/>
      <c r="E98" s="698"/>
      <c r="F98" s="698"/>
      <c r="G98" s="698"/>
      <c r="H98" s="698" t="str">
        <f>'Cost Allocation - Tier 1'!H87</f>
        <v>w/o Tribus</v>
      </c>
      <c r="I98" s="939">
        <f>I96/(I96+BC96)</f>
        <v>0.38309043860529279</v>
      </c>
      <c r="J98" s="940"/>
      <c r="K98" s="940"/>
      <c r="L98" s="940"/>
      <c r="M98" s="940"/>
      <c r="N98" s="940"/>
      <c r="O98" s="940"/>
      <c r="P98" s="940"/>
      <c r="Q98" s="940"/>
      <c r="R98" s="940"/>
      <c r="S98" s="940"/>
      <c r="T98" s="940"/>
      <c r="U98" s="940"/>
      <c r="V98" s="940"/>
      <c r="W98" s="940"/>
      <c r="X98" s="940"/>
      <c r="Y98" s="940"/>
      <c r="Z98" s="940"/>
      <c r="AA98" s="940"/>
      <c r="AB98" s="940"/>
      <c r="AC98" s="940"/>
      <c r="AD98" s="940"/>
      <c r="AE98" s="940"/>
      <c r="AF98" s="940"/>
      <c r="AG98" s="940"/>
      <c r="AH98" s="940"/>
      <c r="AI98" s="940"/>
      <c r="AJ98" s="940"/>
      <c r="AK98" s="940"/>
      <c r="AL98" s="940"/>
      <c r="AM98" s="940"/>
      <c r="AN98" s="940"/>
      <c r="AO98" s="940"/>
      <c r="AP98" s="940"/>
      <c r="AQ98" s="940"/>
      <c r="AR98" s="940"/>
      <c r="AS98" s="940"/>
      <c r="AT98" s="940"/>
      <c r="AU98" s="940"/>
      <c r="AV98" s="940"/>
      <c r="AW98" s="940"/>
      <c r="AX98" s="940"/>
      <c r="AY98" s="940"/>
      <c r="AZ98" s="940"/>
      <c r="BA98" s="940"/>
      <c r="BB98" s="940" t="str">
        <f>'Cost Allocation - Tier 1'!BB87</f>
        <v>w/o Tribus</v>
      </c>
      <c r="BC98" s="939">
        <f>BC96/(BC96+I96)</f>
        <v>0.6169095613947071</v>
      </c>
      <c r="BD98" s="941"/>
      <c r="BE98" s="941"/>
      <c r="BF98" s="941"/>
      <c r="BG98" s="941"/>
      <c r="BH98" s="941"/>
      <c r="BI98" s="941"/>
      <c r="BJ98" s="941"/>
      <c r="BK98" s="941"/>
      <c r="BL98" s="698">
        <f>'Cost Allocation - Tier 1'!BL87</f>
        <v>1</v>
      </c>
      <c r="BM98" s="698">
        <f>'Cost Allocation - Tier 1'!BM87</f>
        <v>0</v>
      </c>
    </row>
    <row r="99" spans="1:98" x14ac:dyDescent="0.25">
      <c r="A99" s="199" t="str">
        <f>'Cost Allocation - Tier 1'!A88</f>
        <v>Corporate revenue allocation</v>
      </c>
      <c r="B99" s="1"/>
      <c r="C99" s="1"/>
      <c r="D99" s="698"/>
      <c r="E99" s="698"/>
      <c r="F99" s="698"/>
      <c r="G99" s="698"/>
      <c r="H99" s="698"/>
      <c r="I99" s="688"/>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c r="AV99" s="942"/>
      <c r="AW99" s="942"/>
      <c r="AX99" s="942"/>
      <c r="AY99" s="942"/>
      <c r="AZ99" s="942"/>
      <c r="BA99" s="942"/>
      <c r="BB99" s="942"/>
      <c r="BC99" s="688"/>
      <c r="BD99" s="698"/>
      <c r="BE99" s="698"/>
      <c r="BF99" s="698"/>
      <c r="BG99" s="698"/>
      <c r="BH99" s="698"/>
      <c r="BI99" s="698"/>
      <c r="BJ99" s="698"/>
      <c r="BK99" s="698"/>
      <c r="BL99" s="698"/>
      <c r="BM99" s="698"/>
    </row>
    <row r="100" spans="1:98" x14ac:dyDescent="0.25">
      <c r="A100" s="1"/>
      <c r="B100" s="1"/>
      <c r="C100" s="1"/>
      <c r="D100" s="698"/>
      <c r="E100" s="698"/>
      <c r="F100" s="698"/>
      <c r="G100" s="698"/>
      <c r="H100" s="698"/>
      <c r="I100" s="688"/>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c r="AV100" s="942"/>
      <c r="AW100" s="942"/>
      <c r="AX100" s="942"/>
      <c r="AY100" s="942"/>
      <c r="AZ100" s="942"/>
      <c r="BA100" s="942"/>
      <c r="BB100" s="942"/>
      <c r="BC100" s="688"/>
      <c r="BD100" s="698"/>
      <c r="BE100" s="698"/>
      <c r="BF100" s="698"/>
      <c r="BG100" s="698"/>
      <c r="BH100" s="698"/>
      <c r="BI100" s="698"/>
      <c r="BJ100" s="698"/>
      <c r="BK100" s="698"/>
      <c r="BL100" s="698"/>
      <c r="BM100" s="698"/>
    </row>
    <row r="101" spans="1:98" x14ac:dyDescent="0.25">
      <c r="A101" s="693" t="str">
        <f>'Cost Allocation - Tier 1'!A90</f>
        <v>Doyon Board Fees</v>
      </c>
      <c r="B101" s="693" t="str">
        <f>'Cost Allocation - Tier 1'!B90</f>
        <v>DOYON</v>
      </c>
      <c r="C101" s="693" t="str">
        <f>'Cost Allocation - Tier 1'!C90</f>
        <v>N</v>
      </c>
      <c r="D101" s="778">
        <f>'Cost Allocation - Tier 1'!D90</f>
        <v>-169110</v>
      </c>
      <c r="E101" s="778">
        <f>'Cost Allocation - Tier 1'!E90</f>
        <v>-127500</v>
      </c>
      <c r="F101" s="778">
        <f>'Cost Allocation - Tier 1'!F90</f>
        <v>0</v>
      </c>
      <c r="G101" s="778">
        <f>'Cost Allocation - Tier 1'!G90</f>
        <v>-127500</v>
      </c>
      <c r="H101" s="778">
        <f>'Cost Allocation - Tier 1'!H90</f>
        <v>0</v>
      </c>
      <c r="I101" s="688">
        <f>'Cost Allocation - Tier 1'!I90</f>
        <v>-127500</v>
      </c>
      <c r="J101" s="942">
        <f>'Cost Allocation - Tier 1'!J90</f>
        <v>0</v>
      </c>
      <c r="K101" s="942">
        <f>'Cost Allocation - Tier 1'!K90</f>
        <v>0</v>
      </c>
      <c r="L101" s="942">
        <f>'Cost Allocation - Tier 1'!L90</f>
        <v>0</v>
      </c>
      <c r="M101" s="942">
        <f>'Cost Allocation - Tier 1'!M90</f>
        <v>0</v>
      </c>
      <c r="N101" s="942">
        <f>'Cost Allocation - Tier 1'!N90</f>
        <v>0</v>
      </c>
      <c r="O101" s="942">
        <f>'Cost Allocation - Tier 1'!O90</f>
        <v>0</v>
      </c>
      <c r="P101" s="942">
        <f>'Cost Allocation - Tier 1'!P90</f>
        <v>0</v>
      </c>
      <c r="Q101" s="942">
        <f>'Cost Allocation - Tier 1'!Q90</f>
        <v>0</v>
      </c>
      <c r="R101" s="942">
        <f>'Cost Allocation - Tier 1'!R90</f>
        <v>0</v>
      </c>
      <c r="S101" s="942">
        <f>'Cost Allocation - Tier 1'!S90</f>
        <v>0</v>
      </c>
      <c r="T101" s="942">
        <f>'Cost Allocation - Tier 1'!T90</f>
        <v>0</v>
      </c>
      <c r="U101" s="942">
        <f>'Cost Allocation - Tier 1'!U90</f>
        <v>0</v>
      </c>
      <c r="V101" s="942">
        <f>'Cost Allocation - Tier 1'!V90</f>
        <v>0</v>
      </c>
      <c r="W101" s="942">
        <f>'Cost Allocation - Tier 1'!W90</f>
        <v>0</v>
      </c>
      <c r="X101" s="942">
        <f>'Cost Allocation - Tier 1'!X90</f>
        <v>0</v>
      </c>
      <c r="Y101" s="942">
        <f>'Cost Allocation - Tier 1'!Y90</f>
        <v>0</v>
      </c>
      <c r="Z101" s="942">
        <f>'Cost Allocation - Tier 1'!Z90</f>
        <v>0</v>
      </c>
      <c r="AA101" s="942">
        <f>'Cost Allocation - Tier 1'!AA90</f>
        <v>0</v>
      </c>
      <c r="AB101" s="942">
        <f>'Cost Allocation - Tier 1'!AB90</f>
        <v>0</v>
      </c>
      <c r="AC101" s="942">
        <f>'Cost Allocation - Tier 1'!AC90</f>
        <v>0</v>
      </c>
      <c r="AD101" s="942">
        <f>'Cost Allocation - Tier 1'!AD90</f>
        <v>0</v>
      </c>
      <c r="AE101" s="942">
        <f>'Cost Allocation - Tier 1'!AE90</f>
        <v>0</v>
      </c>
      <c r="AF101" s="942">
        <f>'Cost Allocation - Tier 1'!AF90</f>
        <v>0</v>
      </c>
      <c r="AG101" s="942">
        <f>'Cost Allocation - Tier 1'!AG90</f>
        <v>0</v>
      </c>
      <c r="AH101" s="942">
        <f>'Cost Allocation - Tier 1'!AH90</f>
        <v>0</v>
      </c>
      <c r="AI101" s="942">
        <f>'Cost Allocation - Tier 1'!AI90</f>
        <v>0</v>
      </c>
      <c r="AJ101" s="942">
        <f>'Cost Allocation - Tier 1'!AJ90</f>
        <v>0</v>
      </c>
      <c r="AK101" s="942">
        <f>'Cost Allocation - Tier 1'!AK90</f>
        <v>0</v>
      </c>
      <c r="AL101" s="942">
        <f>'Cost Allocation - Tier 1'!AL90</f>
        <v>0</v>
      </c>
      <c r="AM101" s="942">
        <f>'Cost Allocation - Tier 1'!AM90</f>
        <v>0</v>
      </c>
      <c r="AN101" s="942">
        <f>'Cost Allocation - Tier 1'!AN90</f>
        <v>0</v>
      </c>
      <c r="AO101" s="942">
        <f>'Cost Allocation - Tier 1'!AO90</f>
        <v>0</v>
      </c>
      <c r="AP101" s="942">
        <f>'Cost Allocation - Tier 1'!AP90</f>
        <v>0</v>
      </c>
      <c r="AQ101" s="942">
        <f>'Cost Allocation - Tier 1'!AQ90</f>
        <v>0</v>
      </c>
      <c r="AR101" s="942">
        <f>'Cost Allocation - Tier 1'!AR90</f>
        <v>0</v>
      </c>
      <c r="AS101" s="942">
        <f>'Cost Allocation - Tier 1'!AS90</f>
        <v>0</v>
      </c>
      <c r="AT101" s="942">
        <f>'Cost Allocation - Tier 1'!AT90</f>
        <v>0</v>
      </c>
      <c r="AU101" s="942">
        <f>'Cost Allocation - Tier 1'!AU90</f>
        <v>0</v>
      </c>
      <c r="AV101" s="942">
        <f>'Cost Allocation - Tier 1'!AV90</f>
        <v>0</v>
      </c>
      <c r="AW101" s="942">
        <f>'Cost Allocation - Tier 1'!AW90</f>
        <v>0</v>
      </c>
      <c r="AX101" s="942">
        <f>'Cost Allocation - Tier 1'!AX90</f>
        <v>0</v>
      </c>
      <c r="AY101" s="942">
        <f>'Cost Allocation - Tier 1'!AY90</f>
        <v>0</v>
      </c>
      <c r="AZ101" s="942">
        <f>'Cost Allocation - Tier 1'!AZ90</f>
        <v>0</v>
      </c>
      <c r="BA101" s="942">
        <f>'Cost Allocation - Tier 1'!BA90</f>
        <v>0</v>
      </c>
      <c r="BB101" s="942">
        <f>'Cost Allocation - Tier 1'!BB90</f>
        <v>-127500</v>
      </c>
      <c r="BC101" s="688">
        <f>'Cost Allocation - Tier 1'!BC90</f>
        <v>0</v>
      </c>
      <c r="BD101" s="778">
        <f>'Cost Allocation - Tier 1'!BD90</f>
        <v>0</v>
      </c>
      <c r="BE101" s="778">
        <f>'Cost Allocation - Tier 1'!BE90</f>
        <v>0</v>
      </c>
      <c r="BF101" s="778">
        <f>'Cost Allocation - Tier 1'!BF90</f>
        <v>0</v>
      </c>
      <c r="BG101" s="778">
        <f>'Cost Allocation - Tier 1'!BG90</f>
        <v>0</v>
      </c>
      <c r="BH101" s="778">
        <f>'Cost Allocation - Tier 1'!BH90</f>
        <v>0</v>
      </c>
      <c r="BI101" s="778">
        <f>'Cost Allocation - Tier 1'!BI90</f>
        <v>0</v>
      </c>
      <c r="BJ101" s="778">
        <f>'Cost Allocation - Tier 1'!BJ90</f>
        <v>0</v>
      </c>
      <c r="BK101" s="778">
        <f>'Cost Allocation - Tier 1'!BK90</f>
        <v>0</v>
      </c>
      <c r="BL101" s="76">
        <f t="shared" ref="BL101:BL103" si="45">BC101+I101+H101</f>
        <v>-127500</v>
      </c>
      <c r="BM101" s="76">
        <f t="shared" ref="BM101:BM103" si="46">BL101-G101</f>
        <v>0</v>
      </c>
    </row>
    <row r="102" spans="1:98" x14ac:dyDescent="0.25">
      <c r="A102" s="693" t="str">
        <f>'Cost Allocation - Tier 1'!A91</f>
        <v>FSW Board Fees</v>
      </c>
      <c r="B102" s="693" t="str">
        <f>'Cost Allocation - Tier 1'!B91</f>
        <v>FSW</v>
      </c>
      <c r="C102" s="693" t="str">
        <f>'Cost Allocation - Tier 1'!C91</f>
        <v>N</v>
      </c>
      <c r="D102" s="778">
        <f>'Cost Allocation - Tier 1'!D91</f>
        <v>-148330</v>
      </c>
      <c r="E102" s="778">
        <f>'Cost Allocation - Tier 1'!E91</f>
        <v>-111875</v>
      </c>
      <c r="F102" s="778">
        <f>'Cost Allocation - Tier 1'!F91</f>
        <v>0</v>
      </c>
      <c r="G102" s="778">
        <f>'Cost Allocation - Tier 1'!G91</f>
        <v>-111875</v>
      </c>
      <c r="H102" s="778">
        <f>'Cost Allocation - Tier 1'!H91</f>
        <v>0</v>
      </c>
      <c r="I102" s="688">
        <f>'Cost Allocation - Tier 1'!I91</f>
        <v>0</v>
      </c>
      <c r="J102" s="942">
        <f>'Cost Allocation - Tier 1'!J91</f>
        <v>0</v>
      </c>
      <c r="K102" s="942">
        <f>'Cost Allocation - Tier 1'!K91</f>
        <v>0</v>
      </c>
      <c r="L102" s="942">
        <f>'Cost Allocation - Tier 1'!L91</f>
        <v>0</v>
      </c>
      <c r="M102" s="942">
        <f>'Cost Allocation - Tier 1'!M91</f>
        <v>0</v>
      </c>
      <c r="N102" s="942">
        <f>'Cost Allocation - Tier 1'!N91</f>
        <v>0</v>
      </c>
      <c r="O102" s="942">
        <f>'Cost Allocation - Tier 1'!O91</f>
        <v>0</v>
      </c>
      <c r="P102" s="942">
        <f>'Cost Allocation - Tier 1'!P91</f>
        <v>0</v>
      </c>
      <c r="Q102" s="942">
        <f>'Cost Allocation - Tier 1'!Q91</f>
        <v>0</v>
      </c>
      <c r="R102" s="942">
        <f>'Cost Allocation - Tier 1'!R91</f>
        <v>0</v>
      </c>
      <c r="S102" s="942">
        <f>'Cost Allocation - Tier 1'!S91</f>
        <v>0</v>
      </c>
      <c r="T102" s="942">
        <f>'Cost Allocation - Tier 1'!T91</f>
        <v>0</v>
      </c>
      <c r="U102" s="942">
        <f>'Cost Allocation - Tier 1'!U91</f>
        <v>0</v>
      </c>
      <c r="V102" s="942">
        <f>'Cost Allocation - Tier 1'!V91</f>
        <v>0</v>
      </c>
      <c r="W102" s="942">
        <f>'Cost Allocation - Tier 1'!W91</f>
        <v>0</v>
      </c>
      <c r="X102" s="942">
        <f>'Cost Allocation - Tier 1'!X91</f>
        <v>0</v>
      </c>
      <c r="Y102" s="942">
        <f>'Cost Allocation - Tier 1'!Y91</f>
        <v>0</v>
      </c>
      <c r="Z102" s="942">
        <f>'Cost Allocation - Tier 1'!Z91</f>
        <v>0</v>
      </c>
      <c r="AA102" s="942">
        <f>'Cost Allocation - Tier 1'!AA91</f>
        <v>0</v>
      </c>
      <c r="AB102" s="942">
        <f>'Cost Allocation - Tier 1'!AB91</f>
        <v>0</v>
      </c>
      <c r="AC102" s="942">
        <f>'Cost Allocation - Tier 1'!AC91</f>
        <v>0</v>
      </c>
      <c r="AD102" s="942">
        <f>'Cost Allocation - Tier 1'!AD91</f>
        <v>0</v>
      </c>
      <c r="AE102" s="942">
        <f>'Cost Allocation - Tier 1'!AE91</f>
        <v>0</v>
      </c>
      <c r="AF102" s="942">
        <f>'Cost Allocation - Tier 1'!AF91</f>
        <v>0</v>
      </c>
      <c r="AG102" s="942">
        <f>'Cost Allocation - Tier 1'!AG91</f>
        <v>0</v>
      </c>
      <c r="AH102" s="942">
        <f>'Cost Allocation - Tier 1'!AH91</f>
        <v>0</v>
      </c>
      <c r="AI102" s="942">
        <f>'Cost Allocation - Tier 1'!AI91</f>
        <v>0</v>
      </c>
      <c r="AJ102" s="942">
        <f>'Cost Allocation - Tier 1'!AJ91</f>
        <v>0</v>
      </c>
      <c r="AK102" s="942">
        <f>'Cost Allocation - Tier 1'!AK91</f>
        <v>0</v>
      </c>
      <c r="AL102" s="942">
        <f>'Cost Allocation - Tier 1'!AL91</f>
        <v>0</v>
      </c>
      <c r="AM102" s="942">
        <f>'Cost Allocation - Tier 1'!AM91</f>
        <v>0</v>
      </c>
      <c r="AN102" s="942">
        <f>'Cost Allocation - Tier 1'!AN91</f>
        <v>0</v>
      </c>
      <c r="AO102" s="942">
        <f>'Cost Allocation - Tier 1'!AO91</f>
        <v>0</v>
      </c>
      <c r="AP102" s="942">
        <f>'Cost Allocation - Tier 1'!AP91</f>
        <v>0</v>
      </c>
      <c r="AQ102" s="942">
        <f>'Cost Allocation - Tier 1'!AQ91</f>
        <v>0</v>
      </c>
      <c r="AR102" s="942">
        <f>'Cost Allocation - Tier 1'!AR91</f>
        <v>0</v>
      </c>
      <c r="AS102" s="942">
        <f>'Cost Allocation - Tier 1'!AS91</f>
        <v>0</v>
      </c>
      <c r="AT102" s="942">
        <f>'Cost Allocation - Tier 1'!AT91</f>
        <v>0</v>
      </c>
      <c r="AU102" s="942">
        <f>'Cost Allocation - Tier 1'!AU91</f>
        <v>0</v>
      </c>
      <c r="AV102" s="942">
        <f>'Cost Allocation - Tier 1'!AV91</f>
        <v>0</v>
      </c>
      <c r="AW102" s="942">
        <f>'Cost Allocation - Tier 1'!AW91</f>
        <v>0</v>
      </c>
      <c r="AX102" s="942">
        <f>'Cost Allocation - Tier 1'!AX91</f>
        <v>0</v>
      </c>
      <c r="AY102" s="942">
        <f>'Cost Allocation - Tier 1'!AY91</f>
        <v>0</v>
      </c>
      <c r="AZ102" s="942">
        <f>'Cost Allocation - Tier 1'!AZ91</f>
        <v>0</v>
      </c>
      <c r="BA102" s="942">
        <f>'Cost Allocation - Tier 1'!BA91</f>
        <v>0</v>
      </c>
      <c r="BB102" s="942">
        <f>'Cost Allocation - Tier 1'!BB91</f>
        <v>0</v>
      </c>
      <c r="BC102" s="688">
        <f>'Cost Allocation - Tier 1'!BC91</f>
        <v>-111875</v>
      </c>
      <c r="BD102" s="778">
        <f>'Cost Allocation - Tier 1'!BD91</f>
        <v>0</v>
      </c>
      <c r="BE102" s="778">
        <f>'Cost Allocation - Tier 1'!BE91</f>
        <v>0</v>
      </c>
      <c r="BF102" s="778">
        <f>'Cost Allocation - Tier 1'!BF91</f>
        <v>0</v>
      </c>
      <c r="BG102" s="778">
        <f>'Cost Allocation - Tier 1'!BG91</f>
        <v>0</v>
      </c>
      <c r="BH102" s="778">
        <f>'Cost Allocation - Tier 1'!BH91</f>
        <v>0</v>
      </c>
      <c r="BI102" s="778">
        <f>'Cost Allocation - Tier 1'!BI91</f>
        <v>0</v>
      </c>
      <c r="BJ102" s="778">
        <f>'Cost Allocation - Tier 1'!BJ91</f>
        <v>0</v>
      </c>
      <c r="BK102" s="778">
        <f>'Cost Allocation - Tier 1'!BK91</f>
        <v>-111875</v>
      </c>
      <c r="BL102" s="76">
        <f t="shared" si="45"/>
        <v>-111875</v>
      </c>
      <c r="BM102" s="76">
        <f t="shared" si="46"/>
        <v>0</v>
      </c>
    </row>
    <row r="103" spans="1:98" x14ac:dyDescent="0.25">
      <c r="A103" s="693" t="str">
        <f>'Cost Allocation - Tier 1'!A92</f>
        <v>Other</v>
      </c>
      <c r="B103" s="693" t="str">
        <f>'Cost Allocation - Tier 1'!B92</f>
        <v>ALL</v>
      </c>
      <c r="C103" s="693" t="str">
        <f>'Cost Allocation - Tier 1'!C92</f>
        <v>N</v>
      </c>
      <c r="D103" s="778">
        <f>'Cost Allocation - Tier 1'!D92</f>
        <v>0</v>
      </c>
      <c r="E103" s="778">
        <f>'Cost Allocation - Tier 1'!E92</f>
        <v>0</v>
      </c>
      <c r="F103" s="778">
        <f>'Cost Allocation - Tier 1'!F92</f>
        <v>0</v>
      </c>
      <c r="G103" s="778">
        <f>'Cost Allocation - Tier 1'!G92</f>
        <v>0</v>
      </c>
      <c r="H103" s="778">
        <f>'Cost Allocation - Tier 1'!H92</f>
        <v>0</v>
      </c>
      <c r="I103" s="688">
        <f>'Cost Allocation - Tier 1'!I92</f>
        <v>0</v>
      </c>
      <c r="J103" s="942">
        <f>'Cost Allocation - Tier 1'!J92</f>
        <v>0</v>
      </c>
      <c r="K103" s="942">
        <f>'Cost Allocation - Tier 1'!K92</f>
        <v>0</v>
      </c>
      <c r="L103" s="942">
        <f>'Cost Allocation - Tier 1'!L92</f>
        <v>0</v>
      </c>
      <c r="M103" s="942">
        <f>'Cost Allocation - Tier 1'!M92</f>
        <v>0</v>
      </c>
      <c r="N103" s="942">
        <f>'Cost Allocation - Tier 1'!N92</f>
        <v>0</v>
      </c>
      <c r="O103" s="942">
        <f>'Cost Allocation - Tier 1'!O92</f>
        <v>0</v>
      </c>
      <c r="P103" s="942">
        <f>'Cost Allocation - Tier 1'!P92</f>
        <v>0</v>
      </c>
      <c r="Q103" s="942">
        <f>'Cost Allocation - Tier 1'!Q92</f>
        <v>0</v>
      </c>
      <c r="R103" s="942">
        <f>'Cost Allocation - Tier 1'!R92</f>
        <v>0</v>
      </c>
      <c r="S103" s="942">
        <f>'Cost Allocation - Tier 1'!S92</f>
        <v>0</v>
      </c>
      <c r="T103" s="942">
        <f>'Cost Allocation - Tier 1'!T92</f>
        <v>0</v>
      </c>
      <c r="U103" s="942">
        <f>'Cost Allocation - Tier 1'!U92</f>
        <v>0</v>
      </c>
      <c r="V103" s="942">
        <f>'Cost Allocation - Tier 1'!V92</f>
        <v>0</v>
      </c>
      <c r="W103" s="942">
        <f>'Cost Allocation - Tier 1'!W92</f>
        <v>0</v>
      </c>
      <c r="X103" s="942">
        <f>'Cost Allocation - Tier 1'!X92</f>
        <v>0</v>
      </c>
      <c r="Y103" s="942">
        <f>'Cost Allocation - Tier 1'!Y92</f>
        <v>0</v>
      </c>
      <c r="Z103" s="942">
        <f>'Cost Allocation - Tier 1'!Z92</f>
        <v>0</v>
      </c>
      <c r="AA103" s="942">
        <f>'Cost Allocation - Tier 1'!AA92</f>
        <v>0</v>
      </c>
      <c r="AB103" s="942">
        <f>'Cost Allocation - Tier 1'!AB92</f>
        <v>0</v>
      </c>
      <c r="AC103" s="942">
        <f>'Cost Allocation - Tier 1'!AC92</f>
        <v>0</v>
      </c>
      <c r="AD103" s="942">
        <f>'Cost Allocation - Tier 1'!AD92</f>
        <v>0</v>
      </c>
      <c r="AE103" s="942">
        <f>'Cost Allocation - Tier 1'!AE92</f>
        <v>0</v>
      </c>
      <c r="AF103" s="942">
        <f>'Cost Allocation - Tier 1'!AF92</f>
        <v>0</v>
      </c>
      <c r="AG103" s="942">
        <f>'Cost Allocation - Tier 1'!AG92</f>
        <v>0</v>
      </c>
      <c r="AH103" s="942">
        <f>'Cost Allocation - Tier 1'!AH92</f>
        <v>0</v>
      </c>
      <c r="AI103" s="942">
        <f>'Cost Allocation - Tier 1'!AI92</f>
        <v>0</v>
      </c>
      <c r="AJ103" s="942">
        <f>'Cost Allocation - Tier 1'!AJ92</f>
        <v>0</v>
      </c>
      <c r="AK103" s="942">
        <f>'Cost Allocation - Tier 1'!AK92</f>
        <v>0</v>
      </c>
      <c r="AL103" s="942">
        <f>'Cost Allocation - Tier 1'!AL92</f>
        <v>0</v>
      </c>
      <c r="AM103" s="942">
        <f>'Cost Allocation - Tier 1'!AM92</f>
        <v>0</v>
      </c>
      <c r="AN103" s="942">
        <f>'Cost Allocation - Tier 1'!AN92</f>
        <v>0</v>
      </c>
      <c r="AO103" s="942">
        <f>'Cost Allocation - Tier 1'!AO92</f>
        <v>0</v>
      </c>
      <c r="AP103" s="942">
        <f>'Cost Allocation - Tier 1'!AP92</f>
        <v>0</v>
      </c>
      <c r="AQ103" s="942">
        <f>'Cost Allocation - Tier 1'!AQ92</f>
        <v>0</v>
      </c>
      <c r="AR103" s="942">
        <f>'Cost Allocation - Tier 1'!AR92</f>
        <v>0</v>
      </c>
      <c r="AS103" s="942">
        <f>'Cost Allocation - Tier 1'!AS92</f>
        <v>0</v>
      </c>
      <c r="AT103" s="942">
        <f>'Cost Allocation - Tier 1'!AT92</f>
        <v>0</v>
      </c>
      <c r="AU103" s="942">
        <f>'Cost Allocation - Tier 1'!AU92</f>
        <v>0</v>
      </c>
      <c r="AV103" s="942">
        <f>'Cost Allocation - Tier 1'!AV92</f>
        <v>0</v>
      </c>
      <c r="AW103" s="942">
        <f>'Cost Allocation - Tier 1'!AW92</f>
        <v>0</v>
      </c>
      <c r="AX103" s="942">
        <f>'Cost Allocation - Tier 1'!AX92</f>
        <v>0</v>
      </c>
      <c r="AY103" s="942">
        <f>'Cost Allocation - Tier 1'!AY92</f>
        <v>0</v>
      </c>
      <c r="AZ103" s="942">
        <f>'Cost Allocation - Tier 1'!AZ92</f>
        <v>0</v>
      </c>
      <c r="BA103" s="942">
        <f>'Cost Allocation - Tier 1'!BA92</f>
        <v>0</v>
      </c>
      <c r="BB103" s="942">
        <f>'Cost Allocation - Tier 1'!BB92</f>
        <v>0</v>
      </c>
      <c r="BC103" s="688">
        <f>'Cost Allocation - Tier 1'!BC92</f>
        <v>0</v>
      </c>
      <c r="BD103" s="778">
        <f>'Cost Allocation - Tier 1'!BD92</f>
        <v>0</v>
      </c>
      <c r="BE103" s="778">
        <f>'Cost Allocation - Tier 1'!BE92</f>
        <v>0</v>
      </c>
      <c r="BF103" s="778">
        <f>'Cost Allocation - Tier 1'!BF92</f>
        <v>0</v>
      </c>
      <c r="BG103" s="778">
        <f>'Cost Allocation - Tier 1'!BG92</f>
        <v>0</v>
      </c>
      <c r="BH103" s="778">
        <f>'Cost Allocation - Tier 1'!BH92</f>
        <v>0</v>
      </c>
      <c r="BI103" s="778">
        <f>'Cost Allocation - Tier 1'!BI92</f>
        <v>0</v>
      </c>
      <c r="BJ103" s="778">
        <f>'Cost Allocation - Tier 1'!BJ92</f>
        <v>0</v>
      </c>
      <c r="BK103" s="778">
        <f>'Cost Allocation - Tier 1'!BK92</f>
        <v>0</v>
      </c>
      <c r="BL103" s="76">
        <f t="shared" si="45"/>
        <v>0</v>
      </c>
      <c r="BM103" s="76">
        <f t="shared" si="46"/>
        <v>0</v>
      </c>
    </row>
    <row r="104" spans="1:98" s="79" customFormat="1" x14ac:dyDescent="0.25">
      <c r="A104" s="943"/>
      <c r="B104" s="943"/>
      <c r="C104" s="943"/>
      <c r="D104" s="944"/>
      <c r="E104" s="944"/>
      <c r="F104" s="944"/>
      <c r="G104" s="944"/>
      <c r="H104" s="944"/>
      <c r="I104" s="945"/>
      <c r="J104" s="946"/>
      <c r="K104" s="946"/>
      <c r="L104" s="946"/>
      <c r="M104" s="946"/>
      <c r="N104" s="946"/>
      <c r="O104" s="946"/>
      <c r="P104" s="946"/>
      <c r="Q104" s="946"/>
      <c r="R104" s="946"/>
      <c r="S104" s="946"/>
      <c r="T104" s="946"/>
      <c r="U104" s="946"/>
      <c r="V104" s="946"/>
      <c r="W104" s="946"/>
      <c r="X104" s="946"/>
      <c r="Y104" s="946"/>
      <c r="Z104" s="946"/>
      <c r="AA104" s="946"/>
      <c r="AB104" s="946"/>
      <c r="AC104" s="946"/>
      <c r="AD104" s="946"/>
      <c r="AE104" s="946"/>
      <c r="AF104" s="946"/>
      <c r="AG104" s="946"/>
      <c r="AH104" s="946"/>
      <c r="AI104" s="946"/>
      <c r="AJ104" s="946"/>
      <c r="AK104" s="946"/>
      <c r="AL104" s="946"/>
      <c r="AM104" s="946"/>
      <c r="AN104" s="946"/>
      <c r="AO104" s="946"/>
      <c r="AP104" s="946"/>
      <c r="AQ104" s="946"/>
      <c r="AR104" s="946"/>
      <c r="AS104" s="946"/>
      <c r="AT104" s="946"/>
      <c r="AU104" s="946"/>
      <c r="AV104" s="946"/>
      <c r="AW104" s="946"/>
      <c r="AX104" s="946"/>
      <c r="AY104" s="946"/>
      <c r="AZ104" s="946"/>
      <c r="BA104" s="946"/>
      <c r="BB104" s="946"/>
      <c r="BC104" s="945"/>
      <c r="BD104" s="944"/>
      <c r="BE104" s="944"/>
      <c r="BF104" s="944"/>
      <c r="BG104" s="944"/>
      <c r="BH104" s="944"/>
      <c r="BI104" s="944"/>
      <c r="BJ104" s="944"/>
      <c r="BK104" s="944"/>
      <c r="BL104" s="947"/>
      <c r="BM104" s="947"/>
    </row>
    <row r="105" spans="1:98" x14ac:dyDescent="0.25">
      <c r="A105" s="1" t="str">
        <f>'Cost Allocation - Tier 1'!A94</f>
        <v>Net revenue allocated</v>
      </c>
      <c r="B105" s="1"/>
      <c r="C105" s="1"/>
      <c r="D105" s="698">
        <f>SUM(D101:D104)</f>
        <v>-317440</v>
      </c>
      <c r="E105" s="698">
        <f t="shared" ref="E105:H105" si="47">SUM(E101:E104)</f>
        <v>-239375</v>
      </c>
      <c r="F105" s="698">
        <f t="shared" si="47"/>
        <v>0</v>
      </c>
      <c r="G105" s="698">
        <f t="shared" si="47"/>
        <v>-239375</v>
      </c>
      <c r="H105" s="698">
        <f t="shared" si="47"/>
        <v>0</v>
      </c>
      <c r="I105" s="688">
        <f>SUM(I101:I104)</f>
        <v>-127500</v>
      </c>
      <c r="J105" s="942">
        <f>SUM(J101:J104)</f>
        <v>0</v>
      </c>
      <c r="K105" s="942">
        <f t="shared" ref="K105:BL105" si="48">SUM(K101:K104)</f>
        <v>0</v>
      </c>
      <c r="L105" s="942">
        <f t="shared" si="48"/>
        <v>0</v>
      </c>
      <c r="M105" s="942">
        <f t="shared" si="48"/>
        <v>0</v>
      </c>
      <c r="N105" s="942">
        <f t="shared" si="48"/>
        <v>0</v>
      </c>
      <c r="O105" s="942">
        <f t="shared" si="48"/>
        <v>0</v>
      </c>
      <c r="P105" s="942">
        <f t="shared" si="48"/>
        <v>0</v>
      </c>
      <c r="Q105" s="942">
        <f t="shared" si="48"/>
        <v>0</v>
      </c>
      <c r="R105" s="942">
        <f t="shared" si="48"/>
        <v>0</v>
      </c>
      <c r="S105" s="942">
        <f t="shared" si="48"/>
        <v>0</v>
      </c>
      <c r="T105" s="942">
        <f t="shared" si="48"/>
        <v>0</v>
      </c>
      <c r="U105" s="942">
        <f t="shared" si="48"/>
        <v>0</v>
      </c>
      <c r="V105" s="942">
        <f t="shared" si="48"/>
        <v>0</v>
      </c>
      <c r="W105" s="942">
        <f t="shared" si="48"/>
        <v>0</v>
      </c>
      <c r="X105" s="942">
        <f t="shared" si="48"/>
        <v>0</v>
      </c>
      <c r="Y105" s="942">
        <f t="shared" si="48"/>
        <v>0</v>
      </c>
      <c r="Z105" s="942">
        <f t="shared" si="48"/>
        <v>0</v>
      </c>
      <c r="AA105" s="942">
        <f t="shared" si="48"/>
        <v>0</v>
      </c>
      <c r="AB105" s="942">
        <f t="shared" si="48"/>
        <v>0</v>
      </c>
      <c r="AC105" s="942">
        <f t="shared" si="48"/>
        <v>0</v>
      </c>
      <c r="AD105" s="942">
        <f t="shared" si="48"/>
        <v>0</v>
      </c>
      <c r="AE105" s="942">
        <f t="shared" si="48"/>
        <v>0</v>
      </c>
      <c r="AF105" s="942">
        <f t="shared" si="48"/>
        <v>0</v>
      </c>
      <c r="AG105" s="942">
        <f t="shared" si="48"/>
        <v>0</v>
      </c>
      <c r="AH105" s="942">
        <f t="shared" si="48"/>
        <v>0</v>
      </c>
      <c r="AI105" s="942">
        <f t="shared" si="48"/>
        <v>0</v>
      </c>
      <c r="AJ105" s="942">
        <f t="shared" si="48"/>
        <v>0</v>
      </c>
      <c r="AK105" s="942">
        <f t="shared" si="48"/>
        <v>0</v>
      </c>
      <c r="AL105" s="942">
        <f t="shared" si="48"/>
        <v>0</v>
      </c>
      <c r="AM105" s="942">
        <f t="shared" si="48"/>
        <v>0</v>
      </c>
      <c r="AN105" s="942">
        <f t="shared" si="48"/>
        <v>0</v>
      </c>
      <c r="AO105" s="942">
        <f t="shared" si="48"/>
        <v>0</v>
      </c>
      <c r="AP105" s="942">
        <f t="shared" si="48"/>
        <v>0</v>
      </c>
      <c r="AQ105" s="942">
        <f t="shared" si="48"/>
        <v>0</v>
      </c>
      <c r="AR105" s="942">
        <f t="shared" si="48"/>
        <v>0</v>
      </c>
      <c r="AS105" s="942">
        <f t="shared" si="48"/>
        <v>0</v>
      </c>
      <c r="AT105" s="942">
        <f t="shared" si="48"/>
        <v>0</v>
      </c>
      <c r="AU105" s="942">
        <f t="shared" si="48"/>
        <v>0</v>
      </c>
      <c r="AV105" s="942">
        <f t="shared" si="48"/>
        <v>0</v>
      </c>
      <c r="AW105" s="942">
        <f t="shared" si="48"/>
        <v>0</v>
      </c>
      <c r="AX105" s="942">
        <f t="shared" si="48"/>
        <v>0</v>
      </c>
      <c r="AY105" s="942">
        <f t="shared" si="48"/>
        <v>0</v>
      </c>
      <c r="AZ105" s="942">
        <f t="shared" si="48"/>
        <v>0</v>
      </c>
      <c r="BA105" s="942">
        <f t="shared" si="48"/>
        <v>0</v>
      </c>
      <c r="BB105" s="942">
        <f t="shared" si="48"/>
        <v>-127500</v>
      </c>
      <c r="BC105" s="688">
        <f>SUM(BC101:BC104)</f>
        <v>-111875</v>
      </c>
      <c r="BD105" s="942">
        <f t="shared" si="48"/>
        <v>0</v>
      </c>
      <c r="BE105" s="942">
        <f t="shared" si="48"/>
        <v>0</v>
      </c>
      <c r="BF105" s="942">
        <f t="shared" si="48"/>
        <v>0</v>
      </c>
      <c r="BG105" s="942">
        <f t="shared" si="48"/>
        <v>0</v>
      </c>
      <c r="BH105" s="942">
        <f t="shared" si="48"/>
        <v>0</v>
      </c>
      <c r="BI105" s="942">
        <f t="shared" si="48"/>
        <v>0</v>
      </c>
      <c r="BJ105" s="942">
        <f t="shared" si="48"/>
        <v>0</v>
      </c>
      <c r="BK105" s="942">
        <f t="shared" si="48"/>
        <v>-111875</v>
      </c>
      <c r="BL105" s="942">
        <f t="shared" si="48"/>
        <v>-239375</v>
      </c>
      <c r="BM105" s="76">
        <f t="shared" ref="BM105" si="49">BL105-G105</f>
        <v>0</v>
      </c>
    </row>
    <row r="106" spans="1:98" x14ac:dyDescent="0.25">
      <c r="A106" s="1"/>
      <c r="B106" s="1"/>
      <c r="C106" s="1"/>
      <c r="D106" s="698"/>
      <c r="E106" s="698"/>
      <c r="F106" s="698"/>
      <c r="G106" s="698"/>
      <c r="H106" s="698"/>
      <c r="I106" s="688"/>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c r="AV106" s="942"/>
      <c r="AW106" s="942"/>
      <c r="AX106" s="942"/>
      <c r="AY106" s="942"/>
      <c r="AZ106" s="942"/>
      <c r="BA106" s="942"/>
      <c r="BB106" s="942"/>
      <c r="BC106" s="688"/>
      <c r="BD106" s="698"/>
      <c r="BE106" s="698"/>
      <c r="BF106" s="698"/>
      <c r="BG106" s="698"/>
      <c r="BH106" s="698"/>
      <c r="BI106" s="698"/>
      <c r="BJ106" s="698"/>
      <c r="BK106" s="698"/>
      <c r="BL106" s="698"/>
      <c r="BM106" s="698"/>
    </row>
    <row r="107" spans="1:98" x14ac:dyDescent="0.25">
      <c r="A107" s="1"/>
      <c r="B107" s="1"/>
      <c r="C107" s="1"/>
      <c r="D107" s="698"/>
      <c r="E107" s="698"/>
      <c r="F107" s="698"/>
      <c r="G107" s="698"/>
      <c r="H107" s="698"/>
      <c r="I107" s="688"/>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c r="AV107" s="942"/>
      <c r="AW107" s="942"/>
      <c r="AX107" s="942"/>
      <c r="AY107" s="942"/>
      <c r="AZ107" s="942"/>
      <c r="BA107" s="942"/>
      <c r="BB107" s="942"/>
      <c r="BC107" s="688"/>
      <c r="BD107" s="698"/>
      <c r="BE107" s="698"/>
      <c r="BF107" s="698"/>
      <c r="BG107" s="698"/>
      <c r="BH107" s="698"/>
      <c r="BI107" s="698"/>
      <c r="BJ107" s="698"/>
      <c r="BK107" s="698"/>
      <c r="BL107" s="698"/>
      <c r="BM107" s="698"/>
      <c r="BT107" s="177" t="s">
        <v>117</v>
      </c>
      <c r="BU107" s="177" t="s">
        <v>949</v>
      </c>
    </row>
    <row r="108" spans="1:98" s="951" customFormat="1" x14ac:dyDescent="0.25">
      <c r="A108" s="948" t="str">
        <f>'Cost Allocation - Tier 1'!A97</f>
        <v>Net corporate costs including mark ups</v>
      </c>
      <c r="B108" s="948"/>
      <c r="C108" s="948"/>
      <c r="D108" s="949">
        <f>D96+D105</f>
        <v>17010746.377785556</v>
      </c>
      <c r="E108" s="949">
        <f>E96+E105</f>
        <v>12820464.148787376</v>
      </c>
      <c r="F108" s="949">
        <f>F96+F105</f>
        <v>3101443.2896452448</v>
      </c>
      <c r="G108" s="949">
        <f>G96+G105</f>
        <v>13410787.700335907</v>
      </c>
      <c r="H108" s="949">
        <f>H96+H105</f>
        <v>132835.08270087352</v>
      </c>
      <c r="I108" s="949">
        <f t="shared" ref="I108:BK108" si="50">I96+I105</f>
        <v>4980451.1579746203</v>
      </c>
      <c r="J108" s="949">
        <f t="shared" si="50"/>
        <v>31063.352057212745</v>
      </c>
      <c r="K108" s="949">
        <f t="shared" si="50"/>
        <v>9212.7751197778325</v>
      </c>
      <c r="L108" s="949">
        <f t="shared" si="50"/>
        <v>9672.6432750700988</v>
      </c>
      <c r="M108" s="949">
        <f t="shared" si="50"/>
        <v>9251.8456909322813</v>
      </c>
      <c r="N108" s="949">
        <f t="shared" si="50"/>
        <v>16187.380588841324</v>
      </c>
      <c r="O108" s="949">
        <f t="shared" si="50"/>
        <v>37072.484195907164</v>
      </c>
      <c r="P108" s="949">
        <f t="shared" si="50"/>
        <v>4484.9404837773382</v>
      </c>
      <c r="Q108" s="949">
        <f t="shared" si="50"/>
        <v>11876.38275670288</v>
      </c>
      <c r="R108" s="949">
        <f t="shared" si="50"/>
        <v>10158.283799935463</v>
      </c>
      <c r="S108" s="949">
        <f t="shared" si="50"/>
        <v>10450.267896930318</v>
      </c>
      <c r="T108" s="949">
        <f t="shared" si="50"/>
        <v>37853.758702784748</v>
      </c>
      <c r="U108" s="949">
        <f t="shared" si="50"/>
        <v>30221.489144703581</v>
      </c>
      <c r="V108" s="949">
        <f t="shared" si="50"/>
        <v>23978.9433370404</v>
      </c>
      <c r="W108" s="949">
        <f t="shared" si="50"/>
        <v>38454.994313614297</v>
      </c>
      <c r="X108" s="949">
        <f t="shared" si="50"/>
        <v>950.75220548881782</v>
      </c>
      <c r="Y108" s="949">
        <f t="shared" si="50"/>
        <v>749.89907911183218</v>
      </c>
      <c r="Z108" s="949">
        <f t="shared" si="50"/>
        <v>3625.5557046713675</v>
      </c>
      <c r="AA108" s="949">
        <f t="shared" si="50"/>
        <v>3313.862967850841</v>
      </c>
      <c r="AB108" s="949">
        <f t="shared" si="50"/>
        <v>1993.6617854471965</v>
      </c>
      <c r="AC108" s="949">
        <f t="shared" si="50"/>
        <v>2039.3780132063023</v>
      </c>
      <c r="AD108" s="949">
        <f t="shared" si="50"/>
        <v>11572.881250103525</v>
      </c>
      <c r="AE108" s="949">
        <f t="shared" si="50"/>
        <v>4641.3320078723464</v>
      </c>
      <c r="AF108" s="949">
        <f t="shared" si="50"/>
        <v>12076.723185092473</v>
      </c>
      <c r="AG108" s="949">
        <f t="shared" si="50"/>
        <v>37521.132532651754</v>
      </c>
      <c r="AH108" s="949">
        <f t="shared" si="50"/>
        <v>307180.95598331094</v>
      </c>
      <c r="AI108" s="949">
        <f t="shared" si="50"/>
        <v>2133.9910120464338</v>
      </c>
      <c r="AJ108" s="949">
        <f t="shared" si="50"/>
        <v>45280.801428350285</v>
      </c>
      <c r="AK108" s="949">
        <f t="shared" si="50"/>
        <v>38932.607689622862</v>
      </c>
      <c r="AL108" s="949">
        <f t="shared" si="50"/>
        <v>0</v>
      </c>
      <c r="AM108" s="949">
        <f t="shared" si="50"/>
        <v>4746.9945747188713</v>
      </c>
      <c r="AN108" s="949">
        <f t="shared" si="50"/>
        <v>8027.9849673776207</v>
      </c>
      <c r="AO108" s="949">
        <f t="shared" si="50"/>
        <v>47338.828353088553</v>
      </c>
      <c r="AP108" s="949">
        <f t="shared" si="50"/>
        <v>7169.3884261570474</v>
      </c>
      <c r="AQ108" s="949">
        <f t="shared" si="50"/>
        <v>44989.891946094154</v>
      </c>
      <c r="AR108" s="949">
        <f t="shared" si="50"/>
        <v>135.87124959575209</v>
      </c>
      <c r="AS108" s="949">
        <f t="shared" si="50"/>
        <v>66304.691463701107</v>
      </c>
      <c r="AT108" s="949">
        <f t="shared" si="50"/>
        <v>55007.968779299044</v>
      </c>
      <c r="AU108" s="949">
        <f t="shared" si="50"/>
        <v>76896.068915247204</v>
      </c>
      <c r="AV108" s="949">
        <f t="shared" si="50"/>
        <v>108081.09870172027</v>
      </c>
      <c r="AW108" s="949">
        <f t="shared" si="50"/>
        <v>276806.15888552059</v>
      </c>
      <c r="AX108" s="949">
        <f t="shared" si="50"/>
        <v>2882.3524219799001</v>
      </c>
      <c r="AY108" s="949">
        <f t="shared" si="50"/>
        <v>956423.97158414824</v>
      </c>
      <c r="AZ108" s="949">
        <f t="shared" si="50"/>
        <v>33843.164062955519</v>
      </c>
      <c r="BA108" s="949">
        <f t="shared" si="50"/>
        <v>583440.70259266172</v>
      </c>
      <c r="BB108" s="949">
        <f t="shared" si="50"/>
        <v>1956402.9448422976</v>
      </c>
      <c r="BC108" s="949">
        <f t="shared" si="50"/>
        <v>8113712.4617074635</v>
      </c>
      <c r="BD108" s="949">
        <f t="shared" si="50"/>
        <v>1310307.0827963736</v>
      </c>
      <c r="BE108" s="949">
        <f t="shared" si="50"/>
        <v>1218041.0666667544</v>
      </c>
      <c r="BF108" s="949">
        <f t="shared" si="50"/>
        <v>687992.87651273631</v>
      </c>
      <c r="BG108" s="949">
        <f t="shared" si="50"/>
        <v>1541783.4420203664</v>
      </c>
      <c r="BH108" s="949">
        <f t="shared" si="50"/>
        <v>1154430.2420147436</v>
      </c>
      <c r="BI108" s="949">
        <f t="shared" si="50"/>
        <v>758185.37541066937</v>
      </c>
      <c r="BJ108" s="949">
        <f t="shared" si="50"/>
        <v>240562.52958380603</v>
      </c>
      <c r="BK108" s="949">
        <f t="shared" si="50"/>
        <v>1202409.8467020125</v>
      </c>
      <c r="BL108" s="892">
        <f t="shared" ref="BL108" si="51">BC108+I108+H108</f>
        <v>13226998.702382958</v>
      </c>
      <c r="BM108" s="950">
        <f t="shared" ref="BM108" si="52">BL108-G108</f>
        <v>-183788.99795294926</v>
      </c>
      <c r="BT108" s="952">
        <f>SUM(J108:AE108,AG108,AH108,AI108,AM108,AQ108,AR108,AS108,AT108,AU108,AV108,AW108,AX108)</f>
        <v>1291514.0408428686</v>
      </c>
      <c r="BU108" s="952">
        <f>SUM(AF108,AJ108,AK108,AL108,AN108,AO108,AP108)</f>
        <v>158826.33404968883</v>
      </c>
    </row>
    <row r="109" spans="1:98" x14ac:dyDescent="0.25">
      <c r="A109" s="1"/>
      <c r="B109" s="1"/>
      <c r="C109" s="1"/>
      <c r="D109" s="698"/>
      <c r="E109" s="698"/>
      <c r="F109" s="698"/>
      <c r="G109" s="698"/>
      <c r="H109" s="698"/>
      <c r="I109" s="688"/>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c r="AX109" s="942"/>
      <c r="AY109" s="942"/>
      <c r="AZ109" s="942"/>
      <c r="BA109" s="942"/>
      <c r="BB109" s="942"/>
      <c r="BC109" s="688"/>
      <c r="BD109" s="698"/>
      <c r="BE109" s="698"/>
      <c r="BF109" s="698"/>
      <c r="BG109" s="698"/>
      <c r="BH109" s="698"/>
      <c r="BI109" s="698"/>
      <c r="BJ109" s="698"/>
      <c r="BK109" s="698"/>
      <c r="BL109" s="698"/>
      <c r="BM109" s="698"/>
    </row>
    <row r="110" spans="1:98" x14ac:dyDescent="0.25">
      <c r="A110" s="199" t="str">
        <f>'Cost Allocation - Tier 1'!A99</f>
        <v>Non-Corporate Cost Allocation</v>
      </c>
      <c r="B110" s="1"/>
      <c r="C110" s="1"/>
      <c r="D110" s="698"/>
      <c r="E110" s="698"/>
      <c r="F110" s="698"/>
      <c r="G110" s="698"/>
      <c r="H110" s="698"/>
      <c r="I110" s="688"/>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c r="AV110" s="942"/>
      <c r="AW110" s="942"/>
      <c r="AX110" s="942"/>
      <c r="AY110" s="942"/>
      <c r="AZ110" s="942"/>
      <c r="BA110" s="942"/>
      <c r="BB110" s="942"/>
      <c r="BC110" s="688"/>
      <c r="BD110" s="698"/>
      <c r="BE110" s="698"/>
      <c r="BF110" s="698"/>
      <c r="BG110" s="698"/>
      <c r="BH110" s="698"/>
      <c r="BI110" s="698"/>
      <c r="BJ110" s="698"/>
      <c r="BK110" s="698"/>
      <c r="BL110" s="698"/>
      <c r="BM110" s="698"/>
    </row>
    <row r="111" spans="1:98" x14ac:dyDescent="0.25">
      <c r="A111" s="1"/>
      <c r="B111" s="1"/>
      <c r="C111" s="1"/>
      <c r="D111" s="698"/>
      <c r="E111" s="698"/>
      <c r="F111" s="698"/>
      <c r="G111" s="698"/>
      <c r="H111" s="698"/>
      <c r="I111" s="688"/>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c r="AV111" s="942"/>
      <c r="AW111" s="942"/>
      <c r="AX111" s="942"/>
      <c r="AY111" s="942"/>
      <c r="AZ111" s="942"/>
      <c r="BA111" s="942"/>
      <c r="BB111" s="942"/>
      <c r="BC111" s="688"/>
      <c r="BD111" s="698"/>
      <c r="BE111" s="698"/>
      <c r="BF111" s="698"/>
      <c r="BG111" s="698"/>
      <c r="BH111" s="698"/>
      <c r="BI111" s="698"/>
      <c r="BJ111" s="698"/>
      <c r="BK111" s="698"/>
      <c r="BL111" s="698"/>
      <c r="BM111" s="698"/>
    </row>
    <row r="112" spans="1:98" x14ac:dyDescent="0.25">
      <c r="A112" s="693" t="str">
        <f>'Cost Allocation - Tier 1'!A101</f>
        <v>FP&amp;A Canada (6700)</v>
      </c>
      <c r="B112" s="693"/>
      <c r="C112" s="693"/>
      <c r="D112" s="778"/>
      <c r="E112" s="778"/>
      <c r="F112" s="778"/>
      <c r="G112" s="778"/>
      <c r="H112" s="778"/>
      <c r="I112" s="688"/>
      <c r="J112" s="931"/>
      <c r="K112" s="931"/>
      <c r="L112" s="931"/>
      <c r="M112" s="931"/>
      <c r="N112" s="931"/>
      <c r="O112" s="931"/>
      <c r="P112" s="931"/>
      <c r="Q112" s="931"/>
      <c r="R112" s="931"/>
      <c r="S112" s="931"/>
      <c r="T112" s="931"/>
      <c r="U112" s="931"/>
      <c r="V112" s="931"/>
      <c r="W112" s="931"/>
      <c r="X112" s="931"/>
      <c r="Y112" s="931"/>
      <c r="Z112" s="931"/>
      <c r="AA112" s="931"/>
      <c r="AB112" s="931"/>
      <c r="AC112" s="931"/>
      <c r="AD112" s="931"/>
      <c r="AE112" s="931"/>
      <c r="AF112" s="931"/>
      <c r="AG112" s="931"/>
      <c r="AH112" s="931"/>
      <c r="AI112" s="931"/>
      <c r="AJ112" s="931"/>
      <c r="AK112" s="931"/>
      <c r="AL112" s="931"/>
      <c r="AM112" s="931"/>
      <c r="AN112" s="931"/>
      <c r="AO112" s="931"/>
      <c r="AP112" s="931"/>
      <c r="AQ112" s="931"/>
      <c r="AR112" s="931"/>
      <c r="AS112" s="931"/>
      <c r="AT112" s="931"/>
      <c r="AU112" s="931"/>
      <c r="AV112" s="931"/>
      <c r="AW112" s="931"/>
      <c r="AX112" s="931"/>
      <c r="AY112" s="931"/>
      <c r="AZ112" s="931"/>
      <c r="BA112" s="931"/>
      <c r="BB112" s="931"/>
      <c r="BC112" s="688"/>
      <c r="BD112" s="698"/>
      <c r="BE112" s="698"/>
      <c r="BF112" s="698"/>
      <c r="BG112" s="698"/>
      <c r="BH112" s="698"/>
      <c r="BI112" s="698"/>
      <c r="BJ112" s="698"/>
      <c r="BK112" s="698"/>
      <c r="BL112" s="698"/>
      <c r="BM112" s="698"/>
    </row>
    <row r="113" spans="1:65" x14ac:dyDescent="0.25">
      <c r="A113" s="693" t="str">
        <f>'Cost Allocation - Tier 1'!A102</f>
        <v>COO office</v>
      </c>
      <c r="B113" s="693" t="str">
        <f>'Cost Allocation - Tier 1'!B102</f>
        <v>ALL CONTRACT</v>
      </c>
      <c r="C113" s="693" t="str">
        <f>'Cost Allocation - Tier 1'!C102</f>
        <v>Y</v>
      </c>
      <c r="D113" s="778">
        <f>'Cost Allocation - Tier 1'!D102</f>
        <v>0</v>
      </c>
      <c r="E113" s="778">
        <f>'Cost Allocation - Tier 1'!E102</f>
        <v>0</v>
      </c>
      <c r="F113" s="778">
        <f>'Cost Allocation - Tier 1'!F102</f>
        <v>0</v>
      </c>
      <c r="G113" s="778">
        <f>'Cost Allocation - Tier 1'!G102</f>
        <v>0</v>
      </c>
      <c r="H113" s="778">
        <f>'Cost Allocation - Tier 1'!H102</f>
        <v>0</v>
      </c>
      <c r="I113" s="688">
        <f>'Cost Allocation - Tier 1'!I102</f>
        <v>0</v>
      </c>
      <c r="J113" s="931">
        <f>'Cost Allocation - Tier 1'!J102</f>
        <v>0</v>
      </c>
      <c r="K113" s="931">
        <f>'Cost Allocation - Tier 1'!K102</f>
        <v>0</v>
      </c>
      <c r="L113" s="931">
        <f>'Cost Allocation - Tier 1'!L102</f>
        <v>0</v>
      </c>
      <c r="M113" s="931">
        <f>'Cost Allocation - Tier 1'!M102</f>
        <v>0</v>
      </c>
      <c r="N113" s="931">
        <f>'Cost Allocation - Tier 1'!N102</f>
        <v>0</v>
      </c>
      <c r="O113" s="931">
        <f>'Cost Allocation - Tier 1'!O102</f>
        <v>0</v>
      </c>
      <c r="P113" s="931">
        <f>'Cost Allocation - Tier 1'!P102</f>
        <v>0</v>
      </c>
      <c r="Q113" s="931">
        <f>'Cost Allocation - Tier 1'!Q102</f>
        <v>0</v>
      </c>
      <c r="R113" s="931">
        <f>'Cost Allocation - Tier 1'!R102</f>
        <v>0</v>
      </c>
      <c r="S113" s="931">
        <f>'Cost Allocation - Tier 1'!S102</f>
        <v>0</v>
      </c>
      <c r="T113" s="931">
        <f>'Cost Allocation - Tier 1'!T102</f>
        <v>0</v>
      </c>
      <c r="U113" s="931">
        <f>'Cost Allocation - Tier 1'!U102</f>
        <v>0</v>
      </c>
      <c r="V113" s="931">
        <f>'Cost Allocation - Tier 1'!V102</f>
        <v>0</v>
      </c>
      <c r="W113" s="931">
        <f>'Cost Allocation - Tier 1'!W102</f>
        <v>0</v>
      </c>
      <c r="X113" s="931">
        <f>'Cost Allocation - Tier 1'!X102</f>
        <v>0</v>
      </c>
      <c r="Y113" s="931">
        <f>'Cost Allocation - Tier 1'!Y102</f>
        <v>0</v>
      </c>
      <c r="Z113" s="931">
        <f>'Cost Allocation - Tier 1'!Z102</f>
        <v>0</v>
      </c>
      <c r="AA113" s="931">
        <f>'Cost Allocation - Tier 1'!AA102</f>
        <v>0</v>
      </c>
      <c r="AB113" s="931">
        <f>'Cost Allocation - Tier 1'!AB102</f>
        <v>0</v>
      </c>
      <c r="AC113" s="931">
        <f>'Cost Allocation - Tier 1'!AC102</f>
        <v>0</v>
      </c>
      <c r="AD113" s="931">
        <f>'Cost Allocation - Tier 1'!AD102</f>
        <v>0</v>
      </c>
      <c r="AE113" s="931">
        <f>'Cost Allocation - Tier 1'!AE102</f>
        <v>0</v>
      </c>
      <c r="AF113" s="931">
        <f>'Cost Allocation - Tier 1'!AF102</f>
        <v>0</v>
      </c>
      <c r="AG113" s="931">
        <f>'Cost Allocation - Tier 1'!AG102</f>
        <v>0</v>
      </c>
      <c r="AH113" s="931">
        <f>'Cost Allocation - Tier 1'!AH102</f>
        <v>0</v>
      </c>
      <c r="AI113" s="931">
        <f>'Cost Allocation - Tier 1'!AI102</f>
        <v>0</v>
      </c>
      <c r="AJ113" s="931">
        <f>'Cost Allocation - Tier 1'!AJ102</f>
        <v>0</v>
      </c>
      <c r="AK113" s="931">
        <f>'Cost Allocation - Tier 1'!AK102</f>
        <v>0</v>
      </c>
      <c r="AL113" s="931">
        <f>'Cost Allocation - Tier 1'!AL102</f>
        <v>0</v>
      </c>
      <c r="AM113" s="931">
        <f>'Cost Allocation - Tier 1'!AM102</f>
        <v>0</v>
      </c>
      <c r="AN113" s="931">
        <f>'Cost Allocation - Tier 1'!AN102</f>
        <v>0</v>
      </c>
      <c r="AO113" s="931">
        <f>'Cost Allocation - Tier 1'!AO102</f>
        <v>0</v>
      </c>
      <c r="AP113" s="931">
        <f>'Cost Allocation - Tier 1'!AP102</f>
        <v>0</v>
      </c>
      <c r="AQ113" s="931">
        <f>'Cost Allocation - Tier 1'!AQ102</f>
        <v>0</v>
      </c>
      <c r="AR113" s="931">
        <f>'Cost Allocation - Tier 1'!AR102</f>
        <v>0</v>
      </c>
      <c r="AS113" s="931">
        <f>'Cost Allocation - Tier 1'!AS102</f>
        <v>0</v>
      </c>
      <c r="AT113" s="931">
        <f>'Cost Allocation - Tier 1'!AT102</f>
        <v>0</v>
      </c>
      <c r="AU113" s="931">
        <f>'Cost Allocation - Tier 1'!AU102</f>
        <v>0</v>
      </c>
      <c r="AV113" s="931">
        <f>'Cost Allocation - Tier 1'!AV102</f>
        <v>0</v>
      </c>
      <c r="AW113" s="931">
        <f>'Cost Allocation - Tier 1'!AW102</f>
        <v>0</v>
      </c>
      <c r="AX113" s="931">
        <f>'Cost Allocation - Tier 1'!AX102</f>
        <v>0</v>
      </c>
      <c r="AY113" s="931">
        <f>'Cost Allocation - Tier 1'!AY102</f>
        <v>0</v>
      </c>
      <c r="AZ113" s="931">
        <f>'Cost Allocation - Tier 1'!AZ102</f>
        <v>0</v>
      </c>
      <c r="BA113" s="931">
        <f>'Cost Allocation - Tier 1'!BA102</f>
        <v>0</v>
      </c>
      <c r="BB113" s="931">
        <f>'Cost Allocation - Tier 1'!BB102</f>
        <v>0</v>
      </c>
      <c r="BC113" s="688">
        <f>'Cost Allocation - Tier 1'!BC102</f>
        <v>0</v>
      </c>
      <c r="BD113" s="778">
        <f>'Cost Allocation - Tier 1'!BD102</f>
        <v>0</v>
      </c>
      <c r="BE113" s="778">
        <f>'Cost Allocation - Tier 1'!BE102</f>
        <v>0</v>
      </c>
      <c r="BF113" s="778">
        <f>'Cost Allocation - Tier 1'!BF102</f>
        <v>0</v>
      </c>
      <c r="BG113" s="778">
        <f>'Cost Allocation - Tier 1'!BG102</f>
        <v>0</v>
      </c>
      <c r="BH113" s="778">
        <f>'Cost Allocation - Tier 1'!BH102</f>
        <v>0</v>
      </c>
      <c r="BI113" s="778">
        <f>'Cost Allocation - Tier 1'!BI102</f>
        <v>0</v>
      </c>
      <c r="BJ113" s="778">
        <f>'Cost Allocation - Tier 1'!BJ102</f>
        <v>0</v>
      </c>
      <c r="BK113" s="778">
        <f>'Cost Allocation - Tier 1'!BK102</f>
        <v>0</v>
      </c>
      <c r="BL113" s="76">
        <f t="shared" ref="BL113:BL115" si="53">BC113+I113+H113</f>
        <v>0</v>
      </c>
      <c r="BM113" s="76">
        <f t="shared" ref="BM113:BM127" si="54">BL113-G113</f>
        <v>0</v>
      </c>
    </row>
    <row r="114" spans="1:65" x14ac:dyDescent="0.25">
      <c r="A114" s="693" t="str">
        <f>'Cost Allocation - Tier 1'!A103</f>
        <v>Langley Office rent</v>
      </c>
      <c r="B114" s="693" t="str">
        <f>'Cost Allocation - Tier 1'!B103</f>
        <v>CDN CONTRACT</v>
      </c>
      <c r="C114" s="693" t="str">
        <f>'Cost Allocation - Tier 1'!C103</f>
        <v>N</v>
      </c>
      <c r="D114" s="778">
        <f>'Cost Allocation - Tier 1'!D103</f>
        <v>753533</v>
      </c>
      <c r="E114" s="778">
        <f>'Cost Allocation - Tier 1'!E103</f>
        <v>567919.77872071031</v>
      </c>
      <c r="F114" s="778">
        <f>'Cost Allocation - Tier 1'!F103</f>
        <v>0</v>
      </c>
      <c r="G114" s="778">
        <f>'Cost Allocation - Tier 1'!G103</f>
        <v>567919.77872071031</v>
      </c>
      <c r="H114" s="778">
        <f>'Cost Allocation - Tier 1'!H103</f>
        <v>0</v>
      </c>
      <c r="I114" s="688">
        <f>'Cost Allocation - Tier 1'!I103</f>
        <v>567919.77872071054</v>
      </c>
      <c r="J114" s="931">
        <f>'Cost Allocation - Tier 1'!J103</f>
        <v>14599.913922650792</v>
      </c>
      <c r="K114" s="931">
        <f>'Cost Allocation - Tier 1'!K103</f>
        <v>3719.7579516262308</v>
      </c>
      <c r="L114" s="931">
        <f>'Cost Allocation - Tier 1'!L103</f>
        <v>3544.6786242343082</v>
      </c>
      <c r="M114" s="931">
        <f>'Cost Allocation - Tier 1'!M103</f>
        <v>4971.214479491292</v>
      </c>
      <c r="N114" s="931">
        <f>'Cost Allocation - Tier 1'!N103</f>
        <v>6736.1137126283829</v>
      </c>
      <c r="O114" s="931">
        <f>'Cost Allocation - Tier 1'!O103</f>
        <v>19598.923773719362</v>
      </c>
      <c r="P114" s="931">
        <f>'Cost Allocation - Tier 1'!P103</f>
        <v>2490.4120327431369</v>
      </c>
      <c r="Q114" s="931">
        <f>'Cost Allocation - Tier 1'!Q103</f>
        <v>7044.1060334562499</v>
      </c>
      <c r="R114" s="931">
        <f>'Cost Allocation - Tier 1'!R103</f>
        <v>6147.0259936691391</v>
      </c>
      <c r="S114" s="931">
        <f>'Cost Allocation - Tier 1'!S103</f>
        <v>6220.6778916426656</v>
      </c>
      <c r="T114" s="931">
        <f>'Cost Allocation - Tier 1'!T103</f>
        <v>23191.463861110202</v>
      </c>
      <c r="U114" s="931">
        <f>'Cost Allocation - Tier 1'!U103</f>
        <v>18305.797549512376</v>
      </c>
      <c r="V114" s="931">
        <f>'Cost Allocation - Tier 1'!V103</f>
        <v>9356.5437254249191</v>
      </c>
      <c r="W114" s="931">
        <f>'Cost Allocation - Tier 1'!W103</f>
        <v>15352.719162477264</v>
      </c>
      <c r="X114" s="931">
        <f>'Cost Allocation - Tier 1'!X103</f>
        <v>545.18529982856944</v>
      </c>
      <c r="Y114" s="931">
        <f>'Cost Allocation - Tier 1'!Y103</f>
        <v>382.9325131068415</v>
      </c>
      <c r="Z114" s="931">
        <f>'Cost Allocation - Tier 1'!Z103</f>
        <v>1588.6780453355432</v>
      </c>
      <c r="AA114" s="931">
        <f>'Cost Allocation - Tier 1'!AA103</f>
        <v>1391.5206111393359</v>
      </c>
      <c r="AB114" s="931">
        <f>'Cost Allocation - Tier 1'!AB103</f>
        <v>806.11947105810339</v>
      </c>
      <c r="AC114" s="931">
        <f>'Cost Allocation - Tier 1'!AC103</f>
        <v>1026.5270919398949</v>
      </c>
      <c r="AD114" s="931">
        <f>'Cost Allocation - Tier 1'!AD103</f>
        <v>7224.1784490901337</v>
      </c>
      <c r="AE114" s="931">
        <f>'Cost Allocation - Tier 1'!AE103</f>
        <v>2612.3630837705809</v>
      </c>
      <c r="AF114" s="931">
        <f>'Cost Allocation - Tier 1'!AF103</f>
        <v>5231.9606085170162</v>
      </c>
      <c r="AG114" s="931">
        <f>'Cost Allocation - Tier 1'!AG103</f>
        <v>10109.980923680778</v>
      </c>
      <c r="AH114" s="931">
        <f>'Cost Allocation - Tier 1'!AH103</f>
        <v>139420.13015345743</v>
      </c>
      <c r="AI114" s="931">
        <f>'Cost Allocation - Tier 1'!AI103</f>
        <v>1404.865187511424</v>
      </c>
      <c r="AJ114" s="931">
        <f>'Cost Allocation - Tier 1'!AJ103</f>
        <v>24457.437008287383</v>
      </c>
      <c r="AK114" s="931">
        <f>'Cost Allocation - Tier 1'!AK103</f>
        <v>19536.370824101454</v>
      </c>
      <c r="AL114" s="931">
        <f>'Cost Allocation - Tier 1'!AL103</f>
        <v>0</v>
      </c>
      <c r="AM114" s="931">
        <f>'Cost Allocation - Tier 1'!AM103</f>
        <v>2111.6917933774757</v>
      </c>
      <c r="AN114" s="931">
        <f>'Cost Allocation - Tier 1'!AN103</f>
        <v>2662.1218544969088</v>
      </c>
      <c r="AO114" s="931">
        <f>'Cost Allocation - Tier 1'!AO103</f>
        <v>24367.377494150038</v>
      </c>
      <c r="AP114" s="931">
        <f>'Cost Allocation - Tier 1'!AP103</f>
        <v>3418.4456723181829</v>
      </c>
      <c r="AQ114" s="931">
        <f>'Cost Allocation - Tier 1'!AQ103</f>
        <v>12383.804132564923</v>
      </c>
      <c r="AR114" s="931">
        <f>'Cost Allocation - Tier 1'!AR103</f>
        <v>50.086885504980565</v>
      </c>
      <c r="AS114" s="931">
        <f>'Cost Allocation - Tier 1'!AS103</f>
        <v>18454.293986368946</v>
      </c>
      <c r="AT114" s="931">
        <f>'Cost Allocation - Tier 1'!AT103</f>
        <v>14857.85917054842</v>
      </c>
      <c r="AU114" s="931">
        <f>'Cost Allocation - Tier 1'!AU103</f>
        <v>22403.475393911685</v>
      </c>
      <c r="AV114" s="931">
        <f>'Cost Allocation - Tier 1'!AV103</f>
        <v>30310.924830223474</v>
      </c>
      <c r="AW114" s="931">
        <f>'Cost Allocation - Tier 1'!AW103</f>
        <v>78819.563804035148</v>
      </c>
      <c r="AX114" s="931">
        <f>'Cost Allocation - Tier 1'!AX103</f>
        <v>1062.5357179994924</v>
      </c>
      <c r="AY114" s="931">
        <f>'Cost Allocation - Tier 1'!AY103</f>
        <v>0</v>
      </c>
      <c r="AZ114" s="931">
        <f>'Cost Allocation - Tier 1'!AZ103</f>
        <v>0</v>
      </c>
      <c r="BA114" s="931">
        <f>'Cost Allocation - Tier 1'!BA103</f>
        <v>0</v>
      </c>
      <c r="BB114" s="931">
        <f>'Cost Allocation - Tier 1'!BB103</f>
        <v>0</v>
      </c>
      <c r="BC114" s="688">
        <f>'Cost Allocation - Tier 1'!BC103</f>
        <v>0</v>
      </c>
      <c r="BD114" s="778">
        <f>'Cost Allocation - Tier 1'!BD103</f>
        <v>0</v>
      </c>
      <c r="BE114" s="778">
        <f>'Cost Allocation - Tier 1'!BE103</f>
        <v>0</v>
      </c>
      <c r="BF114" s="778">
        <f>'Cost Allocation - Tier 1'!BF103</f>
        <v>0</v>
      </c>
      <c r="BG114" s="778">
        <f>'Cost Allocation - Tier 1'!BG103</f>
        <v>0</v>
      </c>
      <c r="BH114" s="778">
        <f>'Cost Allocation - Tier 1'!BH103</f>
        <v>0</v>
      </c>
      <c r="BI114" s="778">
        <f>'Cost Allocation - Tier 1'!BI103</f>
        <v>0</v>
      </c>
      <c r="BJ114" s="778">
        <f>'Cost Allocation - Tier 1'!BJ103</f>
        <v>0</v>
      </c>
      <c r="BK114" s="778">
        <f>'Cost Allocation - Tier 1'!BK103</f>
        <v>0</v>
      </c>
      <c r="BL114" s="76">
        <f t="shared" si="53"/>
        <v>567919.77872071054</v>
      </c>
      <c r="BM114" s="76">
        <f t="shared" si="54"/>
        <v>0</v>
      </c>
    </row>
    <row r="115" spans="1:65" s="79" customFormat="1" ht="13.15" customHeight="1" x14ac:dyDescent="0.25">
      <c r="A115" s="943" t="str">
        <f>'Cost Allocation - Tier 1'!A104</f>
        <v>Other costs</v>
      </c>
      <c r="B115" s="943" t="str">
        <f>'Cost Allocation - Tier 1'!B104</f>
        <v>CDN CONTRACT</v>
      </c>
      <c r="C115" s="943" t="str">
        <f>'Cost Allocation - Tier 1'!C104</f>
        <v>N</v>
      </c>
      <c r="D115" s="944">
        <f>'Cost Allocation - Tier 1'!D104</f>
        <v>1968597.65</v>
      </c>
      <c r="E115" s="944">
        <f>'Cost Allocation - Tier 1'!E104</f>
        <v>1483684.9106517036</v>
      </c>
      <c r="F115" s="944">
        <f>'Cost Allocation - Tier 1'!F104</f>
        <v>0</v>
      </c>
      <c r="G115" s="944">
        <f>'Cost Allocation - Tier 1'!G104</f>
        <v>1483684.9106517036</v>
      </c>
      <c r="H115" s="944">
        <f>'Cost Allocation - Tier 1'!H104</f>
        <v>0</v>
      </c>
      <c r="I115" s="945">
        <f>'Cost Allocation - Tier 1'!I104</f>
        <v>1483684.9106517041</v>
      </c>
      <c r="J115" s="953">
        <f>'Cost Allocation - Tier 1'!J104</f>
        <v>38142.133441179918</v>
      </c>
      <c r="K115" s="953">
        <f>'Cost Allocation - Tier 1'!K104</f>
        <v>9717.8315510272423</v>
      </c>
      <c r="L115" s="953">
        <f>'Cost Allocation - Tier 1'!L104</f>
        <v>9260.4385072357691</v>
      </c>
      <c r="M115" s="953">
        <f>'Cost Allocation - Tier 1'!M104</f>
        <v>12987.249585582224</v>
      </c>
      <c r="N115" s="953">
        <f>'Cost Allocation - Tier 1'!N104</f>
        <v>17598.03170506535</v>
      </c>
      <c r="O115" s="953">
        <f>'Cost Allocation - Tier 1'!O104</f>
        <v>51201.998165273537</v>
      </c>
      <c r="P115" s="953">
        <f>'Cost Allocation - Tier 1'!P104</f>
        <v>6506.1772678699699</v>
      </c>
      <c r="Q115" s="953">
        <f>'Cost Allocation - Tier 1'!Q104</f>
        <v>18402.658654382478</v>
      </c>
      <c r="R115" s="953">
        <f>'Cost Allocation - Tier 1'!R104</f>
        <v>16059.045755960231</v>
      </c>
      <c r="S115" s="953">
        <f>'Cost Allocation - Tier 1'!S104</f>
        <v>16251.46062467696</v>
      </c>
      <c r="T115" s="953">
        <f>'Cost Allocation - Tier 1'!T104</f>
        <v>60587.474280544404</v>
      </c>
      <c r="U115" s="953">
        <f>'Cost Allocation - Tier 1'!U104</f>
        <v>47823.718453399939</v>
      </c>
      <c r="V115" s="953">
        <f>'Cost Allocation - Tier 1'!V104</f>
        <v>24443.879684093114</v>
      </c>
      <c r="W115" s="953">
        <f>'Cost Allocation - Tier 1'!W104</f>
        <v>40108.829824788969</v>
      </c>
      <c r="X115" s="953">
        <f>'Cost Allocation - Tier 1'!X104</f>
        <v>1424.2913051678786</v>
      </c>
      <c r="Y115" s="953">
        <f>'Cost Allocation - Tier 1'!Y104</f>
        <v>1000.4074744048664</v>
      </c>
      <c r="Z115" s="953">
        <f>'Cost Allocation - Tier 1'!Z104</f>
        <v>4150.4059764524491</v>
      </c>
      <c r="AA115" s="953">
        <f>'Cost Allocation - Tier 1'!AA104</f>
        <v>3635.3340928870534</v>
      </c>
      <c r="AB115" s="953">
        <f>'Cost Allocation - Tier 1'!AB104</f>
        <v>2105.9792953251217</v>
      </c>
      <c r="AC115" s="953">
        <f>'Cost Allocation - Tier 1'!AC104</f>
        <v>2681.7920659801375</v>
      </c>
      <c r="AD115" s="953">
        <f>'Cost Allocation - Tier 1'!AD104</f>
        <v>18873.096092751719</v>
      </c>
      <c r="AE115" s="953">
        <f>'Cost Allocation - Tier 1'!AE104</f>
        <v>6824.7732052312476</v>
      </c>
      <c r="AF115" s="953">
        <f>'Cost Allocation - Tier 1'!AF104</f>
        <v>13668.446317306829</v>
      </c>
      <c r="AG115" s="953">
        <f>'Cost Allocation - Tier 1'!AG104</f>
        <v>26412.227052966235</v>
      </c>
      <c r="AH115" s="953">
        <f>'Cost Allocation - Tier 1'!AH104</f>
        <v>364233.73705304269</v>
      </c>
      <c r="AI115" s="953">
        <f>'Cost Allocation - Tier 1'!AI104</f>
        <v>3670.196669159543</v>
      </c>
      <c r="AJ115" s="953">
        <f>'Cost Allocation - Tier 1'!AJ104</f>
        <v>63894.816842178865</v>
      </c>
      <c r="AK115" s="953">
        <f>'Cost Allocation - Tier 1'!AK104</f>
        <v>51038.579191428478</v>
      </c>
      <c r="AL115" s="953">
        <f>'Cost Allocation - Tier 1'!AL104</f>
        <v>0</v>
      </c>
      <c r="AM115" s="953">
        <f>'Cost Allocation - Tier 1'!AM104</f>
        <v>5516.7743177368266</v>
      </c>
      <c r="AN115" s="953">
        <f>'Cost Allocation - Tier 1'!AN104</f>
        <v>6954.7675108804206</v>
      </c>
      <c r="AO115" s="953">
        <f>'Cost Allocation - Tier 1'!AO104</f>
        <v>63659.53723545836</v>
      </c>
      <c r="AP115" s="953">
        <f>'Cost Allocation - Tier 1'!AP104</f>
        <v>8930.6561453556042</v>
      </c>
      <c r="AQ115" s="953">
        <f>'Cost Allocation - Tier 1'!AQ104</f>
        <v>32352.568120344553</v>
      </c>
      <c r="AR115" s="953">
        <f>'Cost Allocation - Tier 1'!AR104</f>
        <v>130.85150232428279</v>
      </c>
      <c r="AS115" s="953">
        <f>'Cost Allocation - Tier 1'!AS104</f>
        <v>48211.663953635783</v>
      </c>
      <c r="AT115" s="953">
        <f>'Cost Allocation - Tier 1'!AT104</f>
        <v>38816.012898137924</v>
      </c>
      <c r="AU115" s="953">
        <f>'Cost Allocation - Tier 1'!AU104</f>
        <v>58528.862056853999</v>
      </c>
      <c r="AV115" s="953">
        <f>'Cost Allocation - Tier 1'!AV104</f>
        <v>79186.996973064975</v>
      </c>
      <c r="AW115" s="953">
        <f>'Cost Allocation - Tier 1'!AW104</f>
        <v>205915.34555042529</v>
      </c>
      <c r="AX115" s="953">
        <f>'Cost Allocation - Tier 1'!AX104</f>
        <v>2775.8642521228176</v>
      </c>
      <c r="AY115" s="953">
        <f>'Cost Allocation - Tier 1'!AY104</f>
        <v>0</v>
      </c>
      <c r="AZ115" s="953">
        <f>'Cost Allocation - Tier 1'!AZ104</f>
        <v>0</v>
      </c>
      <c r="BA115" s="953">
        <f>'Cost Allocation - Tier 1'!BA104</f>
        <v>0</v>
      </c>
      <c r="BB115" s="953">
        <f>'Cost Allocation - Tier 1'!BB104</f>
        <v>0</v>
      </c>
      <c r="BC115" s="945">
        <f>'Cost Allocation - Tier 1'!BC104</f>
        <v>0</v>
      </c>
      <c r="BD115" s="944">
        <f>'Cost Allocation - Tier 1'!BD104</f>
        <v>0</v>
      </c>
      <c r="BE115" s="944">
        <f>'Cost Allocation - Tier 1'!BE104</f>
        <v>0</v>
      </c>
      <c r="BF115" s="944">
        <f>'Cost Allocation - Tier 1'!BF104</f>
        <v>0</v>
      </c>
      <c r="BG115" s="944">
        <f>'Cost Allocation - Tier 1'!BG104</f>
        <v>0</v>
      </c>
      <c r="BH115" s="944">
        <f>'Cost Allocation - Tier 1'!BH104</f>
        <v>0</v>
      </c>
      <c r="BI115" s="944">
        <f>'Cost Allocation - Tier 1'!BI104</f>
        <v>0</v>
      </c>
      <c r="BJ115" s="944">
        <f>'Cost Allocation - Tier 1'!BJ104</f>
        <v>0</v>
      </c>
      <c r="BK115" s="944">
        <f>'Cost Allocation - Tier 1'!BK104</f>
        <v>0</v>
      </c>
      <c r="BL115" s="76">
        <f t="shared" si="53"/>
        <v>1483684.9106517041</v>
      </c>
      <c r="BM115" s="76">
        <f t="shared" si="54"/>
        <v>0</v>
      </c>
    </row>
    <row r="116" spans="1:65" x14ac:dyDescent="0.25">
      <c r="A116" s="693" t="str">
        <f>'Cost Allocation - Tier 1'!A105</f>
        <v>Net income</v>
      </c>
      <c r="B116" s="1"/>
      <c r="C116" s="1"/>
      <c r="D116" s="698">
        <f>SUM(D113:D115)</f>
        <v>2722130.65</v>
      </c>
      <c r="E116" s="698">
        <f t="shared" ref="E116:H116" si="55">SUM(E113:E115)</f>
        <v>2051604.6893724138</v>
      </c>
      <c r="F116" s="698">
        <f t="shared" si="55"/>
        <v>0</v>
      </c>
      <c r="G116" s="698">
        <f t="shared" si="55"/>
        <v>2051604.6893724138</v>
      </c>
      <c r="H116" s="698">
        <f t="shared" si="55"/>
        <v>0</v>
      </c>
      <c r="I116" s="688">
        <f>SUM(I113:I115)</f>
        <v>2051604.6893724147</v>
      </c>
      <c r="J116" s="942">
        <f>SUM(J113:J115)</f>
        <v>52742.047363830708</v>
      </c>
      <c r="K116" s="942">
        <f t="shared" ref="K116:BB116" si="56">SUM(K113:K115)</f>
        <v>13437.589502653473</v>
      </c>
      <c r="L116" s="942">
        <f t="shared" si="56"/>
        <v>12805.117131470077</v>
      </c>
      <c r="M116" s="942">
        <f t="shared" si="56"/>
        <v>17958.464065073516</v>
      </c>
      <c r="N116" s="942">
        <f t="shared" si="56"/>
        <v>24334.145417693733</v>
      </c>
      <c r="O116" s="942">
        <f t="shared" si="56"/>
        <v>70800.921938992891</v>
      </c>
      <c r="P116" s="942">
        <f t="shared" si="56"/>
        <v>8996.5893006131064</v>
      </c>
      <c r="Q116" s="942">
        <f t="shared" si="56"/>
        <v>25446.764687838728</v>
      </c>
      <c r="R116" s="942">
        <f t="shared" si="56"/>
        <v>22206.071749629369</v>
      </c>
      <c r="S116" s="942">
        <f t="shared" si="56"/>
        <v>22472.138516319625</v>
      </c>
      <c r="T116" s="942">
        <f t="shared" si="56"/>
        <v>83778.938141654609</v>
      </c>
      <c r="U116" s="942">
        <f t="shared" si="56"/>
        <v>66129.516002912307</v>
      </c>
      <c r="V116" s="942">
        <f t="shared" si="56"/>
        <v>33800.423409518029</v>
      </c>
      <c r="W116" s="942">
        <f t="shared" si="56"/>
        <v>55461.548987266229</v>
      </c>
      <c r="X116" s="942">
        <f t="shared" si="56"/>
        <v>1969.476604996448</v>
      </c>
      <c r="Y116" s="942">
        <f t="shared" si="56"/>
        <v>1383.3399875117079</v>
      </c>
      <c r="Z116" s="942">
        <f t="shared" si="56"/>
        <v>5739.0840217879922</v>
      </c>
      <c r="AA116" s="942">
        <f t="shared" si="56"/>
        <v>5026.8547040263893</v>
      </c>
      <c r="AB116" s="942">
        <f t="shared" si="56"/>
        <v>2912.0987663832252</v>
      </c>
      <c r="AC116" s="942">
        <f t="shared" si="56"/>
        <v>3708.3191579200325</v>
      </c>
      <c r="AD116" s="942">
        <f t="shared" si="56"/>
        <v>26097.274541841853</v>
      </c>
      <c r="AE116" s="942">
        <f t="shared" si="56"/>
        <v>9437.1362890018281</v>
      </c>
      <c r="AF116" s="942">
        <f t="shared" si="56"/>
        <v>18900.406925823845</v>
      </c>
      <c r="AG116" s="942">
        <f t="shared" si="56"/>
        <v>36522.207976647012</v>
      </c>
      <c r="AH116" s="942">
        <f t="shared" si="56"/>
        <v>503653.86720650014</v>
      </c>
      <c r="AI116" s="942">
        <f t="shared" si="56"/>
        <v>5075.0618566709672</v>
      </c>
      <c r="AJ116" s="942">
        <f t="shared" si="56"/>
        <v>88352.253850466252</v>
      </c>
      <c r="AK116" s="942">
        <f t="shared" si="56"/>
        <v>70574.950015529932</v>
      </c>
      <c r="AL116" s="942">
        <f t="shared" si="56"/>
        <v>0</v>
      </c>
      <c r="AM116" s="942">
        <f t="shared" si="56"/>
        <v>7628.4661111143023</v>
      </c>
      <c r="AN116" s="942">
        <f t="shared" si="56"/>
        <v>9616.8893653773303</v>
      </c>
      <c r="AO116" s="942">
        <f t="shared" si="56"/>
        <v>88026.914729608397</v>
      </c>
      <c r="AP116" s="942">
        <f t="shared" si="56"/>
        <v>12349.101817673787</v>
      </c>
      <c r="AQ116" s="942">
        <f t="shared" si="56"/>
        <v>44736.372252909474</v>
      </c>
      <c r="AR116" s="942">
        <f t="shared" si="56"/>
        <v>180.93838782926335</v>
      </c>
      <c r="AS116" s="942">
        <f t="shared" si="56"/>
        <v>66665.957940004737</v>
      </c>
      <c r="AT116" s="942">
        <f t="shared" si="56"/>
        <v>53673.872068686345</v>
      </c>
      <c r="AU116" s="942">
        <f t="shared" si="56"/>
        <v>80932.337450765684</v>
      </c>
      <c r="AV116" s="942">
        <f t="shared" si="56"/>
        <v>109497.92180328845</v>
      </c>
      <c r="AW116" s="942">
        <f t="shared" si="56"/>
        <v>284734.90935446043</v>
      </c>
      <c r="AX116" s="942">
        <f t="shared" si="56"/>
        <v>3838.3999701223102</v>
      </c>
      <c r="AY116" s="942">
        <f t="shared" si="56"/>
        <v>0</v>
      </c>
      <c r="AZ116" s="942">
        <f t="shared" si="56"/>
        <v>0</v>
      </c>
      <c r="BA116" s="942">
        <f t="shared" si="56"/>
        <v>0</v>
      </c>
      <c r="BB116" s="942">
        <f t="shared" si="56"/>
        <v>0</v>
      </c>
      <c r="BC116" s="688">
        <f>SUM(BC113:BC115)</f>
        <v>0</v>
      </c>
      <c r="BD116" s="778">
        <f>SUM(BD113:BD115)</f>
        <v>0</v>
      </c>
      <c r="BE116" s="778">
        <f t="shared" ref="BE116:BK116" si="57">SUM(BE113:BE115)</f>
        <v>0</v>
      </c>
      <c r="BF116" s="778">
        <f t="shared" si="57"/>
        <v>0</v>
      </c>
      <c r="BG116" s="778">
        <f t="shared" si="57"/>
        <v>0</v>
      </c>
      <c r="BH116" s="778">
        <f t="shared" si="57"/>
        <v>0</v>
      </c>
      <c r="BI116" s="778">
        <f t="shared" si="57"/>
        <v>0</v>
      </c>
      <c r="BJ116" s="778">
        <f t="shared" si="57"/>
        <v>0</v>
      </c>
      <c r="BK116" s="778">
        <f t="shared" si="57"/>
        <v>0</v>
      </c>
      <c r="BL116" s="698">
        <f>SUM(BL113:BL115)</f>
        <v>2051604.6893724147</v>
      </c>
      <c r="BM116" s="76">
        <f t="shared" si="54"/>
        <v>0</v>
      </c>
    </row>
    <row r="117" spans="1:65" x14ac:dyDescent="0.25">
      <c r="A117" s="1"/>
      <c r="B117" s="693"/>
      <c r="C117" s="693"/>
      <c r="D117" s="778"/>
      <c r="E117" s="778"/>
      <c r="F117" s="778"/>
      <c r="G117" s="778"/>
      <c r="H117" s="698"/>
      <c r="I117" s="688"/>
      <c r="J117" s="931"/>
      <c r="K117" s="931"/>
      <c r="L117" s="931"/>
      <c r="M117" s="931"/>
      <c r="N117" s="931"/>
      <c r="O117" s="931"/>
      <c r="P117" s="931"/>
      <c r="Q117" s="931"/>
      <c r="R117" s="931"/>
      <c r="S117" s="931"/>
      <c r="T117" s="931"/>
      <c r="U117" s="931"/>
      <c r="V117" s="931"/>
      <c r="W117" s="931"/>
      <c r="X117" s="931"/>
      <c r="Y117" s="931"/>
      <c r="Z117" s="931"/>
      <c r="AA117" s="931"/>
      <c r="AB117" s="931"/>
      <c r="AC117" s="931"/>
      <c r="AD117" s="931"/>
      <c r="AE117" s="931"/>
      <c r="AF117" s="931"/>
      <c r="AG117" s="931"/>
      <c r="AH117" s="931"/>
      <c r="AI117" s="931"/>
      <c r="AJ117" s="931"/>
      <c r="AK117" s="931"/>
      <c r="AL117" s="931"/>
      <c r="AM117" s="931"/>
      <c r="AN117" s="931"/>
      <c r="AO117" s="931"/>
      <c r="AP117" s="931"/>
      <c r="AQ117" s="931"/>
      <c r="AR117" s="931"/>
      <c r="AS117" s="931"/>
      <c r="AT117" s="931"/>
      <c r="AU117" s="931"/>
      <c r="AV117" s="931"/>
      <c r="AW117" s="931"/>
      <c r="AX117" s="931"/>
      <c r="AY117" s="931"/>
      <c r="AZ117" s="931"/>
      <c r="BA117" s="931"/>
      <c r="BB117" s="931"/>
      <c r="BC117" s="688"/>
      <c r="BD117" s="778"/>
      <c r="BE117" s="778"/>
      <c r="BF117" s="778"/>
      <c r="BG117" s="778"/>
      <c r="BH117" s="778"/>
      <c r="BI117" s="778"/>
      <c r="BJ117" s="778"/>
      <c r="BK117" s="778"/>
      <c r="BL117" s="698"/>
      <c r="BM117" s="698"/>
    </row>
    <row r="118" spans="1:65" x14ac:dyDescent="0.25">
      <c r="A118" s="693" t="str">
        <f>'Cost Allocation - Tier 1'!A107</f>
        <v xml:space="preserve">Vancouver Rent direct </v>
      </c>
      <c r="B118" s="693" t="str">
        <f>'Cost Allocation - Tier 1'!B107</f>
        <v>CDN CONTRACT</v>
      </c>
      <c r="C118" s="693" t="str">
        <f>'Cost Allocation - Tier 1'!C107</f>
        <v>N</v>
      </c>
      <c r="D118" s="778">
        <f>'Cost Allocation - Tier 1'!D107</f>
        <v>178543.24444444446</v>
      </c>
      <c r="E118" s="778">
        <f>'Cost Allocation - Tier 1'!E107</f>
        <v>134563.7681123011</v>
      </c>
      <c r="F118" s="778">
        <f>'Cost Allocation - Tier 1'!F107</f>
        <v>0</v>
      </c>
      <c r="G118" s="778">
        <f>'Cost Allocation - Tier 1'!G107</f>
        <v>134563.7681123011</v>
      </c>
      <c r="H118" s="698">
        <f>'Cost Allocation - Tier 1'!H107</f>
        <v>0</v>
      </c>
      <c r="I118" s="688">
        <f>'Cost Allocation - Tier 1'!I107</f>
        <v>134563.7681123011</v>
      </c>
      <c r="J118" s="931">
        <f>'Cost Allocation - Tier 1'!J107</f>
        <v>3459.3256040010037</v>
      </c>
      <c r="K118" s="931">
        <f>'Cost Allocation - Tier 1'!K107</f>
        <v>881.36505399414239</v>
      </c>
      <c r="L118" s="931">
        <f>'Cost Allocation - Tier 1'!L107</f>
        <v>839.88149435215598</v>
      </c>
      <c r="M118" s="931">
        <f>'Cost Allocation - Tier 1'!M107</f>
        <v>1177.8870494027142</v>
      </c>
      <c r="N118" s="931">
        <f>'Cost Allocation - Tier 1'!N107</f>
        <v>1596.0649330545359</v>
      </c>
      <c r="O118" s="931">
        <f>'Cost Allocation - Tier 1'!O107</f>
        <v>4643.7985306273376</v>
      </c>
      <c r="P118" s="931">
        <f>'Cost Allocation - Tier 1'!P107</f>
        <v>590.08197959405061</v>
      </c>
      <c r="Q118" s="931">
        <f>'Cost Allocation - Tier 1'!Q107</f>
        <v>1669.0410976346957</v>
      </c>
      <c r="R118" s="931">
        <f>'Cost Allocation - Tier 1'!R107</f>
        <v>1456.4856012862385</v>
      </c>
      <c r="S118" s="931">
        <f>'Cost Allocation - Tier 1'!S107</f>
        <v>1473.9367929708555</v>
      </c>
      <c r="T118" s="931">
        <f>'Cost Allocation - Tier 1'!T107</f>
        <v>5495.0203921775137</v>
      </c>
      <c r="U118" s="931">
        <f>'Cost Allocation - Tier 1'!U107</f>
        <v>4337.4032545795608</v>
      </c>
      <c r="V118" s="931">
        <f>'Cost Allocation - Tier 1'!V107</f>
        <v>2216.95356875369</v>
      </c>
      <c r="W118" s="931">
        <f>'Cost Allocation - Tier 1'!W107</f>
        <v>3637.6964118533424</v>
      </c>
      <c r="X118" s="931">
        <f>'Cost Allocation - Tier 1'!X107</f>
        <v>129.17702642725669</v>
      </c>
      <c r="Y118" s="931">
        <f>'Cost Allocation - Tier 1'!Y107</f>
        <v>90.732606658713323</v>
      </c>
      <c r="Z118" s="931">
        <f>'Cost Allocation - Tier 1'!Z107</f>
        <v>376.42376988382205</v>
      </c>
      <c r="AA118" s="931">
        <f>'Cost Allocation - Tier 1'!AA107</f>
        <v>329.70899034831012</v>
      </c>
      <c r="AB118" s="931">
        <f>'Cost Allocation - Tier 1'!AB107</f>
        <v>191.00316213431026</v>
      </c>
      <c r="AC118" s="931">
        <f>'Cost Allocation - Tier 1'!AC107</f>
        <v>243.22687593651423</v>
      </c>
      <c r="AD118" s="931">
        <f>'Cost Allocation - Tier 1'!AD107</f>
        <v>1711.707727128324</v>
      </c>
      <c r="AE118" s="931">
        <f>'Cost Allocation - Tier 1'!AE107</f>
        <v>618.97724538048567</v>
      </c>
      <c r="AF118" s="931">
        <f>'Cost Allocation - Tier 1'!AF107</f>
        <v>1239.668630106655</v>
      </c>
      <c r="AG118" s="931">
        <f>'Cost Allocation - Tier 1'!AG107</f>
        <v>2395.4741137885235</v>
      </c>
      <c r="AH118" s="931">
        <f>'Cost Allocation - Tier 1'!AH107</f>
        <v>33034.415716982548</v>
      </c>
      <c r="AI118" s="931">
        <f>'Cost Allocation - Tier 1'!AI107</f>
        <v>332.87087438153662</v>
      </c>
      <c r="AJ118" s="931">
        <f>'Cost Allocation - Tier 1'!AJ107</f>
        <v>5794.9819772395585</v>
      </c>
      <c r="AK118" s="931">
        <f>'Cost Allocation - Tier 1'!AK107</f>
        <v>4628.9771404900093</v>
      </c>
      <c r="AL118" s="931">
        <f>'Cost Allocation - Tier 1'!AL107</f>
        <v>0</v>
      </c>
      <c r="AM118" s="931">
        <f>'Cost Allocation - Tier 1'!AM107</f>
        <v>500.34743542263175</v>
      </c>
      <c r="AN118" s="931">
        <f>'Cost Allocation - Tier 1'!AN107</f>
        <v>630.76716349295839</v>
      </c>
      <c r="AO118" s="931">
        <f>'Cost Allocation - Tier 1'!AO107</f>
        <v>5773.6431402580702</v>
      </c>
      <c r="AP118" s="931">
        <f>'Cost Allocation - Tier 1'!AP107</f>
        <v>809.97166851718316</v>
      </c>
      <c r="AQ118" s="931">
        <f>'Cost Allocation - Tier 1'!AQ107</f>
        <v>2934.23721110112</v>
      </c>
      <c r="AR118" s="931">
        <f>'Cost Allocation - Tier 1'!AR107</f>
        <v>11.86766212253033</v>
      </c>
      <c r="AS118" s="931">
        <f>'Cost Allocation - Tier 1'!AS107</f>
        <v>4372.5882240829687</v>
      </c>
      <c r="AT118" s="931">
        <f>'Cost Allocation - Tier 1'!AT107</f>
        <v>3520.443539710082</v>
      </c>
      <c r="AU118" s="931">
        <f>'Cost Allocation - Tier 1'!AU107</f>
        <v>5308.3132174175125</v>
      </c>
      <c r="AV118" s="931">
        <f>'Cost Allocation - Tier 1'!AV107</f>
        <v>7181.916201811694</v>
      </c>
      <c r="AW118" s="931">
        <f>'Cost Allocation - Tier 1'!AW107</f>
        <v>18675.626213143063</v>
      </c>
      <c r="AX118" s="931">
        <f>'Cost Allocation - Tier 1'!AX107</f>
        <v>251.75881405291693</v>
      </c>
      <c r="AY118" s="931">
        <f>'Cost Allocation - Tier 1'!AY107</f>
        <v>0</v>
      </c>
      <c r="AZ118" s="931">
        <f>'Cost Allocation - Tier 1'!AZ107</f>
        <v>0</v>
      </c>
      <c r="BA118" s="931">
        <f>'Cost Allocation - Tier 1'!BA107</f>
        <v>0</v>
      </c>
      <c r="BB118" s="931">
        <f>'Cost Allocation - Tier 1'!BB107</f>
        <v>0</v>
      </c>
      <c r="BC118" s="688">
        <f>'Cost Allocation - Tier 1'!BC107</f>
        <v>0</v>
      </c>
      <c r="BD118" s="778">
        <f>'Cost Allocation - Tier 1'!BD107</f>
        <v>0</v>
      </c>
      <c r="BE118" s="778">
        <f>'Cost Allocation - Tier 1'!BE107</f>
        <v>0</v>
      </c>
      <c r="BF118" s="778">
        <f>'Cost Allocation - Tier 1'!BF107</f>
        <v>0</v>
      </c>
      <c r="BG118" s="778">
        <f>'Cost Allocation - Tier 1'!BG107</f>
        <v>0</v>
      </c>
      <c r="BH118" s="778">
        <f>'Cost Allocation - Tier 1'!BH107</f>
        <v>0</v>
      </c>
      <c r="BI118" s="778">
        <f>'Cost Allocation - Tier 1'!BI107</f>
        <v>0</v>
      </c>
      <c r="BJ118" s="778">
        <f>'Cost Allocation - Tier 1'!BJ107</f>
        <v>0</v>
      </c>
      <c r="BK118" s="778">
        <f>'Cost Allocation - Tier 1'!BK107</f>
        <v>0</v>
      </c>
      <c r="BL118" s="76">
        <f t="shared" ref="BL118" si="58">BC118+I118+H118</f>
        <v>134563.7681123011</v>
      </c>
      <c r="BM118" s="76">
        <f t="shared" si="54"/>
        <v>0</v>
      </c>
    </row>
    <row r="119" spans="1:65" x14ac:dyDescent="0.25">
      <c r="A119" s="693"/>
      <c r="B119" s="693"/>
      <c r="C119" s="693"/>
      <c r="D119" s="778"/>
      <c r="E119" s="778"/>
      <c r="F119" s="778"/>
      <c r="G119" s="778"/>
      <c r="H119" s="698"/>
      <c r="I119" s="688"/>
      <c r="J119" s="931"/>
      <c r="K119" s="931"/>
      <c r="L119" s="931"/>
      <c r="M119" s="931"/>
      <c r="N119" s="931"/>
      <c r="O119" s="931"/>
      <c r="P119" s="931"/>
      <c r="Q119" s="931"/>
      <c r="R119" s="931"/>
      <c r="S119" s="931"/>
      <c r="T119" s="931"/>
      <c r="U119" s="931"/>
      <c r="V119" s="931"/>
      <c r="W119" s="931"/>
      <c r="X119" s="931"/>
      <c r="Y119" s="931"/>
      <c r="Z119" s="931"/>
      <c r="AA119" s="931"/>
      <c r="AB119" s="931"/>
      <c r="AC119" s="931"/>
      <c r="AD119" s="931"/>
      <c r="AE119" s="931"/>
      <c r="AF119" s="931"/>
      <c r="AG119" s="931"/>
      <c r="AH119" s="931"/>
      <c r="AI119" s="931"/>
      <c r="AJ119" s="931"/>
      <c r="AK119" s="931"/>
      <c r="AL119" s="931"/>
      <c r="AM119" s="931"/>
      <c r="AN119" s="931"/>
      <c r="AO119" s="931"/>
      <c r="AP119" s="931"/>
      <c r="AQ119" s="931"/>
      <c r="AR119" s="931"/>
      <c r="AS119" s="931"/>
      <c r="AT119" s="931"/>
      <c r="AU119" s="931"/>
      <c r="AV119" s="931"/>
      <c r="AW119" s="931"/>
      <c r="AX119" s="931"/>
      <c r="AY119" s="931"/>
      <c r="AZ119" s="931"/>
      <c r="BA119" s="931"/>
      <c r="BB119" s="931"/>
      <c r="BC119" s="688"/>
      <c r="BD119" s="778"/>
      <c r="BE119" s="778"/>
      <c r="BF119" s="778"/>
      <c r="BG119" s="778"/>
      <c r="BH119" s="778"/>
      <c r="BI119" s="778"/>
      <c r="BJ119" s="778"/>
      <c r="BK119" s="778"/>
      <c r="BL119" s="698"/>
      <c r="BM119" s="698"/>
    </row>
    <row r="120" spans="1:65" x14ac:dyDescent="0.25">
      <c r="A120" s="693" t="str">
        <f>'Cost Allocation - Tier 1'!A109</f>
        <v>Energy Services (6139)</v>
      </c>
      <c r="B120" s="693" t="str">
        <f>'Cost Allocation - Tier 1'!B109</f>
        <v>DES</v>
      </c>
      <c r="C120" s="693" t="str">
        <f>'Cost Allocation - Tier 1'!C109</f>
        <v>N</v>
      </c>
      <c r="D120" s="778">
        <f>'Cost Allocation - Tier 1'!D109</f>
        <v>1135998</v>
      </c>
      <c r="E120" s="778">
        <f>'Cost Allocation - Tier 1'!E109</f>
        <v>856174.49108024396</v>
      </c>
      <c r="F120" s="778">
        <f>'Cost Allocation - Tier 1'!F109</f>
        <v>0</v>
      </c>
      <c r="G120" s="778">
        <f>'Cost Allocation - Tier 1'!G109</f>
        <v>856174.49108024396</v>
      </c>
      <c r="H120" s="698">
        <f>'Cost Allocation - Tier 1'!H109</f>
        <v>0</v>
      </c>
      <c r="I120" s="688">
        <f>'Cost Allocation - Tier 1'!I109</f>
        <v>856174.49108024407</v>
      </c>
      <c r="J120" s="931">
        <f>'Cost Allocation - Tier 1'!J109</f>
        <v>0</v>
      </c>
      <c r="K120" s="931">
        <f>'Cost Allocation - Tier 1'!K109</f>
        <v>0</v>
      </c>
      <c r="L120" s="931">
        <f>'Cost Allocation - Tier 1'!L109</f>
        <v>0</v>
      </c>
      <c r="M120" s="931">
        <f>'Cost Allocation - Tier 1'!M109</f>
        <v>0</v>
      </c>
      <c r="N120" s="931">
        <f>'Cost Allocation - Tier 1'!N109</f>
        <v>0</v>
      </c>
      <c r="O120" s="931">
        <f>'Cost Allocation - Tier 1'!O109</f>
        <v>0</v>
      </c>
      <c r="P120" s="931">
        <f>'Cost Allocation - Tier 1'!P109</f>
        <v>0</v>
      </c>
      <c r="Q120" s="931">
        <f>'Cost Allocation - Tier 1'!Q109</f>
        <v>0</v>
      </c>
      <c r="R120" s="931">
        <f>'Cost Allocation - Tier 1'!R109</f>
        <v>0</v>
      </c>
      <c r="S120" s="931">
        <f>'Cost Allocation - Tier 1'!S109</f>
        <v>0</v>
      </c>
      <c r="T120" s="931">
        <f>'Cost Allocation - Tier 1'!T109</f>
        <v>0</v>
      </c>
      <c r="U120" s="931">
        <f>'Cost Allocation - Tier 1'!U109</f>
        <v>0</v>
      </c>
      <c r="V120" s="931">
        <f>'Cost Allocation - Tier 1'!V109</f>
        <v>0</v>
      </c>
      <c r="W120" s="931">
        <f>'Cost Allocation - Tier 1'!W109</f>
        <v>0</v>
      </c>
      <c r="X120" s="931">
        <f>'Cost Allocation - Tier 1'!X109</f>
        <v>0</v>
      </c>
      <c r="Y120" s="931">
        <f>'Cost Allocation - Tier 1'!Y109</f>
        <v>0</v>
      </c>
      <c r="Z120" s="931">
        <f>'Cost Allocation - Tier 1'!Z109</f>
        <v>0</v>
      </c>
      <c r="AA120" s="931">
        <f>'Cost Allocation - Tier 1'!AA109</f>
        <v>0</v>
      </c>
      <c r="AB120" s="931">
        <f>'Cost Allocation - Tier 1'!AB109</f>
        <v>0</v>
      </c>
      <c r="AC120" s="931">
        <f>'Cost Allocation - Tier 1'!AC109</f>
        <v>0</v>
      </c>
      <c r="AD120" s="931">
        <f>'Cost Allocation - Tier 1'!AD109</f>
        <v>0</v>
      </c>
      <c r="AE120" s="931">
        <f>'Cost Allocation - Tier 1'!AE109</f>
        <v>0</v>
      </c>
      <c r="AF120" s="931">
        <f>'Cost Allocation - Tier 1'!AF109</f>
        <v>66315.798642938636</v>
      </c>
      <c r="AG120" s="931">
        <f>'Cost Allocation - Tier 1'!AG109</f>
        <v>0</v>
      </c>
      <c r="AH120" s="931">
        <f>'Cost Allocation - Tier 1'!AH109</f>
        <v>0</v>
      </c>
      <c r="AI120" s="931">
        <f>'Cost Allocation - Tier 1'!AI109</f>
        <v>0</v>
      </c>
      <c r="AJ120" s="931">
        <f>'Cost Allocation - Tier 1'!AJ109</f>
        <v>241530.1604478964</v>
      </c>
      <c r="AK120" s="931">
        <f>'Cost Allocation - Tier 1'!AK109</f>
        <v>209862.28841385114</v>
      </c>
      <c r="AL120" s="931">
        <f>'Cost Allocation - Tier 1'!AL109</f>
        <v>0</v>
      </c>
      <c r="AM120" s="931">
        <f>'Cost Allocation - Tier 1'!AM109</f>
        <v>0</v>
      </c>
      <c r="AN120" s="931">
        <f>'Cost Allocation - Tier 1'!AN109</f>
        <v>45282.667666193593</v>
      </c>
      <c r="AO120" s="931">
        <f>'Cost Allocation - Tier 1'!AO109</f>
        <v>254274.34151038347</v>
      </c>
      <c r="AP120" s="931">
        <f>'Cost Allocation - Tier 1'!AP109</f>
        <v>38909.234398980887</v>
      </c>
      <c r="AQ120" s="931">
        <f>'Cost Allocation - Tier 1'!AQ109</f>
        <v>0</v>
      </c>
      <c r="AR120" s="931">
        <f>'Cost Allocation - Tier 1'!AR109</f>
        <v>0</v>
      </c>
      <c r="AS120" s="931">
        <f>'Cost Allocation - Tier 1'!AS109</f>
        <v>0</v>
      </c>
      <c r="AT120" s="931">
        <f>'Cost Allocation - Tier 1'!AT109</f>
        <v>0</v>
      </c>
      <c r="AU120" s="931">
        <f>'Cost Allocation - Tier 1'!AU109</f>
        <v>0</v>
      </c>
      <c r="AV120" s="931">
        <f>'Cost Allocation - Tier 1'!AV109</f>
        <v>0</v>
      </c>
      <c r="AW120" s="931">
        <f>'Cost Allocation - Tier 1'!AW109</f>
        <v>0</v>
      </c>
      <c r="AX120" s="931">
        <f>'Cost Allocation - Tier 1'!AX109</f>
        <v>0</v>
      </c>
      <c r="AY120" s="931">
        <f>'Cost Allocation - Tier 1'!AY109</f>
        <v>0</v>
      </c>
      <c r="AZ120" s="931">
        <f>'Cost Allocation - Tier 1'!AZ109</f>
        <v>0</v>
      </c>
      <c r="BA120" s="931">
        <f>'Cost Allocation - Tier 1'!BA109</f>
        <v>0</v>
      </c>
      <c r="BB120" s="931">
        <f>'Cost Allocation - Tier 1'!BB109</f>
        <v>0</v>
      </c>
      <c r="BC120" s="688">
        <f>'Cost Allocation - Tier 1'!BC109</f>
        <v>0</v>
      </c>
      <c r="BD120" s="778">
        <f>'Cost Allocation - Tier 1'!BD109</f>
        <v>0</v>
      </c>
      <c r="BE120" s="778">
        <f>'Cost Allocation - Tier 1'!BE109</f>
        <v>0</v>
      </c>
      <c r="BF120" s="778">
        <f>'Cost Allocation - Tier 1'!BF109</f>
        <v>0</v>
      </c>
      <c r="BG120" s="778">
        <f>'Cost Allocation - Tier 1'!BG109</f>
        <v>0</v>
      </c>
      <c r="BH120" s="778">
        <f>'Cost Allocation - Tier 1'!BH109</f>
        <v>0</v>
      </c>
      <c r="BI120" s="778">
        <f>'Cost Allocation - Tier 1'!BI109</f>
        <v>0</v>
      </c>
      <c r="BJ120" s="778">
        <f>'Cost Allocation - Tier 1'!BJ109</f>
        <v>0</v>
      </c>
      <c r="BK120" s="778">
        <f>'Cost Allocation - Tier 1'!BK109</f>
        <v>0</v>
      </c>
      <c r="BL120" s="76">
        <f t="shared" ref="BL120:BL125" si="59">BC120+I120+H120</f>
        <v>856174.49108024407</v>
      </c>
      <c r="BM120" s="76">
        <f t="shared" si="54"/>
        <v>0</v>
      </c>
    </row>
    <row r="121" spans="1:65" x14ac:dyDescent="0.25">
      <c r="A121" s="693" t="str">
        <f>'Cost Allocation - Tier 1'!A110</f>
        <v>BC Ops</v>
      </c>
      <c r="B121" s="693" t="str">
        <f>'Cost Allocation - Tier 1'!B110</f>
        <v>Rick</v>
      </c>
      <c r="C121" s="693" t="str">
        <f>'Cost Allocation - Tier 1'!C110</f>
        <v>N</v>
      </c>
      <c r="D121" s="778">
        <f>'Cost Allocation - Tier 1'!D110</f>
        <v>704894</v>
      </c>
      <c r="E121" s="778">
        <f>'Cost Allocation - Tier 1'!E110</f>
        <v>531261.72908360534</v>
      </c>
      <c r="F121" s="778">
        <f>'Cost Allocation - Tier 1'!F110</f>
        <v>0</v>
      </c>
      <c r="G121" s="778">
        <f>'Cost Allocation - Tier 1'!G110</f>
        <v>531261.72908360534</v>
      </c>
      <c r="H121" s="698">
        <f>'Cost Allocation - Tier 1'!H110</f>
        <v>0</v>
      </c>
      <c r="I121" s="688">
        <f>'Cost Allocation - Tier 1'!I110</f>
        <v>531261.72908360558</v>
      </c>
      <c r="J121" s="931">
        <f>'Cost Allocation - Tier 1'!J110</f>
        <v>16464.047006191959</v>
      </c>
      <c r="K121" s="931">
        <f>'Cost Allocation - Tier 1'!K110</f>
        <v>4015.4830353516045</v>
      </c>
      <c r="L121" s="931">
        <f>'Cost Allocation - Tier 1'!L110</f>
        <v>3703.1634436142167</v>
      </c>
      <c r="M121" s="931">
        <f>'Cost Allocation - Tier 1'!M110</f>
        <v>5788.8384771076271</v>
      </c>
      <c r="N121" s="931">
        <f>'Cost Allocation - Tier 1'!N110</f>
        <v>7340.1075809320209</v>
      </c>
      <c r="O121" s="931">
        <f>'Cost Allocation - Tier 1'!O110</f>
        <v>22549.418783010155</v>
      </c>
      <c r="P121" s="931">
        <f>'Cost Allocation - Tier 1'!P110</f>
        <v>2894.3281971884589</v>
      </c>
      <c r="Q121" s="931">
        <f>'Cost Allocation - Tier 1'!Q110</f>
        <v>8290.5033213782699</v>
      </c>
      <c r="R121" s="931">
        <f>'Cost Allocation - Tier 1'!R110</f>
        <v>7261.0987741477384</v>
      </c>
      <c r="S121" s="931">
        <f>'Cost Allocation - Tier 1'!S110</f>
        <v>7326.2323271179575</v>
      </c>
      <c r="T121" s="931">
        <f>'Cost Allocation - Tier 1'!T110</f>
        <v>27455.164569147135</v>
      </c>
      <c r="U121" s="931">
        <f>'Cost Allocation - Tier 1'!U110</f>
        <v>21627.325561634607</v>
      </c>
      <c r="V121" s="931">
        <f>'Cost Allocation - Tier 1'!V110</f>
        <v>10246.418323206721</v>
      </c>
      <c r="W121" s="931">
        <f>'Cost Allocation - Tier 1'!W110</f>
        <v>16945.117262977557</v>
      </c>
      <c r="X121" s="931">
        <f>'Cost Allocation - Tier 1'!X110</f>
        <v>632.69895718458247</v>
      </c>
      <c r="Y121" s="931">
        <f>'Cost Allocation - Tier 1'!Y110</f>
        <v>433.18262372380622</v>
      </c>
      <c r="Z121" s="931">
        <f>'Cost Allocation - Tier 1'!Z110</f>
        <v>1726.8564531260431</v>
      </c>
      <c r="AA121" s="931">
        <f>'Cost Allocation - Tier 1'!AA110</f>
        <v>1493.6605485300399</v>
      </c>
      <c r="AB121" s="931">
        <f>'Cost Allocation - Tier 1'!AB110</f>
        <v>855.19014179356191</v>
      </c>
      <c r="AC121" s="931">
        <f>'Cost Allocation - Tier 1'!AC110</f>
        <v>1157.2529571222185</v>
      </c>
      <c r="AD121" s="931">
        <f>'Cost Allocation - Tier 1'!AD110</f>
        <v>8523.9269296358816</v>
      </c>
      <c r="AE121" s="931">
        <f>'Cost Allocation - Tier 1'!AE110</f>
        <v>3020.003265511888</v>
      </c>
      <c r="AF121" s="931">
        <f>'Cost Allocation - Tier 1'!AF110</f>
        <v>0</v>
      </c>
      <c r="AG121" s="931">
        <f>'Cost Allocation - Tier 1'!AG110</f>
        <v>10376.495861710981</v>
      </c>
      <c r="AH121" s="931">
        <f>'Cost Allocation - Tier 1'!AH110</f>
        <v>154135.86398939916</v>
      </c>
      <c r="AI121" s="931">
        <f>'Cost Allocation - Tier 1'!AI110</f>
        <v>1673.5499608484329</v>
      </c>
      <c r="AJ121" s="931">
        <f>'Cost Allocation - Tier 1'!AJ110</f>
        <v>0</v>
      </c>
      <c r="AK121" s="931">
        <f>'Cost Allocation - Tier 1'!AK110</f>
        <v>0</v>
      </c>
      <c r="AL121" s="931">
        <f>'Cost Allocation - Tier 1'!AL110</f>
        <v>0</v>
      </c>
      <c r="AM121" s="931">
        <f>'Cost Allocation - Tier 1'!AM110</f>
        <v>2305.2181276839524</v>
      </c>
      <c r="AN121" s="931">
        <f>'Cost Allocation - Tier 1'!AN110</f>
        <v>0</v>
      </c>
      <c r="AO121" s="931">
        <f>'Cost Allocation - Tier 1'!AO110</f>
        <v>0</v>
      </c>
      <c r="AP121" s="931">
        <f>'Cost Allocation - Tier 1'!AP110</f>
        <v>0</v>
      </c>
      <c r="AQ121" s="931">
        <f>'Cost Allocation - Tier 1'!AQ110</f>
        <v>12697.278789506669</v>
      </c>
      <c r="AR121" s="931">
        <f>'Cost Allocation - Tier 1'!AR110</f>
        <v>51.496295228307488</v>
      </c>
      <c r="AS121" s="931">
        <f>'Cost Allocation - Tier 1'!AS110</f>
        <v>18928.614425093561</v>
      </c>
      <c r="AT121" s="931">
        <f>'Cost Allocation - Tier 1'!AT110</f>
        <v>15224.0358782975</v>
      </c>
      <c r="AU121" s="931">
        <f>'Cost Allocation - Tier 1'!AU110</f>
        <v>23039.385360816421</v>
      </c>
      <c r="AV121" s="931">
        <f>'Cost Allocation - Tier 1'!AV110</f>
        <v>31076.272885046012</v>
      </c>
      <c r="AW121" s="931">
        <f>'Cost Allocation - Tier 1'!AW110</f>
        <v>80911.064244701847</v>
      </c>
      <c r="AX121" s="931">
        <f>'Cost Allocation - Tier 1'!AX110</f>
        <v>1092.4347256385622</v>
      </c>
      <c r="AY121" s="931">
        <f>'Cost Allocation - Tier 1'!AY110</f>
        <v>0</v>
      </c>
      <c r="AZ121" s="931">
        <f>'Cost Allocation - Tier 1'!AZ110</f>
        <v>0</v>
      </c>
      <c r="BA121" s="931">
        <f>'Cost Allocation - Tier 1'!BA110</f>
        <v>0</v>
      </c>
      <c r="BB121" s="931">
        <f>'Cost Allocation - Tier 1'!BB110</f>
        <v>0</v>
      </c>
      <c r="BC121" s="688">
        <f>'Cost Allocation - Tier 1'!BC110</f>
        <v>0</v>
      </c>
      <c r="BD121" s="778">
        <f>'Cost Allocation - Tier 1'!BD110</f>
        <v>0</v>
      </c>
      <c r="BE121" s="778">
        <f>'Cost Allocation - Tier 1'!BE110</f>
        <v>0</v>
      </c>
      <c r="BF121" s="778">
        <f>'Cost Allocation - Tier 1'!BF110</f>
        <v>0</v>
      </c>
      <c r="BG121" s="778">
        <f>'Cost Allocation - Tier 1'!BG110</f>
        <v>0</v>
      </c>
      <c r="BH121" s="778">
        <f>'Cost Allocation - Tier 1'!BH110</f>
        <v>0</v>
      </c>
      <c r="BI121" s="778">
        <f>'Cost Allocation - Tier 1'!BI110</f>
        <v>0</v>
      </c>
      <c r="BJ121" s="778">
        <f>'Cost Allocation - Tier 1'!BJ110</f>
        <v>0</v>
      </c>
      <c r="BK121" s="778">
        <f>'Cost Allocation - Tier 1'!BK110</f>
        <v>0</v>
      </c>
      <c r="BL121" s="76">
        <f t="shared" si="59"/>
        <v>531261.72908360558</v>
      </c>
      <c r="BM121" s="76">
        <f t="shared" si="54"/>
        <v>0</v>
      </c>
    </row>
    <row r="122" spans="1:65" x14ac:dyDescent="0.25">
      <c r="A122" s="693" t="str">
        <f>'Cost Allocation - Tier 1'!A111</f>
        <v>CMUS Admin</v>
      </c>
      <c r="B122" s="693" t="str">
        <f>'Cost Allocation - Tier 1'!B111</f>
        <v>CDN CONTRACT</v>
      </c>
      <c r="C122" s="693" t="str">
        <f>'Cost Allocation - Tier 1'!C111</f>
        <v>N</v>
      </c>
      <c r="D122" s="778">
        <f>'Cost Allocation - Tier 1'!D111</f>
        <v>40160.489999999991</v>
      </c>
      <c r="E122" s="778">
        <f>'Cost Allocation - Tier 1'!E111</f>
        <v>30267.99966838253</v>
      </c>
      <c r="F122" s="778">
        <f>'Cost Allocation - Tier 1'!F111</f>
        <v>0</v>
      </c>
      <c r="G122" s="778">
        <f>'Cost Allocation - Tier 1'!G111</f>
        <v>30267.99966838253</v>
      </c>
      <c r="H122" s="698">
        <f>'Cost Allocation - Tier 1'!H111</f>
        <v>0</v>
      </c>
      <c r="I122" s="688">
        <f>'Cost Allocation - Tier 1'!I111</f>
        <v>30267.999668382545</v>
      </c>
      <c r="J122" s="931">
        <f>'Cost Allocation - Tier 1'!J111</f>
        <v>778.12079509653563</v>
      </c>
      <c r="K122" s="931">
        <f>'Cost Allocation - Tier 1'!K111</f>
        <v>198.24918353768936</v>
      </c>
      <c r="L122" s="931">
        <f>'Cost Allocation - Tier 1'!L111</f>
        <v>188.9181103439075</v>
      </c>
      <c r="M122" s="931">
        <f>'Cost Allocation - Tier 1'!M111</f>
        <v>264.94713488522092</v>
      </c>
      <c r="N122" s="931">
        <f>'Cost Allocation - Tier 1'!N111</f>
        <v>359.00966168021171</v>
      </c>
      <c r="O122" s="931">
        <f>'Cost Allocation - Tier 1'!O111</f>
        <v>1044.54931930681</v>
      </c>
      <c r="P122" s="931">
        <f>'Cost Allocation - Tier 1'!P111</f>
        <v>132.72964493507305</v>
      </c>
      <c r="Q122" s="931">
        <f>'Cost Allocation - Tier 1'!Q111</f>
        <v>375.42450020843057</v>
      </c>
      <c r="R122" s="931">
        <f>'Cost Allocation - Tier 1'!R111</f>
        <v>327.61348998449898</v>
      </c>
      <c r="S122" s="931">
        <f>'Cost Allocation - Tier 1'!S111</f>
        <v>331.53886062128169</v>
      </c>
      <c r="T122" s="931">
        <f>'Cost Allocation - Tier 1'!T111</f>
        <v>1236.0182665914797</v>
      </c>
      <c r="U122" s="931">
        <f>'Cost Allocation - Tier 1'!U111</f>
        <v>975.63052902688537</v>
      </c>
      <c r="V122" s="931">
        <f>'Cost Allocation - Tier 1'!V111</f>
        <v>498.66877856641992</v>
      </c>
      <c r="W122" s="931">
        <f>'Cost Allocation - Tier 1'!W111</f>
        <v>818.24249820177272</v>
      </c>
      <c r="X122" s="931">
        <f>'Cost Allocation - Tier 1'!X111</f>
        <v>29.056336991096948</v>
      </c>
      <c r="Y122" s="931">
        <f>'Cost Allocation - Tier 1'!Y111</f>
        <v>20.408870432087475</v>
      </c>
      <c r="Z122" s="931">
        <f>'Cost Allocation - Tier 1'!Z111</f>
        <v>84.670596712974231</v>
      </c>
      <c r="AA122" s="931">
        <f>'Cost Allocation - Tier 1'!AA111</f>
        <v>74.162843018759858</v>
      </c>
      <c r="AB122" s="931">
        <f>'Cost Allocation - Tier 1'!AB111</f>
        <v>42.963152186081089</v>
      </c>
      <c r="AC122" s="931">
        <f>'Cost Allocation - Tier 1'!AC111</f>
        <v>54.710053853754545</v>
      </c>
      <c r="AD122" s="931">
        <f>'Cost Allocation - Tier 1'!AD111</f>
        <v>385.02168632680952</v>
      </c>
      <c r="AE122" s="931">
        <f>'Cost Allocation - Tier 1'!AE111</f>
        <v>139.22917974678953</v>
      </c>
      <c r="AF122" s="931">
        <f>'Cost Allocation - Tier 1'!AF111</f>
        <v>278.84392813419117</v>
      </c>
      <c r="AG122" s="931">
        <f>'Cost Allocation - Tier 1'!AG111</f>
        <v>538.82416269184296</v>
      </c>
      <c r="AH122" s="931">
        <f>'Cost Allocation - Tier 1'!AH111</f>
        <v>7430.5713788601479</v>
      </c>
      <c r="AI122" s="931">
        <f>'Cost Allocation - Tier 1'!AI111</f>
        <v>74.874059018517642</v>
      </c>
      <c r="AJ122" s="931">
        <f>'Cost Allocation - Tier 1'!AJ111</f>
        <v>1303.4898994429641</v>
      </c>
      <c r="AK122" s="931">
        <f>'Cost Allocation - Tier 1'!AK111</f>
        <v>1041.215481097202</v>
      </c>
      <c r="AL122" s="931">
        <f>'Cost Allocation - Tier 1'!AL111</f>
        <v>0</v>
      </c>
      <c r="AM122" s="931">
        <f>'Cost Allocation - Tier 1'!AM111</f>
        <v>112.5452729356487</v>
      </c>
      <c r="AN122" s="931">
        <f>'Cost Allocation - Tier 1'!AN111</f>
        <v>141.88113608336269</v>
      </c>
      <c r="AO122" s="931">
        <f>'Cost Allocation - Tier 1'!AO111</f>
        <v>1298.6900642440839</v>
      </c>
      <c r="AP122" s="931">
        <f>'Cost Allocation - Tier 1'!AP111</f>
        <v>182.19036623303509</v>
      </c>
      <c r="AQ122" s="931">
        <f>'Cost Allocation - Tier 1'!AQ111</f>
        <v>660.01043355477748</v>
      </c>
      <c r="AR122" s="931">
        <f>'Cost Allocation - Tier 1'!AR111</f>
        <v>2.6694436268271149</v>
      </c>
      <c r="AS122" s="931">
        <f>'Cost Allocation - Tier 1'!AS111</f>
        <v>983.54483359936455</v>
      </c>
      <c r="AT122" s="931">
        <f>'Cost Allocation - Tier 1'!AT111</f>
        <v>791.86831185922574</v>
      </c>
      <c r="AU122" s="931">
        <f>'Cost Allocation - Tier 1'!AU111</f>
        <v>1194.0214290846402</v>
      </c>
      <c r="AV122" s="931">
        <f>'Cost Allocation - Tier 1'!AV111</f>
        <v>1615.4589029743106</v>
      </c>
      <c r="AW122" s="931">
        <f>'Cost Allocation - Tier 1'!AW111</f>
        <v>4200.7878937701662</v>
      </c>
      <c r="AX122" s="931">
        <f>'Cost Allocation - Tier 1'!AX111</f>
        <v>56.62917891766044</v>
      </c>
      <c r="AY122" s="931">
        <f>'Cost Allocation - Tier 1'!AY111</f>
        <v>0</v>
      </c>
      <c r="AZ122" s="931">
        <f>'Cost Allocation - Tier 1'!AZ111</f>
        <v>0</v>
      </c>
      <c r="BA122" s="931">
        <f>'Cost Allocation - Tier 1'!BA111</f>
        <v>0</v>
      </c>
      <c r="BB122" s="931">
        <f>'Cost Allocation - Tier 1'!BB111</f>
        <v>0</v>
      </c>
      <c r="BC122" s="688">
        <f>'Cost Allocation - Tier 1'!BC111</f>
        <v>0</v>
      </c>
      <c r="BD122" s="778">
        <f>'Cost Allocation - Tier 1'!BD111</f>
        <v>0</v>
      </c>
      <c r="BE122" s="778">
        <f>'Cost Allocation - Tier 1'!BE111</f>
        <v>0</v>
      </c>
      <c r="BF122" s="778">
        <f>'Cost Allocation - Tier 1'!BF111</f>
        <v>0</v>
      </c>
      <c r="BG122" s="778">
        <f>'Cost Allocation - Tier 1'!BG111</f>
        <v>0</v>
      </c>
      <c r="BH122" s="778">
        <f>'Cost Allocation - Tier 1'!BH111</f>
        <v>0</v>
      </c>
      <c r="BI122" s="778">
        <f>'Cost Allocation - Tier 1'!BI111</f>
        <v>0</v>
      </c>
      <c r="BJ122" s="778">
        <f>'Cost Allocation - Tier 1'!BJ111</f>
        <v>0</v>
      </c>
      <c r="BK122" s="778">
        <f>'Cost Allocation - Tier 1'!BK111</f>
        <v>0</v>
      </c>
      <c r="BL122" s="76">
        <f t="shared" si="59"/>
        <v>30267.999668382545</v>
      </c>
      <c r="BM122" s="76">
        <f t="shared" si="54"/>
        <v>0</v>
      </c>
    </row>
    <row r="123" spans="1:65" x14ac:dyDescent="0.25">
      <c r="A123" s="693" t="str">
        <f>'Cost Allocation - Tier 1'!A112</f>
        <v>Special Project</v>
      </c>
      <c r="B123" s="693" t="str">
        <f>'Cost Allocation - Tier 1'!B112</f>
        <v>ALL CONTRACT</v>
      </c>
      <c r="C123" s="693" t="str">
        <f>'Cost Allocation - Tier 1'!C112</f>
        <v>Y</v>
      </c>
      <c r="D123" s="778">
        <f>'Cost Allocation - Tier 1'!D112</f>
        <v>1675906</v>
      </c>
      <c r="E123" s="778">
        <f>'Cost Allocation - Tier 1'!E112</f>
        <v>1263090.2225605391</v>
      </c>
      <c r="F123" s="778">
        <f>'Cost Allocation - Tier 1'!F112</f>
        <v>0</v>
      </c>
      <c r="G123" s="778">
        <f>'Cost Allocation - Tier 1'!G112</f>
        <v>1338875.6359141716</v>
      </c>
      <c r="H123" s="698">
        <f>'Cost Allocation - Tier 1'!H112</f>
        <v>0</v>
      </c>
      <c r="I123" s="688">
        <f>'Cost Allocation - Tier 1'!I112</f>
        <v>1285464.5864137018</v>
      </c>
      <c r="J123" s="931">
        <f>'Cost Allocation - Tier 1'!J112</f>
        <v>7857.316008082491</v>
      </c>
      <c r="K123" s="931">
        <f>'Cost Allocation - Tier 1'!K112</f>
        <v>2266.6404928368129</v>
      </c>
      <c r="L123" s="931">
        <f>'Cost Allocation - Tier 1'!L112</f>
        <v>2342.1378163647046</v>
      </c>
      <c r="M123" s="931">
        <f>'Cost Allocation - Tier 1'!M112</f>
        <v>2405.1971883640308</v>
      </c>
      <c r="N123" s="931">
        <f>'Cost Allocation - Tier 1'!N112</f>
        <v>4003.5185586776583</v>
      </c>
      <c r="O123" s="931">
        <f>'Cost Allocation - Tier 1'!O112</f>
        <v>9409.4839453428285</v>
      </c>
      <c r="P123" s="931">
        <f>'Cost Allocation - Tier 1'!P112</f>
        <v>1147.3929897807725</v>
      </c>
      <c r="Q123" s="931">
        <f>'Cost Allocation - Tier 1'!Q112</f>
        <v>3072.4504884369835</v>
      </c>
      <c r="R123" s="931">
        <f>'Cost Allocation - Tier 1'!R112</f>
        <v>2637.2254206601765</v>
      </c>
      <c r="S123" s="931">
        <f>'Cost Allocation - Tier 1'!S112</f>
        <v>2705.2122589724363</v>
      </c>
      <c r="T123" s="931">
        <f>'Cost Allocation - Tier 1'!T112</f>
        <v>9848.9757594954408</v>
      </c>
      <c r="U123" s="931">
        <f>'Cost Allocation - Tier 1'!U112</f>
        <v>7847.2681909410139</v>
      </c>
      <c r="V123" s="931">
        <f>'Cost Allocation - Tier 1'!V112</f>
        <v>6128.5212332120209</v>
      </c>
      <c r="W123" s="931">
        <f>'Cost Allocation - Tier 1'!W112</f>
        <v>9883.8224826774622</v>
      </c>
      <c r="X123" s="931">
        <f>'Cost Allocation - Tier 1'!X112</f>
        <v>239.53530677375812</v>
      </c>
      <c r="Y123" s="931">
        <f>'Cost Allocation - Tier 1'!Y112</f>
        <v>185.10300416676415</v>
      </c>
      <c r="Z123" s="931">
        <f>'Cost Allocation - Tier 1'!Z112</f>
        <v>873.55776601338812</v>
      </c>
      <c r="AA123" s="931">
        <f>'Cost Allocation - Tier 1'!AA112</f>
        <v>793.53052739365251</v>
      </c>
      <c r="AB123" s="931">
        <f>'Cost Allocation - Tier 1'!AB112</f>
        <v>474.87383056878298</v>
      </c>
      <c r="AC123" s="931">
        <f>'Cost Allocation - Tier 1'!AC112</f>
        <v>502.18490651769065</v>
      </c>
      <c r="AD123" s="931">
        <f>'Cost Allocation - Tier 1'!AD112</f>
        <v>2963.5259575964915</v>
      </c>
      <c r="AE123" s="931">
        <f>'Cost Allocation - Tier 1'!AE112</f>
        <v>1165.358166361646</v>
      </c>
      <c r="AF123" s="931">
        <f>'Cost Allocation - Tier 1'!AF112</f>
        <v>3062.1542790486997</v>
      </c>
      <c r="AG123" s="931">
        <f>'Cost Allocation - Tier 1'!AG112</f>
        <v>9917.1694404728605</v>
      </c>
      <c r="AH123" s="931">
        <f>'Cost Allocation - Tier 1'!AH112</f>
        <v>75516.596871133792</v>
      </c>
      <c r="AI123" s="931">
        <f>'Cost Allocation - Tier 1'!AI112</f>
        <v>552.37894445332734</v>
      </c>
      <c r="AJ123" s="931">
        <f>'Cost Allocation - Tier 1'!AJ112</f>
        <v>11841.78703600822</v>
      </c>
      <c r="AK123" s="931">
        <f>'Cost Allocation - Tier 1'!AK112</f>
        <v>10070.493248461928</v>
      </c>
      <c r="AL123" s="931">
        <f>'Cost Allocation - Tier 1'!AL112</f>
        <v>0</v>
      </c>
      <c r="AM123" s="931">
        <f>'Cost Allocation - Tier 1'!AM112</f>
        <v>1146.333213963977</v>
      </c>
      <c r="AN123" s="931">
        <f>'Cost Allocation - Tier 1'!AN112</f>
        <v>1974.811830324225</v>
      </c>
      <c r="AO123" s="931">
        <f>'Cost Allocation - Tier 1'!AO112</f>
        <v>12290.516851906546</v>
      </c>
      <c r="AP123" s="931">
        <f>'Cost Allocation - Tier 1'!AP112</f>
        <v>1841.1273070600494</v>
      </c>
      <c r="AQ123" s="931">
        <f>'Cost Allocation - Tier 1'!AQ112</f>
        <v>11799.718117690021</v>
      </c>
      <c r="AR123" s="931">
        <f>'Cost Allocation - Tier 1'!AR112</f>
        <v>31.968857678077022</v>
      </c>
      <c r="AS123" s="931">
        <f>'Cost Allocation - Tier 1'!AS112</f>
        <v>17336.281121040152</v>
      </c>
      <c r="AT123" s="931">
        <f>'Cost Allocation - Tier 1'!AT112</f>
        <v>14502.230242966563</v>
      </c>
      <c r="AU123" s="931">
        <f>'Cost Allocation - Tier 1'!AU112</f>
        <v>19866.541067696155</v>
      </c>
      <c r="AV123" s="931">
        <f>'Cost Allocation - Tier 1'!AV112</f>
        <v>28176.523538383586</v>
      </c>
      <c r="AW123" s="931">
        <f>'Cost Allocation - Tier 1'!AW112</f>
        <v>71908.679968250493</v>
      </c>
      <c r="AX123" s="931">
        <f>'Cost Allocation - Tier 1'!AX112</f>
        <v>678.18257821643601</v>
      </c>
      <c r="AY123" s="931">
        <f>'Cost Allocation - Tier 1'!AY112</f>
        <v>245284.00900663872</v>
      </c>
      <c r="AZ123" s="931">
        <f>'Cost Allocation - Tier 1'!AZ112</f>
        <v>8106.2726062130905</v>
      </c>
      <c r="BA123" s="931">
        <f>'Cost Allocation - Tier 1'!BA112</f>
        <v>141890.14645968212</v>
      </c>
      <c r="BB123" s="931">
        <f>'Cost Allocation - Tier 1'!BB112</f>
        <v>518917.83152717561</v>
      </c>
      <c r="BC123" s="688">
        <f>'Cost Allocation - Tier 1'!BC112</f>
        <v>0</v>
      </c>
      <c r="BD123" s="778">
        <f>'Cost Allocation - Tier 1'!BD112</f>
        <v>0</v>
      </c>
      <c r="BE123" s="778">
        <f>'Cost Allocation - Tier 1'!BE112</f>
        <v>0</v>
      </c>
      <c r="BF123" s="778">
        <f>'Cost Allocation - Tier 1'!BF112</f>
        <v>0</v>
      </c>
      <c r="BG123" s="778">
        <f>'Cost Allocation - Tier 1'!BG112</f>
        <v>0</v>
      </c>
      <c r="BH123" s="778">
        <f>'Cost Allocation - Tier 1'!BH112</f>
        <v>0</v>
      </c>
      <c r="BI123" s="778">
        <f>'Cost Allocation - Tier 1'!BI112</f>
        <v>0</v>
      </c>
      <c r="BJ123" s="778">
        <f>'Cost Allocation - Tier 1'!BJ112</f>
        <v>0</v>
      </c>
      <c r="BK123" s="778">
        <f>'Cost Allocation - Tier 1'!BK112</f>
        <v>0</v>
      </c>
      <c r="BL123" s="76">
        <f t="shared" si="59"/>
        <v>1285464.5864137018</v>
      </c>
      <c r="BM123" s="76">
        <f t="shared" si="54"/>
        <v>-53411.049500469817</v>
      </c>
    </row>
    <row r="124" spans="1:65" x14ac:dyDescent="0.25">
      <c r="A124" s="693"/>
      <c r="B124" s="693"/>
      <c r="C124" s="693"/>
      <c r="D124" s="778"/>
      <c r="E124" s="778"/>
      <c r="F124" s="778"/>
      <c r="G124" s="778"/>
      <c r="H124" s="698"/>
      <c r="I124" s="688"/>
      <c r="J124" s="931"/>
      <c r="K124" s="931"/>
      <c r="L124" s="931"/>
      <c r="M124" s="931"/>
      <c r="N124" s="931"/>
      <c r="O124" s="931"/>
      <c r="P124" s="931"/>
      <c r="Q124" s="931"/>
      <c r="R124" s="931"/>
      <c r="S124" s="931"/>
      <c r="T124" s="931"/>
      <c r="U124" s="931"/>
      <c r="V124" s="931"/>
      <c r="W124" s="931"/>
      <c r="X124" s="931"/>
      <c r="Y124" s="931"/>
      <c r="Z124" s="931"/>
      <c r="AA124" s="931"/>
      <c r="AB124" s="931"/>
      <c r="AC124" s="931"/>
      <c r="AD124" s="931"/>
      <c r="AE124" s="931"/>
      <c r="AF124" s="931"/>
      <c r="AG124" s="931"/>
      <c r="AH124" s="931"/>
      <c r="AI124" s="931"/>
      <c r="AJ124" s="931"/>
      <c r="AK124" s="931"/>
      <c r="AL124" s="931"/>
      <c r="AM124" s="931"/>
      <c r="AN124" s="931"/>
      <c r="AO124" s="931"/>
      <c r="AP124" s="931"/>
      <c r="AQ124" s="931"/>
      <c r="AR124" s="931"/>
      <c r="AS124" s="931"/>
      <c r="AT124" s="931"/>
      <c r="AU124" s="931"/>
      <c r="AV124" s="931"/>
      <c r="AW124" s="931"/>
      <c r="AX124" s="931"/>
      <c r="AY124" s="931"/>
      <c r="AZ124" s="931"/>
      <c r="BA124" s="931"/>
      <c r="BB124" s="931"/>
      <c r="BC124" s="688"/>
      <c r="BD124" s="698"/>
      <c r="BE124" s="698"/>
      <c r="BF124" s="698"/>
      <c r="BG124" s="698"/>
      <c r="BH124" s="698"/>
      <c r="BI124" s="698"/>
      <c r="BJ124" s="698"/>
      <c r="BK124" s="698"/>
      <c r="BL124" s="76">
        <f t="shared" si="59"/>
        <v>0</v>
      </c>
      <c r="BM124" s="698"/>
    </row>
    <row r="125" spans="1:65" x14ac:dyDescent="0.25">
      <c r="A125" s="693" t="str">
        <f>'Cost Allocation - Tier 1'!A114</f>
        <v>US Senior Tax Manager</v>
      </c>
      <c r="B125" s="693" t="str">
        <f>'Cost Allocation - Tier 1'!B114</f>
        <v>US CONTRACT/ REGULATED</v>
      </c>
      <c r="C125" s="693" t="str">
        <f>'Cost Allocation - Tier 1'!C114</f>
        <v>N</v>
      </c>
      <c r="D125" s="778">
        <f>'Cost Allocation - Tier 1'!D114</f>
        <v>146957.03714</v>
      </c>
      <c r="E125" s="778">
        <f>'Cost Allocation - Tier 1'!E114</f>
        <v>110758</v>
      </c>
      <c r="F125" s="778">
        <f>'Cost Allocation - Tier 1'!F114</f>
        <v>0</v>
      </c>
      <c r="G125" s="778">
        <f>'Cost Allocation - Tier 1'!G114</f>
        <v>110758</v>
      </c>
      <c r="H125" s="698">
        <f>'Cost Allocation - Tier 1'!H114</f>
        <v>0</v>
      </c>
      <c r="I125" s="688">
        <f>'Cost Allocation - Tier 1'!I114</f>
        <v>110758</v>
      </c>
      <c r="J125" s="931">
        <f>'Cost Allocation - Tier 1'!J114</f>
        <v>0</v>
      </c>
      <c r="K125" s="931">
        <f>'Cost Allocation - Tier 1'!K114</f>
        <v>0</v>
      </c>
      <c r="L125" s="931">
        <f>'Cost Allocation - Tier 1'!L114</f>
        <v>0</v>
      </c>
      <c r="M125" s="931">
        <f>'Cost Allocation - Tier 1'!M114</f>
        <v>0</v>
      </c>
      <c r="N125" s="931">
        <f>'Cost Allocation - Tier 1'!N114</f>
        <v>0</v>
      </c>
      <c r="O125" s="931">
        <f>'Cost Allocation - Tier 1'!O114</f>
        <v>0</v>
      </c>
      <c r="P125" s="931">
        <f>'Cost Allocation - Tier 1'!P114</f>
        <v>0</v>
      </c>
      <c r="Q125" s="931">
        <f>'Cost Allocation - Tier 1'!Q114</f>
        <v>0</v>
      </c>
      <c r="R125" s="931">
        <f>'Cost Allocation - Tier 1'!R114</f>
        <v>0</v>
      </c>
      <c r="S125" s="931">
        <f>'Cost Allocation - Tier 1'!S114</f>
        <v>0</v>
      </c>
      <c r="T125" s="931">
        <f>'Cost Allocation - Tier 1'!T114</f>
        <v>0</v>
      </c>
      <c r="U125" s="931">
        <f>'Cost Allocation - Tier 1'!U114</f>
        <v>0</v>
      </c>
      <c r="V125" s="931">
        <f>'Cost Allocation - Tier 1'!V114</f>
        <v>0</v>
      </c>
      <c r="W125" s="931">
        <f>'Cost Allocation - Tier 1'!W114</f>
        <v>0</v>
      </c>
      <c r="X125" s="931">
        <f>'Cost Allocation - Tier 1'!X114</f>
        <v>0</v>
      </c>
      <c r="Y125" s="931">
        <f>'Cost Allocation - Tier 1'!Y114</f>
        <v>0</v>
      </c>
      <c r="Z125" s="931">
        <f>'Cost Allocation - Tier 1'!Z114</f>
        <v>0</v>
      </c>
      <c r="AA125" s="931">
        <f>'Cost Allocation - Tier 1'!AA114</f>
        <v>0</v>
      </c>
      <c r="AB125" s="931">
        <f>'Cost Allocation - Tier 1'!AB114</f>
        <v>0</v>
      </c>
      <c r="AC125" s="931">
        <f>'Cost Allocation - Tier 1'!AC114</f>
        <v>0</v>
      </c>
      <c r="AD125" s="931">
        <f>'Cost Allocation - Tier 1'!AD114</f>
        <v>0</v>
      </c>
      <c r="AE125" s="931">
        <f>'Cost Allocation - Tier 1'!AE114</f>
        <v>0</v>
      </c>
      <c r="AF125" s="931">
        <f>'Cost Allocation - Tier 1'!AF114</f>
        <v>0</v>
      </c>
      <c r="AG125" s="931">
        <f>'Cost Allocation - Tier 1'!AG114</f>
        <v>0</v>
      </c>
      <c r="AH125" s="931">
        <f>'Cost Allocation - Tier 1'!AH114</f>
        <v>0</v>
      </c>
      <c r="AI125" s="931">
        <f>'Cost Allocation - Tier 1'!AI114</f>
        <v>0</v>
      </c>
      <c r="AJ125" s="931">
        <f>'Cost Allocation - Tier 1'!AJ114</f>
        <v>0</v>
      </c>
      <c r="AK125" s="931">
        <f>'Cost Allocation - Tier 1'!AK114</f>
        <v>0</v>
      </c>
      <c r="AL125" s="931">
        <f>'Cost Allocation - Tier 1'!AL114</f>
        <v>0</v>
      </c>
      <c r="AM125" s="931">
        <f>'Cost Allocation - Tier 1'!AM114</f>
        <v>0</v>
      </c>
      <c r="AN125" s="931">
        <f>'Cost Allocation - Tier 1'!AN114</f>
        <v>0</v>
      </c>
      <c r="AO125" s="931">
        <f>'Cost Allocation - Tier 1'!AO114</f>
        <v>0</v>
      </c>
      <c r="AP125" s="931">
        <f>'Cost Allocation - Tier 1'!AP114</f>
        <v>0</v>
      </c>
      <c r="AQ125" s="931">
        <f>'Cost Allocation - Tier 1'!AQ114</f>
        <v>0</v>
      </c>
      <c r="AR125" s="931">
        <f>'Cost Allocation - Tier 1'!AR114</f>
        <v>0</v>
      </c>
      <c r="AS125" s="931">
        <f>'Cost Allocation - Tier 1'!AS114</f>
        <v>0</v>
      </c>
      <c r="AT125" s="931">
        <f>'Cost Allocation - Tier 1'!AT114</f>
        <v>0</v>
      </c>
      <c r="AU125" s="931">
        <f>'Cost Allocation - Tier 1'!AU114</f>
        <v>0</v>
      </c>
      <c r="AV125" s="931">
        <f>'Cost Allocation - Tier 1'!AV114</f>
        <v>0</v>
      </c>
      <c r="AW125" s="931">
        <f>'Cost Allocation - Tier 1'!AW114</f>
        <v>0</v>
      </c>
      <c r="AX125" s="931">
        <f>'Cost Allocation - Tier 1'!AX114</f>
        <v>0</v>
      </c>
      <c r="AY125" s="931">
        <f>'Cost Allocation - Tier 1'!AY114</f>
        <v>28402.423647378499</v>
      </c>
      <c r="AZ125" s="931">
        <f>'Cost Allocation - Tier 1'!AZ114</f>
        <v>1159.6842519688196</v>
      </c>
      <c r="BA125" s="931">
        <f>'Cost Allocation - Tier 1'!BA114</f>
        <v>17804.148565767387</v>
      </c>
      <c r="BB125" s="931">
        <f>'Cost Allocation - Tier 1'!BB114</f>
        <v>63391.743534885296</v>
      </c>
      <c r="BC125" s="688">
        <f>'Cost Allocation - Tier 1'!BC114</f>
        <v>0</v>
      </c>
      <c r="BD125" s="901">
        <f>($BC$125-$BK$125)*(VLOOKUP('Cost Allocation - Tier 2'!BD2,'RU Composites'!$B$5:$L$12,11,FALSE))</f>
        <v>0</v>
      </c>
      <c r="BE125" s="901">
        <f>($BC$125-$BK$125)*(VLOOKUP('Cost Allocation - Tier 2'!BE2,'RU Composites'!$B$5:$L$12,11,FALSE))</f>
        <v>0</v>
      </c>
      <c r="BF125" s="901">
        <f>($BC$125-$BK$125)*(VLOOKUP('Cost Allocation - Tier 2'!BF2,'RU Composites'!$B$5:$L$12,11,FALSE))</f>
        <v>0</v>
      </c>
      <c r="BG125" s="901">
        <f>($BC$125-$BK$125)*(VLOOKUP('Cost Allocation - Tier 2'!BG2,'RU Composites'!$B$5:$L$12,11,FALSE))</f>
        <v>0</v>
      </c>
      <c r="BH125" s="901">
        <f>($BC$125-$BK$125)*(VLOOKUP('Cost Allocation - Tier 2'!BH2,'RU Composites'!$B$5:$L$12,11,FALSE))</f>
        <v>0</v>
      </c>
      <c r="BI125" s="901">
        <f>($BC$125-$BK$125)*(VLOOKUP('Cost Allocation - Tier 2'!BI2,'RU Composites'!$B$5:$L$12,11,FALSE))</f>
        <v>0</v>
      </c>
      <c r="BJ125" s="901">
        <f>($BC$125-$BK$125)*(VLOOKUP('Cost Allocation - Tier 2'!BJ2,'RU Composites'!$B$5:$L$12,11,FALSE))</f>
        <v>0</v>
      </c>
      <c r="BK125" s="698">
        <f>'Cost Allocation - Tier 1'!BK114</f>
        <v>0</v>
      </c>
      <c r="BL125" s="76">
        <f t="shared" si="59"/>
        <v>110758</v>
      </c>
      <c r="BM125" s="76">
        <f t="shared" si="54"/>
        <v>0</v>
      </c>
    </row>
    <row r="126" spans="1:65" x14ac:dyDescent="0.25">
      <c r="A126" s="1"/>
      <c r="B126" s="693"/>
      <c r="C126" s="693"/>
      <c r="D126" s="778"/>
      <c r="E126" s="778"/>
      <c r="F126" s="778"/>
      <c r="G126" s="778"/>
      <c r="H126" s="698"/>
      <c r="I126" s="688"/>
      <c r="J126" s="931"/>
      <c r="K126" s="931"/>
      <c r="L126" s="931"/>
      <c r="M126" s="931"/>
      <c r="N126" s="931"/>
      <c r="O126" s="931"/>
      <c r="P126" s="931"/>
      <c r="Q126" s="931"/>
      <c r="R126" s="931"/>
      <c r="S126" s="931"/>
      <c r="T126" s="931"/>
      <c r="U126" s="931"/>
      <c r="V126" s="931"/>
      <c r="W126" s="931"/>
      <c r="X126" s="931"/>
      <c r="Y126" s="931"/>
      <c r="Z126" s="931"/>
      <c r="AA126" s="931"/>
      <c r="AB126" s="931"/>
      <c r="AC126" s="931"/>
      <c r="AD126" s="931"/>
      <c r="AE126" s="931"/>
      <c r="AF126" s="931"/>
      <c r="AG126" s="931"/>
      <c r="AH126" s="931"/>
      <c r="AI126" s="931"/>
      <c r="AJ126" s="931"/>
      <c r="AK126" s="931"/>
      <c r="AL126" s="931"/>
      <c r="AM126" s="931"/>
      <c r="AN126" s="931"/>
      <c r="AO126" s="931"/>
      <c r="AP126" s="931"/>
      <c r="AQ126" s="931"/>
      <c r="AR126" s="931"/>
      <c r="AS126" s="931"/>
      <c r="AT126" s="931"/>
      <c r="AU126" s="931"/>
      <c r="AV126" s="931"/>
      <c r="AW126" s="931"/>
      <c r="AX126" s="931"/>
      <c r="AY126" s="931"/>
      <c r="AZ126" s="931"/>
      <c r="BA126" s="931"/>
      <c r="BB126" s="931"/>
      <c r="BC126" s="688"/>
      <c r="BD126" s="698"/>
      <c r="BE126" s="698"/>
      <c r="BF126" s="698"/>
      <c r="BG126" s="698"/>
      <c r="BH126" s="698"/>
      <c r="BI126" s="698"/>
      <c r="BJ126" s="698"/>
      <c r="BK126" s="698"/>
      <c r="BL126" s="698"/>
      <c r="BM126" s="698"/>
    </row>
    <row r="127" spans="1:65" s="855" customFormat="1" x14ac:dyDescent="0.25">
      <c r="A127" s="954" t="str">
        <f>'Cost Allocation - Tier 1'!A116</f>
        <v>Non-Corporate Cost Allocation including mark ups</v>
      </c>
      <c r="B127" s="954"/>
      <c r="C127" s="954"/>
      <c r="D127" s="955">
        <f>SUM(D116:D125)</f>
        <v>6604589.4215844441</v>
      </c>
      <c r="E127" s="955">
        <f>SUM(E116:E125)</f>
        <v>4977720.8998774858</v>
      </c>
      <c r="F127" s="955">
        <f>SUM(F116:F125)</f>
        <v>0</v>
      </c>
      <c r="G127" s="955">
        <f>SUM(G116:G125)</f>
        <v>5053506.313231118</v>
      </c>
      <c r="H127" s="955">
        <f>SUM(H116:H125)</f>
        <v>0</v>
      </c>
      <c r="I127" s="956">
        <f>SUM(I116:I126)</f>
        <v>5000095.2637306498</v>
      </c>
      <c r="J127" s="957">
        <f>SUM(J116:J126)</f>
        <v>81300.856777202687</v>
      </c>
      <c r="K127" s="957">
        <f t="shared" ref="K127:BB127" si="60">SUM(K116:K126)</f>
        <v>20799.327268373723</v>
      </c>
      <c r="L127" s="957">
        <f t="shared" si="60"/>
        <v>19879.217996145064</v>
      </c>
      <c r="M127" s="957">
        <f t="shared" si="60"/>
        <v>27595.333914833107</v>
      </c>
      <c r="N127" s="957">
        <f t="shared" si="60"/>
        <v>37632.846152038153</v>
      </c>
      <c r="O127" s="957">
        <f t="shared" si="60"/>
        <v>108448.17251728002</v>
      </c>
      <c r="P127" s="957">
        <f t="shared" si="60"/>
        <v>13761.12211211146</v>
      </c>
      <c r="Q127" s="957">
        <f t="shared" si="60"/>
        <v>38854.184095497105</v>
      </c>
      <c r="R127" s="957">
        <f t="shared" si="60"/>
        <v>33888.495035708023</v>
      </c>
      <c r="S127" s="957">
        <f t="shared" si="60"/>
        <v>34309.058756002159</v>
      </c>
      <c r="T127" s="957">
        <f t="shared" si="60"/>
        <v>127814.11712906617</v>
      </c>
      <c r="U127" s="957">
        <f t="shared" si="60"/>
        <v>100917.14353909437</v>
      </c>
      <c r="V127" s="957">
        <f t="shared" si="60"/>
        <v>52890.985313256882</v>
      </c>
      <c r="W127" s="957">
        <f t="shared" si="60"/>
        <v>86746.42764297637</v>
      </c>
      <c r="X127" s="957">
        <f t="shared" si="60"/>
        <v>2999.9442323731423</v>
      </c>
      <c r="Y127" s="957">
        <f t="shared" si="60"/>
        <v>2112.7670924930794</v>
      </c>
      <c r="Z127" s="957">
        <f t="shared" si="60"/>
        <v>8800.5926075242205</v>
      </c>
      <c r="AA127" s="957">
        <f t="shared" si="60"/>
        <v>7717.9176133171522</v>
      </c>
      <c r="AB127" s="957">
        <f t="shared" si="60"/>
        <v>4476.1290530659608</v>
      </c>
      <c r="AC127" s="957">
        <f t="shared" si="60"/>
        <v>5665.6939513502093</v>
      </c>
      <c r="AD127" s="957">
        <f t="shared" si="60"/>
        <v>39681.456842529355</v>
      </c>
      <c r="AE127" s="957">
        <f t="shared" si="60"/>
        <v>14380.704146002638</v>
      </c>
      <c r="AF127" s="957">
        <f t="shared" si="60"/>
        <v>89796.872406052018</v>
      </c>
      <c r="AG127" s="957">
        <f t="shared" si="60"/>
        <v>59750.171555311223</v>
      </c>
      <c r="AH127" s="957">
        <f t="shared" si="60"/>
        <v>773771.31516287581</v>
      </c>
      <c r="AI127" s="957">
        <f t="shared" si="60"/>
        <v>7708.7356953727831</v>
      </c>
      <c r="AJ127" s="957">
        <f t="shared" si="60"/>
        <v>348822.67321105336</v>
      </c>
      <c r="AK127" s="957">
        <f t="shared" si="60"/>
        <v>296177.92429943022</v>
      </c>
      <c r="AL127" s="957">
        <f t="shared" si="60"/>
        <v>0</v>
      </c>
      <c r="AM127" s="957">
        <f t="shared" si="60"/>
        <v>11692.910161120513</v>
      </c>
      <c r="AN127" s="957">
        <f t="shared" si="60"/>
        <v>57647.017161471464</v>
      </c>
      <c r="AO127" s="957">
        <f t="shared" si="60"/>
        <v>361664.10629640054</v>
      </c>
      <c r="AP127" s="957">
        <f t="shared" si="60"/>
        <v>54091.625558464948</v>
      </c>
      <c r="AQ127" s="957">
        <f t="shared" si="60"/>
        <v>72827.616804762059</v>
      </c>
      <c r="AR127" s="957">
        <f t="shared" si="60"/>
        <v>278.94064648500529</v>
      </c>
      <c r="AS127" s="957">
        <f t="shared" si="60"/>
        <v>108286.98654382079</v>
      </c>
      <c r="AT127" s="957">
        <f t="shared" si="60"/>
        <v>87712.450041519711</v>
      </c>
      <c r="AU127" s="957">
        <f t="shared" si="60"/>
        <v>130340.5985257804</v>
      </c>
      <c r="AV127" s="957">
        <f t="shared" si="60"/>
        <v>177548.09333150409</v>
      </c>
      <c r="AW127" s="957">
        <f t="shared" si="60"/>
        <v>460431.06767432595</v>
      </c>
      <c r="AX127" s="957">
        <f t="shared" si="60"/>
        <v>5917.4052669478851</v>
      </c>
      <c r="AY127" s="957">
        <f t="shared" si="60"/>
        <v>273686.43265401723</v>
      </c>
      <c r="AZ127" s="957">
        <f t="shared" si="60"/>
        <v>9265.9568581819094</v>
      </c>
      <c r="BA127" s="957">
        <f t="shared" si="60"/>
        <v>159694.29502544951</v>
      </c>
      <c r="BB127" s="957">
        <f t="shared" si="60"/>
        <v>582309.57506206096</v>
      </c>
      <c r="BC127" s="956">
        <f>SUM(BC116:BC126)</f>
        <v>0</v>
      </c>
      <c r="BD127" s="957">
        <f t="shared" ref="BD127:BK127" si="61">SUM(BD116:BD126)</f>
        <v>0</v>
      </c>
      <c r="BE127" s="957">
        <f t="shared" si="61"/>
        <v>0</v>
      </c>
      <c r="BF127" s="957">
        <f t="shared" si="61"/>
        <v>0</v>
      </c>
      <c r="BG127" s="957">
        <f t="shared" si="61"/>
        <v>0</v>
      </c>
      <c r="BH127" s="957">
        <f t="shared" si="61"/>
        <v>0</v>
      </c>
      <c r="BI127" s="957">
        <f t="shared" si="61"/>
        <v>0</v>
      </c>
      <c r="BJ127" s="957">
        <f t="shared" si="61"/>
        <v>0</v>
      </c>
      <c r="BK127" s="957">
        <f t="shared" si="61"/>
        <v>0</v>
      </c>
      <c r="BL127" s="955">
        <f>SUM(BL116:BL126)</f>
        <v>5000095.2637306498</v>
      </c>
      <c r="BM127" s="76">
        <f t="shared" si="54"/>
        <v>-53411.049500468187</v>
      </c>
    </row>
    <row r="128" spans="1:65" x14ac:dyDescent="0.25">
      <c r="A128" s="1"/>
      <c r="B128" s="1"/>
      <c r="C128" s="1"/>
      <c r="D128" s="698"/>
      <c r="E128" s="698"/>
      <c r="F128" s="698"/>
      <c r="G128" s="698"/>
      <c r="H128" s="698"/>
      <c r="I128" s="688"/>
      <c r="J128" s="942"/>
      <c r="K128" s="942"/>
      <c r="L128" s="942"/>
      <c r="M128" s="942"/>
      <c r="N128" s="942"/>
      <c r="O128" s="942"/>
      <c r="P128" s="942"/>
      <c r="Q128" s="942"/>
      <c r="R128" s="942"/>
      <c r="S128" s="942"/>
      <c r="T128" s="942"/>
      <c r="U128" s="942"/>
      <c r="V128" s="942"/>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c r="AV128" s="942"/>
      <c r="AW128" s="942"/>
      <c r="AX128" s="942"/>
      <c r="AY128" s="942"/>
      <c r="AZ128" s="942"/>
      <c r="BA128" s="942"/>
      <c r="BB128" s="942"/>
      <c r="BC128" s="688"/>
      <c r="BD128" s="698"/>
      <c r="BE128" s="698"/>
      <c r="BF128" s="698"/>
      <c r="BG128" s="698"/>
      <c r="BH128" s="698"/>
      <c r="BI128" s="698"/>
      <c r="BJ128" s="698"/>
      <c r="BK128" s="698"/>
      <c r="BL128" s="698"/>
      <c r="BM128" s="698"/>
    </row>
    <row r="129" spans="1:65" x14ac:dyDescent="0.25">
      <c r="A129" s="693" t="str">
        <f>'Cost Allocation - Tier 1'!A118</f>
        <v>Shared Services</v>
      </c>
      <c r="B129" s="693"/>
      <c r="C129" s="693"/>
      <c r="D129" s="778"/>
      <c r="E129" s="778"/>
      <c r="F129" s="778"/>
      <c r="G129" s="778"/>
      <c r="H129" s="778"/>
      <c r="I129" s="958"/>
      <c r="J129" s="931"/>
      <c r="K129" s="931"/>
      <c r="L129" s="931"/>
      <c r="M129" s="931"/>
      <c r="N129" s="931"/>
      <c r="O129" s="931"/>
      <c r="P129" s="931"/>
      <c r="Q129" s="931"/>
      <c r="R129" s="931"/>
      <c r="S129" s="931"/>
      <c r="T129" s="931"/>
      <c r="U129" s="931"/>
      <c r="V129" s="931"/>
      <c r="W129" s="931"/>
      <c r="X129" s="931"/>
      <c r="Y129" s="931"/>
      <c r="Z129" s="931"/>
      <c r="AA129" s="931"/>
      <c r="AB129" s="931"/>
      <c r="AC129" s="931"/>
      <c r="AD129" s="931"/>
      <c r="AE129" s="931"/>
      <c r="AF129" s="931"/>
      <c r="AG129" s="931"/>
      <c r="AH129" s="931"/>
      <c r="AI129" s="931"/>
      <c r="AJ129" s="931"/>
      <c r="AK129" s="931"/>
      <c r="AL129" s="931"/>
      <c r="AM129" s="931"/>
      <c r="AN129" s="931"/>
      <c r="AO129" s="931"/>
      <c r="AP129" s="931"/>
      <c r="AQ129" s="931"/>
      <c r="AR129" s="931"/>
      <c r="AS129" s="931"/>
      <c r="AT129" s="931"/>
      <c r="AU129" s="931"/>
      <c r="AV129" s="931"/>
      <c r="AW129" s="931"/>
      <c r="AX129" s="931"/>
      <c r="AY129" s="931"/>
      <c r="AZ129" s="931"/>
      <c r="BA129" s="931"/>
      <c r="BB129" s="931"/>
      <c r="BC129" s="688"/>
      <c r="BD129" s="698"/>
      <c r="BE129" s="698"/>
      <c r="BF129" s="698"/>
      <c r="BG129" s="698"/>
      <c r="BH129" s="698"/>
      <c r="BI129" s="698"/>
      <c r="BJ129" s="698"/>
      <c r="BK129" s="698"/>
      <c r="BL129" s="698"/>
      <c r="BM129" s="698"/>
    </row>
    <row r="130" spans="1:65" x14ac:dyDescent="0.25">
      <c r="A130" s="693" t="str">
        <f>'Cost Allocation - Tier 1'!A119</f>
        <v>8025 -Finance SS</v>
      </c>
      <c r="B130" s="693" t="str">
        <f>'Cost Allocation - Tier 1'!B119</f>
        <v>CDN CONTRACT</v>
      </c>
      <c r="C130" s="693" t="str">
        <f>'Cost Allocation - Tier 1'!C119</f>
        <v>N</v>
      </c>
      <c r="D130" s="778">
        <f>'Cost Allocation - Tier 1'!D119</f>
        <v>364587</v>
      </c>
      <c r="E130" s="778">
        <f>'Cost Allocation - Tier 1'!E119</f>
        <v>274780.49184899346</v>
      </c>
      <c r="F130" s="778">
        <f>'Cost Allocation - Tier 1'!F119</f>
        <v>0</v>
      </c>
      <c r="G130" s="778">
        <f>'Cost Allocation - Tier 1'!G119</f>
        <v>274780.49184899346</v>
      </c>
      <c r="H130" s="778">
        <f>'Cost Allocation - Tier 1'!H119</f>
        <v>0</v>
      </c>
      <c r="I130" s="688">
        <f>'Cost Allocation - Tier 1'!I119</f>
        <v>274780.49184899352</v>
      </c>
      <c r="J130" s="931">
        <f>'Cost Allocation - Tier 1'!J119</f>
        <v>7063.9757214580968</v>
      </c>
      <c r="K130" s="931">
        <f>'Cost Allocation - Tier 1'!K119</f>
        <v>1799.7558067258533</v>
      </c>
      <c r="L130" s="931">
        <f>'Cost Allocation - Tier 1'!L119</f>
        <v>1715.0459841489537</v>
      </c>
      <c r="M130" s="931">
        <f>'Cost Allocation - Tier 1'!M119</f>
        <v>2405.2565361228926</v>
      </c>
      <c r="N130" s="931">
        <f>'Cost Allocation - Tier 1'!N119</f>
        <v>3259.1797441466319</v>
      </c>
      <c r="O130" s="931">
        <f>'Cost Allocation - Tier 1'!O119</f>
        <v>9482.6806813888979</v>
      </c>
      <c r="P130" s="931">
        <f>'Cost Allocation - Tier 1'!P119</f>
        <v>1204.9530037592542</v>
      </c>
      <c r="Q130" s="931">
        <f>'Cost Allocation - Tier 1'!Q119</f>
        <v>3408.1977649548376</v>
      </c>
      <c r="R130" s="931">
        <f>'Cost Allocation - Tier 1'!R119</f>
        <v>2974.1574237012182</v>
      </c>
      <c r="S130" s="931">
        <f>'Cost Allocation - Tier 1'!S119</f>
        <v>3009.7929227788618</v>
      </c>
      <c r="T130" s="931">
        <f>'Cost Allocation - Tier 1'!T119</f>
        <v>11220.883803006085</v>
      </c>
      <c r="U130" s="931">
        <f>'Cost Allocation - Tier 1'!U119</f>
        <v>8857.0186192032306</v>
      </c>
      <c r="V130" s="931">
        <f>'Cost Allocation - Tier 1'!V119</f>
        <v>4527.0402321086067</v>
      </c>
      <c r="W130" s="931">
        <f>'Cost Allocation - Tier 1'!W119</f>
        <v>7428.2106043001413</v>
      </c>
      <c r="X130" s="931">
        <f>'Cost Allocation - Tier 1'!X119</f>
        <v>263.78071419380257</v>
      </c>
      <c r="Y130" s="931">
        <f>'Cost Allocation - Tier 1'!Y119</f>
        <v>185.27684408789528</v>
      </c>
      <c r="Z130" s="931">
        <f>'Cost Allocation - Tier 1'!Z119</f>
        <v>768.66091135325144</v>
      </c>
      <c r="AA130" s="931">
        <f>'Cost Allocation - Tier 1'!AA119</f>
        <v>673.26888809575291</v>
      </c>
      <c r="AB130" s="931">
        <f>'Cost Allocation - Tier 1'!AB119</f>
        <v>390.03027020005851</v>
      </c>
      <c r="AC130" s="931">
        <f>'Cost Allocation - Tier 1'!AC119</f>
        <v>496.67158952440104</v>
      </c>
      <c r="AD130" s="931">
        <f>'Cost Allocation - Tier 1'!AD119</f>
        <v>3495.3234273992307</v>
      </c>
      <c r="AE130" s="931">
        <f>'Cost Allocation - Tier 1'!AE119</f>
        <v>1263.9574107871383</v>
      </c>
      <c r="AF130" s="931">
        <f>'Cost Allocation - Tier 1'!AF119</f>
        <v>2531.415110389848</v>
      </c>
      <c r="AG130" s="931">
        <f>'Cost Allocation - Tier 1'!AG119</f>
        <v>4891.5808796987039</v>
      </c>
      <c r="AH130" s="931">
        <f>'Cost Allocation - Tier 1'!AH119</f>
        <v>67456.590477468912</v>
      </c>
      <c r="AI130" s="931">
        <f>'Cost Allocation - Tier 1'!AI119</f>
        <v>679.72548530618758</v>
      </c>
      <c r="AJ130" s="931">
        <f>'Cost Allocation - Tier 1'!AJ119</f>
        <v>11833.408207126258</v>
      </c>
      <c r="AK130" s="931">
        <f>'Cost Allocation - Tier 1'!AK119</f>
        <v>9452.415262034543</v>
      </c>
      <c r="AL130" s="931">
        <f>'Cost Allocation - Tier 1'!AL119</f>
        <v>0</v>
      </c>
      <c r="AM130" s="931">
        <f>'Cost Allocation - Tier 1'!AM119</f>
        <v>1021.7142127446492</v>
      </c>
      <c r="AN130" s="931">
        <f>'Cost Allocation - Tier 1'!AN119</f>
        <v>1288.0325354901038</v>
      </c>
      <c r="AO130" s="931">
        <f>'Cost Allocation - Tier 1'!AO119</f>
        <v>11789.834099448437</v>
      </c>
      <c r="AP130" s="931">
        <f>'Cost Allocation - Tier 1'!AP119</f>
        <v>1653.9698358711155</v>
      </c>
      <c r="AQ130" s="931">
        <f>'Cost Allocation - Tier 1'!AQ119</f>
        <v>5991.7402386882159</v>
      </c>
      <c r="AR130" s="931">
        <f>'Cost Allocation - Tier 1'!AR119</f>
        <v>24.233878709498253</v>
      </c>
      <c r="AS130" s="931">
        <f>'Cost Allocation - Tier 1'!AS119</f>
        <v>8928.8666609269858</v>
      </c>
      <c r="AT130" s="931">
        <f>'Cost Allocation - Tier 1'!AT119</f>
        <v>7188.7791263458084</v>
      </c>
      <c r="AU130" s="931">
        <f>'Cost Allocation - Tier 1'!AU119</f>
        <v>10839.625979804574</v>
      </c>
      <c r="AV130" s="931">
        <f>'Cost Allocation - Tier 1'!AV119</f>
        <v>14665.541059351994</v>
      </c>
      <c r="AW130" s="931">
        <f>'Cost Allocation - Tier 1'!AW119</f>
        <v>38135.806007994019</v>
      </c>
      <c r="AX130" s="931">
        <f>'Cost Allocation - Tier 1'!AX119</f>
        <v>514.09388814860245</v>
      </c>
      <c r="AY130" s="931">
        <f>'Cost Allocation - Tier 1'!AY119</f>
        <v>0</v>
      </c>
      <c r="AZ130" s="931">
        <f>'Cost Allocation - Tier 1'!AZ119</f>
        <v>0</v>
      </c>
      <c r="BA130" s="931">
        <f>'Cost Allocation - Tier 1'!BA119</f>
        <v>0</v>
      </c>
      <c r="BB130" s="931">
        <f>'Cost Allocation - Tier 1'!BB119</f>
        <v>0</v>
      </c>
      <c r="BC130" s="688">
        <f>'Cost Allocation - Tier 1'!BC119</f>
        <v>0</v>
      </c>
      <c r="BD130" s="778">
        <f>'Cost Allocation - Tier 1'!BD119</f>
        <v>0</v>
      </c>
      <c r="BE130" s="778">
        <f>'Cost Allocation - Tier 1'!BE119</f>
        <v>0</v>
      </c>
      <c r="BF130" s="778">
        <f>'Cost Allocation - Tier 1'!BF119</f>
        <v>0</v>
      </c>
      <c r="BG130" s="778">
        <f>'Cost Allocation - Tier 1'!BG119</f>
        <v>0</v>
      </c>
      <c r="BH130" s="778">
        <f>'Cost Allocation - Tier 1'!BH119</f>
        <v>0</v>
      </c>
      <c r="BI130" s="778">
        <f>'Cost Allocation - Tier 1'!BI119</f>
        <v>0</v>
      </c>
      <c r="BJ130" s="778">
        <f>'Cost Allocation - Tier 1'!BJ119</f>
        <v>0</v>
      </c>
      <c r="BK130" s="778">
        <f>'Cost Allocation - Tier 1'!BK119</f>
        <v>0</v>
      </c>
      <c r="BL130" s="76">
        <f t="shared" ref="BL130:BL133" si="62">BC130+I130+H130</f>
        <v>274780.49184899352</v>
      </c>
      <c r="BM130" s="76">
        <f t="shared" ref="BM130:BM133" si="63">BL130-G130</f>
        <v>0</v>
      </c>
    </row>
    <row r="131" spans="1:65" x14ac:dyDescent="0.25">
      <c r="A131" s="693" t="str">
        <f>'Cost Allocation - Tier 1'!A120</f>
        <v>8033 - IT Support Service</v>
      </c>
      <c r="B131" s="693" t="str">
        <f>'Cost Allocation - Tier 1'!B120</f>
        <v>ALL CONTRACT</v>
      </c>
      <c r="C131" s="693" t="str">
        <f>'Cost Allocation - Tier 1'!C120</f>
        <v>Y</v>
      </c>
      <c r="D131" s="778">
        <f>'Cost Allocation - Tier 1'!D120</f>
        <v>4460140</v>
      </c>
      <c r="E131" s="778">
        <f>'Cost Allocation - Tier 1'!E120</f>
        <v>3361500.7197606326</v>
      </c>
      <c r="F131" s="778">
        <f>'Cost Allocation - Tier 1'!F120</f>
        <v>625158.46039055497</v>
      </c>
      <c r="G131" s="778">
        <f>'Cost Allocation - Tier 1'!G120</f>
        <v>3525681.2553228373</v>
      </c>
      <c r="H131" s="778">
        <f>'Cost Allocation - Tier 1'!H120</f>
        <v>0</v>
      </c>
      <c r="I131" s="688">
        <f>'Cost Allocation - Tier 1'!I120</f>
        <v>3409972.2511242572</v>
      </c>
      <c r="J131" s="931">
        <f>'Cost Allocation - Tier 1'!J120</f>
        <v>20910.915898796851</v>
      </c>
      <c r="K131" s="931">
        <f>'Cost Allocation - Tier 1'!K120</f>
        <v>6032.2798102764609</v>
      </c>
      <c r="L131" s="931">
        <f>'Cost Allocation - Tier 1'!L120</f>
        <v>6233.2031511796449</v>
      </c>
      <c r="M131" s="931">
        <f>'Cost Allocation - Tier 1'!M120</f>
        <v>6401.024990488695</v>
      </c>
      <c r="N131" s="931">
        <f>'Cost Allocation - Tier 1'!N120</f>
        <v>10654.686637735393</v>
      </c>
      <c r="O131" s="931">
        <f>'Cost Allocation - Tier 1'!O120</f>
        <v>25041.748000175045</v>
      </c>
      <c r="P131" s="931">
        <f>'Cost Allocation - Tier 1'!P120</f>
        <v>3053.5921283418133</v>
      </c>
      <c r="Q131" s="931">
        <f>'Cost Allocation - Tier 1'!Q120</f>
        <v>8176.8066475669439</v>
      </c>
      <c r="R131" s="931">
        <f>'Cost Allocation - Tier 1'!R120</f>
        <v>7018.5288361657995</v>
      </c>
      <c r="S131" s="931">
        <f>'Cost Allocation - Tier 1'!S120</f>
        <v>7199.4642925876042</v>
      </c>
      <c r="T131" s="931">
        <f>'Cost Allocation - Tier 1'!T120</f>
        <v>26211.381034470902</v>
      </c>
      <c r="U131" s="931">
        <f>'Cost Allocation - Tier 1'!U120</f>
        <v>20884.175335098538</v>
      </c>
      <c r="V131" s="931">
        <f>'Cost Allocation - Tier 1'!V120</f>
        <v>16310.021381329418</v>
      </c>
      <c r="W131" s="931">
        <f>'Cost Allocation - Tier 1'!W120</f>
        <v>26304.119686837483</v>
      </c>
      <c r="X131" s="931">
        <f>'Cost Allocation - Tier 1'!X120</f>
        <v>637.4826530568597</v>
      </c>
      <c r="Y131" s="931">
        <f>'Cost Allocation - Tier 1'!Y120</f>
        <v>492.62029791906673</v>
      </c>
      <c r="Z131" s="931">
        <f>'Cost Allocation - Tier 1'!Z120</f>
        <v>2324.8260549857523</v>
      </c>
      <c r="AA131" s="931">
        <f>'Cost Allocation - Tier 1'!AA120</f>
        <v>2111.847112218421</v>
      </c>
      <c r="AB131" s="931">
        <f>'Cost Allocation - Tier 1'!AB120</f>
        <v>1263.7962789518335</v>
      </c>
      <c r="AC131" s="931">
        <f>'Cost Allocation - Tier 1'!AC120</f>
        <v>1336.4800823887574</v>
      </c>
      <c r="AD131" s="931">
        <f>'Cost Allocation - Tier 1'!AD120</f>
        <v>7886.9224553849772</v>
      </c>
      <c r="AE131" s="931">
        <f>'Cost Allocation - Tier 1'!AE120</f>
        <v>3101.4034033628568</v>
      </c>
      <c r="AF131" s="931">
        <f>'Cost Allocation - Tier 1'!AF120</f>
        <v>8149.40502996962</v>
      </c>
      <c r="AG131" s="931">
        <f>'Cost Allocation - Tier 1'!AG120</f>
        <v>26392.86696761669</v>
      </c>
      <c r="AH131" s="931">
        <f>'Cost Allocation - Tier 1'!AH120</f>
        <v>200974.63364223213</v>
      </c>
      <c r="AI131" s="931">
        <f>'Cost Allocation - Tier 1'!AI120</f>
        <v>1470.0630138647773</v>
      </c>
      <c r="AJ131" s="931">
        <f>'Cost Allocation - Tier 1'!AJ120</f>
        <v>31514.910759184404</v>
      </c>
      <c r="AK131" s="931">
        <f>'Cost Allocation - Tier 1'!AK120</f>
        <v>26800.912316797589</v>
      </c>
      <c r="AL131" s="931">
        <f>'Cost Allocation - Tier 1'!AL120</f>
        <v>0</v>
      </c>
      <c r="AM131" s="931">
        <f>'Cost Allocation - Tier 1'!AM120</f>
        <v>3050.7717144811772</v>
      </c>
      <c r="AN131" s="931">
        <f>'Cost Allocation - Tier 1'!AN120</f>
        <v>5255.6272469352625</v>
      </c>
      <c r="AO131" s="931">
        <f>'Cost Allocation - Tier 1'!AO120</f>
        <v>32709.12917064708</v>
      </c>
      <c r="AP131" s="931">
        <f>'Cost Allocation - Tier 1'!AP120</f>
        <v>4899.848528086186</v>
      </c>
      <c r="AQ131" s="931">
        <f>'Cost Allocation - Tier 1'!AQ120</f>
        <v>31402.951457560252</v>
      </c>
      <c r="AR131" s="931">
        <f>'Cost Allocation - Tier 1'!AR120</f>
        <v>85.079700701768743</v>
      </c>
      <c r="AS131" s="931">
        <f>'Cost Allocation - Tier 1'!AS120</f>
        <v>46137.576259763984</v>
      </c>
      <c r="AT131" s="931">
        <f>'Cost Allocation - Tier 1'!AT120</f>
        <v>38595.229801590831</v>
      </c>
      <c r="AU131" s="931">
        <f>'Cost Allocation - Tier 1'!AU120</f>
        <v>52871.434601746354</v>
      </c>
      <c r="AV131" s="931">
        <f>'Cost Allocation - Tier 1'!AV120</f>
        <v>74987.045630534267</v>
      </c>
      <c r="AW131" s="931">
        <f>'Cost Allocation - Tier 1'!AW120</f>
        <v>191372.77381523352</v>
      </c>
      <c r="AX131" s="931">
        <f>'Cost Allocation - Tier 1'!AX120</f>
        <v>1804.8680799557103</v>
      </c>
      <c r="AY131" s="931">
        <f>'Cost Allocation - Tier 1'!AY120</f>
        <v>645910.05287408305</v>
      </c>
      <c r="AZ131" s="931">
        <f>'Cost Allocation - Tier 1'!AZ120</f>
        <v>21346.369006668981</v>
      </c>
      <c r="BA131" s="931">
        <f>'Cost Allocation - Tier 1'!BA120</f>
        <v>373641.44679975515</v>
      </c>
      <c r="BB131" s="931">
        <f>'Cost Allocation - Tier 1'!BB120</f>
        <v>1381011.9285375294</v>
      </c>
      <c r="BC131" s="688">
        <f>'Cost Allocation - Tier 1'!BC120</f>
        <v>0</v>
      </c>
      <c r="BD131" s="778">
        <f>'Cost Allocation - Tier 1'!BD120</f>
        <v>0</v>
      </c>
      <c r="BE131" s="778">
        <f>'Cost Allocation - Tier 1'!BE120</f>
        <v>0</v>
      </c>
      <c r="BF131" s="778">
        <f>'Cost Allocation - Tier 1'!BF120</f>
        <v>0</v>
      </c>
      <c r="BG131" s="778">
        <f>'Cost Allocation - Tier 1'!BG120</f>
        <v>0</v>
      </c>
      <c r="BH131" s="778">
        <f>'Cost Allocation - Tier 1'!BH120</f>
        <v>0</v>
      </c>
      <c r="BI131" s="778">
        <f>'Cost Allocation - Tier 1'!BI120</f>
        <v>0</v>
      </c>
      <c r="BJ131" s="778">
        <f>'Cost Allocation - Tier 1'!BJ120</f>
        <v>0</v>
      </c>
      <c r="BK131" s="778">
        <f>'Cost Allocation - Tier 1'!BK120</f>
        <v>0</v>
      </c>
      <c r="BL131" s="76">
        <f t="shared" si="62"/>
        <v>3409972.2511242572</v>
      </c>
      <c r="BM131" s="76">
        <f t="shared" si="63"/>
        <v>-115709.00419858005</v>
      </c>
    </row>
    <row r="132" spans="1:65" x14ac:dyDescent="0.25">
      <c r="A132" s="693" t="str">
        <f>'Cost Allocation - Tier 1'!A121</f>
        <v>8045 - HR Shared Service</v>
      </c>
      <c r="B132" s="693" t="str">
        <f>'Cost Allocation - Tier 1'!B121</f>
        <v>HEADCOUNT IN CDN CONTRACT</v>
      </c>
      <c r="C132" s="693" t="str">
        <f>'Cost Allocation - Tier 1'!C121</f>
        <v>N</v>
      </c>
      <c r="D132" s="778">
        <f>'Cost Allocation - Tier 1'!D121</f>
        <v>293576</v>
      </c>
      <c r="E132" s="778">
        <f>'Cost Allocation - Tier 1'!E121</f>
        <v>221261.20151036681</v>
      </c>
      <c r="F132" s="778">
        <f>'Cost Allocation - Tier 1'!F121</f>
        <v>29.393366143364261</v>
      </c>
      <c r="G132" s="778">
        <f>'Cost Allocation - Tier 1'!G121</f>
        <v>221261.20151036681</v>
      </c>
      <c r="H132" s="778">
        <f>'Cost Allocation - Tier 1'!H121</f>
        <v>0</v>
      </c>
      <c r="I132" s="688">
        <f>'Cost Allocation - Tier 1'!I121</f>
        <v>221261.20151036687</v>
      </c>
      <c r="J132" s="931">
        <f>'Cost Allocation - Tier 1'!J121</f>
        <v>2972.7249997507301</v>
      </c>
      <c r="K132" s="931">
        <f>'Cost Allocation - Tier 1'!K121</f>
        <v>742.22294577106948</v>
      </c>
      <c r="L132" s="931">
        <f>'Cost Allocation - Tier 1'!L121</f>
        <v>696.85239683427585</v>
      </c>
      <c r="M132" s="931">
        <f>'Cost Allocation - Tier 1'!M121</f>
        <v>1027.6787879401302</v>
      </c>
      <c r="N132" s="931">
        <f>'Cost Allocation - Tier 1'!N121</f>
        <v>1349.8861800134548</v>
      </c>
      <c r="O132" s="931">
        <f>'Cost Allocation - Tier 1'!O121</f>
        <v>2747.2950931021956</v>
      </c>
      <c r="P132" s="931">
        <f>'Cost Allocation - Tier 1'!P121</f>
        <v>336.97612958609375</v>
      </c>
      <c r="Q132" s="931">
        <f>'Cost Allocation - Tier 1'!Q121</f>
        <v>909.70298072749199</v>
      </c>
      <c r="R132" s="931">
        <f>'Cost Allocation - Tier 1'!R121</f>
        <v>782.81514956889839</v>
      </c>
      <c r="S132" s="931">
        <f>'Cost Allocation - Tier 1'!S121</f>
        <v>801.33291815485086</v>
      </c>
      <c r="T132" s="931">
        <f>'Cost Allocation - Tier 1'!T121</f>
        <v>2928.1031134325362</v>
      </c>
      <c r="U132" s="931">
        <f>'Cost Allocation - Tier 1'!U121</f>
        <v>2329.6181022431024</v>
      </c>
      <c r="V132" s="931">
        <f>'Cost Allocation - Tier 1'!V121</f>
        <v>3608.6957530751106</v>
      </c>
      <c r="W132" s="931">
        <f>'Cost Allocation - Tier 1'!W121</f>
        <v>5994.8944418066349</v>
      </c>
      <c r="X132" s="931">
        <f>'Cost Allocation - Tier 1'!X121</f>
        <v>38.750148125381692</v>
      </c>
      <c r="Y132" s="931">
        <f>'Cost Allocation - Tier 1'!Y121</f>
        <v>27.028911419153193</v>
      </c>
      <c r="Z132" s="931">
        <f>'Cost Allocation - Tier 1'!Z121</f>
        <v>110.95230486182959</v>
      </c>
      <c r="AA132" s="931">
        <f>'Cost Allocation - Tier 1'!AA121</f>
        <v>96.865054667658725</v>
      </c>
      <c r="AB132" s="931">
        <f>'Cost Allocation - Tier 1'!AB121</f>
        <v>55.944767249860703</v>
      </c>
      <c r="AC132" s="931">
        <f>'Cost Allocation - Tier 1'!AC121</f>
        <v>72.389425537592928</v>
      </c>
      <c r="AD132" s="931">
        <f>'Cost Allocation - Tier 1'!AD121</f>
        <v>515.83104749104007</v>
      </c>
      <c r="AE132" s="931">
        <f>'Cost Allocation - Tier 1'!AE121</f>
        <v>185.48211808209629</v>
      </c>
      <c r="AF132" s="931">
        <f>'Cost Allocation - Tier 1'!AF121</f>
        <v>1412.3716896341523</v>
      </c>
      <c r="AG132" s="931">
        <f>'Cost Allocation - Tier 1'!AG121</f>
        <v>9943.2537490068589</v>
      </c>
      <c r="AH132" s="931">
        <f>'Cost Allocation - Tier 1'!AH121</f>
        <v>17165.493077081628</v>
      </c>
      <c r="AI132" s="931">
        <f>'Cost Allocation - Tier 1'!AI121</f>
        <v>100.58019657843003</v>
      </c>
      <c r="AJ132" s="931">
        <f>'Cost Allocation - Tier 1'!AJ121</f>
        <v>5437.8052388127653</v>
      </c>
      <c r="AK132" s="931">
        <f>'Cost Allocation - Tier 1'!AK121</f>
        <v>4631.6032162159654</v>
      </c>
      <c r="AL132" s="931">
        <f>'Cost Allocation - Tier 1'!AL121</f>
        <v>0</v>
      </c>
      <c r="AM132" s="931">
        <f>'Cost Allocation - Tier 1'!AM121</f>
        <v>147.64515713816795</v>
      </c>
      <c r="AN132" s="931">
        <f>'Cost Allocation - Tier 1'!AN121</f>
        <v>914.90285375100257</v>
      </c>
      <c r="AO132" s="931">
        <f>'Cost Allocation - Tier 1'!AO121</f>
        <v>5649.6496789968542</v>
      </c>
      <c r="AP132" s="931">
        <f>'Cost Allocation - Tier 1'!AP121</f>
        <v>847.64004165359404</v>
      </c>
      <c r="AQ132" s="931">
        <f>'Cost Allocation - Tier 1'!AQ121</f>
        <v>11190.88760111685</v>
      </c>
      <c r="AR132" s="931">
        <f>'Cost Allocation - Tier 1'!AR121</f>
        <v>3.4484440318070679</v>
      </c>
      <c r="AS132" s="931">
        <f>'Cost Allocation - Tier 1'!AS121</f>
        <v>16039.608821898248</v>
      </c>
      <c r="AT132" s="931">
        <f>'Cost Allocation - Tier 1'!AT121</f>
        <v>14314.900034846605</v>
      </c>
      <c r="AU132" s="931">
        <f>'Cost Allocation - Tier 1'!AU121</f>
        <v>16542.228048739624</v>
      </c>
      <c r="AV132" s="931">
        <f>'Cost Allocation - Tier 1'!AV121</f>
        <v>25487.220802255557</v>
      </c>
      <c r="AW132" s="931">
        <f>'Cost Allocation - Tier 1'!AW121</f>
        <v>63026.765311856594</v>
      </c>
      <c r="AX132" s="931">
        <f>'Cost Allocation - Tier 1'!AX121</f>
        <v>73.154777310975646</v>
      </c>
      <c r="AY132" s="931">
        <f>'Cost Allocation - Tier 1'!AY121</f>
        <v>0</v>
      </c>
      <c r="AZ132" s="931">
        <f>'Cost Allocation - Tier 1'!AZ121</f>
        <v>0</v>
      </c>
      <c r="BA132" s="931">
        <f>'Cost Allocation - Tier 1'!BA121</f>
        <v>0</v>
      </c>
      <c r="BB132" s="931">
        <f>'Cost Allocation - Tier 1'!BB121</f>
        <v>0</v>
      </c>
      <c r="BC132" s="688">
        <f>'Cost Allocation - Tier 1'!BC121</f>
        <v>0</v>
      </c>
      <c r="BD132" s="778">
        <f>'Cost Allocation - Tier 1'!BD121</f>
        <v>0</v>
      </c>
      <c r="BE132" s="778">
        <f>'Cost Allocation - Tier 1'!BE121</f>
        <v>0</v>
      </c>
      <c r="BF132" s="778">
        <f>'Cost Allocation - Tier 1'!BF121</f>
        <v>0</v>
      </c>
      <c r="BG132" s="778">
        <f>'Cost Allocation - Tier 1'!BG121</f>
        <v>0</v>
      </c>
      <c r="BH132" s="778">
        <f>'Cost Allocation - Tier 1'!BH121</f>
        <v>0</v>
      </c>
      <c r="BI132" s="778">
        <f>'Cost Allocation - Tier 1'!BI121</f>
        <v>0</v>
      </c>
      <c r="BJ132" s="778">
        <f>'Cost Allocation - Tier 1'!BJ121</f>
        <v>0</v>
      </c>
      <c r="BK132" s="778">
        <f>'Cost Allocation - Tier 1'!BK121</f>
        <v>0</v>
      </c>
      <c r="BL132" s="76">
        <f t="shared" si="62"/>
        <v>221261.20151036687</v>
      </c>
      <c r="BM132" s="76">
        <f t="shared" si="63"/>
        <v>0</v>
      </c>
    </row>
    <row r="133" spans="1:65" s="855" customFormat="1" x14ac:dyDescent="0.25">
      <c r="A133" s="954" t="str">
        <f>'Cost Allocation - Tier 1'!A122</f>
        <v>Total Shared Services including mark ups</v>
      </c>
      <c r="B133" s="954"/>
      <c r="C133" s="954"/>
      <c r="D133" s="955">
        <f t="shared" ref="D133:BB133" si="64">SUM(D130:D132)</f>
        <v>5118303</v>
      </c>
      <c r="E133" s="955">
        <f t="shared" si="64"/>
        <v>3857542.4131199932</v>
      </c>
      <c r="F133" s="955">
        <f t="shared" si="64"/>
        <v>625187.85375669831</v>
      </c>
      <c r="G133" s="955">
        <f t="shared" si="64"/>
        <v>4021722.9486821978</v>
      </c>
      <c r="H133" s="955">
        <f t="shared" si="64"/>
        <v>0</v>
      </c>
      <c r="I133" s="956">
        <f t="shared" si="64"/>
        <v>3906013.9444836178</v>
      </c>
      <c r="J133" s="957">
        <f t="shared" si="64"/>
        <v>30947.61662000568</v>
      </c>
      <c r="K133" s="957">
        <f t="shared" si="64"/>
        <v>8574.2585627733843</v>
      </c>
      <c r="L133" s="957">
        <f t="shared" si="64"/>
        <v>8645.1015321628747</v>
      </c>
      <c r="M133" s="957">
        <f t="shared" si="64"/>
        <v>9833.9603145517176</v>
      </c>
      <c r="N133" s="957">
        <f t="shared" si="64"/>
        <v>15263.752561895479</v>
      </c>
      <c r="O133" s="957">
        <f t="shared" si="64"/>
        <v>37271.723774666141</v>
      </c>
      <c r="P133" s="957">
        <f t="shared" si="64"/>
        <v>4595.5212616871613</v>
      </c>
      <c r="Q133" s="957">
        <f t="shared" si="64"/>
        <v>12494.707393249273</v>
      </c>
      <c r="R133" s="957">
        <f t="shared" si="64"/>
        <v>10775.501409435916</v>
      </c>
      <c r="S133" s="957">
        <f t="shared" si="64"/>
        <v>11010.590133521317</v>
      </c>
      <c r="T133" s="957">
        <f t="shared" si="64"/>
        <v>40360.367950909524</v>
      </c>
      <c r="U133" s="957">
        <f t="shared" si="64"/>
        <v>32070.81205654487</v>
      </c>
      <c r="V133" s="957">
        <f t="shared" si="64"/>
        <v>24445.757366513135</v>
      </c>
      <c r="W133" s="957">
        <f t="shared" si="64"/>
        <v>39727.224732944262</v>
      </c>
      <c r="X133" s="957">
        <f t="shared" si="64"/>
        <v>940.01351537604387</v>
      </c>
      <c r="Y133" s="957">
        <f t="shared" si="64"/>
        <v>704.92605342611523</v>
      </c>
      <c r="Z133" s="957">
        <f t="shared" si="64"/>
        <v>3204.439271200833</v>
      </c>
      <c r="AA133" s="957">
        <f t="shared" si="64"/>
        <v>2881.9810549818326</v>
      </c>
      <c r="AB133" s="957">
        <f t="shared" si="64"/>
        <v>1709.7713164017528</v>
      </c>
      <c r="AC133" s="957">
        <f t="shared" si="64"/>
        <v>1905.5410974507513</v>
      </c>
      <c r="AD133" s="957">
        <f t="shared" si="64"/>
        <v>11898.076930275247</v>
      </c>
      <c r="AE133" s="957">
        <f t="shared" si="64"/>
        <v>4550.8429322320917</v>
      </c>
      <c r="AF133" s="957">
        <f t="shared" si="64"/>
        <v>12093.191829993621</v>
      </c>
      <c r="AG133" s="957">
        <f t="shared" si="64"/>
        <v>41227.701596322251</v>
      </c>
      <c r="AH133" s="957">
        <f t="shared" si="64"/>
        <v>285596.7171967827</v>
      </c>
      <c r="AI133" s="957">
        <f t="shared" si="64"/>
        <v>2250.3686957493946</v>
      </c>
      <c r="AJ133" s="957">
        <f t="shared" si="64"/>
        <v>48786.124205123429</v>
      </c>
      <c r="AK133" s="957">
        <f t="shared" si="64"/>
        <v>40884.930795048102</v>
      </c>
      <c r="AL133" s="957">
        <f t="shared" si="64"/>
        <v>0</v>
      </c>
      <c r="AM133" s="957">
        <f t="shared" si="64"/>
        <v>4220.131084363994</v>
      </c>
      <c r="AN133" s="957">
        <f t="shared" si="64"/>
        <v>7458.562636176368</v>
      </c>
      <c r="AO133" s="957">
        <f t="shared" si="64"/>
        <v>50148.61294909237</v>
      </c>
      <c r="AP133" s="957">
        <f t="shared" si="64"/>
        <v>7401.4584056108961</v>
      </c>
      <c r="AQ133" s="957">
        <f t="shared" si="64"/>
        <v>48585.579297365315</v>
      </c>
      <c r="AR133" s="957">
        <f t="shared" si="64"/>
        <v>112.76202344307407</v>
      </c>
      <c r="AS133" s="957">
        <f t="shared" si="64"/>
        <v>71106.051742589218</v>
      </c>
      <c r="AT133" s="957">
        <f t="shared" si="64"/>
        <v>60098.908962783244</v>
      </c>
      <c r="AU133" s="957">
        <f t="shared" si="64"/>
        <v>80253.288630290554</v>
      </c>
      <c r="AV133" s="957">
        <f t="shared" si="64"/>
        <v>115139.80749214182</v>
      </c>
      <c r="AW133" s="957">
        <f t="shared" si="64"/>
        <v>292535.34513508412</v>
      </c>
      <c r="AX133" s="957">
        <f t="shared" si="64"/>
        <v>2392.1167454152883</v>
      </c>
      <c r="AY133" s="957">
        <f t="shared" si="64"/>
        <v>645910.05287408305</v>
      </c>
      <c r="AZ133" s="957">
        <f t="shared" si="64"/>
        <v>21346.369006668981</v>
      </c>
      <c r="BA133" s="957">
        <f t="shared" si="64"/>
        <v>373641.44679975515</v>
      </c>
      <c r="BB133" s="957">
        <f t="shared" si="64"/>
        <v>1381011.9285375294</v>
      </c>
      <c r="BC133" s="956">
        <f>SUM(BC130:BC132)</f>
        <v>0</v>
      </c>
      <c r="BD133" s="955">
        <f>SUM(BD130:BD132)</f>
        <v>0</v>
      </c>
      <c r="BE133" s="955">
        <f t="shared" ref="BE133:BK133" si="65">SUM(BE130:BE132)</f>
        <v>0</v>
      </c>
      <c r="BF133" s="955">
        <f t="shared" si="65"/>
        <v>0</v>
      </c>
      <c r="BG133" s="955">
        <f t="shared" si="65"/>
        <v>0</v>
      </c>
      <c r="BH133" s="955">
        <f t="shared" si="65"/>
        <v>0</v>
      </c>
      <c r="BI133" s="955">
        <f t="shared" si="65"/>
        <v>0</v>
      </c>
      <c r="BJ133" s="955">
        <f t="shared" si="65"/>
        <v>0</v>
      </c>
      <c r="BK133" s="955">
        <f t="shared" si="65"/>
        <v>0</v>
      </c>
      <c r="BL133" s="76">
        <f t="shared" si="62"/>
        <v>3906013.9444836178</v>
      </c>
      <c r="BM133" s="76">
        <f t="shared" si="63"/>
        <v>-115709.00419858005</v>
      </c>
    </row>
    <row r="134" spans="1:65" x14ac:dyDescent="0.25">
      <c r="A134" s="1"/>
      <c r="B134" s="1"/>
      <c r="C134" s="1"/>
      <c r="D134" s="698"/>
      <c r="E134" s="698"/>
      <c r="F134" s="698"/>
      <c r="G134" s="698"/>
      <c r="H134" s="698"/>
      <c r="I134" s="688"/>
      <c r="J134" s="942"/>
      <c r="K134" s="942"/>
      <c r="L134" s="942"/>
      <c r="M134" s="942"/>
      <c r="N134" s="942"/>
      <c r="O134" s="942"/>
      <c r="P134" s="942"/>
      <c r="Q134" s="942"/>
      <c r="R134" s="942"/>
      <c r="S134" s="942"/>
      <c r="T134" s="942"/>
      <c r="U134" s="942"/>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2"/>
      <c r="AX134" s="942"/>
      <c r="AY134" s="942"/>
      <c r="AZ134" s="942"/>
      <c r="BA134" s="942"/>
      <c r="BB134" s="942"/>
      <c r="BC134" s="688"/>
      <c r="BD134" s="698"/>
      <c r="BE134" s="698"/>
      <c r="BF134" s="698"/>
      <c r="BG134" s="698"/>
      <c r="BH134" s="698"/>
      <c r="BI134" s="698"/>
      <c r="BJ134" s="698"/>
      <c r="BK134" s="698"/>
      <c r="BL134" s="698"/>
      <c r="BM134" s="698"/>
    </row>
    <row r="135" spans="1:65" x14ac:dyDescent="0.25">
      <c r="A135" s="1"/>
      <c r="B135" s="1"/>
      <c r="C135" s="1"/>
      <c r="D135" s="698"/>
      <c r="E135" s="698"/>
      <c r="F135" s="698"/>
      <c r="G135" s="698"/>
      <c r="H135" s="698"/>
      <c r="I135" s="688"/>
      <c r="J135" s="942"/>
      <c r="K135" s="942"/>
      <c r="L135" s="942"/>
      <c r="M135" s="942"/>
      <c r="N135" s="942"/>
      <c r="O135" s="942"/>
      <c r="P135" s="942"/>
      <c r="Q135" s="942"/>
      <c r="R135" s="942"/>
      <c r="S135" s="942"/>
      <c r="T135" s="942"/>
      <c r="U135" s="942"/>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2"/>
      <c r="AX135" s="942"/>
      <c r="AY135" s="942"/>
      <c r="AZ135" s="942"/>
      <c r="BA135" s="942"/>
      <c r="BB135" s="942"/>
      <c r="BC135" s="688"/>
      <c r="BD135" s="698"/>
      <c r="BE135" s="698"/>
      <c r="BF135" s="698"/>
      <c r="BG135" s="698"/>
      <c r="BH135" s="698"/>
      <c r="BI135" s="698"/>
      <c r="BJ135" s="698"/>
      <c r="BK135" s="698"/>
      <c r="BL135" s="698"/>
      <c r="BM135" s="698"/>
    </row>
    <row r="136" spans="1:65" x14ac:dyDescent="0.25">
      <c r="A136" s="1"/>
      <c r="B136" s="1"/>
      <c r="C136" s="1"/>
      <c r="D136" s="698"/>
      <c r="E136" s="698"/>
      <c r="F136" s="698"/>
      <c r="G136" s="698"/>
      <c r="H136" s="698"/>
      <c r="I136" s="688"/>
      <c r="J136" s="942"/>
      <c r="K136" s="942"/>
      <c r="L136" s="942"/>
      <c r="M136" s="942"/>
      <c r="N136" s="942"/>
      <c r="O136" s="942"/>
      <c r="P136" s="942"/>
      <c r="Q136" s="942"/>
      <c r="R136" s="942"/>
      <c r="S136" s="942"/>
      <c r="T136" s="942"/>
      <c r="U136" s="942"/>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2"/>
      <c r="AX136" s="942"/>
      <c r="AY136" s="942"/>
      <c r="AZ136" s="942"/>
      <c r="BA136" s="942"/>
      <c r="BB136" s="942"/>
      <c r="BC136" s="688"/>
      <c r="BD136" s="698"/>
      <c r="BE136" s="698"/>
      <c r="BF136" s="698"/>
      <c r="BG136" s="698"/>
      <c r="BH136" s="698"/>
      <c r="BI136" s="698"/>
      <c r="BJ136" s="698"/>
      <c r="BK136" s="698"/>
      <c r="BL136" s="698"/>
      <c r="BM136" s="698"/>
    </row>
    <row r="137" spans="1:65" s="938" customFormat="1" ht="15.75" thickBot="1" x14ac:dyDescent="0.3">
      <c r="A137" s="933" t="str">
        <f>'Cost Allocation - Tier 1'!A126</f>
        <v>Total Costs Allocated including mark up</v>
      </c>
      <c r="B137" s="933"/>
      <c r="C137" s="933"/>
      <c r="D137" s="934">
        <f t="shared" ref="D137:BK137" si="66">D133+D127+D108</f>
        <v>28733638.799369998</v>
      </c>
      <c r="E137" s="934">
        <f t="shared" si="66"/>
        <v>21655727.461784855</v>
      </c>
      <c r="F137" s="934">
        <f t="shared" si="66"/>
        <v>3726631.1434019431</v>
      </c>
      <c r="G137" s="934">
        <f t="shared" si="66"/>
        <v>22486016.962249223</v>
      </c>
      <c r="H137" s="934">
        <f t="shared" si="66"/>
        <v>132835.08270087352</v>
      </c>
      <c r="I137" s="935">
        <f t="shared" si="66"/>
        <v>13886560.366188888</v>
      </c>
      <c r="J137" s="936">
        <f t="shared" si="66"/>
        <v>143311.82545442111</v>
      </c>
      <c r="K137" s="936">
        <f t="shared" si="66"/>
        <v>38586.360950924944</v>
      </c>
      <c r="L137" s="936">
        <f t="shared" si="66"/>
        <v>38196.962803378039</v>
      </c>
      <c r="M137" s="936">
        <f t="shared" si="66"/>
        <v>46681.139920317102</v>
      </c>
      <c r="N137" s="936">
        <f t="shared" si="66"/>
        <v>69083.979302774955</v>
      </c>
      <c r="O137" s="936">
        <f t="shared" si="66"/>
        <v>182792.38048785334</v>
      </c>
      <c r="P137" s="936">
        <f t="shared" si="66"/>
        <v>22841.583857575963</v>
      </c>
      <c r="Q137" s="936">
        <f t="shared" si="66"/>
        <v>63225.274245449255</v>
      </c>
      <c r="R137" s="936">
        <f t="shared" si="66"/>
        <v>54822.280245079397</v>
      </c>
      <c r="S137" s="936">
        <f t="shared" si="66"/>
        <v>55769.916786453796</v>
      </c>
      <c r="T137" s="936">
        <f t="shared" si="66"/>
        <v>206028.24378276043</v>
      </c>
      <c r="U137" s="936">
        <f t="shared" si="66"/>
        <v>163209.44474034282</v>
      </c>
      <c r="V137" s="936">
        <f t="shared" si="66"/>
        <v>101315.68601681042</v>
      </c>
      <c r="W137" s="936">
        <f t="shared" si="66"/>
        <v>164928.64668953494</v>
      </c>
      <c r="X137" s="936">
        <f t="shared" si="66"/>
        <v>4890.7099532380043</v>
      </c>
      <c r="Y137" s="936">
        <f t="shared" si="66"/>
        <v>3567.5922250310268</v>
      </c>
      <c r="Z137" s="936">
        <f t="shared" si="66"/>
        <v>15630.587583396422</v>
      </c>
      <c r="AA137" s="936">
        <f t="shared" si="66"/>
        <v>13913.761636149826</v>
      </c>
      <c r="AB137" s="936">
        <f t="shared" si="66"/>
        <v>8179.5621549149109</v>
      </c>
      <c r="AC137" s="936">
        <f t="shared" si="66"/>
        <v>9610.6130620072636</v>
      </c>
      <c r="AD137" s="936">
        <f t="shared" si="66"/>
        <v>63152.415022908128</v>
      </c>
      <c r="AE137" s="936">
        <f t="shared" si="66"/>
        <v>23572.879086107074</v>
      </c>
      <c r="AF137" s="936">
        <f t="shared" si="66"/>
        <v>113966.78742113811</v>
      </c>
      <c r="AG137" s="936">
        <f t="shared" si="66"/>
        <v>138499.00568428525</v>
      </c>
      <c r="AH137" s="936">
        <f t="shared" si="66"/>
        <v>1366548.9883429694</v>
      </c>
      <c r="AI137" s="936">
        <f t="shared" si="66"/>
        <v>12093.095403168612</v>
      </c>
      <c r="AJ137" s="936">
        <f t="shared" si="66"/>
        <v>442889.59884452703</v>
      </c>
      <c r="AK137" s="936">
        <f t="shared" si="66"/>
        <v>375995.4627841012</v>
      </c>
      <c r="AL137" s="936">
        <f t="shared" si="66"/>
        <v>0</v>
      </c>
      <c r="AM137" s="936">
        <f t="shared" si="66"/>
        <v>20660.035820203379</v>
      </c>
      <c r="AN137" s="936">
        <f t="shared" si="66"/>
        <v>73133.564765025454</v>
      </c>
      <c r="AO137" s="936">
        <f t="shared" si="66"/>
        <v>459151.54759858141</v>
      </c>
      <c r="AP137" s="936">
        <f t="shared" si="66"/>
        <v>68662.472390232884</v>
      </c>
      <c r="AQ137" s="936">
        <f t="shared" si="66"/>
        <v>166403.08804822154</v>
      </c>
      <c r="AR137" s="936">
        <f t="shared" si="66"/>
        <v>527.57391952383136</v>
      </c>
      <c r="AS137" s="936">
        <f t="shared" si="66"/>
        <v>245697.72975011112</v>
      </c>
      <c r="AT137" s="936">
        <f t="shared" si="66"/>
        <v>202819.327783602</v>
      </c>
      <c r="AU137" s="936">
        <f t="shared" si="66"/>
        <v>287489.95607131819</v>
      </c>
      <c r="AV137" s="936">
        <f t="shared" si="66"/>
        <v>400768.99952536612</v>
      </c>
      <c r="AW137" s="936">
        <f t="shared" si="66"/>
        <v>1029772.5716949308</v>
      </c>
      <c r="AX137" s="936">
        <f t="shared" si="66"/>
        <v>11191.874434343074</v>
      </c>
      <c r="AY137" s="936">
        <f t="shared" si="66"/>
        <v>1876020.4571122485</v>
      </c>
      <c r="AZ137" s="936">
        <f t="shared" si="66"/>
        <v>64455.489927806411</v>
      </c>
      <c r="BA137" s="936">
        <f t="shared" si="66"/>
        <v>1116776.4444178664</v>
      </c>
      <c r="BB137" s="936">
        <f t="shared" si="66"/>
        <v>3919724.4484418882</v>
      </c>
      <c r="BC137" s="935">
        <f>BC133+BC127+BC108</f>
        <v>8113712.4617074635</v>
      </c>
      <c r="BD137" s="936">
        <f t="shared" si="66"/>
        <v>1310307.0827963736</v>
      </c>
      <c r="BE137" s="936">
        <f t="shared" si="66"/>
        <v>1218041.0666667544</v>
      </c>
      <c r="BF137" s="936">
        <f t="shared" si="66"/>
        <v>687992.87651273631</v>
      </c>
      <c r="BG137" s="936">
        <f t="shared" si="66"/>
        <v>1541783.4420203664</v>
      </c>
      <c r="BH137" s="936">
        <f t="shared" si="66"/>
        <v>1154430.2420147436</v>
      </c>
      <c r="BI137" s="936">
        <f t="shared" si="66"/>
        <v>758185.37541066937</v>
      </c>
      <c r="BJ137" s="936">
        <f t="shared" si="66"/>
        <v>240562.52958380603</v>
      </c>
      <c r="BK137" s="936">
        <f t="shared" si="66"/>
        <v>1202409.8467020125</v>
      </c>
      <c r="BL137" s="76">
        <f t="shared" ref="BL137" si="67">BC137+I137+H137</f>
        <v>22133107.910597224</v>
      </c>
      <c r="BM137" s="76">
        <f t="shared" ref="BM137" si="68">BL137-G137</f>
        <v>-352909.05165199935</v>
      </c>
    </row>
    <row r="138" spans="1:65" x14ac:dyDescent="0.25">
      <c r="A138" s="1"/>
      <c r="B138" s="1"/>
      <c r="C138" s="1"/>
      <c r="D138" s="698"/>
      <c r="E138" s="698"/>
      <c r="F138" s="698"/>
      <c r="G138" s="698"/>
      <c r="H138" s="888">
        <f>'Cost Allocation - Tier 1'!H127</f>
        <v>6.0016461871255202E-3</v>
      </c>
      <c r="I138" s="692">
        <f>'Cost Allocation - Tier 1'!I127</f>
        <v>0.62741122585590747</v>
      </c>
      <c r="J138" s="752"/>
      <c r="K138" s="752"/>
      <c r="L138" s="752"/>
      <c r="M138" s="752"/>
      <c r="N138" s="752"/>
      <c r="O138" s="752"/>
      <c r="P138" s="752"/>
      <c r="Q138" s="752"/>
      <c r="R138" s="752"/>
      <c r="S138" s="752"/>
      <c r="T138" s="752"/>
      <c r="U138" s="752"/>
      <c r="V138" s="752"/>
      <c r="W138" s="752"/>
      <c r="X138" s="752"/>
      <c r="Y138" s="752"/>
      <c r="Z138" s="752"/>
      <c r="AA138" s="752"/>
      <c r="AB138" s="752"/>
      <c r="AC138" s="752"/>
      <c r="AD138" s="752"/>
      <c r="AE138" s="752"/>
      <c r="AF138" s="752"/>
      <c r="AG138" s="752"/>
      <c r="AH138" s="752"/>
      <c r="AI138" s="752"/>
      <c r="AJ138" s="752"/>
      <c r="AK138" s="752"/>
      <c r="AL138" s="752"/>
      <c r="AM138" s="752"/>
      <c r="AN138" s="752"/>
      <c r="AO138" s="752"/>
      <c r="AP138" s="752"/>
      <c r="AQ138" s="752"/>
      <c r="AR138" s="752"/>
      <c r="AS138" s="752"/>
      <c r="AT138" s="752"/>
      <c r="AU138" s="752"/>
      <c r="AV138" s="752"/>
      <c r="AW138" s="752"/>
      <c r="AX138" s="752"/>
      <c r="AY138" s="752"/>
      <c r="AZ138" s="752"/>
      <c r="BA138" s="752"/>
      <c r="BB138" s="752"/>
      <c r="BC138" s="692">
        <f>'Cost Allocation - Tier 1'!BC127</f>
        <v>0.36658712795696696</v>
      </c>
      <c r="BD138" s="888"/>
      <c r="BE138" s="888"/>
      <c r="BF138" s="888"/>
      <c r="BG138" s="888"/>
      <c r="BH138" s="888"/>
      <c r="BI138" s="888"/>
      <c r="BJ138" s="888"/>
      <c r="BK138" s="888"/>
      <c r="BL138" s="888">
        <f>'Cost Allocation - Tier 1'!BL127</f>
        <v>1</v>
      </c>
      <c r="BM138" s="888">
        <f>'Cost Allocation - Tier 1'!BM127</f>
        <v>0</v>
      </c>
    </row>
    <row r="139" spans="1:65" x14ac:dyDescent="0.25">
      <c r="A139" s="1"/>
      <c r="B139" s="1"/>
      <c r="C139" s="1"/>
      <c r="D139" s="698"/>
      <c r="E139" s="698"/>
      <c r="F139" s="698"/>
      <c r="G139" s="698"/>
      <c r="H139" s="698"/>
      <c r="I139" s="688"/>
      <c r="J139" s="942"/>
      <c r="K139" s="942"/>
      <c r="L139" s="942"/>
      <c r="M139" s="942"/>
      <c r="N139" s="942"/>
      <c r="O139" s="942"/>
      <c r="P139" s="942"/>
      <c r="Q139" s="942"/>
      <c r="R139" s="942"/>
      <c r="S139" s="942"/>
      <c r="T139" s="942"/>
      <c r="U139" s="942"/>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c r="AV139" s="942"/>
      <c r="AW139" s="942"/>
      <c r="AX139" s="942"/>
      <c r="AY139" s="942"/>
      <c r="AZ139" s="942"/>
      <c r="BA139" s="942"/>
      <c r="BB139" s="942"/>
      <c r="BC139" s="688"/>
      <c r="BD139" s="698"/>
      <c r="BE139" s="698"/>
      <c r="BF139" s="698"/>
      <c r="BG139" s="698"/>
      <c r="BH139" s="698"/>
      <c r="BI139" s="698"/>
      <c r="BJ139" s="698"/>
      <c r="BK139" s="698"/>
      <c r="BL139" s="698"/>
      <c r="BM139" s="698"/>
    </row>
    <row r="140" spans="1:65" x14ac:dyDescent="0.25">
      <c r="A140" s="1" t="str">
        <f>'Cost Allocation - Tier 1'!A129</f>
        <v>Without markup</v>
      </c>
      <c r="B140" s="1"/>
      <c r="C140" s="1"/>
      <c r="D140" s="698">
        <f>D62</f>
        <v>28733638.799369998</v>
      </c>
      <c r="E140" s="698">
        <f>E62</f>
        <v>21655727.461784855</v>
      </c>
      <c r="F140" s="698">
        <f>F21</f>
        <v>3101443.2896452448</v>
      </c>
      <c r="G140" s="698">
        <f>E140</f>
        <v>21655727.461784855</v>
      </c>
      <c r="H140" s="698">
        <f>H62</f>
        <v>126859.85619860872</v>
      </c>
      <c r="I140" s="688">
        <f>I62</f>
        <v>13749252.803617489</v>
      </c>
      <c r="J140" s="698">
        <f t="shared" ref="J140:BK140" si="69">J62</f>
        <v>143189.15587127442</v>
      </c>
      <c r="K140" s="698">
        <f t="shared" si="69"/>
        <v>38550.172748927136</v>
      </c>
      <c r="L140" s="698">
        <f t="shared" si="69"/>
        <v>38159.082404249479</v>
      </c>
      <c r="M140" s="698">
        <f t="shared" si="69"/>
        <v>46644.407131184729</v>
      </c>
      <c r="N140" s="698">
        <f t="shared" si="69"/>
        <v>69020.331138197638</v>
      </c>
      <c r="O140" s="698">
        <f t="shared" si="69"/>
        <v>182645.88312786398</v>
      </c>
      <c r="P140" s="698">
        <f t="shared" si="69"/>
        <v>22823.833488050692</v>
      </c>
      <c r="Q140" s="698">
        <f t="shared" si="69"/>
        <v>63178.166842300256</v>
      </c>
      <c r="R140" s="698">
        <f t="shared" si="69"/>
        <v>54781.959580621369</v>
      </c>
      <c r="S140" s="698">
        <f t="shared" si="69"/>
        <v>55728.460875106262</v>
      </c>
      <c r="T140" s="698">
        <f t="shared" si="69"/>
        <v>205877.92750649957</v>
      </c>
      <c r="U140" s="698">
        <f t="shared" si="69"/>
        <v>163089.48425265576</v>
      </c>
      <c r="V140" s="698">
        <f t="shared" si="69"/>
        <v>101220.80124703371</v>
      </c>
      <c r="W140" s="698">
        <f t="shared" si="69"/>
        <v>164776.31171907979</v>
      </c>
      <c r="X140" s="698">
        <f t="shared" si="69"/>
        <v>4886.9583098054072</v>
      </c>
      <c r="Y140" s="698">
        <f t="shared" si="69"/>
        <v>3564.6447563319343</v>
      </c>
      <c r="Z140" s="698">
        <f t="shared" si="69"/>
        <v>15616.402186032494</v>
      </c>
      <c r="AA140" s="698">
        <f t="shared" si="69"/>
        <v>13900.810715349604</v>
      </c>
      <c r="AB140" s="698">
        <f t="shared" si="69"/>
        <v>8171.7783738185944</v>
      </c>
      <c r="AC140" s="698">
        <f t="shared" si="69"/>
        <v>9602.6009815823527</v>
      </c>
      <c r="AD140" s="698">
        <f t="shared" si="69"/>
        <v>63106.603685608774</v>
      </c>
      <c r="AE140" s="698">
        <f t="shared" si="69"/>
        <v>23554.576621584238</v>
      </c>
      <c r="AF140" s="698">
        <f t="shared" si="69"/>
        <v>113919.07381056616</v>
      </c>
      <c r="AG140" s="698">
        <f t="shared" si="69"/>
        <v>138349.54090293378</v>
      </c>
      <c r="AH140" s="698">
        <f t="shared" si="69"/>
        <v>1365342.5490327431</v>
      </c>
      <c r="AI140" s="698">
        <f t="shared" si="69"/>
        <v>12084.630035771745</v>
      </c>
      <c r="AJ140" s="698">
        <f t="shared" si="69"/>
        <v>442709.60674969247</v>
      </c>
      <c r="AK140" s="698">
        <f t="shared" si="69"/>
        <v>375841.04194136075</v>
      </c>
      <c r="AL140" s="698">
        <f t="shared" si="69"/>
        <v>0</v>
      </c>
      <c r="AM140" s="698">
        <f t="shared" si="69"/>
        <v>20641.454868115583</v>
      </c>
      <c r="AN140" s="698">
        <f t="shared" si="69"/>
        <v>73102.031479915837</v>
      </c>
      <c r="AO140" s="698">
        <f t="shared" si="69"/>
        <v>458963.64622790384</v>
      </c>
      <c r="AP140" s="698">
        <f t="shared" si="69"/>
        <v>68634.076460939992</v>
      </c>
      <c r="AQ140" s="698">
        <f t="shared" si="69"/>
        <v>166224.14916625939</v>
      </c>
      <c r="AR140" s="698">
        <f t="shared" si="69"/>
        <v>527.04463912858068</v>
      </c>
      <c r="AS140" s="698">
        <f t="shared" si="69"/>
        <v>245434.17834540908</v>
      </c>
      <c r="AT140" s="698">
        <f t="shared" si="69"/>
        <v>202600.3163150296</v>
      </c>
      <c r="AU140" s="698">
        <f t="shared" si="69"/>
        <v>287185.03044584946</v>
      </c>
      <c r="AV140" s="698">
        <f t="shared" si="69"/>
        <v>400339.64412722638</v>
      </c>
      <c r="AW140" s="698">
        <f t="shared" si="69"/>
        <v>1028673.7217653049</v>
      </c>
      <c r="AX140" s="698">
        <f t="shared" si="69"/>
        <v>11180.646358987204</v>
      </c>
      <c r="AY140" s="698">
        <f t="shared" si="69"/>
        <v>1795034.1371678491</v>
      </c>
      <c r="AZ140" s="698">
        <f t="shared" si="69"/>
        <v>61757.477364268372</v>
      </c>
      <c r="BA140" s="698">
        <f t="shared" si="69"/>
        <v>1068894.0044071905</v>
      </c>
      <c r="BB140" s="698">
        <f t="shared" si="69"/>
        <v>3919724.4484418882</v>
      </c>
      <c r="BC140" s="688">
        <f>BC62</f>
        <v>7779614.8019687599</v>
      </c>
      <c r="BD140" s="698">
        <f t="shared" si="69"/>
        <v>1257086.5034834347</v>
      </c>
      <c r="BE140" s="698">
        <f t="shared" si="69"/>
        <v>1168568.0446201903</v>
      </c>
      <c r="BF140" s="698">
        <f t="shared" si="69"/>
        <v>660048.75567883183</v>
      </c>
      <c r="BG140" s="698">
        <f t="shared" si="69"/>
        <v>1479161.0163029504</v>
      </c>
      <c r="BH140" s="698">
        <f t="shared" si="69"/>
        <v>1107540.892897222</v>
      </c>
      <c r="BI140" s="698">
        <f t="shared" si="69"/>
        <v>727390.25460598059</v>
      </c>
      <c r="BJ140" s="698">
        <f t="shared" si="69"/>
        <v>230791.63133138037</v>
      </c>
      <c r="BK140" s="698">
        <f t="shared" si="69"/>
        <v>1149027.7030487694</v>
      </c>
      <c r="BL140" s="76">
        <f t="shared" ref="BL140" si="70">BC140+I140+H140</f>
        <v>21655727.461784858</v>
      </c>
      <c r="BM140" s="76">
        <f>BL140-G140</f>
        <v>0</v>
      </c>
    </row>
    <row r="141" spans="1:65" x14ac:dyDescent="0.25">
      <c r="A141" s="1" t="str">
        <f>'Cost Allocation - Tier 1'!A130</f>
        <v>Delta = markup</v>
      </c>
      <c r="B141" s="1"/>
      <c r="C141" s="1"/>
      <c r="D141" s="698">
        <f t="shared" ref="D141:BK141" si="71">D137-D140</f>
        <v>0</v>
      </c>
      <c r="E141" s="698">
        <f t="shared" si="71"/>
        <v>0</v>
      </c>
      <c r="F141" s="698">
        <f t="shared" si="71"/>
        <v>625187.85375669831</v>
      </c>
      <c r="G141" s="698">
        <f t="shared" si="71"/>
        <v>830289.50046436861</v>
      </c>
      <c r="H141" s="698">
        <f t="shared" si="71"/>
        <v>5975.2265022648062</v>
      </c>
      <c r="I141" s="688">
        <f t="shared" si="71"/>
        <v>137307.56257139891</v>
      </c>
      <c r="J141" s="698">
        <f t="shared" si="71"/>
        <v>122.66958314669318</v>
      </c>
      <c r="K141" s="698">
        <f t="shared" si="71"/>
        <v>36.188201997807482</v>
      </c>
      <c r="L141" s="698">
        <f t="shared" si="71"/>
        <v>37.880399128560384</v>
      </c>
      <c r="M141" s="698">
        <f t="shared" si="71"/>
        <v>36.732789132373</v>
      </c>
      <c r="N141" s="698">
        <f t="shared" si="71"/>
        <v>63.648164577316493</v>
      </c>
      <c r="O141" s="698">
        <f t="shared" si="71"/>
        <v>146.49735998935648</v>
      </c>
      <c r="P141" s="698">
        <f t="shared" si="71"/>
        <v>17.750369525270798</v>
      </c>
      <c r="Q141" s="698">
        <f t="shared" si="71"/>
        <v>47.107403148998856</v>
      </c>
      <c r="R141" s="698">
        <f t="shared" si="71"/>
        <v>40.32066445802775</v>
      </c>
      <c r="S141" s="698">
        <f t="shared" si="71"/>
        <v>41.455911347533402</v>
      </c>
      <c r="T141" s="698">
        <f t="shared" si="71"/>
        <v>150.31627626085537</v>
      </c>
      <c r="U141" s="698">
        <f t="shared" si="71"/>
        <v>119.96048768705805</v>
      </c>
      <c r="V141" s="698">
        <f t="shared" si="71"/>
        <v>94.88476977670507</v>
      </c>
      <c r="W141" s="698">
        <f t="shared" si="71"/>
        <v>152.33497045515105</v>
      </c>
      <c r="X141" s="698">
        <f t="shared" si="71"/>
        <v>3.7516434325971204</v>
      </c>
      <c r="Y141" s="698">
        <f t="shared" si="71"/>
        <v>2.9474686990924965</v>
      </c>
      <c r="Z141" s="698">
        <f t="shared" si="71"/>
        <v>14.185397363928132</v>
      </c>
      <c r="AA141" s="698">
        <f t="shared" si="71"/>
        <v>12.950920800221866</v>
      </c>
      <c r="AB141" s="698">
        <f t="shared" si="71"/>
        <v>7.7837810963164884</v>
      </c>
      <c r="AC141" s="698">
        <f t="shared" si="71"/>
        <v>8.0120804249108915</v>
      </c>
      <c r="AD141" s="698">
        <f t="shared" si="71"/>
        <v>45.811337299353909</v>
      </c>
      <c r="AE141" s="698">
        <f t="shared" si="71"/>
        <v>18.30246452283609</v>
      </c>
      <c r="AF141" s="698">
        <f t="shared" si="71"/>
        <v>47.713610571954632</v>
      </c>
      <c r="AG141" s="698">
        <f t="shared" si="71"/>
        <v>149.46478135147481</v>
      </c>
      <c r="AH141" s="698">
        <f t="shared" si="71"/>
        <v>1206.4393102263566</v>
      </c>
      <c r="AI141" s="698">
        <f t="shared" si="71"/>
        <v>8.4653673968678049</v>
      </c>
      <c r="AJ141" s="698">
        <f t="shared" si="71"/>
        <v>179.99209483456798</v>
      </c>
      <c r="AK141" s="698">
        <f t="shared" si="71"/>
        <v>154.42084274045192</v>
      </c>
      <c r="AL141" s="698">
        <f t="shared" si="71"/>
        <v>0</v>
      </c>
      <c r="AM141" s="698">
        <f t="shared" si="71"/>
        <v>18.580952087795595</v>
      </c>
      <c r="AN141" s="698">
        <f t="shared" si="71"/>
        <v>31.533285109617282</v>
      </c>
      <c r="AO141" s="698">
        <f t="shared" si="71"/>
        <v>187.90137067757314</v>
      </c>
      <c r="AP141" s="698">
        <f t="shared" si="71"/>
        <v>28.395929292892106</v>
      </c>
      <c r="AQ141" s="698">
        <f t="shared" si="71"/>
        <v>178.93888196215266</v>
      </c>
      <c r="AR141" s="698">
        <f t="shared" si="71"/>
        <v>0.52928039525068016</v>
      </c>
      <c r="AS141" s="698">
        <f t="shared" si="71"/>
        <v>263.5514047020406</v>
      </c>
      <c r="AT141" s="698">
        <f t="shared" si="71"/>
        <v>219.01146857239655</v>
      </c>
      <c r="AU141" s="698">
        <f t="shared" si="71"/>
        <v>304.92562546872068</v>
      </c>
      <c r="AV141" s="698">
        <f t="shared" si="71"/>
        <v>429.35539813974174</v>
      </c>
      <c r="AW141" s="698">
        <f t="shared" si="71"/>
        <v>1098.8499296258669</v>
      </c>
      <c r="AX141" s="698">
        <f t="shared" si="71"/>
        <v>11.228075355869805</v>
      </c>
      <c r="AY141" s="698">
        <f t="shared" si="71"/>
        <v>80986.319944399409</v>
      </c>
      <c r="AZ141" s="698">
        <f t="shared" si="71"/>
        <v>2698.0125635380391</v>
      </c>
      <c r="BA141" s="698">
        <f t="shared" si="71"/>
        <v>47882.440010675928</v>
      </c>
      <c r="BB141" s="698">
        <f t="shared" si="71"/>
        <v>0</v>
      </c>
      <c r="BC141" s="688">
        <f t="shared" si="71"/>
        <v>334097.65973870363</v>
      </c>
      <c r="BD141" s="698">
        <f t="shared" si="71"/>
        <v>53220.579312938964</v>
      </c>
      <c r="BE141" s="698">
        <f t="shared" si="71"/>
        <v>49473.022046564147</v>
      </c>
      <c r="BF141" s="698">
        <f t="shared" si="71"/>
        <v>27944.120833904482</v>
      </c>
      <c r="BG141" s="698">
        <f t="shared" si="71"/>
        <v>62622.425717415987</v>
      </c>
      <c r="BH141" s="698">
        <f t="shared" si="71"/>
        <v>46889.349117521662</v>
      </c>
      <c r="BI141" s="698">
        <f t="shared" si="71"/>
        <v>30795.120804688777</v>
      </c>
      <c r="BJ141" s="698">
        <f t="shared" si="71"/>
        <v>9770.8982524256571</v>
      </c>
      <c r="BK141" s="698">
        <f t="shared" si="71"/>
        <v>53382.143653243082</v>
      </c>
      <c r="BL141" s="698">
        <f>'Cost Allocation - Tier 1'!BL130</f>
        <v>477380.44881236443</v>
      </c>
      <c r="BM141" s="76">
        <f t="shared" ref="BM141" si="72">BL141-G141</f>
        <v>-352909.05165200419</v>
      </c>
    </row>
    <row r="142" spans="1:65" x14ac:dyDescent="0.25">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row>
    <row r="143" spans="1:65" s="83" customFormat="1" x14ac:dyDescent="0.25">
      <c r="A143" s="959" t="s">
        <v>950</v>
      </c>
      <c r="B143" s="960"/>
      <c r="C143" s="960"/>
      <c r="D143" s="961">
        <f>D137-D125</f>
        <v>28586681.762229998</v>
      </c>
      <c r="E143" s="961">
        <f>E137-E125</f>
        <v>21544969.461784855</v>
      </c>
      <c r="F143" s="961">
        <f>F137-F125</f>
        <v>3726631.1434019431</v>
      </c>
      <c r="G143" s="961">
        <f>G137-G125</f>
        <v>22375258.962249223</v>
      </c>
      <c r="H143" s="961">
        <f>H137-H125</f>
        <v>132835.08270087352</v>
      </c>
      <c r="I143" s="962">
        <f>SUM(J143:BB143)</f>
        <v>13775802.366188888</v>
      </c>
      <c r="J143" s="961">
        <f>J137-J125</f>
        <v>143311.82545442111</v>
      </c>
      <c r="K143" s="961">
        <f t="shared" ref="K143:BK143" si="73">K137-K125</f>
        <v>38586.360950924944</v>
      </c>
      <c r="L143" s="961">
        <f t="shared" si="73"/>
        <v>38196.962803378039</v>
      </c>
      <c r="M143" s="961">
        <f t="shared" si="73"/>
        <v>46681.139920317102</v>
      </c>
      <c r="N143" s="961">
        <f t="shared" si="73"/>
        <v>69083.979302774955</v>
      </c>
      <c r="O143" s="961">
        <f t="shared" si="73"/>
        <v>182792.38048785334</v>
      </c>
      <c r="P143" s="961">
        <f t="shared" si="73"/>
        <v>22841.583857575963</v>
      </c>
      <c r="Q143" s="961">
        <f t="shared" si="73"/>
        <v>63225.274245449255</v>
      </c>
      <c r="R143" s="961">
        <f t="shared" si="73"/>
        <v>54822.280245079397</v>
      </c>
      <c r="S143" s="961">
        <f t="shared" si="73"/>
        <v>55769.916786453796</v>
      </c>
      <c r="T143" s="961">
        <f t="shared" si="73"/>
        <v>206028.24378276043</v>
      </c>
      <c r="U143" s="961">
        <f t="shared" si="73"/>
        <v>163209.44474034282</v>
      </c>
      <c r="V143" s="961">
        <f t="shared" si="73"/>
        <v>101315.68601681042</v>
      </c>
      <c r="W143" s="961">
        <f t="shared" si="73"/>
        <v>164928.64668953494</v>
      </c>
      <c r="X143" s="961">
        <f t="shared" si="73"/>
        <v>4890.7099532380043</v>
      </c>
      <c r="Y143" s="961">
        <f t="shared" si="73"/>
        <v>3567.5922250310268</v>
      </c>
      <c r="Z143" s="961">
        <f t="shared" si="73"/>
        <v>15630.587583396422</v>
      </c>
      <c r="AA143" s="961">
        <f t="shared" si="73"/>
        <v>13913.761636149826</v>
      </c>
      <c r="AB143" s="961">
        <f t="shared" si="73"/>
        <v>8179.5621549149109</v>
      </c>
      <c r="AC143" s="961">
        <f t="shared" si="73"/>
        <v>9610.6130620072636</v>
      </c>
      <c r="AD143" s="961">
        <f t="shared" si="73"/>
        <v>63152.415022908128</v>
      </c>
      <c r="AE143" s="961">
        <f t="shared" si="73"/>
        <v>23572.879086107074</v>
      </c>
      <c r="AF143" s="961">
        <f t="shared" si="73"/>
        <v>113966.78742113811</v>
      </c>
      <c r="AG143" s="961">
        <f t="shared" si="73"/>
        <v>138499.00568428525</v>
      </c>
      <c r="AH143" s="961">
        <f t="shared" si="73"/>
        <v>1366548.9883429694</v>
      </c>
      <c r="AI143" s="961">
        <f t="shared" si="73"/>
        <v>12093.095403168612</v>
      </c>
      <c r="AJ143" s="961">
        <f t="shared" si="73"/>
        <v>442889.59884452703</v>
      </c>
      <c r="AK143" s="961">
        <f t="shared" si="73"/>
        <v>375995.4627841012</v>
      </c>
      <c r="AL143" s="961">
        <f t="shared" si="73"/>
        <v>0</v>
      </c>
      <c r="AM143" s="961">
        <f t="shared" si="73"/>
        <v>20660.035820203379</v>
      </c>
      <c r="AN143" s="961">
        <f t="shared" si="73"/>
        <v>73133.564765025454</v>
      </c>
      <c r="AO143" s="961">
        <f t="shared" si="73"/>
        <v>459151.54759858141</v>
      </c>
      <c r="AP143" s="961">
        <f t="shared" si="73"/>
        <v>68662.472390232884</v>
      </c>
      <c r="AQ143" s="961">
        <f t="shared" si="73"/>
        <v>166403.08804822154</v>
      </c>
      <c r="AR143" s="961">
        <f t="shared" si="73"/>
        <v>527.57391952383136</v>
      </c>
      <c r="AS143" s="961">
        <f t="shared" si="73"/>
        <v>245697.72975011112</v>
      </c>
      <c r="AT143" s="961">
        <f t="shared" si="73"/>
        <v>202819.327783602</v>
      </c>
      <c r="AU143" s="961">
        <f t="shared" si="73"/>
        <v>287489.95607131819</v>
      </c>
      <c r="AV143" s="961">
        <f t="shared" si="73"/>
        <v>400768.99952536612</v>
      </c>
      <c r="AW143" s="961">
        <f t="shared" si="73"/>
        <v>1029772.5716949308</v>
      </c>
      <c r="AX143" s="961">
        <f t="shared" si="73"/>
        <v>11191.874434343074</v>
      </c>
      <c r="AY143" s="961">
        <f t="shared" si="73"/>
        <v>1847618.0334648699</v>
      </c>
      <c r="AZ143" s="961">
        <f t="shared" si="73"/>
        <v>63295.80567583759</v>
      </c>
      <c r="BA143" s="961">
        <f t="shared" si="73"/>
        <v>1098972.2958520991</v>
      </c>
      <c r="BB143" s="961">
        <f t="shared" si="73"/>
        <v>3856332.7049070029</v>
      </c>
      <c r="BC143" s="961">
        <f>SUM(BD143:BK143)</f>
        <v>8113712.4617074616</v>
      </c>
      <c r="BD143" s="961">
        <f t="shared" si="73"/>
        <v>1310307.0827963736</v>
      </c>
      <c r="BE143" s="961">
        <f t="shared" si="73"/>
        <v>1218041.0666667544</v>
      </c>
      <c r="BF143" s="961">
        <f t="shared" si="73"/>
        <v>687992.87651273631</v>
      </c>
      <c r="BG143" s="961">
        <f t="shared" si="73"/>
        <v>1541783.4420203664</v>
      </c>
      <c r="BH143" s="961">
        <f t="shared" si="73"/>
        <v>1154430.2420147436</v>
      </c>
      <c r="BI143" s="961">
        <f t="shared" si="73"/>
        <v>758185.37541066937</v>
      </c>
      <c r="BJ143" s="961">
        <f t="shared" si="73"/>
        <v>240562.52958380603</v>
      </c>
      <c r="BK143" s="961">
        <f t="shared" si="73"/>
        <v>1202409.8467020125</v>
      </c>
    </row>
    <row r="144" spans="1:65" x14ac:dyDescent="0.25">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row>
    <row r="145" spans="10:64" x14ac:dyDescent="0.25">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row>
    <row r="146" spans="10:64" x14ac:dyDescent="0.25">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row>
    <row r="147" spans="10:64" ht="15.75" thickBot="1" x14ac:dyDescent="0.3"/>
    <row r="148" spans="10:64" x14ac:dyDescent="0.25">
      <c r="BD148" s="919" t="s">
        <v>943</v>
      </c>
      <c r="BE148" s="16"/>
      <c r="BF148" s="16"/>
      <c r="BG148" s="16"/>
      <c r="BH148" s="16"/>
      <c r="BI148" s="16"/>
      <c r="BJ148" s="16"/>
      <c r="BK148" s="209"/>
    </row>
    <row r="149" spans="10:64" x14ac:dyDescent="0.25">
      <c r="BC149" s="637"/>
      <c r="BD149" s="920">
        <f>BD137-'Cost Allocation - Tier 1'!BD126</f>
        <v>-10811.45262954873</v>
      </c>
      <c r="BE149" s="921">
        <f>BE137-'Cost Allocation - Tier 1'!BE126</f>
        <v>13180.369320604717</v>
      </c>
      <c r="BF149" s="921">
        <f>BF137-'Cost Allocation - Tier 1'!BF126</f>
        <v>-49699.059973506141</v>
      </c>
      <c r="BG149" s="921">
        <f>BG137-'Cost Allocation - Tier 1'!BG126</f>
        <v>178420.79315563641</v>
      </c>
      <c r="BH149" s="921">
        <f>BH137-'Cost Allocation - Tier 1'!BH126</f>
        <v>86435.955698086647</v>
      </c>
      <c r="BI149" s="921">
        <f>BI137-'Cost Allocation - Tier 1'!BI126</f>
        <v>-19471.999780988088</v>
      </c>
      <c r="BJ149" s="921">
        <f>BJ137-'Cost Allocation - Tier 1'!BJ126</f>
        <v>-198054.6057902849</v>
      </c>
      <c r="BK149" s="922">
        <f>BK137-'Cost Allocation - Tier 1'!BK126</f>
        <v>0</v>
      </c>
      <c r="BL149" s="76">
        <f>BL143-'Cost Allocation - Tier 1'!BL143</f>
        <v>0</v>
      </c>
    </row>
    <row r="150" spans="10:64" x14ac:dyDescent="0.25">
      <c r="BC150" s="241" t="s">
        <v>945</v>
      </c>
      <c r="BD150" s="963">
        <f>'Cost Allocation - Tier 1'!BD126</f>
        <v>1321118.5354259224</v>
      </c>
      <c r="BE150" s="74">
        <f>'Cost Allocation - Tier 1'!BE126</f>
        <v>1204860.6973461497</v>
      </c>
      <c r="BF150" s="74">
        <f>'Cost Allocation - Tier 1'!BF126</f>
        <v>737691.93648624246</v>
      </c>
      <c r="BG150" s="74">
        <f>'Cost Allocation - Tier 1'!BG126</f>
        <v>1363362.64886473</v>
      </c>
      <c r="BH150" s="74">
        <f>'Cost Allocation - Tier 1'!BH126</f>
        <v>1067994.286316657</v>
      </c>
      <c r="BI150" s="74">
        <f>'Cost Allocation - Tier 1'!BI126</f>
        <v>777657.37519165745</v>
      </c>
      <c r="BJ150" s="74">
        <f>'Cost Allocation - Tier 1'!BJ126</f>
        <v>438617.13537409093</v>
      </c>
      <c r="BK150" s="624">
        <f>'Cost Allocation - Tier 1'!BK126</f>
        <v>1202409.8467020125</v>
      </c>
      <c r="BL150" s="76">
        <f>SUM(BD150:BK150)</f>
        <v>8113712.4617074626</v>
      </c>
    </row>
    <row r="151" spans="10:64" x14ac:dyDescent="0.25">
      <c r="BC151" s="241" t="s">
        <v>121</v>
      </c>
      <c r="BD151" s="925">
        <f>BD149+BD150</f>
        <v>1310307.0827963736</v>
      </c>
      <c r="BE151" s="695">
        <f t="shared" ref="BE151:BK151" si="74">BE149+BE150</f>
        <v>1218041.0666667544</v>
      </c>
      <c r="BF151" s="695">
        <f t="shared" si="74"/>
        <v>687992.87651273631</v>
      </c>
      <c r="BG151" s="695">
        <f t="shared" si="74"/>
        <v>1541783.4420203664</v>
      </c>
      <c r="BH151" s="695">
        <f t="shared" si="74"/>
        <v>1154430.2420147436</v>
      </c>
      <c r="BI151" s="695">
        <f t="shared" si="74"/>
        <v>758185.37541066937</v>
      </c>
      <c r="BJ151" s="695">
        <f t="shared" si="74"/>
        <v>240562.52958380603</v>
      </c>
      <c r="BK151" s="800">
        <f t="shared" si="74"/>
        <v>1202409.8467020125</v>
      </c>
      <c r="BL151" s="76">
        <f>SUM(BD151:BK151)</f>
        <v>8113712.4617074616</v>
      </c>
    </row>
    <row r="152" spans="10:64" ht="15.75" thickBot="1" x14ac:dyDescent="0.3">
      <c r="BC152" s="241" t="s">
        <v>118</v>
      </c>
      <c r="BD152" s="926">
        <f>BD151-BD137</f>
        <v>0</v>
      </c>
      <c r="BE152" s="239">
        <f t="shared" ref="BE152:BK152" si="75">BE151-BE137</f>
        <v>0</v>
      </c>
      <c r="BF152" s="239">
        <f t="shared" si="75"/>
        <v>0</v>
      </c>
      <c r="BG152" s="239">
        <f t="shared" si="75"/>
        <v>0</v>
      </c>
      <c r="BH152" s="239">
        <f t="shared" si="75"/>
        <v>0</v>
      </c>
      <c r="BI152" s="239">
        <f t="shared" si="75"/>
        <v>0</v>
      </c>
      <c r="BJ152" s="239">
        <f t="shared" si="75"/>
        <v>0</v>
      </c>
      <c r="BK152" s="927">
        <f t="shared" si="75"/>
        <v>0</v>
      </c>
      <c r="BL152" s="76"/>
    </row>
    <row r="153" spans="10:64" x14ac:dyDescent="0.25">
      <c r="BC153" s="241" t="s">
        <v>128</v>
      </c>
      <c r="BD153" s="771">
        <f>BD149/BD150</f>
        <v>-8.1835598696396832E-3</v>
      </c>
      <c r="BE153" s="771">
        <f t="shared" ref="BE153:BK153" si="76">BE149/BE150</f>
        <v>1.0939330455077556E-2</v>
      </c>
      <c r="BF153" s="771">
        <f t="shared" si="76"/>
        <v>-6.7371022394838123E-2</v>
      </c>
      <c r="BG153" s="771">
        <f t="shared" si="76"/>
        <v>0.13086818338774875</v>
      </c>
      <c r="BH153" s="771">
        <f t="shared" si="76"/>
        <v>8.0932975771050755E-2</v>
      </c>
      <c r="BI153" s="771">
        <f t="shared" si="76"/>
        <v>-2.503930445742782E-2</v>
      </c>
      <c r="BJ153" s="771">
        <f t="shared" si="76"/>
        <v>-0.45154324766944337</v>
      </c>
      <c r="BK153" s="771">
        <f t="shared" si="76"/>
        <v>0</v>
      </c>
    </row>
    <row r="155" spans="10:64" x14ac:dyDescent="0.25">
      <c r="BD155" s="89">
        <f>BD149/($BC$143-$BK$143)</f>
        <v>-1.5643147510391868E-3</v>
      </c>
      <c r="BE155" s="89">
        <f t="shared" ref="BE155:BK155" si="77">BE149/($BC$143-$BK$143)</f>
        <v>1.9070745494471921E-3</v>
      </c>
      <c r="BF155" s="89">
        <f t="shared" si="77"/>
        <v>-7.1909830522544635E-3</v>
      </c>
      <c r="BG155" s="89">
        <f t="shared" si="77"/>
        <v>2.5815798134530929E-2</v>
      </c>
      <c r="BH155" s="89">
        <f t="shared" si="77"/>
        <v>1.2506463761320702E-2</v>
      </c>
      <c r="BI155" s="89">
        <f t="shared" si="77"/>
        <v>-2.8174138604076643E-3</v>
      </c>
      <c r="BJ155" s="89">
        <f t="shared" si="77"/>
        <v>-2.8656624781597518E-2</v>
      </c>
      <c r="BK155" s="89">
        <f t="shared" si="77"/>
        <v>0</v>
      </c>
    </row>
    <row r="156" spans="10:64" x14ac:dyDescent="0.25">
      <c r="BD156" s="929">
        <f>'RU Working Paper'!V21</f>
        <v>-1.6141358737525036E-3</v>
      </c>
      <c r="BE156" s="929">
        <f>'RU Working Paper'!V22</f>
        <v>2.072232403331653E-3</v>
      </c>
      <c r="BF156" s="929">
        <f>'RU Working Paper'!V23</f>
        <v>-7.5253543179601839E-3</v>
      </c>
      <c r="BG156" s="929">
        <f>'RU Working Paper'!V24</f>
        <v>2.5442965588794525E-2</v>
      </c>
      <c r="BH156" s="929">
        <f>'RU Working Paper'!V25</f>
        <v>1.2743317416230748E-2</v>
      </c>
      <c r="BI156" s="929">
        <f>'RU Working Paper'!V26</f>
        <v>-2.7591213729237091E-3</v>
      </c>
      <c r="BJ156" s="929">
        <f>'RU Working Paper'!V27</f>
        <v>-2.8326570510387103E-2</v>
      </c>
      <c r="BK156" s="929">
        <f>VLOOKUP(BK2,'RU Working Paper'!$B$5:$X$12,22,)</f>
        <v>0</v>
      </c>
    </row>
    <row r="157" spans="10:64" x14ac:dyDescent="0.25">
      <c r="BD157" s="771">
        <f>BD155-BD156</f>
        <v>4.9821122713316745E-5</v>
      </c>
      <c r="BE157" s="771">
        <f t="shared" ref="BE157:BK157" si="78">BE155-BE156</f>
        <v>-1.6515785388446095E-4</v>
      </c>
      <c r="BF157" s="771">
        <f t="shared" si="78"/>
        <v>3.3437126570572042E-4</v>
      </c>
      <c r="BG157" s="771">
        <f t="shared" si="78"/>
        <v>3.7283254573640401E-4</v>
      </c>
      <c r="BH157" s="771">
        <f t="shared" si="78"/>
        <v>-2.3685365491004674E-4</v>
      </c>
      <c r="BI157" s="771">
        <f t="shared" si="78"/>
        <v>-5.8292487483955265E-5</v>
      </c>
      <c r="BJ157" s="771">
        <f t="shared" si="78"/>
        <v>-3.30054271210415E-4</v>
      </c>
      <c r="BK157" s="771">
        <f t="shared" si="78"/>
        <v>0</v>
      </c>
      <c r="BL157" s="177" t="s">
        <v>947</v>
      </c>
    </row>
    <row r="159" spans="10:64" x14ac:dyDescent="0.25">
      <c r="BK159" s="177" t="s">
        <v>951</v>
      </c>
    </row>
  </sheetData>
  <pageMargins left="0.7" right="0.7" top="0.75" bottom="0.75" header="0.3" footer="0.3"/>
  <pageSetup scale="11"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G99"/>
  <sheetViews>
    <sheetView zoomScale="85" zoomScaleNormal="85" workbookViewId="0">
      <selection activeCell="B82" sqref="B82"/>
    </sheetView>
  </sheetViews>
  <sheetFormatPr defaultRowHeight="15" x14ac:dyDescent="0.25"/>
  <cols>
    <col min="1" max="1" width="8.28515625" style="177" customWidth="1"/>
    <col min="2" max="2" width="22.42578125" style="177" customWidth="1"/>
    <col min="3" max="3" width="17.28515625" style="177" customWidth="1"/>
    <col min="4" max="4" width="13.5703125" style="177" customWidth="1"/>
    <col min="5" max="5" width="19.5703125" style="177" customWidth="1"/>
    <col min="6" max="6" width="11.7109375" style="177" customWidth="1"/>
    <col min="7" max="7" width="17.7109375" style="177" customWidth="1"/>
    <col min="8" max="8" width="11.7109375" style="177" customWidth="1"/>
    <col min="9" max="9" width="17.7109375" style="177" customWidth="1"/>
    <col min="10" max="10" width="11.42578125" style="177" customWidth="1"/>
    <col min="11" max="11" width="17.42578125" style="177" customWidth="1"/>
    <col min="12" max="12" width="12.5703125" style="177" customWidth="1"/>
    <col min="13" max="14" width="9.140625" style="177"/>
    <col min="15" max="15" width="28.85546875" style="177" customWidth="1"/>
    <col min="16" max="16" width="20.7109375" style="177" bestFit="1" customWidth="1"/>
    <col min="17" max="17" width="9.140625" style="177"/>
    <col min="18" max="18" width="19" style="177" customWidth="1"/>
    <col min="19" max="19" width="9.140625" style="177"/>
    <col min="20" max="20" width="15.28515625" style="177" bestFit="1" customWidth="1"/>
    <col min="21" max="21" width="9.140625" style="177"/>
    <col min="22" max="22" width="14.140625" style="177" bestFit="1" customWidth="1"/>
    <col min="23" max="16384" width="9.140625" style="177"/>
  </cols>
  <sheetData>
    <row r="1" spans="1:33" x14ac:dyDescent="0.25">
      <c r="A1" s="964" t="s">
        <v>952</v>
      </c>
      <c r="B1" s="965"/>
      <c r="C1" s="965"/>
      <c r="D1" s="965"/>
      <c r="E1" s="965"/>
      <c r="F1" s="965"/>
      <c r="G1" s="965"/>
      <c r="H1" s="965"/>
      <c r="I1" s="965"/>
    </row>
    <row r="2" spans="1:33" ht="15.75" thickBot="1" x14ac:dyDescent="0.3">
      <c r="A2" s="966" t="s">
        <v>129</v>
      </c>
      <c r="B2" s="965"/>
      <c r="C2" s="965"/>
      <c r="D2" s="965"/>
      <c r="E2" s="965"/>
      <c r="F2" s="965"/>
      <c r="G2" s="965"/>
      <c r="H2" s="965"/>
      <c r="I2" s="965"/>
    </row>
    <row r="3" spans="1:33" x14ac:dyDescent="0.25">
      <c r="B3" s="967" t="s">
        <v>953</v>
      </c>
      <c r="C3" s="919" t="s">
        <v>954</v>
      </c>
      <c r="D3" s="968" t="str">
        <f>Assumptions!B14</f>
        <v>Gross</v>
      </c>
      <c r="F3" s="633" t="s">
        <v>955</v>
      </c>
    </row>
    <row r="4" spans="1:33" ht="15.75" thickBot="1" x14ac:dyDescent="0.3">
      <c r="C4" s="228" t="s">
        <v>956</v>
      </c>
      <c r="D4" s="969" t="str">
        <f>Assumptions!B16</f>
        <v>Yes</v>
      </c>
      <c r="F4" s="633" t="s">
        <v>957</v>
      </c>
      <c r="N4" s="20"/>
      <c r="O4" s="20"/>
      <c r="P4" s="20"/>
      <c r="Q4" s="20"/>
      <c r="R4" s="407"/>
      <c r="S4" s="407"/>
      <c r="T4" s="407"/>
      <c r="U4" s="20"/>
      <c r="V4" s="20"/>
      <c r="W4" s="20"/>
      <c r="X4" s="20"/>
      <c r="Y4" s="20"/>
      <c r="Z4" s="20"/>
      <c r="AA4" s="20"/>
      <c r="AB4" s="20"/>
      <c r="AC4" s="20"/>
      <c r="AD4" s="20"/>
      <c r="AE4" s="20"/>
      <c r="AF4" s="20"/>
      <c r="AG4" s="20"/>
    </row>
    <row r="5" spans="1:33" ht="22.15" customHeight="1" thickBot="1" x14ac:dyDescent="0.3">
      <c r="F5" s="970" t="s">
        <v>958</v>
      </c>
      <c r="N5" s="20"/>
      <c r="O5" s="20"/>
      <c r="P5" s="971"/>
      <c r="Q5" s="20"/>
      <c r="R5" s="1349"/>
      <c r="S5" s="1349"/>
      <c r="T5" s="1349"/>
      <c r="U5" s="407"/>
      <c r="V5" s="407"/>
      <c r="W5" s="407"/>
      <c r="X5" s="20"/>
      <c r="Y5" s="20"/>
      <c r="Z5" s="20"/>
      <c r="AA5" s="20"/>
      <c r="AB5" s="20"/>
      <c r="AC5" s="20"/>
      <c r="AD5" s="20"/>
      <c r="AE5" s="20"/>
      <c r="AF5" s="20"/>
      <c r="AG5" s="20"/>
    </row>
    <row r="6" spans="1:33" x14ac:dyDescent="0.25">
      <c r="A6" s="1" t="s">
        <v>959</v>
      </c>
      <c r="C6" s="972" t="s">
        <v>97</v>
      </c>
      <c r="D6" s="643"/>
      <c r="E6" s="972" t="s">
        <v>97</v>
      </c>
      <c r="F6" s="643"/>
      <c r="G6" s="972" t="s">
        <v>97</v>
      </c>
      <c r="I6" s="972" t="s">
        <v>960</v>
      </c>
      <c r="K6" s="1350" t="s">
        <v>961</v>
      </c>
      <c r="L6" s="1351"/>
      <c r="N6" s="20"/>
      <c r="O6" s="973" t="s">
        <v>962</v>
      </c>
      <c r="P6" s="711"/>
      <c r="Q6" s="20"/>
      <c r="R6" s="407"/>
      <c r="S6" s="407"/>
      <c r="T6" s="407"/>
      <c r="U6" s="407"/>
      <c r="V6" s="407"/>
      <c r="W6" s="407"/>
      <c r="X6" s="20"/>
      <c r="Y6" s="20"/>
      <c r="Z6" s="20"/>
      <c r="AA6" s="20"/>
      <c r="AB6" s="20"/>
      <c r="AC6" s="20"/>
      <c r="AD6" s="20"/>
      <c r="AE6" s="20"/>
      <c r="AF6" s="20"/>
      <c r="AG6" s="20"/>
    </row>
    <row r="7" spans="1:33" ht="15.75" thickBot="1" x14ac:dyDescent="0.3">
      <c r="C7" s="974">
        <f>Assumptions!B9</f>
        <v>0.33333333333333337</v>
      </c>
      <c r="D7" s="643"/>
      <c r="E7" s="974">
        <f>Assumptions!B10</f>
        <v>0.33333333333333337</v>
      </c>
      <c r="F7" s="643"/>
      <c r="G7" s="974">
        <f>Assumptions!B11</f>
        <v>0.33333333333333337</v>
      </c>
      <c r="I7" s="974" t="s">
        <v>963</v>
      </c>
      <c r="K7" s="1352" t="s">
        <v>964</v>
      </c>
      <c r="L7" s="1353"/>
      <c r="N7" s="20"/>
      <c r="O7" s="975" t="s">
        <v>965</v>
      </c>
      <c r="P7" s="976"/>
      <c r="Q7" s="20"/>
      <c r="R7" s="407"/>
      <c r="S7" s="407"/>
      <c r="T7" s="407"/>
      <c r="U7" s="407"/>
      <c r="V7" s="407"/>
      <c r="W7" s="407"/>
      <c r="X7" s="20"/>
      <c r="Y7" s="20"/>
      <c r="Z7" s="20"/>
      <c r="AA7" s="20"/>
      <c r="AB7" s="20"/>
      <c r="AC7" s="20"/>
      <c r="AD7" s="20"/>
      <c r="AE7" s="20"/>
      <c r="AF7" s="20"/>
      <c r="AG7" s="20"/>
    </row>
    <row r="8" spans="1:33" ht="15.75" thickBot="1" x14ac:dyDescent="0.3">
      <c r="C8" s="977" t="str">
        <f>'CU Composites'!D4</f>
        <v xml:space="preserve">Revenue -2018 YEF </v>
      </c>
      <c r="D8" s="686"/>
      <c r="E8" s="977" t="str">
        <f>'CU Composites'!F4</f>
        <v>Plant</v>
      </c>
      <c r="F8" s="686"/>
      <c r="G8" s="977" t="str">
        <f>'CU Composites'!H4</f>
        <v>2019F Headcount</v>
      </c>
      <c r="I8" s="977" t="s">
        <v>3</v>
      </c>
      <c r="K8" s="12"/>
      <c r="L8" s="214"/>
      <c r="N8" s="20"/>
      <c r="O8" s="978"/>
      <c r="P8" s="979"/>
      <c r="Q8" s="20"/>
      <c r="R8" s="971"/>
      <c r="S8" s="971"/>
      <c r="T8" s="971"/>
      <c r="U8" s="407"/>
      <c r="V8" s="971"/>
      <c r="W8" s="407"/>
      <c r="X8" s="20"/>
      <c r="Y8" s="20"/>
      <c r="Z8" s="20"/>
      <c r="AA8" s="20"/>
      <c r="AB8" s="20"/>
      <c r="AC8" s="20"/>
      <c r="AD8" s="20"/>
      <c r="AE8" s="20"/>
      <c r="AF8" s="20"/>
      <c r="AG8" s="20"/>
    </row>
    <row r="9" spans="1:33" x14ac:dyDescent="0.25">
      <c r="D9" s="3" t="s">
        <v>128</v>
      </c>
      <c r="E9" s="44"/>
      <c r="F9" s="3" t="s">
        <v>128</v>
      </c>
      <c r="H9" s="3" t="s">
        <v>128</v>
      </c>
      <c r="I9" s="980" t="s">
        <v>128</v>
      </c>
      <c r="K9" s="12"/>
      <c r="L9" s="214"/>
      <c r="N9" s="20"/>
      <c r="O9" s="981"/>
      <c r="P9" s="982"/>
      <c r="Q9" s="20"/>
      <c r="R9" s="407"/>
      <c r="S9" s="407"/>
      <c r="T9" s="407"/>
      <c r="U9" s="407"/>
      <c r="V9" s="407"/>
      <c r="W9" s="407"/>
      <c r="X9" s="20"/>
      <c r="Y9" s="20"/>
      <c r="Z9" s="20"/>
      <c r="AA9" s="20"/>
      <c r="AB9" s="20"/>
      <c r="AC9" s="20"/>
      <c r="AD9" s="20"/>
      <c r="AE9" s="20"/>
      <c r="AF9" s="20"/>
      <c r="AG9" s="20"/>
    </row>
    <row r="10" spans="1:33" x14ac:dyDescent="0.25">
      <c r="A10" s="622" t="s">
        <v>966</v>
      </c>
      <c r="I10" s="983"/>
      <c r="K10" s="12"/>
      <c r="L10" s="214"/>
      <c r="N10" s="20"/>
      <c r="O10" s="981"/>
      <c r="P10" s="407"/>
      <c r="Q10" s="20"/>
      <c r="R10" s="984"/>
      <c r="S10" s="407"/>
      <c r="T10" s="984"/>
      <c r="U10" s="407"/>
      <c r="V10" s="407"/>
      <c r="W10" s="985"/>
      <c r="X10" s="20"/>
      <c r="Y10" s="20"/>
      <c r="Z10" s="20"/>
      <c r="AA10" s="20"/>
      <c r="AB10" s="20"/>
      <c r="AC10" s="20"/>
      <c r="AD10" s="20"/>
      <c r="AE10" s="20"/>
      <c r="AF10" s="20"/>
      <c r="AG10" s="20"/>
    </row>
    <row r="11" spans="1:33" x14ac:dyDescent="0.25">
      <c r="B11" s="177" t="s">
        <v>106</v>
      </c>
      <c r="C11" s="73">
        <f>SUMIF('CU Composites'!$C$5:$C$45,"DEU",'CU Composites'!D5:D45)</f>
        <v>3573612.9757062648</v>
      </c>
      <c r="D11" s="45">
        <f>C11/$C$85</f>
        <v>1.0384334445747698E-2</v>
      </c>
      <c r="E11" s="73">
        <f>SUMIF('CU Composites'!$C$5:$C$45,"DEU",'CU Composites'!$F$5:$F$45)</f>
        <v>24350722.393090595</v>
      </c>
      <c r="F11" s="45">
        <f>E11/$E$85</f>
        <v>1.1627568105595136E-2</v>
      </c>
      <c r="G11" s="73">
        <f>SUMIF('CU Composites'!C5:C45,"DEU",'CU Composites'!H5:H45)</f>
        <v>12.950575532507175</v>
      </c>
      <c r="H11" s="45">
        <f>G11/$G$85</f>
        <v>1.4705533954655797E-2</v>
      </c>
      <c r="I11" s="986">
        <f>(C11/$C$85*$C$7)+(E11/$E$85*$E$7)+(G11/$G$85*$G$7)</f>
        <v>1.2239145501999546E-2</v>
      </c>
      <c r="K11" s="12"/>
      <c r="L11" s="214"/>
      <c r="N11" s="20"/>
      <c r="O11" s="981"/>
      <c r="P11" s="984"/>
      <c r="Q11" s="20"/>
      <c r="R11" s="984"/>
      <c r="S11" s="407"/>
      <c r="T11" s="984"/>
      <c r="U11" s="407"/>
      <c r="V11" s="407"/>
      <c r="W11" s="985"/>
      <c r="X11" s="20"/>
      <c r="Y11" s="20"/>
      <c r="Z11" s="20"/>
      <c r="AA11" s="20"/>
      <c r="AB11" s="20"/>
      <c r="AC11" s="20"/>
      <c r="AD11" s="20"/>
      <c r="AE11" s="20"/>
      <c r="AF11" s="20"/>
      <c r="AG11" s="20"/>
    </row>
    <row r="12" spans="1:33" hidden="1" x14ac:dyDescent="0.25">
      <c r="C12" s="73"/>
      <c r="D12" s="45"/>
      <c r="E12" s="73"/>
      <c r="F12" s="45"/>
      <c r="G12" s="73"/>
      <c r="H12" s="45"/>
      <c r="I12" s="986"/>
      <c r="K12" s="12"/>
      <c r="L12" s="214"/>
      <c r="N12" s="20"/>
      <c r="O12" s="981"/>
      <c r="P12" s="984"/>
      <c r="Q12" s="20"/>
      <c r="R12" s="984"/>
      <c r="S12" s="407"/>
      <c r="T12" s="984"/>
      <c r="U12" s="407"/>
      <c r="V12" s="407"/>
      <c r="W12" s="407"/>
      <c r="X12" s="20"/>
      <c r="Y12" s="20"/>
      <c r="Z12" s="20"/>
      <c r="AA12" s="20"/>
      <c r="AB12" s="20"/>
      <c r="AC12" s="20"/>
      <c r="AD12" s="20"/>
      <c r="AE12" s="20"/>
      <c r="AF12" s="20"/>
      <c r="AG12" s="20"/>
    </row>
    <row r="13" spans="1:33" hidden="1" x14ac:dyDescent="0.25">
      <c r="B13" s="4" t="s">
        <v>967</v>
      </c>
      <c r="C13" s="73"/>
      <c r="D13" s="45"/>
      <c r="E13" s="73"/>
      <c r="F13" s="45"/>
      <c r="G13" s="73"/>
      <c r="H13" s="45"/>
      <c r="I13" s="986"/>
      <c r="K13" s="12"/>
      <c r="L13" s="214"/>
      <c r="N13" s="20"/>
      <c r="O13" s="981"/>
      <c r="P13" s="984"/>
      <c r="Q13" s="20"/>
      <c r="R13" s="984"/>
      <c r="S13" s="407"/>
      <c r="T13" s="984"/>
      <c r="U13" s="407"/>
      <c r="V13" s="407"/>
      <c r="W13" s="407"/>
      <c r="X13" s="20"/>
      <c r="Y13" s="20"/>
      <c r="Z13" s="20"/>
      <c r="AA13" s="20"/>
      <c r="AB13" s="20"/>
      <c r="AC13" s="20"/>
      <c r="AD13" s="20"/>
      <c r="AE13" s="20"/>
      <c r="AF13" s="20"/>
      <c r="AG13" s="20"/>
    </row>
    <row r="14" spans="1:33" hidden="1" x14ac:dyDescent="0.25">
      <c r="B14" s="177" t="str">
        <f>'CU Composites'!B27</f>
        <v>Dockside Green - Energy</v>
      </c>
      <c r="C14" s="73">
        <f>VLOOKUP(B14,'CU Composites'!$B$5:$I$45,3,)</f>
        <v>400251.19421669026</v>
      </c>
      <c r="D14" s="45">
        <f t="shared" ref="D14:D20" si="0">C14/$C$85</f>
        <v>1.1630644648178772E-3</v>
      </c>
      <c r="E14" s="73">
        <f>VLOOKUP(B14,'CU Composites'!$B$5:$I$45,5,)</f>
        <v>1110721.3151136017</v>
      </c>
      <c r="F14" s="45">
        <f t="shared" ref="F14:F20" si="1">E14/$E$85</f>
        <v>5.3037390551847325E-4</v>
      </c>
      <c r="G14" s="73">
        <f>VLOOKUP(B14,'CU Composites'!$B$5:$I$46,7,)</f>
        <v>0.96808789334843914</v>
      </c>
      <c r="H14" s="45">
        <f t="shared" ref="H14:H20" si="2">G14/$G$85</f>
        <v>1.0992754222383656E-3</v>
      </c>
      <c r="I14" s="986">
        <f>(D14*$C$7)+(F14*$E$7)+(H14*$G$7)</f>
        <v>9.309045975249054E-4</v>
      </c>
      <c r="K14" s="12"/>
      <c r="L14" s="214"/>
      <c r="N14" s="20"/>
      <c r="O14" s="981"/>
      <c r="P14" s="984"/>
      <c r="Q14" s="20"/>
      <c r="R14" s="984"/>
      <c r="S14" s="407"/>
      <c r="T14" s="984"/>
      <c r="U14" s="407"/>
      <c r="V14" s="407"/>
      <c r="W14" s="407"/>
      <c r="X14" s="20"/>
      <c r="Y14" s="20"/>
      <c r="Z14" s="20"/>
      <c r="AA14" s="20"/>
      <c r="AB14" s="20"/>
      <c r="AC14" s="20"/>
      <c r="AD14" s="20"/>
      <c r="AE14" s="20"/>
      <c r="AF14" s="20"/>
      <c r="AG14" s="20"/>
    </row>
    <row r="15" spans="1:33" hidden="1" x14ac:dyDescent="0.25">
      <c r="B15" s="177" t="str">
        <f>'CU Composites'!B31</f>
        <v>UBC</v>
      </c>
      <c r="C15" s="73">
        <f>VLOOKUP(B15,'CU Composites'!$B$5:$I$45,3,)</f>
        <v>747725.4805303819</v>
      </c>
      <c r="D15" s="45">
        <f t="shared" si="0"/>
        <v>2.1727678727997525E-3</v>
      </c>
      <c r="E15" s="73">
        <f>VLOOKUP(B15,'CU Composites'!$B$5:$I$45,5,)</f>
        <v>8504981.3444562163</v>
      </c>
      <c r="F15" s="45">
        <f t="shared" si="1"/>
        <v>4.0611628773502412E-3</v>
      </c>
      <c r="G15" s="73">
        <f>VLOOKUP(B15,'CU Composites'!$B$5:$I$46,7,)</f>
        <v>3.7272578151470626</v>
      </c>
      <c r="H15" s="45">
        <f t="shared" si="2"/>
        <v>4.2323459849965507E-3</v>
      </c>
      <c r="I15" s="986">
        <f t="shared" ref="I15:I20" si="3">(D15*$C$7)+(F15*$E$7)+(H15*$G$7)</f>
        <v>3.4887589117155154E-3</v>
      </c>
      <c r="K15" s="12"/>
      <c r="L15" s="214"/>
      <c r="N15" s="20"/>
      <c r="O15" s="981"/>
      <c r="P15" s="984"/>
      <c r="Q15" s="20"/>
      <c r="R15" s="984"/>
      <c r="S15" s="407"/>
      <c r="T15" s="984"/>
      <c r="U15" s="407"/>
      <c r="V15" s="407"/>
      <c r="W15" s="407"/>
      <c r="X15" s="20"/>
      <c r="Y15" s="20"/>
      <c r="Z15" s="20"/>
      <c r="AA15" s="20"/>
      <c r="AB15" s="20"/>
      <c r="AC15" s="20"/>
      <c r="AD15" s="20"/>
      <c r="AE15" s="20"/>
      <c r="AF15" s="20"/>
      <c r="AG15" s="20"/>
    </row>
    <row r="16" spans="1:33" hidden="1" x14ac:dyDescent="0.25">
      <c r="B16" s="177" t="str">
        <f>'CU Composites'!B32</f>
        <v>SFU UniverCity</v>
      </c>
      <c r="C16" s="73">
        <f>VLOOKUP(B16,'CU Composites'!$B$5:$I$45,3,)</f>
        <v>875024.2269288036</v>
      </c>
      <c r="D16" s="45">
        <f t="shared" si="0"/>
        <v>2.5426771959727178E-3</v>
      </c>
      <c r="E16" s="73">
        <f>VLOOKUP(B16,'CU Composites'!$B$5:$I$45,5,)</f>
        <v>5974576.6144844461</v>
      </c>
      <c r="F16" s="45">
        <f t="shared" si="1"/>
        <v>2.85288441819392E-3</v>
      </c>
      <c r="G16" s="73">
        <f>VLOOKUP(B16,'CU Composites'!$B$5:$I$46,7,)</f>
        <v>3.1746593572502233</v>
      </c>
      <c r="H16" s="45">
        <f t="shared" si="2"/>
        <v>3.6048638035680318E-3</v>
      </c>
      <c r="I16" s="986">
        <f t="shared" si="3"/>
        <v>3.0001418059115567E-3</v>
      </c>
      <c r="K16" s="12"/>
      <c r="L16" s="214"/>
      <c r="N16" s="20"/>
      <c r="O16" s="981"/>
      <c r="P16" s="984"/>
      <c r="Q16" s="20"/>
      <c r="R16" s="984"/>
      <c r="S16" s="407"/>
      <c r="T16" s="984"/>
      <c r="U16" s="407"/>
      <c r="V16" s="407"/>
      <c r="W16" s="407"/>
      <c r="X16" s="20"/>
      <c r="Y16" s="20"/>
      <c r="Z16" s="20"/>
      <c r="AA16" s="20"/>
      <c r="AB16" s="20"/>
      <c r="AC16" s="20"/>
      <c r="AD16" s="20"/>
      <c r="AE16" s="20"/>
      <c r="AF16" s="20"/>
      <c r="AG16" s="20"/>
    </row>
    <row r="17" spans="2:33" hidden="1" x14ac:dyDescent="0.25">
      <c r="B17" s="177" t="str">
        <f>'CU Composites'!B33</f>
        <v>SFU Biomass</v>
      </c>
      <c r="C17" s="73">
        <f>VLOOKUP(B17,'CU Composites'!$B$5:$I$45,3,)</f>
        <v>0</v>
      </c>
      <c r="D17" s="45">
        <f t="shared" si="0"/>
        <v>0</v>
      </c>
      <c r="E17" s="73">
        <f>VLOOKUP(B17,'CU Composites'!$B$5:$I$45,5,)</f>
        <v>0</v>
      </c>
      <c r="F17" s="45">
        <f t="shared" si="1"/>
        <v>0</v>
      </c>
      <c r="G17" s="73">
        <f>VLOOKUP(B17,'CU Composites'!$B$5:$I$46,7,)</f>
        <v>0</v>
      </c>
      <c r="H17" s="45">
        <f t="shared" si="2"/>
        <v>0</v>
      </c>
      <c r="I17" s="986">
        <f t="shared" si="3"/>
        <v>0</v>
      </c>
      <c r="K17" s="12"/>
      <c r="L17" s="214"/>
      <c r="N17" s="20"/>
      <c r="O17" s="981"/>
      <c r="P17" s="984"/>
      <c r="Q17" s="20"/>
      <c r="R17" s="984"/>
      <c r="S17" s="407"/>
      <c r="T17" s="984"/>
      <c r="U17" s="407"/>
      <c r="V17" s="407"/>
      <c r="W17" s="407"/>
      <c r="X17" s="20"/>
      <c r="Y17" s="20"/>
      <c r="Z17" s="20"/>
      <c r="AA17" s="20"/>
      <c r="AB17" s="20"/>
      <c r="AC17" s="20"/>
      <c r="AD17" s="20"/>
      <c r="AE17" s="20"/>
      <c r="AF17" s="20"/>
      <c r="AG17" s="20"/>
    </row>
    <row r="18" spans="2:33" hidden="1" x14ac:dyDescent="0.25">
      <c r="B18" s="177" t="str">
        <f>'CU Composites'!B35</f>
        <v>RG GAAP - Related to LIEC</v>
      </c>
      <c r="C18" s="73">
        <f>VLOOKUP(B18,'CU Composites'!$B$5:$I$45,3,)</f>
        <v>392972.69111002766</v>
      </c>
      <c r="D18" s="45">
        <f t="shared" si="0"/>
        <v>1.1419143259981969E-3</v>
      </c>
      <c r="E18" s="73">
        <f>VLOOKUP(B18,'CU Composites'!$B$5:$I$45,5,)</f>
        <v>6830.3397200896597</v>
      </c>
      <c r="F18" s="45">
        <f t="shared" si="1"/>
        <v>3.2615147508818578E-6</v>
      </c>
      <c r="G18" s="73">
        <f>VLOOKUP(B18,'CU Composites'!$B$5:$I$46,7,)</f>
        <v>0.62710572776753148</v>
      </c>
      <c r="H18" s="45">
        <f t="shared" si="2"/>
        <v>7.1208608062990424E-4</v>
      </c>
      <c r="I18" s="986">
        <f t="shared" si="3"/>
        <v>6.1908730712632778E-4</v>
      </c>
      <c r="K18" s="12"/>
      <c r="L18" s="214"/>
      <c r="N18" s="20"/>
      <c r="O18" s="981"/>
      <c r="P18" s="984"/>
      <c r="Q18" s="20"/>
      <c r="R18" s="984"/>
      <c r="S18" s="407"/>
      <c r="T18" s="984"/>
      <c r="U18" s="407"/>
      <c r="V18" s="407"/>
      <c r="W18" s="407"/>
      <c r="X18" s="20"/>
      <c r="Y18" s="20"/>
      <c r="Z18" s="20"/>
      <c r="AA18" s="20"/>
      <c r="AB18" s="20"/>
      <c r="AC18" s="20"/>
      <c r="AD18" s="20"/>
      <c r="AE18" s="20"/>
      <c r="AF18" s="20"/>
      <c r="AG18" s="20"/>
    </row>
    <row r="19" spans="2:33" hidden="1" x14ac:dyDescent="0.25">
      <c r="B19" s="177" t="str">
        <f>'CU Composites'!B36</f>
        <v>LIEC</v>
      </c>
      <c r="C19" s="73">
        <f>VLOOKUP(B19,'CU Composites'!$B$5:$I$45,3,)</f>
        <v>968636.52913974563</v>
      </c>
      <c r="D19" s="45">
        <f t="shared" si="0"/>
        <v>2.814699225499491E-3</v>
      </c>
      <c r="E19" s="73">
        <f>VLOOKUP(B19,'CU Composites'!$B$5:$I$45,5,)</f>
        <v>7814042.3315042127</v>
      </c>
      <c r="F19" s="45">
        <f t="shared" si="1"/>
        <v>3.7312367133448686E-3</v>
      </c>
      <c r="G19" s="73">
        <f>VLOOKUP(B19,'CU Composites'!$B$5:$I$46,7,)</f>
        <v>3.8724632446530292</v>
      </c>
      <c r="H19" s="45">
        <f t="shared" si="2"/>
        <v>4.3972284930086855E-3</v>
      </c>
      <c r="I19" s="986">
        <f t="shared" si="3"/>
        <v>3.6477214772843488E-3</v>
      </c>
      <c r="K19" s="12"/>
      <c r="L19" s="214"/>
      <c r="N19" s="20"/>
      <c r="O19" s="981"/>
      <c r="P19" s="984"/>
      <c r="Q19" s="20"/>
      <c r="R19" s="984"/>
      <c r="S19" s="407"/>
      <c r="T19" s="984"/>
      <c r="U19" s="407"/>
      <c r="V19" s="407"/>
      <c r="W19" s="407"/>
      <c r="X19" s="20"/>
      <c r="Y19" s="20"/>
      <c r="Z19" s="20"/>
      <c r="AA19" s="20"/>
      <c r="AB19" s="20"/>
      <c r="AC19" s="20"/>
      <c r="AD19" s="20"/>
      <c r="AE19" s="20"/>
      <c r="AF19" s="20"/>
      <c r="AG19" s="20"/>
    </row>
    <row r="20" spans="2:33" hidden="1" x14ac:dyDescent="0.25">
      <c r="B20" s="177" t="str">
        <f>'CU Composites'!B37</f>
        <v>Beaver Barracks</v>
      </c>
      <c r="C20" s="73">
        <f>VLOOKUP(B20,'CU Composites'!$B$5:$I$45,3,)</f>
        <v>189002.85378061602</v>
      </c>
      <c r="D20" s="45">
        <f t="shared" si="0"/>
        <v>5.4921136065966345E-4</v>
      </c>
      <c r="E20" s="73">
        <f>VLOOKUP(B20,'CU Composites'!$B$5:$I$45,5,)</f>
        <v>939570.44781202974</v>
      </c>
      <c r="F20" s="45">
        <f t="shared" si="1"/>
        <v>4.4864867643675297E-4</v>
      </c>
      <c r="G20" s="73">
        <f>VLOOKUP(B20,'CU Composites'!$B$5:$I$46,7,)</f>
        <v>0.58100149434089066</v>
      </c>
      <c r="H20" s="45">
        <f t="shared" si="2"/>
        <v>6.5973417021426047E-4</v>
      </c>
      <c r="I20" s="986">
        <f t="shared" si="3"/>
        <v>5.5253140243689239E-4</v>
      </c>
      <c r="K20" s="12"/>
      <c r="L20" s="214"/>
      <c r="N20" s="20"/>
      <c r="O20" s="981"/>
      <c r="P20" s="984"/>
      <c r="Q20" s="20"/>
      <c r="R20" s="984"/>
      <c r="S20" s="407"/>
      <c r="T20" s="984"/>
      <c r="U20" s="407"/>
      <c r="V20" s="407"/>
      <c r="W20" s="407"/>
      <c r="X20" s="20"/>
      <c r="Y20" s="20"/>
      <c r="Z20" s="20"/>
      <c r="AA20" s="20"/>
      <c r="AB20" s="20"/>
      <c r="AC20" s="20"/>
      <c r="AD20" s="20"/>
      <c r="AE20" s="20"/>
      <c r="AF20" s="20"/>
      <c r="AG20" s="20"/>
    </row>
    <row r="21" spans="2:33" hidden="1" x14ac:dyDescent="0.25">
      <c r="B21" s="177" t="s">
        <v>118</v>
      </c>
      <c r="C21" s="73">
        <f>C11-SUM(C14:C20)</f>
        <v>0</v>
      </c>
      <c r="D21" s="204">
        <f>SUM(D14:D20)-D11</f>
        <v>0</v>
      </c>
      <c r="E21" s="73">
        <f>E11-SUM(E14:E20)</f>
        <v>0</v>
      </c>
      <c r="F21" s="204">
        <f>SUM(F14:F20)-F11</f>
        <v>0</v>
      </c>
      <c r="G21" s="204">
        <f>SUM(G14:G20)-G11</f>
        <v>0</v>
      </c>
      <c r="H21" s="204">
        <f>SUM(H14:H20)-H11</f>
        <v>0</v>
      </c>
      <c r="I21" s="986"/>
      <c r="K21" s="12"/>
      <c r="L21" s="214"/>
      <c r="N21" s="20"/>
      <c r="O21" s="981"/>
      <c r="P21" s="984"/>
      <c r="Q21" s="20"/>
      <c r="R21" s="984"/>
      <c r="S21" s="407"/>
      <c r="T21" s="984"/>
      <c r="U21" s="407"/>
      <c r="V21" s="407"/>
      <c r="W21" s="407"/>
      <c r="X21" s="20"/>
      <c r="Y21" s="20"/>
      <c r="Z21" s="20"/>
      <c r="AA21" s="20"/>
      <c r="AB21" s="20"/>
      <c r="AC21" s="20"/>
      <c r="AD21" s="20"/>
      <c r="AE21" s="20"/>
      <c r="AF21" s="20"/>
      <c r="AG21" s="20"/>
    </row>
    <row r="22" spans="2:33" hidden="1" x14ac:dyDescent="0.25">
      <c r="C22" s="73"/>
      <c r="D22" s="45"/>
      <c r="E22" s="73"/>
      <c r="F22" s="45"/>
      <c r="G22" s="73"/>
      <c r="H22" s="45"/>
      <c r="I22" s="986"/>
      <c r="K22" s="12"/>
      <c r="L22" s="214"/>
      <c r="N22" s="20"/>
      <c r="O22" s="981"/>
      <c r="P22" s="984"/>
      <c r="Q22" s="20"/>
      <c r="R22" s="984"/>
      <c r="S22" s="407"/>
      <c r="T22" s="984"/>
      <c r="U22" s="407"/>
      <c r="V22" s="407"/>
      <c r="W22" s="407"/>
      <c r="X22" s="20"/>
      <c r="Y22" s="20"/>
      <c r="Z22" s="20"/>
      <c r="AA22" s="20"/>
      <c r="AB22" s="20"/>
      <c r="AC22" s="20"/>
      <c r="AD22" s="20"/>
      <c r="AE22" s="20"/>
      <c r="AF22" s="20"/>
      <c r="AG22" s="20"/>
    </row>
    <row r="23" spans="2:33" x14ac:dyDescent="0.25">
      <c r="B23" s="177" t="s">
        <v>99</v>
      </c>
      <c r="C23" s="73">
        <f>SUMIF('CU Composites'!$C$5:$C$45,"Cdn Utilities",'CU Composites'!D5:D45)</f>
        <v>36287329.993626662</v>
      </c>
      <c r="D23" s="45">
        <f>C23/$C$85</f>
        <v>0.1054450421348604</v>
      </c>
      <c r="E23" s="73">
        <f>SUMIF('CU Composites'!$C$5:$C$45,"Cdn Utilities",'CU Composites'!$F$5:$F$45)</f>
        <v>74705554.328169212</v>
      </c>
      <c r="F23" s="45">
        <f>E23/$E$85</f>
        <v>3.5672203345536016E-2</v>
      </c>
      <c r="G23" s="73">
        <f>SUMIF('CU Composites'!C5:C46,"Cdn Utilities",'CU Composites'!H5:H46)</f>
        <v>138.70942446749285</v>
      </c>
      <c r="H23" s="45">
        <f>G23/$G$85</f>
        <v>0.15750621632354467</v>
      </c>
      <c r="I23" s="986">
        <f>(C23/$C$85*$C$7)+(E23/$E$85*$E$7)+(G23/$G$85*$G$7)</f>
        <v>9.9541153934647048E-2</v>
      </c>
      <c r="K23" s="12"/>
      <c r="L23" s="214"/>
      <c r="N23" s="20"/>
      <c r="O23" s="981"/>
      <c r="P23" s="984"/>
      <c r="Q23" s="20"/>
      <c r="R23" s="984"/>
      <c r="S23" s="407"/>
      <c r="T23" s="984"/>
      <c r="U23" s="407"/>
      <c r="V23" s="984"/>
      <c r="W23" s="985"/>
      <c r="X23" s="20"/>
      <c r="Y23" s="20"/>
      <c r="Z23" s="20"/>
      <c r="AA23" s="20"/>
      <c r="AB23" s="20"/>
      <c r="AC23" s="20"/>
      <c r="AD23" s="20"/>
      <c r="AE23" s="20"/>
      <c r="AF23" s="20"/>
      <c r="AG23" s="20"/>
    </row>
    <row r="24" spans="2:33" hidden="1" x14ac:dyDescent="0.25">
      <c r="C24" s="73"/>
      <c r="D24" s="45"/>
      <c r="E24" s="73"/>
      <c r="F24" s="45"/>
      <c r="G24" s="73"/>
      <c r="H24" s="45"/>
      <c r="I24" s="986"/>
      <c r="K24" s="12"/>
      <c r="L24" s="214"/>
      <c r="N24" s="20"/>
      <c r="O24" s="981"/>
      <c r="P24" s="984"/>
      <c r="Q24" s="20"/>
      <c r="R24" s="984"/>
      <c r="S24" s="407"/>
      <c r="T24" s="984"/>
      <c r="U24" s="407"/>
      <c r="V24" s="407"/>
      <c r="W24" s="407"/>
      <c r="X24" s="20"/>
      <c r="Y24" s="20"/>
      <c r="Z24" s="20"/>
      <c r="AA24" s="20"/>
      <c r="AB24" s="20"/>
      <c r="AC24" s="20"/>
      <c r="AD24" s="20"/>
      <c r="AE24" s="20"/>
      <c r="AF24" s="20"/>
      <c r="AG24" s="20"/>
    </row>
    <row r="25" spans="2:33" hidden="1" x14ac:dyDescent="0.25">
      <c r="B25" s="4" t="s">
        <v>967</v>
      </c>
      <c r="C25" s="73"/>
      <c r="D25" s="45"/>
      <c r="E25" s="73"/>
      <c r="F25" s="45"/>
      <c r="G25" s="73"/>
      <c r="H25" s="45"/>
      <c r="I25" s="986"/>
      <c r="K25" s="12"/>
      <c r="L25" s="214"/>
      <c r="N25" s="20"/>
      <c r="O25" s="981"/>
      <c r="P25" s="984"/>
      <c r="Q25" s="20"/>
      <c r="R25" s="984"/>
      <c r="S25" s="407"/>
      <c r="T25" s="984"/>
      <c r="U25" s="407"/>
      <c r="V25" s="407"/>
      <c r="W25" s="407"/>
      <c r="X25" s="20"/>
      <c r="Y25" s="20"/>
      <c r="Z25" s="20"/>
      <c r="AA25" s="20"/>
      <c r="AB25" s="20"/>
      <c r="AC25" s="20"/>
      <c r="AD25" s="20"/>
      <c r="AE25" s="20"/>
      <c r="AF25" s="20"/>
      <c r="AG25" s="20"/>
    </row>
    <row r="26" spans="2:33" hidden="1" x14ac:dyDescent="0.25">
      <c r="B26" s="177" t="str">
        <f>'CU Composites'!B5</f>
        <v>Panorama - Wastewater Treatment Plant</v>
      </c>
      <c r="C26" s="73">
        <f>VLOOKUP(B26,'CU Composites'!$B$5:$I$45,3,)</f>
        <v>1080397.2613726107</v>
      </c>
      <c r="D26" s="45">
        <f t="shared" ref="D26:D59" si="4">C26/$C$85</f>
        <v>3.1394576224768132E-3</v>
      </c>
      <c r="E26" s="73">
        <f>VLOOKUP(B26,'CU Composites'!$B$5:$I$45,5,)</f>
        <v>3623834.3894973528</v>
      </c>
      <c r="F26" s="45">
        <f t="shared" ref="F26:F59" si="5">E26/$E$85</f>
        <v>1.730395529425207E-3</v>
      </c>
      <c r="G26" s="73">
        <f>VLOOKUP(B26,'CU Composites'!$B$5:$I$46,7,)</f>
        <v>2.0376074539262237</v>
      </c>
      <c r="H26" s="45">
        <f t="shared" ref="H26:H59" si="6">G26/$G$85</f>
        <v>2.3137277200352274E-3</v>
      </c>
      <c r="I26" s="986">
        <f t="shared" ref="I26:I59" si="7">(D26*$C$7)+(F26*$E$7)+(H26*$G$7)</f>
        <v>2.3945269573124161E-3</v>
      </c>
      <c r="K26" s="12"/>
      <c r="L26" s="214"/>
      <c r="N26" s="20"/>
      <c r="O26" s="981"/>
      <c r="P26" s="984"/>
      <c r="Q26" s="20"/>
      <c r="R26" s="984"/>
      <c r="S26" s="407"/>
      <c r="T26" s="984"/>
      <c r="U26" s="407"/>
      <c r="V26" s="407"/>
      <c r="W26" s="407"/>
      <c r="X26" s="20"/>
      <c r="Y26" s="20"/>
      <c r="Z26" s="20"/>
      <c r="AA26" s="20"/>
      <c r="AB26" s="20"/>
      <c r="AC26" s="20"/>
      <c r="AD26" s="20"/>
      <c r="AE26" s="20"/>
      <c r="AF26" s="20"/>
      <c r="AG26" s="20"/>
    </row>
    <row r="27" spans="2:33" hidden="1" x14ac:dyDescent="0.25">
      <c r="B27" s="177" t="str">
        <f>'CU Composites'!B6</f>
        <v>Panorama - Propane Storage Farm</v>
      </c>
      <c r="C27" s="73">
        <f>VLOOKUP(B27,'CU Composites'!$B$5:$I$45,3,)</f>
        <v>455397.08249245596</v>
      </c>
      <c r="D27" s="45">
        <f t="shared" si="4"/>
        <v>1.323309390907058E-3</v>
      </c>
      <c r="E27" s="73">
        <f>VLOOKUP(B27,'CU Composites'!$B$5:$I$45,5,)</f>
        <v>482426.84428067197</v>
      </c>
      <c r="F27" s="45">
        <f t="shared" si="5"/>
        <v>2.3036076290831146E-4</v>
      </c>
      <c r="G27" s="73">
        <f>VLOOKUP(B27,'CU Composites'!$B$5:$I$46,7,)</f>
        <v>0.50874500900857811</v>
      </c>
      <c r="H27" s="45">
        <f t="shared" si="6"/>
        <v>5.7768606387093556E-4</v>
      </c>
      <c r="I27" s="986">
        <f t="shared" si="7"/>
        <v>7.1045207256210182E-4</v>
      </c>
      <c r="K27" s="12"/>
      <c r="L27" s="214"/>
      <c r="N27" s="20"/>
      <c r="O27" s="981"/>
      <c r="P27" s="984"/>
      <c r="Q27" s="20"/>
      <c r="R27" s="984"/>
      <c r="S27" s="407"/>
      <c r="T27" s="984"/>
      <c r="U27" s="407"/>
      <c r="V27" s="407"/>
      <c r="W27" s="407"/>
      <c r="X27" s="20"/>
      <c r="Y27" s="20"/>
      <c r="Z27" s="20"/>
      <c r="AA27" s="20"/>
      <c r="AB27" s="20"/>
      <c r="AC27" s="20"/>
      <c r="AD27" s="20"/>
      <c r="AE27" s="20"/>
      <c r="AF27" s="20"/>
      <c r="AG27" s="20"/>
    </row>
    <row r="28" spans="2:33" hidden="1" x14ac:dyDescent="0.25">
      <c r="B28" s="177" t="str">
        <f>'CU Composites'!B7</f>
        <v>Panorama - Propane Distribution</v>
      </c>
      <c r="C28" s="73">
        <f>VLOOKUP(B28,'CU Composites'!$B$5:$I$45,3,)</f>
        <v>557914.53770261246</v>
      </c>
      <c r="D28" s="45">
        <f t="shared" si="4"/>
        <v>1.6212083376218542E-3</v>
      </c>
      <c r="E28" s="73">
        <f>VLOOKUP(B28,'CU Composites'!$B$5:$I$45,5,)</f>
        <v>156366.42322603939</v>
      </c>
      <c r="F28" s="45">
        <f t="shared" si="5"/>
        <v>7.4665597436443244E-5</v>
      </c>
      <c r="G28" s="73">
        <f>VLOOKUP(B28,'CU Composites'!$B$5:$I$46,7,)</f>
        <v>0.47764648199713666</v>
      </c>
      <c r="H28" s="45">
        <f t="shared" si="6"/>
        <v>5.423733131936691E-4</v>
      </c>
      <c r="I28" s="986">
        <f t="shared" si="7"/>
        <v>7.46082416083989E-4</v>
      </c>
      <c r="K28" s="12"/>
      <c r="L28" s="214"/>
      <c r="N28" s="20"/>
      <c r="O28" s="981"/>
      <c r="P28" s="984"/>
      <c r="Q28" s="20"/>
      <c r="R28" s="984"/>
      <c r="S28" s="407"/>
      <c r="T28" s="984"/>
      <c r="U28" s="407"/>
      <c r="V28" s="407"/>
      <c r="W28" s="407"/>
      <c r="X28" s="20"/>
      <c r="Y28" s="20"/>
      <c r="Z28" s="20"/>
      <c r="AA28" s="20"/>
      <c r="AB28" s="20"/>
      <c r="AC28" s="20"/>
      <c r="AD28" s="20"/>
      <c r="AE28" s="20"/>
      <c r="AF28" s="20"/>
      <c r="AG28" s="20"/>
    </row>
    <row r="29" spans="2:33" hidden="1" x14ac:dyDescent="0.25">
      <c r="B29" s="177" t="str">
        <f>'CU Composites'!B8</f>
        <v>Panorama - Water</v>
      </c>
      <c r="C29" s="73">
        <f>VLOOKUP(B29,'CU Composites'!$B$5:$I$45,3,)</f>
        <v>184042.08935470966</v>
      </c>
      <c r="D29" s="45">
        <f t="shared" si="4"/>
        <v>5.3479619112245351E-4</v>
      </c>
      <c r="E29" s="73">
        <f>VLOOKUP(B29,'CU Composites'!$B$5:$I$45,5,)</f>
        <v>1683796.1702487068</v>
      </c>
      <c r="F29" s="45">
        <f t="shared" si="5"/>
        <v>8.0401945903101416E-4</v>
      </c>
      <c r="G29" s="73">
        <f>VLOOKUP(B29,'CU Composites'!$B$5:$I$46,7,)</f>
        <v>0.70440621272545001</v>
      </c>
      <c r="H29" s="45">
        <f t="shared" si="6"/>
        <v>7.9986170908801348E-4</v>
      </c>
      <c r="I29" s="986">
        <f t="shared" si="7"/>
        <v>7.1289245308049382E-4</v>
      </c>
      <c r="K29" s="12"/>
      <c r="L29" s="214"/>
      <c r="N29" s="20"/>
      <c r="O29" s="981"/>
      <c r="P29" s="984"/>
      <c r="Q29" s="20"/>
      <c r="R29" s="984"/>
      <c r="S29" s="407"/>
      <c r="T29" s="984"/>
      <c r="U29" s="407"/>
      <c r="V29" s="407"/>
      <c r="W29" s="407"/>
      <c r="X29" s="20"/>
      <c r="Y29" s="20"/>
      <c r="Z29" s="20"/>
      <c r="AA29" s="20"/>
      <c r="AB29" s="20"/>
      <c r="AC29" s="20"/>
      <c r="AD29" s="20"/>
      <c r="AE29" s="20"/>
      <c r="AF29" s="20"/>
      <c r="AG29" s="20"/>
    </row>
    <row r="30" spans="2:33" hidden="1" x14ac:dyDescent="0.25">
      <c r="B30" s="177" t="str">
        <f>'CU Composites'!B9</f>
        <v>Panorama - Sewer</v>
      </c>
      <c r="C30" s="73">
        <f>VLOOKUP(B30,'CU Composites'!$B$5:$I$45,3,)</f>
        <v>755864.00798643171</v>
      </c>
      <c r="D30" s="45">
        <f t="shared" si="4"/>
        <v>2.1964171016261671E-3</v>
      </c>
      <c r="E30" s="73">
        <f>VLOOKUP(B30,'CU Composites'!$B$5:$I$45,5,)</f>
        <v>1042042.0518471235</v>
      </c>
      <c r="F30" s="45">
        <f t="shared" si="5"/>
        <v>4.9757928044814415E-4</v>
      </c>
      <c r="G30" s="73">
        <f>VLOOKUP(B30,'CU Composites'!$B$5:$I$46,7,)</f>
        <v>0.92525818653863068</v>
      </c>
      <c r="H30" s="45">
        <f t="shared" si="6"/>
        <v>1.0506417760981885E-3</v>
      </c>
      <c r="I30" s="986">
        <f t="shared" si="7"/>
        <v>1.2482127193908334E-3</v>
      </c>
      <c r="K30" s="12"/>
      <c r="L30" s="214"/>
      <c r="N30" s="20"/>
      <c r="O30" s="981"/>
      <c r="P30" s="984"/>
      <c r="Q30" s="20"/>
      <c r="R30" s="984"/>
      <c r="S30" s="407"/>
      <c r="T30" s="984"/>
      <c r="U30" s="407"/>
      <c r="V30" s="407"/>
      <c r="W30" s="407"/>
      <c r="X30" s="20"/>
      <c r="Y30" s="20"/>
      <c r="Z30" s="20"/>
      <c r="AA30" s="20"/>
      <c r="AB30" s="20"/>
      <c r="AC30" s="20"/>
      <c r="AD30" s="20"/>
      <c r="AE30" s="20"/>
      <c r="AF30" s="20"/>
      <c r="AG30" s="20"/>
    </row>
    <row r="31" spans="2:33" hidden="1" x14ac:dyDescent="0.25">
      <c r="B31" s="177" t="str">
        <f>'CU Composites'!B10</f>
        <v>Sun Rivers - Electric</v>
      </c>
      <c r="C31" s="73">
        <f>VLOOKUP(B31,'CU Composites'!$B$5:$I$45,3,)</f>
        <v>1235956.8281159082</v>
      </c>
      <c r="D31" s="45">
        <f t="shared" si="4"/>
        <v>3.591488264373271E-3</v>
      </c>
      <c r="E31" s="73">
        <f>VLOOKUP(B31,'CU Composites'!$B$5:$I$45,5,)</f>
        <v>5953958.4805659093</v>
      </c>
      <c r="F31" s="45">
        <f t="shared" si="5"/>
        <v>2.8430391761317753E-3</v>
      </c>
      <c r="G31" s="73">
        <f>VLOOKUP(B31,'CU Composites'!$B$5:$I$46,7,)</f>
        <v>1.8830900807539781</v>
      </c>
      <c r="H31" s="45">
        <f t="shared" si="6"/>
        <v>2.1382713882247156E-3</v>
      </c>
      <c r="I31" s="986">
        <f t="shared" si="7"/>
        <v>2.8575996095765873E-3</v>
      </c>
      <c r="K31" s="12"/>
      <c r="L31" s="214"/>
      <c r="N31" s="20"/>
      <c r="O31" s="981"/>
      <c r="P31" s="984"/>
      <c r="Q31" s="20"/>
      <c r="R31" s="984"/>
      <c r="S31" s="407"/>
      <c r="T31" s="984"/>
      <c r="U31" s="407"/>
      <c r="V31" s="407"/>
      <c r="W31" s="407"/>
      <c r="X31" s="20"/>
      <c r="Y31" s="20"/>
      <c r="Z31" s="20"/>
      <c r="AA31" s="20"/>
      <c r="AB31" s="20"/>
      <c r="AC31" s="20"/>
      <c r="AD31" s="20"/>
      <c r="AE31" s="20"/>
      <c r="AF31" s="20"/>
      <c r="AG31" s="20"/>
    </row>
    <row r="32" spans="2:33" hidden="1" x14ac:dyDescent="0.25">
      <c r="B32" s="177" t="str">
        <f>'CU Composites'!B11</f>
        <v>Sun Rivers - Gas</v>
      </c>
      <c r="C32" s="73">
        <f>VLOOKUP(B32,'CU Composites'!$B$5:$I$45,3,)</f>
        <v>130587.5543095638</v>
      </c>
      <c r="D32" s="45">
        <f t="shared" si="4"/>
        <v>3.7946606071261762E-4</v>
      </c>
      <c r="E32" s="73">
        <f>VLOOKUP(B32,'CU Composites'!$B$5:$I$45,5,)</f>
        <v>827752.47784531896</v>
      </c>
      <c r="F32" s="45">
        <f t="shared" si="5"/>
        <v>3.9525514501584374E-4</v>
      </c>
      <c r="G32" s="73">
        <f>VLOOKUP(B32,'CU Composites'!$B$5:$I$46,7,)</f>
        <v>0.23097497195247083</v>
      </c>
      <c r="H32" s="45">
        <f t="shared" si="6"/>
        <v>2.6227485289722572E-4</v>
      </c>
      <c r="I32" s="986">
        <f t="shared" si="7"/>
        <v>3.4566535287522908E-4</v>
      </c>
      <c r="K32" s="12"/>
      <c r="L32" s="214"/>
      <c r="N32" s="20"/>
      <c r="O32" s="981"/>
      <c r="P32" s="984"/>
      <c r="Q32" s="20"/>
      <c r="R32" s="984"/>
      <c r="S32" s="407"/>
      <c r="T32" s="984"/>
      <c r="U32" s="407"/>
      <c r="V32" s="407"/>
      <c r="W32" s="407"/>
      <c r="X32" s="20"/>
      <c r="Y32" s="20"/>
      <c r="Z32" s="20"/>
      <c r="AA32" s="20"/>
      <c r="AB32" s="20"/>
      <c r="AC32" s="20"/>
      <c r="AD32" s="20"/>
      <c r="AE32" s="20"/>
      <c r="AF32" s="20"/>
      <c r="AG32" s="20"/>
    </row>
    <row r="33" spans="2:33" hidden="1" x14ac:dyDescent="0.25">
      <c r="B33" s="177" t="str">
        <f>'CU Composites'!B12</f>
        <v>Sun Rivers - Domestic Water</v>
      </c>
      <c r="C33" s="73">
        <f>VLOOKUP(B33,'CU Composites'!$B$5:$I$45,3,)</f>
        <v>274530.03663127054</v>
      </c>
      <c r="D33" s="45">
        <f t="shared" si="4"/>
        <v>7.9773935654547619E-4</v>
      </c>
      <c r="E33" s="73">
        <f>VLOOKUP(B33,'CU Composites'!$B$5:$I$45,5,)</f>
        <v>2596404.015217463</v>
      </c>
      <c r="F33" s="45">
        <f t="shared" si="5"/>
        <v>1.2397933839181691E-3</v>
      </c>
      <c r="G33" s="73">
        <f>VLOOKUP(B33,'CU Composites'!$B$5:$I$46,7,)</f>
        <v>0.62354155683578927</v>
      </c>
      <c r="H33" s="45">
        <f t="shared" si="6"/>
        <v>7.0803892175844163E-4</v>
      </c>
      <c r="I33" s="986">
        <f t="shared" si="7"/>
        <v>9.1519055407402903E-4</v>
      </c>
      <c r="K33" s="12"/>
      <c r="L33" s="214"/>
      <c r="N33" s="20"/>
      <c r="O33" s="981"/>
      <c r="P33" s="984"/>
      <c r="Q33" s="20"/>
      <c r="R33" s="984"/>
      <c r="S33" s="407"/>
      <c r="T33" s="984"/>
      <c r="U33" s="407"/>
      <c r="V33" s="407"/>
      <c r="W33" s="407"/>
      <c r="X33" s="20"/>
      <c r="Y33" s="20"/>
      <c r="Z33" s="20"/>
      <c r="AA33" s="20"/>
      <c r="AB33" s="20"/>
      <c r="AC33" s="20"/>
      <c r="AD33" s="20"/>
      <c r="AE33" s="20"/>
      <c r="AF33" s="20"/>
      <c r="AG33" s="20"/>
    </row>
    <row r="34" spans="2:33" hidden="1" x14ac:dyDescent="0.25">
      <c r="B34" s="177" t="str">
        <f>'CU Composites'!B13</f>
        <v>Sun Rivers - Irrigation Water</v>
      </c>
      <c r="C34" s="73">
        <f>VLOOKUP(B34,'CU Composites'!$B$5:$I$45,3,)</f>
        <v>215471.01651295344</v>
      </c>
      <c r="D34" s="45">
        <f t="shared" si="4"/>
        <v>6.2612350974954826E-4</v>
      </c>
      <c r="E34" s="73">
        <f>VLOOKUP(B34,'CU Composites'!$B$5:$I$45,5,)</f>
        <v>2330570.0012206123</v>
      </c>
      <c r="F34" s="45">
        <f t="shared" si="5"/>
        <v>1.1128565706017325E-3</v>
      </c>
      <c r="G34" s="73">
        <f>VLOOKUP(B34,'CU Composites'!$B$5:$I$46,7,)</f>
        <v>0.53656829472679424</v>
      </c>
      <c r="H34" s="45">
        <f t="shared" si="6"/>
        <v>6.0927973874911343E-4</v>
      </c>
      <c r="I34" s="986">
        <f t="shared" si="7"/>
        <v>7.8275327303346473E-4</v>
      </c>
      <c r="K34" s="12"/>
      <c r="L34" s="214"/>
      <c r="N34" s="20"/>
      <c r="O34" s="981"/>
      <c r="P34" s="984"/>
      <c r="Q34" s="20"/>
      <c r="R34" s="984"/>
      <c r="S34" s="407"/>
      <c r="T34" s="984"/>
      <c r="U34" s="407"/>
      <c r="V34" s="407"/>
      <c r="W34" s="407"/>
      <c r="X34" s="20"/>
      <c r="Y34" s="20"/>
      <c r="Z34" s="20"/>
      <c r="AA34" s="20"/>
      <c r="AB34" s="20"/>
      <c r="AC34" s="20"/>
      <c r="AD34" s="20"/>
      <c r="AE34" s="20"/>
      <c r="AF34" s="20"/>
      <c r="AG34" s="20"/>
    </row>
    <row r="35" spans="2:33" hidden="1" x14ac:dyDescent="0.25">
      <c r="B35" s="177" t="str">
        <f>'CU Composites'!B14</f>
        <v>Sun Rivers - Sewer</v>
      </c>
      <c r="C35" s="73">
        <f>VLOOKUP(B35,'CU Composites'!$B$5:$I$45,3,)</f>
        <v>238007.18979437585</v>
      </c>
      <c r="D35" s="45">
        <f t="shared" si="4"/>
        <v>6.9160994100903928E-4</v>
      </c>
      <c r="E35" s="73">
        <f>VLOOKUP(B35,'CU Composites'!$B$5:$I$45,5,)</f>
        <v>2304815.3457119768</v>
      </c>
      <c r="F35" s="45">
        <f t="shared" si="5"/>
        <v>1.1005586187739142E-3</v>
      </c>
      <c r="G35" s="73">
        <f>VLOOKUP(B35,'CU Composites'!$B$5:$I$46,7,)</f>
        <v>0.54926100707118586</v>
      </c>
      <c r="H35" s="45">
        <f t="shared" si="6"/>
        <v>6.2369246595869667E-4</v>
      </c>
      <c r="I35" s="986">
        <f t="shared" si="7"/>
        <v>8.0528700858055013E-4</v>
      </c>
      <c r="K35" s="12"/>
      <c r="L35" s="214"/>
      <c r="N35" s="20"/>
      <c r="O35" s="981"/>
      <c r="P35" s="984"/>
      <c r="Q35" s="20"/>
      <c r="R35" s="984"/>
      <c r="S35" s="407"/>
      <c r="T35" s="984"/>
      <c r="U35" s="407"/>
      <c r="V35" s="407"/>
      <c r="W35" s="407"/>
      <c r="X35" s="20"/>
      <c r="Y35" s="20"/>
      <c r="Z35" s="20"/>
      <c r="AA35" s="20"/>
      <c r="AB35" s="20"/>
      <c r="AC35" s="20"/>
      <c r="AD35" s="20"/>
      <c r="AE35" s="20"/>
      <c r="AF35" s="20"/>
      <c r="AG35" s="20"/>
    </row>
    <row r="36" spans="2:33" hidden="1" x14ac:dyDescent="0.25">
      <c r="B36" s="177" t="str">
        <f>'CU Composites'!B15</f>
        <v>Sun Rivers - Geothermal</v>
      </c>
      <c r="C36" s="73">
        <f>VLOOKUP(B36,'CU Composites'!$B$5:$I$45,3,)</f>
        <v>757688.38453656528</v>
      </c>
      <c r="D36" s="45">
        <f t="shared" si="4"/>
        <v>2.2017184413012677E-3</v>
      </c>
      <c r="E36" s="73">
        <f>VLOOKUP(B36,'CU Composites'!$B$5:$I$45,5,)</f>
        <v>8941358.743844701</v>
      </c>
      <c r="F36" s="45">
        <f t="shared" si="5"/>
        <v>4.2695348446875146E-3</v>
      </c>
      <c r="G36" s="73">
        <f>VLOOKUP(B36,'CU Composites'!$B$5:$I$46,7,)</f>
        <v>2.0070220858959402</v>
      </c>
      <c r="H36" s="45">
        <f t="shared" si="6"/>
        <v>2.2789976675401859E-3</v>
      </c>
      <c r="I36" s="986">
        <f t="shared" si="7"/>
        <v>2.9167503178429898E-3</v>
      </c>
      <c r="K36" s="12"/>
      <c r="L36" s="214"/>
      <c r="N36" s="20"/>
      <c r="O36" s="981"/>
      <c r="P36" s="984"/>
      <c r="Q36" s="20"/>
      <c r="R36" s="984"/>
      <c r="S36" s="407"/>
      <c r="T36" s="984"/>
      <c r="U36" s="407"/>
      <c r="V36" s="407"/>
      <c r="W36" s="407"/>
      <c r="X36" s="20"/>
      <c r="Y36" s="20"/>
      <c r="Z36" s="20"/>
      <c r="AA36" s="20"/>
      <c r="AB36" s="20"/>
      <c r="AC36" s="20"/>
      <c r="AD36" s="20"/>
      <c r="AE36" s="20"/>
      <c r="AF36" s="20"/>
      <c r="AG36" s="20"/>
    </row>
    <row r="37" spans="2:33" hidden="1" x14ac:dyDescent="0.25">
      <c r="B37" s="177" t="str">
        <f>'CU Composites'!B16</f>
        <v>Sun Rivers - Municipal</v>
      </c>
      <c r="C37" s="73">
        <f>VLOOKUP(B37,'CU Composites'!$B$5:$I$45,3,)</f>
        <v>638178.24081745895</v>
      </c>
      <c r="D37" s="45">
        <f t="shared" si="4"/>
        <v>1.8544415228226223E-3</v>
      </c>
      <c r="E37" s="73">
        <f>VLOOKUP(B37,'CU Composites'!$B$5:$I$45,5,)</f>
        <v>6949816.0534544559</v>
      </c>
      <c r="F37" s="45">
        <f t="shared" si="5"/>
        <v>3.3185651816978298E-3</v>
      </c>
      <c r="G37" s="73">
        <f>VLOOKUP(B37,'CU Composites'!$B$5:$I$46,7,)</f>
        <v>1.596799976563605</v>
      </c>
      <c r="H37" s="45">
        <f t="shared" si="6"/>
        <v>1.813185538759118E-3</v>
      </c>
      <c r="I37" s="986">
        <f t="shared" si="7"/>
        <v>2.3287307477598573E-3</v>
      </c>
      <c r="K37" s="12"/>
      <c r="L37" s="214"/>
      <c r="N37" s="20"/>
      <c r="O37" s="981"/>
      <c r="P37" s="984"/>
      <c r="Q37" s="20"/>
      <c r="R37" s="984"/>
      <c r="S37" s="407"/>
      <c r="T37" s="984"/>
      <c r="U37" s="407"/>
      <c r="V37" s="407"/>
      <c r="W37" s="407"/>
      <c r="X37" s="20"/>
      <c r="Y37" s="20"/>
      <c r="Z37" s="20"/>
      <c r="AA37" s="20"/>
      <c r="AB37" s="20"/>
      <c r="AC37" s="20"/>
      <c r="AD37" s="20"/>
      <c r="AE37" s="20"/>
      <c r="AF37" s="20"/>
      <c r="AG37" s="20"/>
    </row>
    <row r="38" spans="2:33" hidden="1" x14ac:dyDescent="0.25">
      <c r="B38" s="177" t="str">
        <f>'CU Composites'!B17</f>
        <v>Foothills - Wastewater</v>
      </c>
      <c r="C38" s="73">
        <f>VLOOKUP(B38,'CU Composites'!$B$5:$I$45,3,)</f>
        <v>680163.5977447097</v>
      </c>
      <c r="D38" s="45">
        <f t="shared" si="4"/>
        <v>1.9764440986808811E-3</v>
      </c>
      <c r="E38" s="73">
        <f>VLOOKUP(B38,'CU Composites'!$B$5:$I$45,5,)</f>
        <v>1590078.3119649091</v>
      </c>
      <c r="F38" s="45">
        <f t="shared" si="5"/>
        <v>7.5926880390406106E-4</v>
      </c>
      <c r="G38" s="73">
        <f>VLOOKUP(B38,'CU Composites'!$B$5:$I$46,7,)</f>
        <v>2.4735235738369097</v>
      </c>
      <c r="H38" s="45">
        <f t="shared" si="6"/>
        <v>2.8087157062168253E-3</v>
      </c>
      <c r="I38" s="986">
        <f t="shared" si="7"/>
        <v>1.8481428696005893E-3</v>
      </c>
      <c r="K38" s="12"/>
      <c r="L38" s="214"/>
      <c r="N38" s="20"/>
      <c r="O38" s="981"/>
      <c r="P38" s="984"/>
      <c r="Q38" s="20"/>
      <c r="R38" s="984"/>
      <c r="S38" s="407"/>
      <c r="T38" s="984"/>
      <c r="U38" s="407"/>
      <c r="V38" s="407"/>
      <c r="W38" s="407"/>
      <c r="X38" s="20"/>
      <c r="Y38" s="20"/>
      <c r="Z38" s="20"/>
      <c r="AA38" s="20"/>
      <c r="AB38" s="20"/>
      <c r="AC38" s="20"/>
      <c r="AD38" s="20"/>
      <c r="AE38" s="20"/>
      <c r="AF38" s="20"/>
      <c r="AG38" s="20"/>
    </row>
    <row r="39" spans="2:33" hidden="1" x14ac:dyDescent="0.25">
      <c r="B39" s="177" t="str">
        <f>'CU Composites'!B18</f>
        <v>Foothills - Water</v>
      </c>
      <c r="C39" s="73">
        <f>VLOOKUP(B39,'CU Composites'!$B$5:$I$45,3,)</f>
        <v>971641.32821103034</v>
      </c>
      <c r="D39" s="45">
        <f t="shared" si="4"/>
        <v>2.8234306798317343E-3</v>
      </c>
      <c r="E39" s="73">
        <f>VLOOKUP(B39,'CU Composites'!$B$5:$I$45,5,)</f>
        <v>2935016.6172672692</v>
      </c>
      <c r="F39" s="45">
        <f t="shared" si="5"/>
        <v>1.4014822664157199E-3</v>
      </c>
      <c r="G39" s="73">
        <f>VLOOKUP(B39,'CU Composites'!$B$5:$I$46,7,)</f>
        <v>4.1091058208042668</v>
      </c>
      <c r="H39" s="45">
        <f t="shared" si="6"/>
        <v>4.6659389784982474E-3</v>
      </c>
      <c r="I39" s="986">
        <f t="shared" si="7"/>
        <v>2.9636173082485673E-3</v>
      </c>
      <c r="K39" s="12"/>
      <c r="L39" s="214"/>
      <c r="N39" s="20"/>
      <c r="O39" s="981"/>
      <c r="P39" s="984"/>
      <c r="Q39" s="20"/>
      <c r="R39" s="984"/>
      <c r="S39" s="407"/>
      <c r="T39" s="984"/>
      <c r="U39" s="407"/>
      <c r="V39" s="407"/>
      <c r="W39" s="407"/>
      <c r="X39" s="20"/>
      <c r="Y39" s="20"/>
      <c r="Z39" s="20"/>
      <c r="AA39" s="20"/>
      <c r="AB39" s="20"/>
      <c r="AC39" s="20"/>
      <c r="AD39" s="20"/>
      <c r="AE39" s="20"/>
      <c r="AF39" s="20"/>
      <c r="AG39" s="20"/>
    </row>
    <row r="40" spans="2:33" hidden="1" x14ac:dyDescent="0.25">
      <c r="B40" s="177" t="str">
        <f>'CU Composites'!B19</f>
        <v>Sage Meadows - Wastewater</v>
      </c>
      <c r="C40" s="73">
        <f>VLOOKUP(B40,'CU Composites'!$B$5:$I$45,3,)</f>
        <v>35937.601909813406</v>
      </c>
      <c r="D40" s="45">
        <f t="shared" si="4"/>
        <v>1.044287895602039E-4</v>
      </c>
      <c r="E40" s="73">
        <f>VLOOKUP(B40,'CU Composites'!$B$5:$I$45,5,)</f>
        <v>178618.20052314963</v>
      </c>
      <c r="F40" s="45">
        <f t="shared" si="5"/>
        <v>8.5290910797417688E-5</v>
      </c>
      <c r="G40" s="73">
        <f>VLOOKUP(B40,'CU Composites'!$B$5:$I$46,7,)</f>
        <v>2.6560677717462532E-2</v>
      </c>
      <c r="H40" s="45">
        <f t="shared" si="6"/>
        <v>3.0159968339044045E-5</v>
      </c>
      <c r="I40" s="986">
        <f t="shared" si="7"/>
        <v>7.329322289888856E-5</v>
      </c>
      <c r="K40" s="12"/>
      <c r="L40" s="214"/>
      <c r="N40" s="20"/>
      <c r="O40" s="981"/>
      <c r="P40" s="984"/>
      <c r="Q40" s="20"/>
      <c r="R40" s="984"/>
      <c r="S40" s="407"/>
      <c r="T40" s="984"/>
      <c r="U40" s="407"/>
      <c r="V40" s="407"/>
      <c r="W40" s="407"/>
      <c r="X40" s="20"/>
      <c r="Y40" s="20"/>
      <c r="Z40" s="20"/>
      <c r="AA40" s="20"/>
      <c r="AB40" s="20"/>
      <c r="AC40" s="20"/>
      <c r="AD40" s="20"/>
      <c r="AE40" s="20"/>
      <c r="AF40" s="20"/>
      <c r="AG40" s="20"/>
    </row>
    <row r="41" spans="2:33" hidden="1" x14ac:dyDescent="0.25">
      <c r="B41" s="177" t="str">
        <f>'CU Composites'!B20</f>
        <v>Sage Meadows - Water</v>
      </c>
      <c r="C41" s="73">
        <f>VLOOKUP(B41,'CU Composites'!$B$5:$I$45,3,)</f>
        <v>36378.035753561468</v>
      </c>
      <c r="D41" s="45">
        <f t="shared" si="4"/>
        <v>1.0570861822822081E-4</v>
      </c>
      <c r="E41" s="73">
        <f>VLOOKUP(B41,'CU Composites'!$B$5:$I$45,5,)</f>
        <v>97871.030951682202</v>
      </c>
      <c r="F41" s="45">
        <f t="shared" si="5"/>
        <v>4.6733811818182334E-5</v>
      </c>
      <c r="G41" s="73">
        <f>VLOOKUP(B41,'CU Composites'!$B$5:$I$46,7,)</f>
        <v>1.8526540929213527E-2</v>
      </c>
      <c r="H41" s="45">
        <f t="shared" si="6"/>
        <v>2.1037109587370295E-5</v>
      </c>
      <c r="I41" s="986">
        <f t="shared" si="7"/>
        <v>5.7826513211257818E-5</v>
      </c>
      <c r="K41" s="12"/>
      <c r="L41" s="214"/>
      <c r="N41" s="20"/>
      <c r="O41" s="981"/>
      <c r="P41" s="984"/>
      <c r="Q41" s="20"/>
      <c r="R41" s="984"/>
      <c r="S41" s="407"/>
      <c r="T41" s="984"/>
      <c r="U41" s="407"/>
      <c r="V41" s="407"/>
      <c r="W41" s="407"/>
      <c r="X41" s="20"/>
      <c r="Y41" s="20"/>
      <c r="Z41" s="20"/>
      <c r="AA41" s="20"/>
      <c r="AB41" s="20"/>
      <c r="AC41" s="20"/>
      <c r="AD41" s="20"/>
      <c r="AE41" s="20"/>
      <c r="AF41" s="20"/>
      <c r="AG41" s="20"/>
    </row>
    <row r="42" spans="2:33" hidden="1" x14ac:dyDescent="0.25">
      <c r="B42" s="177" t="str">
        <f>'CU Composites'!B28</f>
        <v>Dockside Green  - Wastewater and Admin</v>
      </c>
      <c r="C42" s="73">
        <f>VLOOKUP(B42,'CU Composites'!$B$5:$I$45,3,)</f>
        <v>309340.00611965806</v>
      </c>
      <c r="D42" s="45">
        <f t="shared" si="4"/>
        <v>8.9889143083864967E-4</v>
      </c>
      <c r="E42" s="73">
        <f>VLOOKUP(B42,'CU Composites'!$B$5:$I$45,5,)</f>
        <v>69920.425282312252</v>
      </c>
      <c r="F42" s="45">
        <f t="shared" si="5"/>
        <v>3.3387284936275567E-5</v>
      </c>
      <c r="G42" s="73">
        <f>VLOOKUP(B42,'CU Composites'!$B$5:$I$46,7,)</f>
        <v>6.8154464193476123</v>
      </c>
      <c r="H42" s="45">
        <f t="shared" si="6"/>
        <v>7.7390212106234089E-3</v>
      </c>
      <c r="I42" s="986">
        <f>(D42*$C$7)+(F42*$E$7)+(H42*$G$7)</f>
        <v>2.8904333087994452E-3</v>
      </c>
      <c r="K42" s="12"/>
      <c r="L42" s="214"/>
      <c r="N42" s="20"/>
      <c r="O42" s="981"/>
      <c r="P42" s="984"/>
      <c r="Q42" s="20"/>
      <c r="R42" s="984"/>
      <c r="S42" s="407"/>
      <c r="T42" s="984"/>
      <c r="U42" s="407"/>
      <c r="V42" s="407"/>
      <c r="W42" s="407"/>
      <c r="X42" s="20"/>
      <c r="Y42" s="20"/>
      <c r="Z42" s="20"/>
      <c r="AA42" s="20"/>
      <c r="AB42" s="20"/>
      <c r="AC42" s="20"/>
      <c r="AD42" s="20"/>
      <c r="AE42" s="20"/>
      <c r="AF42" s="20"/>
      <c r="AG42" s="20"/>
    </row>
    <row r="43" spans="2:33" hidden="1" x14ac:dyDescent="0.25">
      <c r="B43" s="177" t="str">
        <f>'CU Composites'!B21</f>
        <v>Canadian Lakeview Estates (in Adventure Bay) - Wastewater</v>
      </c>
      <c r="C43" s="73">
        <f>VLOOKUP(B43,'CU Composites'!$B$5:$I$45,3,)</f>
        <v>220698.67544099974</v>
      </c>
      <c r="D43" s="45">
        <f t="shared" si="4"/>
        <v>6.4131423102971232E-4</v>
      </c>
      <c r="E43" s="73">
        <f>VLOOKUP(B43,'CU Composites'!$B$5:$I$45,5,)</f>
        <v>233170.70963344656</v>
      </c>
      <c r="F43" s="45">
        <f t="shared" si="5"/>
        <v>1.1133995381024675E-4</v>
      </c>
      <c r="G43" s="73">
        <f>VLOOKUP(B43,'CU Composites'!$B$5:$I$46,7,)</f>
        <v>7.6050507004756879E-2</v>
      </c>
      <c r="H43" s="45">
        <f t="shared" si="6"/>
        <v>8.6356263489606515E-5</v>
      </c>
      <c r="I43" s="986">
        <f t="shared" si="7"/>
        <v>2.7967014944318855E-4</v>
      </c>
      <c r="K43" s="12"/>
      <c r="L43" s="214"/>
      <c r="N43" s="20"/>
      <c r="O43" s="981"/>
      <c r="P43" s="984"/>
      <c r="Q43" s="20"/>
      <c r="R43" s="984"/>
      <c r="S43" s="407"/>
      <c r="T43" s="984"/>
      <c r="U43" s="407"/>
      <c r="V43" s="407"/>
      <c r="W43" s="407"/>
      <c r="X43" s="20"/>
      <c r="Y43" s="20"/>
      <c r="Z43" s="20"/>
      <c r="AA43" s="20"/>
      <c r="AB43" s="20"/>
      <c r="AC43" s="20"/>
      <c r="AD43" s="20"/>
      <c r="AE43" s="20"/>
      <c r="AF43" s="20"/>
      <c r="AG43" s="20"/>
    </row>
    <row r="44" spans="2:33" hidden="1" x14ac:dyDescent="0.25">
      <c r="B44" s="177" t="str">
        <f>'CU Composites'!B22</f>
        <v>Canadian Lakeview Estates (in Adventure Bay) - Water</v>
      </c>
      <c r="C44" s="73">
        <f>VLOOKUP(B44,'CU Composites'!$B$5:$I$45,3,)</f>
        <v>212060.61534817648</v>
      </c>
      <c r="D44" s="45">
        <f t="shared" si="4"/>
        <v>6.1621344211492627E-4</v>
      </c>
      <c r="E44" s="73">
        <f>VLOOKUP(B44,'CU Composites'!$B$5:$I$45,5,)</f>
        <v>157779.10186950368</v>
      </c>
      <c r="F44" s="45">
        <f t="shared" si="5"/>
        <v>7.5340157183502807E-5</v>
      </c>
      <c r="G44" s="73">
        <f>VLOOKUP(B44,'CU Composites'!$B$5:$I$46,7,)</f>
        <v>6.639462359698349E-2</v>
      </c>
      <c r="H44" s="45">
        <f t="shared" si="6"/>
        <v>7.5391891986673052E-5</v>
      </c>
      <c r="I44" s="986">
        <f t="shared" si="7"/>
        <v>2.5564849709503411E-4</v>
      </c>
      <c r="K44" s="12"/>
      <c r="L44" s="214"/>
      <c r="N44" s="20"/>
      <c r="O44" s="981"/>
      <c r="P44" s="984"/>
      <c r="Q44" s="20"/>
      <c r="R44" s="984"/>
      <c r="S44" s="407"/>
      <c r="T44" s="984"/>
      <c r="U44" s="407"/>
      <c r="V44" s="407"/>
      <c r="W44" s="407"/>
      <c r="X44" s="20"/>
      <c r="Y44" s="20"/>
      <c r="Z44" s="20"/>
      <c r="AA44" s="20"/>
      <c r="AB44" s="20"/>
      <c r="AC44" s="20"/>
      <c r="AD44" s="20"/>
      <c r="AE44" s="20"/>
      <c r="AF44" s="20"/>
      <c r="AG44" s="20"/>
    </row>
    <row r="45" spans="2:33" hidden="1" x14ac:dyDescent="0.25">
      <c r="B45" s="177" t="str">
        <f>'CU Composites'!B23</f>
        <v>Cultus Lake - Water</v>
      </c>
      <c r="C45" s="73">
        <f>VLOOKUP(B45,'CU Composites'!$B$5:$I$45,3,)</f>
        <v>132873.8347513733</v>
      </c>
      <c r="D45" s="45">
        <f t="shared" si="4"/>
        <v>3.8610961750120066E-4</v>
      </c>
      <c r="E45" s="73">
        <f>VLOOKUP(B45,'CU Composites'!$B$5:$I$45,5,)</f>
        <v>66565.36912046709</v>
      </c>
      <c r="F45" s="45">
        <f t="shared" si="5"/>
        <v>3.1785232094055971E-5</v>
      </c>
      <c r="G45" s="73">
        <f>VLOOKUP(B45,'CU Composites'!$B$5:$I$46,7,)</f>
        <v>3.8346458137245278E-2</v>
      </c>
      <c r="H45" s="45">
        <f t="shared" si="6"/>
        <v>4.354286346290881E-5</v>
      </c>
      <c r="I45" s="986">
        <f t="shared" si="7"/>
        <v>1.5381257101938851E-4</v>
      </c>
      <c r="K45" s="12"/>
      <c r="L45" s="214"/>
      <c r="N45" s="20"/>
      <c r="O45" s="981"/>
      <c r="P45" s="984"/>
      <c r="Q45" s="20"/>
      <c r="R45" s="984"/>
      <c r="S45" s="407"/>
      <c r="T45" s="984"/>
      <c r="U45" s="407"/>
      <c r="V45" s="407"/>
      <c r="W45" s="407"/>
      <c r="X45" s="20"/>
      <c r="Y45" s="20"/>
      <c r="Z45" s="20"/>
      <c r="AA45" s="20"/>
      <c r="AB45" s="20"/>
      <c r="AC45" s="20"/>
      <c r="AD45" s="20"/>
      <c r="AE45" s="20"/>
      <c r="AF45" s="20"/>
      <c r="AG45" s="20"/>
    </row>
    <row r="46" spans="2:33" hidden="1" x14ac:dyDescent="0.25">
      <c r="B46" s="177" t="str">
        <f>'CU Composites'!B24</f>
        <v>Cultus Lake - Wastewater</v>
      </c>
      <c r="C46" s="73">
        <f>VLOOKUP(B46,'CU Composites'!$B$5:$I$45,3,)</f>
        <v>101468.83427867679</v>
      </c>
      <c r="D46" s="45">
        <f t="shared" si="4"/>
        <v>2.948518259064371E-4</v>
      </c>
      <c r="E46" s="73">
        <f>VLOOKUP(B46,'CU Composites'!$B$5:$I$45,5,)</f>
        <v>252576.29471878434</v>
      </c>
      <c r="F46" s="45">
        <f t="shared" si="5"/>
        <v>1.2060619891649915E-4</v>
      </c>
      <c r="G46" s="73">
        <f>VLOOKUP(B46,'CU Composites'!$B$5:$I$46,7,)</f>
        <v>4.9618189732721661E-2</v>
      </c>
      <c r="H46" s="45">
        <f t="shared" si="6"/>
        <v>5.6342049976973694E-5</v>
      </c>
      <c r="I46" s="986">
        <f t="shared" si="7"/>
        <v>1.5726669159996998E-4</v>
      </c>
      <c r="K46" s="12"/>
      <c r="L46" s="214"/>
      <c r="N46" s="20"/>
      <c r="O46" s="981"/>
      <c r="P46" s="984"/>
      <c r="Q46" s="20"/>
      <c r="R46" s="984"/>
      <c r="S46" s="407"/>
      <c r="T46" s="984"/>
      <c r="U46" s="407"/>
      <c r="V46" s="407"/>
      <c r="W46" s="407"/>
      <c r="X46" s="20"/>
      <c r="Y46" s="20"/>
      <c r="Z46" s="20"/>
      <c r="AA46" s="20"/>
      <c r="AB46" s="20"/>
      <c r="AC46" s="20"/>
      <c r="AD46" s="20"/>
      <c r="AE46" s="20"/>
      <c r="AF46" s="20"/>
      <c r="AG46" s="20"/>
    </row>
    <row r="47" spans="2:33" hidden="1" x14ac:dyDescent="0.25">
      <c r="B47" s="177" t="str">
        <f>'CU Composites'!B25</f>
        <v>Sonoma Pines - Electric</v>
      </c>
      <c r="C47" s="73">
        <f>VLOOKUP(B47,'CU Composites'!$B$5:$I$45,3,)</f>
        <v>337121.26724520506</v>
      </c>
      <c r="D47" s="45">
        <f t="shared" si="4"/>
        <v>9.7961922895599168E-4</v>
      </c>
      <c r="E47" s="73">
        <f>VLOOKUP(B47,'CU Composites'!$B$5:$I$45,5,)</f>
        <v>2711418.6012526713</v>
      </c>
      <c r="F47" s="45">
        <f t="shared" si="5"/>
        <v>1.294713312398019E-3</v>
      </c>
      <c r="G47" s="73">
        <f>VLOOKUP(B47,'CU Composites'!$B$5:$I$46,7,)</f>
        <v>0.35356825384872437</v>
      </c>
      <c r="H47" s="45">
        <f t="shared" si="6"/>
        <v>4.0148099589935312E-4</v>
      </c>
      <c r="I47" s="986">
        <f t="shared" si="7"/>
        <v>8.9193784575112125E-4</v>
      </c>
      <c r="K47" s="12"/>
      <c r="L47" s="214"/>
      <c r="N47" s="20"/>
      <c r="O47" s="981"/>
      <c r="P47" s="984"/>
      <c r="Q47" s="20"/>
      <c r="R47" s="984"/>
      <c r="S47" s="407"/>
      <c r="T47" s="984"/>
      <c r="U47" s="407"/>
      <c r="V47" s="407"/>
      <c r="W47" s="407"/>
      <c r="X47" s="20"/>
      <c r="Y47" s="20"/>
      <c r="Z47" s="20"/>
      <c r="AA47" s="20"/>
      <c r="AB47" s="20"/>
      <c r="AC47" s="20"/>
      <c r="AD47" s="20"/>
      <c r="AE47" s="20"/>
      <c r="AF47" s="20"/>
      <c r="AG47" s="20"/>
    </row>
    <row r="48" spans="2:33" hidden="1" x14ac:dyDescent="0.25">
      <c r="B48" s="177" t="str">
        <f>'CU Composites'!B26</f>
        <v>Sonoma Pines - Gas</v>
      </c>
      <c r="C48" s="73">
        <f>VLOOKUP(B48,'CU Composites'!$B$5:$I$45,3,)</f>
        <v>183814.63648967032</v>
      </c>
      <c r="D48" s="45">
        <f t="shared" si="4"/>
        <v>5.3413525032184955E-4</v>
      </c>
      <c r="E48" s="73">
        <f>VLOOKUP(B48,'CU Composites'!$B$5:$I$45,5,)</f>
        <v>827114.90075055778</v>
      </c>
      <c r="F48" s="45">
        <f t="shared" si="5"/>
        <v>3.9495069938288763E-4</v>
      </c>
      <c r="G48" s="73">
        <f>VLOOKUP(B48,'CU Composites'!$B$5:$I$46,7,)</f>
        <v>0.12713579170821201</v>
      </c>
      <c r="H48" s="45">
        <f t="shared" si="6"/>
        <v>1.443642174144528E-4</v>
      </c>
      <c r="I48" s="986">
        <f t="shared" si="7"/>
        <v>3.5781672237306339E-4</v>
      </c>
      <c r="K48" s="12"/>
      <c r="L48" s="214"/>
      <c r="N48" s="20"/>
      <c r="O48" s="981"/>
      <c r="P48" s="984"/>
      <c r="Q48" s="20"/>
      <c r="R48" s="984"/>
      <c r="S48" s="407"/>
      <c r="T48" s="984"/>
      <c r="U48" s="407"/>
      <c r="V48" s="407"/>
      <c r="W48" s="407"/>
      <c r="X48" s="20"/>
      <c r="Y48" s="20"/>
      <c r="Z48" s="20"/>
      <c r="AA48" s="20"/>
      <c r="AB48" s="20"/>
      <c r="AC48" s="20"/>
      <c r="AD48" s="20"/>
      <c r="AE48" s="20"/>
      <c r="AF48" s="20"/>
      <c r="AG48" s="20"/>
    </row>
    <row r="49" spans="1:33" hidden="1" x14ac:dyDescent="0.25">
      <c r="B49" s="177" t="str">
        <f>'CU Composites'!B29</f>
        <v>West Shore Environmental Services</v>
      </c>
      <c r="C49" s="73">
        <f>VLOOKUP(B49,'CU Composites'!$B$5:$I$45,3,)</f>
        <v>15437569.840692338</v>
      </c>
      <c r="D49" s="45">
        <f t="shared" si="4"/>
        <v>4.485905142642227E-2</v>
      </c>
      <c r="E49" s="73">
        <f>VLOOKUP(B49,'CU Composites'!$B$5:$I$45,5,)</f>
        <v>26904883.89429896</v>
      </c>
      <c r="F49" s="45">
        <f t="shared" si="5"/>
        <v>1.2847190518785485E-2</v>
      </c>
      <c r="G49" s="73">
        <f>VLOOKUP(B49,'CU Composites'!$B$5:$I$46,7,)</f>
        <v>11.765816430081282</v>
      </c>
      <c r="H49" s="45">
        <f t="shared" si="6"/>
        <v>1.3360225773943725E-2</v>
      </c>
      <c r="I49" s="986">
        <f t="shared" si="7"/>
        <v>2.3688822573050498E-2</v>
      </c>
      <c r="K49" s="12"/>
      <c r="L49" s="214"/>
      <c r="N49" s="20"/>
      <c r="O49" s="981"/>
      <c r="P49" s="984"/>
      <c r="Q49" s="20"/>
      <c r="R49" s="984"/>
      <c r="S49" s="407"/>
      <c r="T49" s="984"/>
      <c r="U49" s="407"/>
      <c r="V49" s="407"/>
      <c r="W49" s="407"/>
      <c r="X49" s="20"/>
      <c r="Y49" s="20"/>
      <c r="Z49" s="20"/>
      <c r="AA49" s="20"/>
      <c r="AB49" s="20"/>
      <c r="AC49" s="20"/>
      <c r="AD49" s="20"/>
      <c r="AE49" s="20"/>
      <c r="AF49" s="20"/>
      <c r="AG49" s="20"/>
    </row>
    <row r="50" spans="1:33" hidden="1" x14ac:dyDescent="0.25">
      <c r="B50" s="177" t="str">
        <f>'CU Composites'!B30</f>
        <v>Rise</v>
      </c>
      <c r="C50" s="73">
        <f>VLOOKUP(B50,'CU Composites'!$B$5:$I$45,3,)</f>
        <v>49750.03726008095</v>
      </c>
      <c r="D50" s="45">
        <f t="shared" si="4"/>
        <v>1.44565466128852E-4</v>
      </c>
      <c r="E50" s="73">
        <f>VLOOKUP(B50,'CU Composites'!$B$5:$I$45,5,)</f>
        <v>566447.78720962955</v>
      </c>
      <c r="F50" s="45">
        <f t="shared" si="5"/>
        <v>2.7048110186301877E-4</v>
      </c>
      <c r="G50" s="73">
        <f>VLOOKUP(B50,'CU Composites'!$B$5:$I$46,7,)</f>
        <v>6.8941109010338605E-2</v>
      </c>
      <c r="H50" s="45">
        <f t="shared" si="6"/>
        <v>7.828345673737719E-5</v>
      </c>
      <c r="I50" s="986">
        <f t="shared" si="7"/>
        <v>1.6444334157641601E-4</v>
      </c>
      <c r="K50" s="12"/>
      <c r="L50" s="214"/>
      <c r="N50" s="20"/>
      <c r="O50" s="981"/>
      <c r="P50" s="984"/>
      <c r="Q50" s="20"/>
      <c r="R50" s="984"/>
      <c r="S50" s="407"/>
      <c r="T50" s="984"/>
      <c r="U50" s="407"/>
      <c r="V50" s="407"/>
      <c r="W50" s="407"/>
      <c r="X50" s="20"/>
      <c r="Y50" s="20"/>
      <c r="Z50" s="20"/>
      <c r="AA50" s="20"/>
      <c r="AB50" s="20"/>
      <c r="AC50" s="20"/>
      <c r="AD50" s="20"/>
      <c r="AE50" s="20"/>
      <c r="AF50" s="20"/>
      <c r="AG50" s="20"/>
    </row>
    <row r="51" spans="1:33" hidden="1" x14ac:dyDescent="0.25">
      <c r="B51" s="177" t="str">
        <f>'CU Composites'!B34</f>
        <v>Riverport</v>
      </c>
      <c r="C51" s="73">
        <f>VLOOKUP(B51,'CU Composites'!$B$5:$I$45,3,)</f>
        <v>283570.51830363314</v>
      </c>
      <c r="D51" s="45">
        <f t="shared" si="4"/>
        <v>8.2400951670961987E-4</v>
      </c>
      <c r="E51" s="73">
        <f>VLOOKUP(B51,'CU Composites'!$B$5:$I$45,5,)</f>
        <v>334175.6598047475</v>
      </c>
      <c r="F51" s="45">
        <f t="shared" si="5"/>
        <v>1.5957022468928594E-4</v>
      </c>
      <c r="G51" s="73">
        <f>VLOOKUP(B51,'CU Composites'!$B$5:$I$46,7,)</f>
        <v>0.1012010437380067</v>
      </c>
      <c r="H51" s="45">
        <f t="shared" si="6"/>
        <v>1.1491499981605466E-4</v>
      </c>
      <c r="I51" s="986">
        <f t="shared" si="7"/>
        <v>3.6616491373832024E-4</v>
      </c>
      <c r="K51" s="12"/>
      <c r="L51" s="214"/>
      <c r="N51" s="20"/>
      <c r="O51" s="981"/>
      <c r="P51" s="984"/>
      <c r="Q51" s="20"/>
      <c r="R51" s="984"/>
      <c r="S51" s="407"/>
      <c r="T51" s="984"/>
      <c r="U51" s="407"/>
      <c r="V51" s="407"/>
      <c r="W51" s="407"/>
      <c r="X51" s="20"/>
      <c r="Y51" s="20"/>
      <c r="Z51" s="20"/>
      <c r="AA51" s="20"/>
      <c r="AB51" s="20"/>
      <c r="AC51" s="20"/>
      <c r="AD51" s="20"/>
      <c r="AE51" s="20"/>
      <c r="AF51" s="20"/>
      <c r="AG51" s="20"/>
    </row>
    <row r="52" spans="1:33" hidden="1" x14ac:dyDescent="0.25">
      <c r="B52" s="177" t="str">
        <f>'CU Composites'!B38</f>
        <v>Coastal Ops</v>
      </c>
      <c r="C52" s="73">
        <f>VLOOKUP(B52,'CU Composites'!$B$5:$I$45,3,)</f>
        <v>573881.16369903262</v>
      </c>
      <c r="D52" s="45">
        <f t="shared" si="4"/>
        <v>1.667604739650876E-3</v>
      </c>
      <c r="E52" s="73">
        <f>VLOOKUP(B52,'CU Composites'!$B$5:$I$45,5,)</f>
        <v>43768.366704053529</v>
      </c>
      <c r="F52" s="45">
        <f t="shared" si="5"/>
        <v>2.089957154069682E-5</v>
      </c>
      <c r="G52" s="73">
        <f>VLOOKUP(B52,'CU Composites'!$B$5:$I$46,7,)</f>
        <v>7.6706173608383912</v>
      </c>
      <c r="H52" s="45">
        <f t="shared" si="6"/>
        <v>8.710078078757285E-3</v>
      </c>
      <c r="I52" s="986">
        <f t="shared" si="7"/>
        <v>3.4661941299829529E-3</v>
      </c>
      <c r="K52" s="12"/>
      <c r="L52" s="214"/>
      <c r="N52" s="20"/>
      <c r="O52" s="981"/>
      <c r="P52" s="984"/>
      <c r="Q52" s="20"/>
      <c r="R52" s="984"/>
      <c r="S52" s="407"/>
      <c r="T52" s="984"/>
      <c r="U52" s="407"/>
      <c r="V52" s="407"/>
      <c r="W52" s="407"/>
      <c r="X52" s="20"/>
      <c r="Y52" s="20"/>
      <c r="Z52" s="20"/>
      <c r="AA52" s="20"/>
      <c r="AB52" s="20"/>
      <c r="AC52" s="20"/>
      <c r="AD52" s="20"/>
      <c r="AE52" s="20"/>
      <c r="AF52" s="20"/>
      <c r="AG52" s="20"/>
    </row>
    <row r="53" spans="1:33" hidden="1" x14ac:dyDescent="0.25">
      <c r="B53" s="177" t="str">
        <f>'CU Composites'!B39</f>
        <v>Island Ops</v>
      </c>
      <c r="C53" s="73">
        <f>VLOOKUP(B53,'CU Composites'!$B$5:$I$45,3,)</f>
        <v>9883.3159582783301</v>
      </c>
      <c r="D53" s="45">
        <f t="shared" si="4"/>
        <v>2.8719298659775588E-5</v>
      </c>
      <c r="E53" s="73">
        <f>VLOOKUP(B53,'CU Composites'!$B$5:$I$45,5,)</f>
        <v>104.06038365101341</v>
      </c>
      <c r="F53" s="45">
        <f t="shared" si="5"/>
        <v>4.9689252682698249E-8</v>
      </c>
      <c r="G53" s="73">
        <f>VLOOKUP(B53,'CU Composites'!$B$5:$I$46,7,)</f>
        <v>2.3636815595948755E-3</v>
      </c>
      <c r="H53" s="45">
        <f t="shared" si="6"/>
        <v>2.6839887806813927E-6</v>
      </c>
      <c r="I53" s="986">
        <f t="shared" si="7"/>
        <v>1.0484325564379895E-5</v>
      </c>
      <c r="K53" s="12"/>
      <c r="L53" s="214"/>
      <c r="N53" s="20"/>
      <c r="O53" s="981"/>
      <c r="P53" s="984"/>
      <c r="Q53" s="20"/>
      <c r="R53" s="984"/>
      <c r="S53" s="407"/>
      <c r="T53" s="984"/>
      <c r="U53" s="407"/>
      <c r="V53" s="407"/>
      <c r="W53" s="407"/>
      <c r="X53" s="20"/>
      <c r="Y53" s="20"/>
      <c r="Z53" s="20"/>
      <c r="AA53" s="20"/>
      <c r="AB53" s="20"/>
      <c r="AC53" s="20"/>
      <c r="AD53" s="20"/>
      <c r="AE53" s="20"/>
      <c r="AF53" s="20"/>
      <c r="AG53" s="20"/>
    </row>
    <row r="54" spans="1:33" hidden="1" x14ac:dyDescent="0.25">
      <c r="B54" s="177" t="str">
        <f>'CU Composites'!B40</f>
        <v>Kamloops Ops</v>
      </c>
      <c r="C54" s="73">
        <f>VLOOKUP(B54,'CU Composites'!$B$5:$I$45,3,)</f>
        <v>965428.59756135754</v>
      </c>
      <c r="D54" s="45">
        <f t="shared" si="4"/>
        <v>2.8053775013465072E-3</v>
      </c>
      <c r="E54" s="73">
        <f>VLOOKUP(B54,'CU Composites'!$B$5:$I$45,5,)</f>
        <v>76469.467242897226</v>
      </c>
      <c r="F54" s="45">
        <f t="shared" si="5"/>
        <v>3.6514478873023385E-5</v>
      </c>
      <c r="G54" s="73">
        <f>VLOOKUP(B54,'CU Composites'!$B$5:$I$46,7,)</f>
        <v>10.994096829105008</v>
      </c>
      <c r="H54" s="45">
        <f t="shared" si="6"/>
        <v>1.2483928904577257E-2</v>
      </c>
      <c r="I54" s="986">
        <f t="shared" si="7"/>
        <v>5.1086069615989297E-3</v>
      </c>
      <c r="K54" s="12"/>
      <c r="L54" s="214"/>
      <c r="N54" s="20"/>
      <c r="O54" s="981"/>
      <c r="P54" s="984"/>
      <c r="Q54" s="20"/>
      <c r="R54" s="984"/>
      <c r="S54" s="407"/>
      <c r="T54" s="984"/>
      <c r="U54" s="407"/>
      <c r="V54" s="407"/>
      <c r="W54" s="407"/>
      <c r="X54" s="20"/>
      <c r="Y54" s="20"/>
      <c r="Z54" s="20"/>
      <c r="AA54" s="20"/>
      <c r="AB54" s="20"/>
      <c r="AC54" s="20"/>
      <c r="AD54" s="20"/>
      <c r="AE54" s="20"/>
      <c r="AF54" s="20"/>
      <c r="AG54" s="20"/>
    </row>
    <row r="55" spans="1:33" hidden="1" x14ac:dyDescent="0.25">
      <c r="B55" s="177" t="str">
        <f>'CU Composites'!B41</f>
        <v>Kootenay Ops</v>
      </c>
      <c r="C55" s="73">
        <f>VLOOKUP(B55,'CU Composites'!$B$5:$I$45,3,)</f>
        <v>534726.60145121801</v>
      </c>
      <c r="D55" s="45">
        <f t="shared" si="4"/>
        <v>1.5538279898399099E-3</v>
      </c>
      <c r="E55" s="73">
        <f>VLOOKUP(B55,'CU Composites'!$B$5:$I$45,5,)</f>
        <v>37052.489480562246</v>
      </c>
      <c r="F55" s="45">
        <f t="shared" si="5"/>
        <v>1.7692713093363136E-5</v>
      </c>
      <c r="G55" s="73">
        <f>VLOOKUP(B55,'CU Composites'!$B$5:$I$46,7,)</f>
        <v>9.8119223997033096</v>
      </c>
      <c r="H55" s="45">
        <f t="shared" si="6"/>
        <v>1.114155565110634E-2</v>
      </c>
      <c r="I55" s="986">
        <f t="shared" si="7"/>
        <v>4.2376921180132046E-3</v>
      </c>
      <c r="K55" s="12"/>
      <c r="L55" s="214"/>
      <c r="N55" s="20"/>
      <c r="O55" s="981"/>
      <c r="P55" s="984"/>
      <c r="Q55" s="20"/>
      <c r="R55" s="984"/>
      <c r="S55" s="407"/>
      <c r="T55" s="984"/>
      <c r="U55" s="407"/>
      <c r="V55" s="407"/>
      <c r="W55" s="407"/>
      <c r="X55" s="20"/>
      <c r="Y55" s="20"/>
      <c r="Z55" s="20"/>
      <c r="AA55" s="20"/>
      <c r="AB55" s="20"/>
      <c r="AC55" s="20"/>
      <c r="AD55" s="20"/>
      <c r="AE55" s="20"/>
      <c r="AF55" s="20"/>
      <c r="AG55" s="20"/>
    </row>
    <row r="56" spans="1:33" hidden="1" x14ac:dyDescent="0.25">
      <c r="B56" s="177" t="str">
        <f>'CU Composites'!B42</f>
        <v>Alberta Ops (North)</v>
      </c>
      <c r="C56" s="73">
        <f>VLOOKUP(B56,'CU Composites'!$B$5:$I$45,3,)</f>
        <v>1652260.8434448952</v>
      </c>
      <c r="D56" s="45">
        <f t="shared" si="4"/>
        <v>4.8011996001201141E-3</v>
      </c>
      <c r="E56" s="73">
        <f>VLOOKUP(B56,'CU Composites'!$B$5:$I$45,5,)</f>
        <v>211085.07604971665</v>
      </c>
      <c r="F56" s="45">
        <f t="shared" si="5"/>
        <v>1.0079397474217174E-4</v>
      </c>
      <c r="G56" s="73">
        <f>VLOOKUP(B56,'CU Composites'!$B$5:$I$46,7,)</f>
        <v>11.338609248916629</v>
      </c>
      <c r="H56" s="45">
        <f t="shared" si="6"/>
        <v>1.2875126892236083E-2</v>
      </c>
      <c r="I56" s="986">
        <f t="shared" si="7"/>
        <v>5.9257068223661233E-3</v>
      </c>
      <c r="K56" s="12"/>
      <c r="L56" s="214"/>
      <c r="N56" s="20"/>
      <c r="O56" s="981"/>
      <c r="P56" s="984"/>
      <c r="Q56" s="20"/>
      <c r="R56" s="984"/>
      <c r="S56" s="407"/>
      <c r="T56" s="984"/>
      <c r="U56" s="407"/>
      <c r="V56" s="407"/>
      <c r="W56" s="407"/>
      <c r="X56" s="20"/>
      <c r="Y56" s="20"/>
      <c r="Z56" s="20"/>
      <c r="AA56" s="20"/>
      <c r="AB56" s="20"/>
      <c r="AC56" s="20"/>
      <c r="AD56" s="20"/>
      <c r="AE56" s="20"/>
      <c r="AF56" s="20"/>
      <c r="AG56" s="20"/>
    </row>
    <row r="57" spans="1:33" hidden="1" x14ac:dyDescent="0.25">
      <c r="B57" s="177" t="str">
        <f>'CU Composites'!B43</f>
        <v>Alberta Ops (South)</v>
      </c>
      <c r="C57" s="73">
        <f>VLOOKUP(B57,'CU Composites'!$B$5:$I$45,3,)</f>
        <v>1757253.802298995</v>
      </c>
      <c r="D57" s="45">
        <f t="shared" si="4"/>
        <v>5.1062919552804049E-3</v>
      </c>
      <c r="E57" s="73">
        <f>VLOOKUP(B57,'CU Composites'!$B$5:$I$45,5,)</f>
        <v>83234.859209181304</v>
      </c>
      <c r="F57" s="45">
        <f t="shared" si="5"/>
        <v>3.9744980809644993E-5</v>
      </c>
      <c r="G57" s="73">
        <f>VLOOKUP(B57,'CU Composites'!$B$5:$I$46,7,)</f>
        <v>17.469813417283511</v>
      </c>
      <c r="H57" s="45">
        <f t="shared" si="6"/>
        <v>1.9837182814347772E-2</v>
      </c>
      <c r="I57" s="986">
        <f t="shared" si="7"/>
        <v>8.3277399168126074E-3</v>
      </c>
      <c r="K57" s="12"/>
      <c r="L57" s="214"/>
      <c r="N57" s="20"/>
      <c r="O57" s="981"/>
      <c r="P57" s="984"/>
      <c r="Q57" s="20"/>
      <c r="R57" s="984"/>
      <c r="S57" s="407"/>
      <c r="T57" s="984"/>
      <c r="U57" s="407"/>
      <c r="V57" s="407"/>
      <c r="W57" s="407"/>
      <c r="X57" s="20"/>
      <c r="Y57" s="20"/>
      <c r="Z57" s="20"/>
      <c r="AA57" s="20"/>
      <c r="AB57" s="20"/>
      <c r="AC57" s="20"/>
      <c r="AD57" s="20"/>
      <c r="AE57" s="20"/>
      <c r="AF57" s="20"/>
      <c r="AG57" s="20"/>
    </row>
    <row r="58" spans="1:33" hidden="1" x14ac:dyDescent="0.25">
      <c r="B58" s="177" t="str">
        <f>'CU Composites'!B44</f>
        <v>Corix Water Services Inc. (See note)</v>
      </c>
      <c r="C58" s="73">
        <f>VLOOKUP(B58,'CU Composites'!$B$5:$I$45,3,)</f>
        <v>5067809.4195218105</v>
      </c>
      <c r="D58" s="45">
        <f t="shared" si="4"/>
        <v>1.472622476954835E-2</v>
      </c>
      <c r="E58" s="73">
        <f>VLOOKUP(B58,'CU Composites'!$B$5:$I$45,5,)</f>
        <v>432854.58603392891</v>
      </c>
      <c r="F58" s="45">
        <f t="shared" si="5"/>
        <v>2.066898097592703E-4</v>
      </c>
      <c r="G58" s="73">
        <f>VLOOKUP(B58,'CU Composites'!$B$5:$I$46,7,)</f>
        <v>43.200701984565129</v>
      </c>
      <c r="H58" s="45">
        <f t="shared" si="6"/>
        <v>4.9054915613931736E-2</v>
      </c>
      <c r="I58" s="986">
        <f t="shared" si="7"/>
        <v>2.1329276731079788E-2</v>
      </c>
      <c r="K58" s="12"/>
      <c r="L58" s="214"/>
      <c r="N58" s="20"/>
      <c r="O58" s="981"/>
      <c r="P58" s="984"/>
      <c r="Q58" s="20"/>
      <c r="R58" s="984"/>
      <c r="S58" s="407"/>
      <c r="T58" s="984"/>
      <c r="U58" s="407"/>
      <c r="V58" s="407"/>
      <c r="W58" s="407"/>
      <c r="X58" s="20"/>
      <c r="Y58" s="20"/>
      <c r="Z58" s="20"/>
      <c r="AA58" s="20"/>
      <c r="AB58" s="20"/>
      <c r="AC58" s="20"/>
      <c r="AD58" s="20"/>
      <c r="AE58" s="20"/>
      <c r="AF58" s="20"/>
      <c r="AG58" s="20"/>
    </row>
    <row r="59" spans="1:33" hidden="1" x14ac:dyDescent="0.25">
      <c r="B59" s="177" t="str">
        <f>'CU Composites'!B45</f>
        <v>Corix Energy Inc.</v>
      </c>
      <c r="C59" s="73">
        <f>VLOOKUP(B59,'CU Composites'!$B$5:$I$45,3,)</f>
        <v>209663.19051522712</v>
      </c>
      <c r="D59" s="45">
        <f t="shared" si="4"/>
        <v>6.0924691791571113E-4</v>
      </c>
      <c r="E59" s="73">
        <f>VLOOKUP(B59,'CU Composites'!$B$5:$I$45,5,)</f>
        <v>2207.5214568280048</v>
      </c>
      <c r="F59" s="45">
        <f t="shared" si="5"/>
        <v>1.054100394619645E-6</v>
      </c>
      <c r="G59" s="73">
        <f>VLOOKUP(B59,'CU Composites'!$B$5:$I$46,7,)</f>
        <v>5.014278803174059E-2</v>
      </c>
      <c r="H59" s="45">
        <f t="shared" si="6"/>
        <v>5.6937737641928307E-5</v>
      </c>
      <c r="I59" s="986">
        <f t="shared" si="7"/>
        <v>2.2241291865075305E-4</v>
      </c>
      <c r="K59" s="12"/>
      <c r="L59" s="214"/>
      <c r="N59" s="20"/>
      <c r="O59" s="981"/>
      <c r="P59" s="984"/>
      <c r="Q59" s="20"/>
      <c r="R59" s="984"/>
      <c r="S59" s="407"/>
      <c r="T59" s="984"/>
      <c r="U59" s="407"/>
      <c r="V59" s="407"/>
      <c r="W59" s="407"/>
      <c r="X59" s="20"/>
      <c r="Y59" s="20"/>
      <c r="Z59" s="20"/>
      <c r="AA59" s="20"/>
      <c r="AB59" s="20"/>
      <c r="AC59" s="20"/>
      <c r="AD59" s="20"/>
      <c r="AE59" s="20"/>
      <c r="AF59" s="20"/>
      <c r="AG59" s="20"/>
    </row>
    <row r="60" spans="1:33" hidden="1" x14ac:dyDescent="0.25">
      <c r="B60" s="177" t="s">
        <v>118</v>
      </c>
      <c r="C60" s="73">
        <f t="shared" ref="C60:H60" si="8">SUM(C26:C59)-C23</f>
        <v>0</v>
      </c>
      <c r="D60" s="73">
        <f t="shared" si="8"/>
        <v>0</v>
      </c>
      <c r="E60" s="73">
        <f t="shared" si="8"/>
        <v>0</v>
      </c>
      <c r="F60" s="73">
        <f t="shared" si="8"/>
        <v>0</v>
      </c>
      <c r="G60" s="73">
        <f>SUM(G26:G59)-G23</f>
        <v>0</v>
      </c>
      <c r="H60" s="73">
        <f t="shared" si="8"/>
        <v>0</v>
      </c>
      <c r="I60" s="986"/>
      <c r="K60" s="12"/>
      <c r="L60" s="214"/>
      <c r="N60" s="20"/>
      <c r="O60" s="981"/>
      <c r="P60" s="984"/>
      <c r="Q60" s="20"/>
      <c r="R60" s="984"/>
      <c r="S60" s="407"/>
      <c r="T60" s="984"/>
      <c r="U60" s="407"/>
      <c r="V60" s="407"/>
      <c r="W60" s="407"/>
      <c r="X60" s="20"/>
      <c r="Y60" s="20"/>
      <c r="Z60" s="20"/>
      <c r="AA60" s="20"/>
      <c r="AB60" s="20"/>
      <c r="AC60" s="20"/>
      <c r="AD60" s="20"/>
      <c r="AE60" s="20"/>
      <c r="AF60" s="20"/>
      <c r="AG60" s="20"/>
    </row>
    <row r="61" spans="1:33" hidden="1" x14ac:dyDescent="0.25">
      <c r="C61" s="73"/>
      <c r="D61" s="45"/>
      <c r="E61" s="73"/>
      <c r="F61" s="45"/>
      <c r="G61" s="73"/>
      <c r="H61" s="45"/>
      <c r="I61" s="986"/>
      <c r="K61" s="12"/>
      <c r="L61" s="214"/>
      <c r="M61" s="69"/>
      <c r="N61" s="20"/>
      <c r="O61" s="981"/>
      <c r="P61" s="984"/>
      <c r="Q61" s="20"/>
      <c r="R61" s="984"/>
      <c r="S61" s="407"/>
      <c r="T61" s="984"/>
      <c r="U61" s="407"/>
      <c r="V61" s="984"/>
      <c r="W61" s="407"/>
      <c r="X61" s="20"/>
      <c r="Y61" s="20"/>
      <c r="Z61" s="20"/>
      <c r="AA61" s="20"/>
      <c r="AB61" s="20"/>
      <c r="AC61" s="20"/>
      <c r="AD61" s="20"/>
      <c r="AE61" s="20"/>
      <c r="AF61" s="20"/>
      <c r="AG61" s="20"/>
    </row>
    <row r="62" spans="1:33" x14ac:dyDescent="0.25">
      <c r="C62" s="73"/>
      <c r="D62" s="45"/>
      <c r="E62" s="73"/>
      <c r="F62" s="45"/>
      <c r="G62" s="73"/>
      <c r="H62" s="45"/>
      <c r="I62" s="986"/>
      <c r="K62" s="12"/>
      <c r="L62" s="214"/>
      <c r="M62" s="69"/>
      <c r="N62" s="20"/>
      <c r="O62" s="981"/>
      <c r="P62" s="984"/>
      <c r="Q62" s="20"/>
      <c r="R62" s="407"/>
      <c r="S62" s="407"/>
      <c r="T62" s="407"/>
      <c r="U62" s="407"/>
      <c r="V62" s="407"/>
      <c r="W62" s="407"/>
      <c r="X62" s="20"/>
      <c r="Y62" s="20"/>
      <c r="Z62" s="20"/>
      <c r="AA62" s="20"/>
      <c r="AB62" s="20"/>
      <c r="AC62" s="20"/>
      <c r="AD62" s="20"/>
      <c r="AE62" s="20"/>
      <c r="AF62" s="20"/>
      <c r="AG62" s="20"/>
    </row>
    <row r="63" spans="1:33" x14ac:dyDescent="0.25">
      <c r="A63" s="622" t="s">
        <v>968</v>
      </c>
      <c r="I63" s="983"/>
      <c r="K63" s="12"/>
      <c r="L63" s="214"/>
      <c r="M63" s="69"/>
      <c r="N63" s="20"/>
      <c r="O63" s="981"/>
      <c r="P63" s="984"/>
      <c r="Q63" s="20"/>
      <c r="R63" s="407"/>
      <c r="S63" s="407"/>
      <c r="T63" s="407"/>
      <c r="U63" s="407"/>
      <c r="V63" s="407"/>
      <c r="W63" s="407"/>
      <c r="X63" s="20"/>
      <c r="Y63" s="20"/>
      <c r="Z63" s="20"/>
      <c r="AA63" s="20"/>
      <c r="AB63" s="20"/>
      <c r="AC63" s="20"/>
      <c r="AD63" s="20"/>
      <c r="AE63" s="20"/>
      <c r="AF63" s="20"/>
      <c r="AG63" s="20"/>
    </row>
    <row r="64" spans="1:33" x14ac:dyDescent="0.25">
      <c r="B64" s="177" t="str">
        <f>'CU Composites'!B52</f>
        <v>Oklahoma</v>
      </c>
      <c r="C64" s="74">
        <f>'CU Composites'!D52</f>
        <v>18451445</v>
      </c>
      <c r="D64" s="45">
        <f>C64/$C$85</f>
        <v>5.3616879385057478E-2</v>
      </c>
      <c r="E64" s="73">
        <f>'CU Composites'!F52</f>
        <v>210352347</v>
      </c>
      <c r="F64" s="45">
        <f>E64/$E$85</f>
        <v>0.10044409366714681</v>
      </c>
      <c r="G64" s="987">
        <f>'CU Composites'!H52</f>
        <v>45.6</v>
      </c>
      <c r="H64" s="45">
        <f>G64/$G$85</f>
        <v>5.1779347307701042E-2</v>
      </c>
      <c r="I64" s="986">
        <f>(C64/$C$85*$C$7)+(E64/$E$85*$E$7)+(G64/$G$85*$G$7)</f>
        <v>6.861344011996845E-2</v>
      </c>
      <c r="K64" s="988">
        <f>I64</f>
        <v>6.861344011996845E-2</v>
      </c>
      <c r="L64" s="623">
        <f>K64/$K$85</f>
        <v>7.7248275484601781E-2</v>
      </c>
      <c r="M64" s="69"/>
      <c r="N64" s="20"/>
      <c r="O64" s="981"/>
      <c r="P64" s="984"/>
      <c r="Q64" s="20"/>
      <c r="R64" s="407"/>
      <c r="S64" s="407"/>
      <c r="T64" s="984"/>
      <c r="U64" s="407"/>
      <c r="V64" s="984"/>
      <c r="W64" s="985"/>
      <c r="X64" s="20"/>
      <c r="Y64" s="20"/>
      <c r="Z64" s="20"/>
      <c r="AA64" s="20"/>
      <c r="AB64" s="20"/>
      <c r="AC64" s="20"/>
      <c r="AD64" s="20"/>
      <c r="AE64" s="20"/>
      <c r="AF64" s="20"/>
      <c r="AG64" s="20"/>
    </row>
    <row r="65" spans="1:33" x14ac:dyDescent="0.25">
      <c r="B65" s="177" t="str">
        <f>'CU Composites'!B53</f>
        <v>Gillem Enclave</v>
      </c>
      <c r="C65" s="74">
        <f>'CU Composites'!D53</f>
        <v>837888</v>
      </c>
      <c r="D65" s="45">
        <f>C65/$C$85</f>
        <v>2.4347653982756926E-3</v>
      </c>
      <c r="E65" s="73">
        <f>'CU Composites'!F53</f>
        <v>123937</v>
      </c>
      <c r="F65" s="45">
        <f>E65/$E$85</f>
        <v>5.9180417116169254E-5</v>
      </c>
      <c r="G65" s="987">
        <f>'CU Composites'!H53</f>
        <v>3.9</v>
      </c>
      <c r="H65" s="45">
        <f>G65/$G$85</f>
        <v>4.4284968092112732E-3</v>
      </c>
      <c r="I65" s="986">
        <f>(C65/$C$85*$C$7)+(E65/$E$85*$E$7)+(G65/$G$85*$G$7)</f>
        <v>2.3074808748677119E-3</v>
      </c>
      <c r="K65" s="988">
        <f>I65</f>
        <v>2.3074808748677119E-3</v>
      </c>
      <c r="L65" s="623">
        <f t="shared" ref="L65:L67" si="9">K65/$K$85</f>
        <v>2.5978717578592227E-3</v>
      </c>
      <c r="M65" s="69"/>
      <c r="N65" s="20"/>
      <c r="O65" s="981"/>
      <c r="P65" s="984"/>
      <c r="Q65" s="20"/>
      <c r="R65" s="407"/>
      <c r="S65" s="407"/>
      <c r="T65" s="984"/>
      <c r="U65" s="407"/>
      <c r="V65" s="984"/>
      <c r="W65" s="985"/>
      <c r="X65" s="20"/>
      <c r="Y65" s="20"/>
      <c r="Z65" s="20"/>
      <c r="AA65" s="20"/>
      <c r="AB65" s="20"/>
      <c r="AC65" s="20"/>
      <c r="AD65" s="20"/>
      <c r="AE65" s="20"/>
      <c r="AF65" s="20"/>
      <c r="AG65" s="20"/>
    </row>
    <row r="66" spans="1:33" x14ac:dyDescent="0.25">
      <c r="B66" s="177" t="str">
        <f>'CU Composites'!B54</f>
        <v>Cleveland Thermal</v>
      </c>
      <c r="C66" s="74">
        <f>'CU Composites'!D54</f>
        <v>24307162</v>
      </c>
      <c r="D66" s="45">
        <f>C66/$C$85</f>
        <v>7.063263463360471E-2</v>
      </c>
      <c r="E66" s="73">
        <f>'CU Composites'!F54</f>
        <v>35010039</v>
      </c>
      <c r="F66" s="45">
        <f>E66/$E$85</f>
        <v>1.6717434755346289E-2</v>
      </c>
      <c r="G66" s="987">
        <f>'CU Composites'!H54</f>
        <v>33</v>
      </c>
      <c r="H66" s="45">
        <f>G66/$G$85</f>
        <v>3.747189607794154E-2</v>
      </c>
      <c r="I66" s="986">
        <f>(C66/$C$85*$C$7)+(E66/$E$85*$E$7)+(G66/$G$85*$G$7)</f>
        <v>4.1607321822297517E-2</v>
      </c>
      <c r="K66" s="988">
        <f>I66</f>
        <v>4.1607321822297517E-2</v>
      </c>
      <c r="L66" s="623">
        <f t="shared" si="9"/>
        <v>4.6843502565759414E-2</v>
      </c>
      <c r="M66" s="69"/>
      <c r="N66" s="20"/>
      <c r="O66" s="981"/>
      <c r="P66" s="984"/>
      <c r="Q66" s="20"/>
      <c r="R66" s="407"/>
      <c r="S66" s="407"/>
      <c r="T66" s="984"/>
      <c r="U66" s="407"/>
      <c r="V66" s="984"/>
      <c r="W66" s="407"/>
      <c r="X66" s="20"/>
      <c r="Y66" s="20"/>
      <c r="Z66" s="20"/>
      <c r="AA66" s="20"/>
      <c r="AB66" s="20"/>
      <c r="AC66" s="20"/>
      <c r="AD66" s="20"/>
      <c r="AE66" s="20"/>
      <c r="AF66" s="20"/>
      <c r="AG66" s="20"/>
    </row>
    <row r="67" spans="1:33" x14ac:dyDescent="0.25">
      <c r="B67" s="177" t="str">
        <f>'CU Composites'!B55</f>
        <v>Shareholder Bucket</v>
      </c>
      <c r="C67" s="74">
        <f>'CU Composites'!D55</f>
        <v>61040566</v>
      </c>
      <c r="D67" s="45">
        <f>C67/$C$85</f>
        <v>0.1773738948259955</v>
      </c>
      <c r="E67" s="73">
        <f>'CU Composites'!F55</f>
        <v>408707935</v>
      </c>
      <c r="F67" s="45">
        <f>E67/$E$85</f>
        <v>0.19515968655032953</v>
      </c>
      <c r="G67" s="987">
        <f>'CU Composites'!H55</f>
        <v>85.5</v>
      </c>
      <c r="H67" s="45">
        <f>G67/$G$85</f>
        <v>9.708627620193945E-2</v>
      </c>
      <c r="I67" s="986">
        <f>(C67/$C$85*$C$7)+(E67/$E$85*$E$7)+(G67/$G$85*$G$7)</f>
        <v>0.15653995252608818</v>
      </c>
      <c r="K67" s="988">
        <f>I67</f>
        <v>0.15653995252608818</v>
      </c>
      <c r="L67" s="623">
        <f t="shared" si="9"/>
        <v>0.17624012665650476</v>
      </c>
      <c r="M67" s="69"/>
      <c r="N67" s="20"/>
      <c r="O67" s="981"/>
      <c r="P67" s="984"/>
      <c r="Q67" s="20"/>
      <c r="R67" s="407"/>
      <c r="S67" s="407"/>
      <c r="T67" s="984"/>
      <c r="U67" s="407"/>
      <c r="V67" s="984"/>
      <c r="W67" s="407"/>
      <c r="X67" s="20"/>
      <c r="Y67" s="20"/>
      <c r="Z67" s="20"/>
      <c r="AA67" s="20"/>
      <c r="AB67" s="20"/>
      <c r="AC67" s="20"/>
      <c r="AD67" s="20"/>
      <c r="AE67" s="20"/>
      <c r="AF67" s="20"/>
      <c r="AG67" s="20"/>
    </row>
    <row r="68" spans="1:33" x14ac:dyDescent="0.25">
      <c r="I68" s="983"/>
      <c r="K68" s="12"/>
      <c r="L68" s="214"/>
      <c r="M68" s="69"/>
      <c r="N68" s="20"/>
      <c r="O68" s="981"/>
      <c r="P68" s="984"/>
      <c r="Q68" s="20"/>
      <c r="R68" s="407"/>
      <c r="S68" s="407"/>
      <c r="T68" s="407"/>
      <c r="U68" s="407"/>
      <c r="V68" s="407"/>
      <c r="W68" s="407"/>
      <c r="X68" s="20"/>
      <c r="Y68" s="20"/>
      <c r="Z68" s="20"/>
      <c r="AA68" s="20"/>
      <c r="AB68" s="20"/>
      <c r="AC68" s="20"/>
      <c r="AD68" s="20"/>
      <c r="AE68" s="20"/>
      <c r="AF68" s="20"/>
      <c r="AG68" s="20"/>
    </row>
    <row r="69" spans="1:33" s="989" customFormat="1" x14ac:dyDescent="0.25">
      <c r="A69" s="989" t="s">
        <v>852</v>
      </c>
      <c r="C69" s="990">
        <f>SUM(C64:C67)+C23+C11</f>
        <v>144498003.96933293</v>
      </c>
      <c r="D69" s="991">
        <f>C69/C85</f>
        <v>0.41988755082354151</v>
      </c>
      <c r="E69" s="990">
        <f>SUM(E64:E67)+E23+E11</f>
        <v>753250534.72125983</v>
      </c>
      <c r="F69" s="991">
        <f>E69/E85</f>
        <v>0.35968016684106996</v>
      </c>
      <c r="G69" s="990">
        <f>SUM(G64:G67)+G23+G11</f>
        <v>319.66000000000003</v>
      </c>
      <c r="H69" s="991">
        <f>G69/$G$85</f>
        <v>0.36297776667499376</v>
      </c>
      <c r="I69" s="992">
        <f>SUM(I64:I67,I26:I59,I14:I20)</f>
        <v>0.38084849477986854</v>
      </c>
      <c r="K69" s="993">
        <f>SUM(K64:K68)</f>
        <v>0.26906819534322185</v>
      </c>
      <c r="L69" s="994">
        <f>SUM(L64:L68)</f>
        <v>0.30292977646472519</v>
      </c>
      <c r="M69" s="343"/>
      <c r="N69" s="629"/>
      <c r="O69" s="995"/>
      <c r="P69" s="984"/>
      <c r="Q69" s="629"/>
      <c r="R69" s="996"/>
      <c r="S69" s="996"/>
      <c r="T69" s="996"/>
      <c r="U69" s="996"/>
      <c r="V69" s="997"/>
      <c r="W69" s="996"/>
      <c r="X69" s="629"/>
      <c r="Y69" s="629"/>
      <c r="Z69" s="629"/>
      <c r="AA69" s="629"/>
      <c r="AB69" s="629"/>
      <c r="AC69" s="629"/>
      <c r="AD69" s="629"/>
      <c r="AE69" s="629"/>
      <c r="AF69" s="629"/>
      <c r="AG69" s="629"/>
    </row>
    <row r="70" spans="1:33" x14ac:dyDescent="0.25">
      <c r="B70" s="177" t="s">
        <v>118</v>
      </c>
      <c r="C70" s="76">
        <f>C69-'CU Composites'!D59</f>
        <v>0</v>
      </c>
      <c r="E70" s="76">
        <f>E69-'CU Composites'!F59</f>
        <v>0</v>
      </c>
      <c r="G70" s="76">
        <f>G69-'CU Composites'!H59</f>
        <v>0</v>
      </c>
      <c r="I70" s="813"/>
      <c r="K70" s="12"/>
      <c r="L70" s="214"/>
      <c r="M70" s="69"/>
      <c r="N70" s="20"/>
      <c r="O70" s="981"/>
      <c r="P70" s="998"/>
      <c r="Q70" s="20"/>
      <c r="R70" s="407"/>
      <c r="S70" s="407"/>
      <c r="T70" s="407"/>
      <c r="U70" s="407"/>
      <c r="V70" s="634"/>
      <c r="W70" s="407"/>
      <c r="X70" s="20"/>
      <c r="Y70" s="20"/>
      <c r="Z70" s="20"/>
      <c r="AA70" s="20"/>
      <c r="AB70" s="20"/>
      <c r="AC70" s="20"/>
      <c r="AD70" s="20"/>
      <c r="AE70" s="20"/>
      <c r="AF70" s="20"/>
      <c r="AG70" s="20"/>
    </row>
    <row r="71" spans="1:33" x14ac:dyDescent="0.25">
      <c r="I71" s="983"/>
      <c r="K71" s="12"/>
      <c r="L71" s="214"/>
      <c r="M71" s="69"/>
      <c r="N71" s="20"/>
      <c r="O71" s="981"/>
      <c r="P71" s="407"/>
      <c r="Q71" s="20"/>
      <c r="R71" s="407"/>
      <c r="S71" s="407"/>
      <c r="T71" s="407"/>
      <c r="U71" s="407"/>
      <c r="V71" s="999"/>
      <c r="W71" s="407"/>
      <c r="X71" s="20"/>
      <c r="Y71" s="20"/>
      <c r="Z71" s="20"/>
      <c r="AA71" s="20"/>
      <c r="AB71" s="20"/>
      <c r="AC71" s="20"/>
      <c r="AD71" s="20"/>
      <c r="AE71" s="20"/>
      <c r="AF71" s="20"/>
      <c r="AG71" s="20"/>
    </row>
    <row r="72" spans="1:33" x14ac:dyDescent="0.25">
      <c r="A72" s="622" t="s">
        <v>838</v>
      </c>
      <c r="I72" s="1000"/>
      <c r="K72" s="12"/>
      <c r="L72" s="214"/>
      <c r="M72" s="69"/>
      <c r="N72" s="20"/>
      <c r="O72" s="981"/>
      <c r="P72" s="20">
        <v>9826</v>
      </c>
      <c r="Q72" s="20"/>
      <c r="R72" s="407"/>
      <c r="S72" s="407"/>
      <c r="T72" s="407"/>
      <c r="U72" s="407"/>
      <c r="V72" s="407"/>
      <c r="W72" s="407"/>
      <c r="X72" s="407"/>
      <c r="Y72" s="407"/>
      <c r="Z72" s="407"/>
      <c r="AA72" s="407"/>
      <c r="AB72" s="407"/>
      <c r="AC72" s="407"/>
      <c r="AD72" s="20"/>
      <c r="AE72" s="20"/>
      <c r="AF72" s="20"/>
      <c r="AG72" s="20"/>
    </row>
    <row r="73" spans="1:33" x14ac:dyDescent="0.25">
      <c r="B73" s="177" t="str">
        <f>'RU Composites'!B5</f>
        <v>Atlantic</v>
      </c>
      <c r="C73" s="73">
        <f>'RU Composites'!D5</f>
        <v>32992000</v>
      </c>
      <c r="D73" s="45">
        <f t="shared" ref="D73:D80" si="10">C73/$C$85</f>
        <v>9.5869352490919615E-2</v>
      </c>
      <c r="E73" s="73">
        <f>'RU Composites'!F5</f>
        <v>212348813.93000004</v>
      </c>
      <c r="F73" s="45">
        <f>E73/$E$85</f>
        <v>0.10139741467440082</v>
      </c>
      <c r="G73" s="177">
        <f>'RU Composites'!H5</f>
        <v>89</v>
      </c>
      <c r="H73" s="45">
        <f>G73/$G$85</f>
        <v>0.10106056821020597</v>
      </c>
      <c r="I73" s="986">
        <f>(C73/$C$85*$C$7)+(E73/$E$85*$E$7)+(G73/$G$85*$G$7)</f>
        <v>9.9442445125175472E-2</v>
      </c>
      <c r="J73" s="77"/>
      <c r="K73" s="988">
        <f>I73</f>
        <v>9.9442445125175472E-2</v>
      </c>
      <c r="L73" s="623">
        <f t="shared" ref="L73:L80" si="11">K73/$K$85</f>
        <v>0.1119570361500697</v>
      </c>
      <c r="M73" s="69"/>
      <c r="N73" s="1001"/>
      <c r="O73" s="986">
        <f>C73/$C$82</f>
        <v>0.16525994680344827</v>
      </c>
      <c r="P73" s="1002">
        <f>$P$72*O73</f>
        <v>1623.8442372906827</v>
      </c>
      <c r="Q73" s="1003"/>
      <c r="R73" s="407"/>
      <c r="S73" s="407"/>
      <c r="T73" s="407"/>
      <c r="U73" s="407"/>
      <c r="V73" s="634"/>
      <c r="W73" s="407"/>
      <c r="X73" s="407"/>
      <c r="Y73" s="407"/>
      <c r="Z73" s="407"/>
      <c r="AA73" s="407"/>
      <c r="AB73" s="407"/>
      <c r="AC73" s="407"/>
      <c r="AD73" s="20"/>
      <c r="AE73" s="20"/>
      <c r="AF73" s="20"/>
      <c r="AG73" s="20"/>
    </row>
    <row r="74" spans="1:33" x14ac:dyDescent="0.25">
      <c r="B74" s="177" t="str">
        <f>'RU Composites'!B6</f>
        <v>Midwest</v>
      </c>
      <c r="C74" s="73">
        <f>'RU Composites'!D6</f>
        <v>28422000</v>
      </c>
      <c r="D74" s="45">
        <f t="shared" si="10"/>
        <v>8.258968042243324E-2</v>
      </c>
      <c r="E74" s="73">
        <f>'RU Composites'!F6</f>
        <v>197070535.54999998</v>
      </c>
      <c r="F74" s="45">
        <f t="shared" ref="F74:F80" si="12">E74/$E$85</f>
        <v>9.4101975157990431E-2</v>
      </c>
      <c r="G74" s="177">
        <f>'RU Composites'!H6</f>
        <v>84</v>
      </c>
      <c r="H74" s="45">
        <f t="shared" ref="H74:H80" si="13">G74/$G$85</f>
        <v>9.5383008198396652E-2</v>
      </c>
      <c r="I74" s="986">
        <f t="shared" ref="I74:I80" si="14">(C74/$C$85*$C$7)+(E74/$E$85*$E$7)+(G74/$G$85*$G$7)</f>
        <v>9.0691554592940121E-2</v>
      </c>
      <c r="J74" s="77"/>
      <c r="K74" s="988">
        <f>I74</f>
        <v>9.0691554592940121E-2</v>
      </c>
      <c r="L74" s="623">
        <f t="shared" si="11"/>
        <v>0.10210486722532609</v>
      </c>
      <c r="M74" s="69"/>
      <c r="N74" s="1001"/>
      <c r="O74" s="986">
        <f t="shared" ref="O74:O79" si="15">C74/$C$82</f>
        <v>0.14236839864353801</v>
      </c>
      <c r="P74" s="1002">
        <f t="shared" ref="P74:P82" si="16">$P$72*O74</f>
        <v>1398.9118850714044</v>
      </c>
      <c r="Q74" s="1003"/>
      <c r="R74" s="407"/>
      <c r="S74" s="407"/>
      <c r="T74" s="407"/>
      <c r="U74" s="407"/>
      <c r="V74" s="634"/>
      <c r="W74" s="407"/>
      <c r="X74" s="407"/>
      <c r="Y74" s="407"/>
      <c r="Z74" s="407"/>
      <c r="AA74" s="407"/>
      <c r="AB74" s="407"/>
      <c r="AC74" s="407"/>
      <c r="AD74" s="20"/>
      <c r="AE74" s="20"/>
      <c r="AF74" s="20"/>
      <c r="AG74" s="20"/>
    </row>
    <row r="75" spans="1:33" x14ac:dyDescent="0.25">
      <c r="B75" s="177" t="str">
        <f>'RU Composites'!B7</f>
        <v>South Carolina</v>
      </c>
      <c r="C75" s="73">
        <f>'RU Composites'!D7</f>
        <v>21732000</v>
      </c>
      <c r="D75" s="45">
        <f t="shared" si="10"/>
        <v>6.3149635315611824E-2</v>
      </c>
      <c r="E75" s="73">
        <f>'RU Composites'!F7</f>
        <v>100086268.64000002</v>
      </c>
      <c r="F75" s="45">
        <f t="shared" si="12"/>
        <v>4.7791596744444116E-2</v>
      </c>
      <c r="G75" s="177">
        <f>'RU Composites'!H7</f>
        <v>49</v>
      </c>
      <c r="H75" s="45">
        <f t="shared" si="13"/>
        <v>5.564008811573138E-2</v>
      </c>
      <c r="I75" s="986">
        <f t="shared" si="14"/>
        <v>5.5527106725262447E-2</v>
      </c>
      <c r="J75" s="77"/>
      <c r="K75" s="988">
        <f t="shared" ref="K75:K80" si="17">I75</f>
        <v>5.5527106725262447E-2</v>
      </c>
      <c r="L75" s="623">
        <f t="shared" si="11"/>
        <v>6.2515058706809096E-2</v>
      </c>
      <c r="M75" s="69"/>
      <c r="N75" s="1001"/>
      <c r="O75" s="986">
        <f t="shared" si="15"/>
        <v>0.10885757650134995</v>
      </c>
      <c r="P75" s="632">
        <f>$P$72*O75</f>
        <v>1069.6345467022645</v>
      </c>
      <c r="Q75" s="1003"/>
      <c r="R75" s="407"/>
      <c r="S75" s="407"/>
      <c r="T75" s="407"/>
      <c r="U75" s="407"/>
      <c r="V75" s="634"/>
      <c r="W75" s="407"/>
      <c r="X75" s="407"/>
      <c r="Y75" s="407"/>
      <c r="Z75" s="407"/>
      <c r="AA75" s="407"/>
      <c r="AB75" s="407"/>
      <c r="AC75" s="407"/>
      <c r="AD75" s="20"/>
      <c r="AE75" s="20"/>
      <c r="AF75" s="20"/>
      <c r="AG75" s="20"/>
    </row>
    <row r="76" spans="1:33" x14ac:dyDescent="0.25">
      <c r="B76" s="177" t="str">
        <f>'RU Composites'!B8</f>
        <v>Florida</v>
      </c>
      <c r="C76" s="73">
        <f>'RU Composites'!D8</f>
        <v>35682000</v>
      </c>
      <c r="D76" s="45">
        <f t="shared" si="10"/>
        <v>0.1036860522423919</v>
      </c>
      <c r="E76" s="73">
        <f>'RU Composites'!F8</f>
        <v>227846444.91000003</v>
      </c>
      <c r="F76" s="45">
        <f t="shared" si="12"/>
        <v>0.10879759594156774</v>
      </c>
      <c r="G76" s="177">
        <f>'RU Composites'!H8</f>
        <v>84</v>
      </c>
      <c r="H76" s="45">
        <f t="shared" si="13"/>
        <v>9.5383008198396652E-2</v>
      </c>
      <c r="I76" s="986">
        <f t="shared" si="14"/>
        <v>0.10262221879411879</v>
      </c>
      <c r="J76" s="77"/>
      <c r="K76" s="988">
        <f t="shared" si="17"/>
        <v>0.10262221879411879</v>
      </c>
      <c r="L76" s="623">
        <f t="shared" si="11"/>
        <v>0.11553697663880975</v>
      </c>
      <c r="M76" s="69"/>
      <c r="N76" s="1001"/>
      <c r="O76" s="986">
        <f t="shared" si="15"/>
        <v>0.17873440294133852</v>
      </c>
      <c r="P76" s="632">
        <f t="shared" si="16"/>
        <v>1756.2442433015924</v>
      </c>
      <c r="Q76" s="1003"/>
      <c r="R76" s="407"/>
      <c r="S76" s="407"/>
      <c r="T76" s="407"/>
      <c r="U76" s="407"/>
      <c r="V76" s="1004"/>
      <c r="W76" s="407"/>
      <c r="X76" s="407"/>
      <c r="Y76" s="407"/>
      <c r="Z76" s="407"/>
      <c r="AA76" s="407"/>
      <c r="AB76" s="407"/>
      <c r="AC76" s="407"/>
      <c r="AD76" s="20"/>
      <c r="AE76" s="20"/>
      <c r="AF76" s="20"/>
      <c r="AG76" s="20"/>
    </row>
    <row r="77" spans="1:33" x14ac:dyDescent="0.25">
      <c r="B77" s="177" t="str">
        <f>'RU Composites'!B9</f>
        <v>South</v>
      </c>
      <c r="C77" s="73">
        <f>'RU Composites'!D9</f>
        <v>25851000</v>
      </c>
      <c r="D77" s="45">
        <f t="shared" si="10"/>
        <v>7.5118775195282581E-2</v>
      </c>
      <c r="E77" s="73">
        <f>'RU Composites'!F9</f>
        <v>155125467.80999997</v>
      </c>
      <c r="F77" s="45">
        <f t="shared" si="12"/>
        <v>7.4073036222731592E-2</v>
      </c>
      <c r="G77" s="177">
        <f>'RU Composites'!H9</f>
        <v>81</v>
      </c>
      <c r="H77" s="45">
        <f t="shared" si="13"/>
        <v>9.1976472191311054E-2</v>
      </c>
      <c r="I77" s="986">
        <f t="shared" si="14"/>
        <v>8.0389427869775085E-2</v>
      </c>
      <c r="J77" s="77"/>
      <c r="K77" s="988">
        <f t="shared" si="17"/>
        <v>8.0389427869775085E-2</v>
      </c>
      <c r="L77" s="623">
        <f t="shared" si="11"/>
        <v>9.0506242789692756E-2</v>
      </c>
      <c r="M77" s="69"/>
      <c r="N77" s="1001"/>
      <c r="O77" s="986">
        <f t="shared" si="15"/>
        <v>0.12949002439427562</v>
      </c>
      <c r="P77" s="632">
        <f>$P$72*O77</f>
        <v>1272.3689796981523</v>
      </c>
      <c r="Q77" s="1003"/>
      <c r="R77" s="407"/>
      <c r="S77" s="407"/>
      <c r="T77" s="407"/>
      <c r="U77" s="407"/>
      <c r="V77" s="634"/>
      <c r="W77" s="407"/>
      <c r="X77" s="407"/>
      <c r="Y77" s="407"/>
      <c r="Z77" s="407"/>
      <c r="AA77" s="407"/>
      <c r="AB77" s="407"/>
      <c r="AC77" s="407"/>
      <c r="AD77" s="20"/>
      <c r="AE77" s="20"/>
      <c r="AF77" s="20"/>
      <c r="AG77" s="20"/>
    </row>
    <row r="78" spans="1:33" x14ac:dyDescent="0.25">
      <c r="B78" s="177" t="str">
        <f>'RU Composites'!B10</f>
        <v>West</v>
      </c>
      <c r="C78" s="73">
        <f>'RU Composites'!D10</f>
        <v>17549000</v>
      </c>
      <c r="D78" s="45">
        <f t="shared" si="10"/>
        <v>5.0994521910255469E-2</v>
      </c>
      <c r="E78" s="73">
        <f>'RU Composites'!F10</f>
        <v>144441658.12</v>
      </c>
      <c r="F78" s="45">
        <f t="shared" si="12"/>
        <v>6.8971474027067908E-2</v>
      </c>
      <c r="G78" s="177">
        <f>'RU Composites'!H10</f>
        <v>49</v>
      </c>
      <c r="H78" s="45">
        <f t="shared" si="13"/>
        <v>5.564008811573138E-2</v>
      </c>
      <c r="I78" s="986">
        <f t="shared" si="14"/>
        <v>5.8535361351018264E-2</v>
      </c>
      <c r="J78" s="77"/>
      <c r="K78" s="988">
        <f t="shared" si="17"/>
        <v>5.8535361351018264E-2</v>
      </c>
      <c r="L78" s="623">
        <f t="shared" si="11"/>
        <v>6.5901894895927432E-2</v>
      </c>
      <c r="M78" s="69"/>
      <c r="N78" s="1001"/>
      <c r="O78" s="986">
        <f t="shared" si="15"/>
        <v>8.7904546752355525E-2</v>
      </c>
      <c r="P78" s="632">
        <f t="shared" si="16"/>
        <v>863.75007638864543</v>
      </c>
      <c r="Q78" s="1003"/>
      <c r="R78" s="1003"/>
      <c r="S78" s="1003"/>
      <c r="T78" s="1003"/>
      <c r="U78" s="1003"/>
      <c r="V78" s="1003"/>
      <c r="W78" s="1003"/>
      <c r="X78" s="1003"/>
      <c r="Y78" s="20"/>
      <c r="Z78" s="20"/>
      <c r="AA78" s="20"/>
      <c r="AB78" s="20"/>
      <c r="AC78" s="20"/>
      <c r="AD78" s="20"/>
      <c r="AE78" s="20"/>
      <c r="AF78" s="20"/>
      <c r="AG78" s="20"/>
    </row>
    <row r="79" spans="1:33" x14ac:dyDescent="0.25">
      <c r="B79" s="177" t="str">
        <f>'RU Composites'!B11</f>
        <v>Texas</v>
      </c>
      <c r="C79" s="73">
        <f>'RU Composites'!D11</f>
        <v>9446000</v>
      </c>
      <c r="D79" s="45">
        <f t="shared" si="10"/>
        <v>2.744853005665697E-2</v>
      </c>
      <c r="E79" s="73">
        <f>'RU Composites'!F11</f>
        <v>57198433.899999999</v>
      </c>
      <c r="F79" s="45">
        <f t="shared" si="12"/>
        <v>2.7312482766192789E-2</v>
      </c>
      <c r="G79" s="177">
        <f>'RU Composites'!H11</f>
        <v>39</v>
      </c>
      <c r="H79" s="45">
        <f t="shared" si="13"/>
        <v>4.4284968092112728E-2</v>
      </c>
      <c r="I79" s="986">
        <f t="shared" si="14"/>
        <v>3.3015326971654164E-2</v>
      </c>
      <c r="J79" s="77"/>
      <c r="K79" s="988">
        <f t="shared" si="17"/>
        <v>3.3015326971654164E-2</v>
      </c>
      <c r="L79" s="623">
        <f t="shared" si="11"/>
        <v>3.7170225959539269E-2</v>
      </c>
      <c r="M79" s="69"/>
      <c r="N79" s="1001"/>
      <c r="O79" s="986">
        <f t="shared" si="15"/>
        <v>4.7315878319149254E-2</v>
      </c>
      <c r="P79" s="632">
        <f t="shared" si="16"/>
        <v>464.92582036396055</v>
      </c>
      <c r="Q79" s="1003"/>
      <c r="R79" s="1003"/>
      <c r="S79" s="1003"/>
      <c r="T79" s="1003"/>
      <c r="U79" s="1003"/>
      <c r="V79" s="1003"/>
      <c r="W79" s="1003"/>
      <c r="X79" s="1003"/>
      <c r="Y79" s="20"/>
      <c r="Z79" s="20"/>
      <c r="AA79" s="20"/>
      <c r="AB79" s="20"/>
      <c r="AC79" s="20"/>
      <c r="AD79" s="20"/>
      <c r="AE79" s="20"/>
      <c r="AF79" s="20"/>
      <c r="AG79" s="20"/>
    </row>
    <row r="80" spans="1:33" x14ac:dyDescent="0.25">
      <c r="B80" s="177" t="str">
        <f>'RU Composites'!B12</f>
        <v>Alaska</v>
      </c>
      <c r="C80" s="73">
        <f>'RU Composites'!D12</f>
        <v>27963000</v>
      </c>
      <c r="D80" s="45">
        <f t="shared" si="10"/>
        <v>8.1255901542906919E-2</v>
      </c>
      <c r="E80" s="73">
        <f>'RU Composites'!F12</f>
        <v>246855000</v>
      </c>
      <c r="F80" s="45">
        <f t="shared" si="12"/>
        <v>0.11787425762453473</v>
      </c>
      <c r="G80" s="177">
        <f>'RU Composites'!H12</f>
        <v>86</v>
      </c>
      <c r="H80" s="45">
        <f t="shared" si="13"/>
        <v>9.7654032203120383E-2</v>
      </c>
      <c r="I80" s="986">
        <f t="shared" si="14"/>
        <v>9.8928063790187343E-2</v>
      </c>
      <c r="J80" s="77"/>
      <c r="K80" s="988">
        <f t="shared" si="17"/>
        <v>9.8928063790187343E-2</v>
      </c>
      <c r="L80" s="623">
        <f t="shared" si="11"/>
        <v>0.1113779211691006</v>
      </c>
      <c r="M80" s="69"/>
      <c r="N80" s="1001"/>
      <c r="O80" s="986">
        <f>C80/$C$82</f>
        <v>0.14006922564454485</v>
      </c>
      <c r="P80" s="632">
        <f t="shared" si="16"/>
        <v>1376.3202111832977</v>
      </c>
      <c r="Q80" s="1003"/>
      <c r="R80" s="1003"/>
      <c r="S80" s="1003"/>
      <c r="T80" s="1003"/>
      <c r="U80" s="1003"/>
      <c r="V80" s="1003"/>
      <c r="W80" s="1003"/>
      <c r="X80" s="1003"/>
      <c r="Y80" s="20"/>
      <c r="Z80" s="20"/>
      <c r="AA80" s="20"/>
      <c r="AB80" s="20"/>
      <c r="AC80" s="20"/>
      <c r="AD80" s="20"/>
      <c r="AE80" s="20"/>
      <c r="AF80" s="20"/>
      <c r="AG80" s="20"/>
    </row>
    <row r="81" spans="1:33" x14ac:dyDescent="0.25">
      <c r="I81" s="983"/>
      <c r="K81" s="12"/>
      <c r="L81" s="214"/>
      <c r="M81" s="69"/>
      <c r="N81" s="20"/>
      <c r="O81" s="981"/>
      <c r="P81" s="632">
        <f t="shared" si="16"/>
        <v>0</v>
      </c>
      <c r="Q81" s="20"/>
      <c r="R81" s="20"/>
      <c r="S81" s="20"/>
      <c r="T81" s="20"/>
      <c r="U81" s="20"/>
      <c r="V81" s="20"/>
      <c r="W81" s="20"/>
      <c r="X81" s="20"/>
      <c r="Y81" s="20"/>
      <c r="Z81" s="20"/>
      <c r="AA81" s="20"/>
      <c r="AB81" s="20"/>
      <c r="AC81" s="20"/>
      <c r="AD81" s="20"/>
      <c r="AE81" s="20"/>
      <c r="AF81" s="20"/>
      <c r="AG81" s="20"/>
    </row>
    <row r="82" spans="1:33" s="989" customFormat="1" ht="15.75" thickBot="1" x14ac:dyDescent="0.3">
      <c r="A82" s="989" t="s">
        <v>853</v>
      </c>
      <c r="C82" s="990">
        <f>SUM(C73:C80)</f>
        <v>199637000</v>
      </c>
      <c r="D82" s="991">
        <f>C82/$C$85</f>
        <v>0.58011244917645854</v>
      </c>
      <c r="E82" s="990">
        <f>SUM(E73:E80)</f>
        <v>1340972622.8599999</v>
      </c>
      <c r="F82" s="991">
        <f>E82/$E$85</f>
        <v>0.64031983315893004</v>
      </c>
      <c r="G82" s="990">
        <f>SUM(G73:G80)</f>
        <v>561</v>
      </c>
      <c r="H82" s="991">
        <f>G82/$G$85</f>
        <v>0.63702223332500618</v>
      </c>
      <c r="I82" s="992">
        <f>SUM(I73:I80)</f>
        <v>0.61915150522013174</v>
      </c>
      <c r="K82" s="993">
        <f>SUM(K73:K81)</f>
        <v>0.61915150522013174</v>
      </c>
      <c r="L82" s="994">
        <f>SUM(L73:L81)</f>
        <v>0.6970702235352747</v>
      </c>
      <c r="M82" s="343"/>
      <c r="N82" s="629"/>
      <c r="O82" s="1005">
        <f>SUM(O73:O81)</f>
        <v>1</v>
      </c>
      <c r="P82" s="632">
        <f t="shared" si="16"/>
        <v>9826</v>
      </c>
      <c r="Q82" s="629"/>
      <c r="R82" s="629"/>
      <c r="S82" s="629"/>
      <c r="T82" s="629"/>
      <c r="U82" s="629"/>
      <c r="V82" s="629"/>
      <c r="W82" s="629"/>
      <c r="X82" s="629"/>
      <c r="Y82" s="629"/>
      <c r="Z82" s="629"/>
      <c r="AA82" s="629"/>
      <c r="AB82" s="629"/>
      <c r="AC82" s="629"/>
      <c r="AD82" s="629"/>
      <c r="AE82" s="629"/>
      <c r="AF82" s="629"/>
      <c r="AG82" s="629"/>
    </row>
    <row r="83" spans="1:33" x14ac:dyDescent="0.25">
      <c r="B83" s="177" t="s">
        <v>118</v>
      </c>
      <c r="C83" s="76">
        <f>C82-'RU Composites'!D14</f>
        <v>0</v>
      </c>
      <c r="E83" s="76">
        <f>E82-'RU Composites'!F14</f>
        <v>0</v>
      </c>
      <c r="G83" s="76">
        <f>G82-'RU Composites'!H14</f>
        <v>0</v>
      </c>
      <c r="I83" s="813"/>
      <c r="K83" s="12"/>
      <c r="L83" s="214"/>
      <c r="M83" s="69"/>
      <c r="N83" s="20"/>
      <c r="O83" s="20"/>
      <c r="P83" s="20"/>
      <c r="Q83" s="20"/>
      <c r="R83" s="20"/>
      <c r="S83" s="20"/>
      <c r="T83" s="20"/>
      <c r="U83" s="20"/>
      <c r="V83" s="20"/>
      <c r="W83" s="20"/>
      <c r="X83" s="20"/>
      <c r="Y83" s="20"/>
      <c r="Z83" s="20"/>
      <c r="AA83" s="20"/>
      <c r="AB83" s="20"/>
      <c r="AC83" s="20"/>
      <c r="AD83" s="20"/>
      <c r="AE83" s="20"/>
      <c r="AF83" s="20"/>
      <c r="AG83" s="20"/>
    </row>
    <row r="84" spans="1:33" x14ac:dyDescent="0.25">
      <c r="I84" s="983"/>
      <c r="K84" s="12"/>
      <c r="L84" s="214"/>
      <c r="M84" s="20"/>
      <c r="N84" s="20"/>
      <c r="O84" s="20"/>
      <c r="P84" s="20"/>
      <c r="Q84" s="20"/>
      <c r="R84" s="20"/>
      <c r="S84" s="20"/>
      <c r="T84" s="20"/>
      <c r="U84" s="20"/>
      <c r="V84" s="20"/>
      <c r="W84" s="20"/>
      <c r="X84" s="20"/>
      <c r="Y84" s="20"/>
      <c r="Z84" s="20"/>
      <c r="AA84" s="20"/>
      <c r="AB84" s="20"/>
      <c r="AC84" s="20"/>
      <c r="AD84" s="20"/>
      <c r="AE84" s="20"/>
      <c r="AF84" s="20"/>
      <c r="AG84" s="20"/>
    </row>
    <row r="85" spans="1:33" s="1006" customFormat="1" ht="15.75" thickBot="1" x14ac:dyDescent="0.3">
      <c r="A85" s="1006" t="s">
        <v>969</v>
      </c>
      <c r="C85" s="1007">
        <f>C82+C69</f>
        <v>344135003.96933293</v>
      </c>
      <c r="D85" s="1008">
        <f>SUM(D73:D80,D64:D67,D23,D11)</f>
        <v>1</v>
      </c>
      <c r="E85" s="1007">
        <f>E82+E69</f>
        <v>2094223157.5812597</v>
      </c>
      <c r="F85" s="1008">
        <f>SUM(F73:F80,F64:F67,F23,F11)</f>
        <v>1</v>
      </c>
      <c r="G85" s="1007">
        <f>G82+G69</f>
        <v>880.66000000000008</v>
      </c>
      <c r="H85" s="1008">
        <f>SUM(H73:H80,H64:H67,H23,H11)</f>
        <v>1.0000000000000002</v>
      </c>
      <c r="I85" s="1009">
        <f>I82+I69</f>
        <v>1.0000000000000002</v>
      </c>
      <c r="K85" s="1010">
        <f>K82+K69</f>
        <v>0.88821970056335364</v>
      </c>
      <c r="L85" s="1011">
        <f>L82+L69</f>
        <v>0.99999999999999989</v>
      </c>
      <c r="M85" s="629"/>
      <c r="N85" s="629"/>
      <c r="O85" s="629"/>
      <c r="P85" s="629"/>
      <c r="Q85" s="629"/>
      <c r="R85" s="629"/>
      <c r="S85" s="629"/>
      <c r="T85" s="629"/>
      <c r="U85" s="629"/>
      <c r="V85" s="629"/>
      <c r="W85" s="629"/>
      <c r="X85" s="629"/>
      <c r="Y85" s="629"/>
      <c r="Z85" s="629"/>
      <c r="AA85" s="629"/>
      <c r="AB85" s="629"/>
      <c r="AC85" s="629"/>
      <c r="AD85" s="629"/>
      <c r="AE85" s="629"/>
      <c r="AF85" s="629"/>
      <c r="AG85" s="629"/>
    </row>
    <row r="86" spans="1:33" x14ac:dyDescent="0.25">
      <c r="H86" s="177" t="s">
        <v>96</v>
      </c>
      <c r="I86" s="204">
        <f>I85-1</f>
        <v>0</v>
      </c>
      <c r="M86" s="71"/>
    </row>
    <row r="87" spans="1:33" x14ac:dyDescent="0.25">
      <c r="A87" s="410"/>
      <c r="B87" s="410"/>
      <c r="C87" s="410"/>
      <c r="D87" s="410"/>
      <c r="E87" s="1012"/>
      <c r="F87" s="410"/>
      <c r="G87" s="410"/>
      <c r="H87" s="410"/>
      <c r="I87" s="410"/>
    </row>
    <row r="90" spans="1:33" x14ac:dyDescent="0.25">
      <c r="A90" s="177" t="s">
        <v>970</v>
      </c>
    </row>
    <row r="93" spans="1:33" x14ac:dyDescent="0.25">
      <c r="I93" s="77"/>
      <c r="J93" s="77"/>
    </row>
    <row r="94" spans="1:33" x14ac:dyDescent="0.25">
      <c r="F94" s="77"/>
    </row>
    <row r="95" spans="1:33" x14ac:dyDescent="0.25">
      <c r="F95" s="77"/>
    </row>
    <row r="99" spans="6:10" x14ac:dyDescent="0.25">
      <c r="F99" s="77"/>
      <c r="G99" s="77"/>
      <c r="H99" s="77"/>
      <c r="I99" s="77"/>
      <c r="J99" s="77"/>
    </row>
  </sheetData>
  <mergeCells count="3">
    <mergeCell ref="R5:T5"/>
    <mergeCell ref="K6:L6"/>
    <mergeCell ref="K7:L7"/>
  </mergeCells>
  <pageMargins left="0.7" right="0.7" top="0.75" bottom="0.75" header="0.3" footer="0.3"/>
  <pageSetup scale="64" orientation="landscape" horizontalDpi="90" verticalDpi="90"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I17"/>
  <sheetViews>
    <sheetView workbookViewId="0">
      <selection activeCell="O29" sqref="O29"/>
    </sheetView>
  </sheetViews>
  <sheetFormatPr defaultRowHeight="15" x14ac:dyDescent="0.25"/>
  <cols>
    <col min="1" max="1" width="19.42578125" style="177" bestFit="1" customWidth="1"/>
    <col min="2" max="2" width="14.42578125" style="177" bestFit="1" customWidth="1"/>
    <col min="3" max="3" width="17" style="177" customWidth="1"/>
    <col min="4" max="4" width="15.7109375" style="177" bestFit="1" customWidth="1"/>
    <col min="5" max="5" width="18.140625" style="177" customWidth="1"/>
    <col min="6" max="6" width="19.5703125" style="177" customWidth="1"/>
    <col min="7" max="7" width="18.7109375" style="177" bestFit="1" customWidth="1"/>
    <col min="8" max="8" width="14.7109375" style="177" customWidth="1"/>
    <col min="9" max="16384" width="9.140625" style="177"/>
  </cols>
  <sheetData>
    <row r="1" spans="1:9" x14ac:dyDescent="0.25">
      <c r="B1" s="1013"/>
    </row>
    <row r="2" spans="1:9" s="152" customFormat="1" ht="60" x14ac:dyDescent="0.25">
      <c r="A2" s="1014" t="s">
        <v>971</v>
      </c>
      <c r="B2" s="1015" t="s">
        <v>653</v>
      </c>
      <c r="C2" s="1014" t="s">
        <v>972</v>
      </c>
      <c r="D2" s="1014" t="s">
        <v>973</v>
      </c>
      <c r="E2" s="1014" t="s">
        <v>974</v>
      </c>
      <c r="F2" s="1014" t="s">
        <v>975</v>
      </c>
      <c r="G2" s="1014" t="s">
        <v>976</v>
      </c>
      <c r="H2" s="1014" t="s">
        <v>977</v>
      </c>
    </row>
    <row r="3" spans="1:9" x14ac:dyDescent="0.25">
      <c r="A3" s="1" t="s">
        <v>978</v>
      </c>
      <c r="B3" s="1016" t="s">
        <v>425</v>
      </c>
      <c r="C3" s="3" t="s">
        <v>428</v>
      </c>
      <c r="D3" s="3" t="s">
        <v>979</v>
      </c>
      <c r="E3" s="3" t="s">
        <v>980</v>
      </c>
      <c r="F3" s="3" t="s">
        <v>981</v>
      </c>
      <c r="G3" s="3" t="s">
        <v>982</v>
      </c>
      <c r="H3" s="3" t="s">
        <v>983</v>
      </c>
    </row>
    <row r="4" spans="1:9" ht="16.350000000000001" customHeight="1" x14ac:dyDescent="0.25">
      <c r="B4" s="1013"/>
    </row>
    <row r="5" spans="1:9" ht="16.350000000000001" customHeight="1" x14ac:dyDescent="0.25">
      <c r="A5" s="199" t="s">
        <v>984</v>
      </c>
      <c r="B5" s="1013"/>
    </row>
    <row r="6" spans="1:9" x14ac:dyDescent="0.25">
      <c r="A6" s="177" t="s">
        <v>985</v>
      </c>
      <c r="B6" s="665">
        <f>573889</f>
        <v>573889</v>
      </c>
      <c r="C6" s="1017">
        <v>45</v>
      </c>
      <c r="D6" s="1018">
        <f>B6/C6</f>
        <v>12753.088888888889</v>
      </c>
      <c r="E6" s="1017">
        <v>31</v>
      </c>
      <c r="F6" s="1018">
        <f>E6*D6</f>
        <v>395345.75555555557</v>
      </c>
      <c r="G6" s="1017">
        <f>C6-E6</f>
        <v>14</v>
      </c>
      <c r="H6" s="1018">
        <f>G6*D6</f>
        <v>178543.24444444446</v>
      </c>
    </row>
    <row r="7" spans="1:9" ht="17.25" x14ac:dyDescent="0.4">
      <c r="B7" s="1019"/>
      <c r="C7" s="4"/>
      <c r="D7" s="1020"/>
      <c r="E7" s="4"/>
      <c r="F7" s="1021"/>
      <c r="G7" s="4"/>
      <c r="H7" s="1020"/>
    </row>
    <row r="8" spans="1:9" x14ac:dyDescent="0.25">
      <c r="A8" s="1" t="s">
        <v>3</v>
      </c>
      <c r="B8" s="1013">
        <f>SUM(B6:B7)</f>
        <v>573889</v>
      </c>
      <c r="C8" s="177">
        <f>SUM(C6:C7)</f>
        <v>45</v>
      </c>
      <c r="D8" s="1021">
        <f>ROUND(B8/C8,-2)</f>
        <v>12800</v>
      </c>
      <c r="E8" s="1022">
        <f>SUM(E6:E7)</f>
        <v>31</v>
      </c>
      <c r="F8" s="1023">
        <f>SUM(F6:F7)</f>
        <v>395345.75555555557</v>
      </c>
      <c r="G8" s="1022">
        <f>SUM(G6:G7)</f>
        <v>14</v>
      </c>
      <c r="H8" s="1024">
        <f>SUM(H6:H7)</f>
        <v>178543.24444444446</v>
      </c>
      <c r="I8" s="1025" t="s">
        <v>986</v>
      </c>
    </row>
    <row r="9" spans="1:9" x14ac:dyDescent="0.25">
      <c r="B9" s="1013"/>
    </row>
    <row r="10" spans="1:9" x14ac:dyDescent="0.25">
      <c r="B10" s="1013"/>
    </row>
    <row r="11" spans="1:9" x14ac:dyDescent="0.25">
      <c r="A11" s="199" t="s">
        <v>804</v>
      </c>
    </row>
    <row r="13" spans="1:9" x14ac:dyDescent="0.25">
      <c r="A13" s="177" t="s">
        <v>987</v>
      </c>
    </row>
    <row r="14" spans="1:9" x14ac:dyDescent="0.25">
      <c r="A14" s="177" t="s">
        <v>988</v>
      </c>
    </row>
    <row r="15" spans="1:9" x14ac:dyDescent="0.25">
      <c r="A15" s="177" t="s">
        <v>989</v>
      </c>
    </row>
    <row r="16" spans="1:9" x14ac:dyDescent="0.25">
      <c r="A16" s="177" t="s">
        <v>990</v>
      </c>
    </row>
    <row r="17" spans="1:1" x14ac:dyDescent="0.25">
      <c r="A17" s="177" t="s">
        <v>991</v>
      </c>
    </row>
  </sheetData>
  <hyperlinks>
    <hyperlink ref="E8" r:id="rId1" display="=@sum(E6:E7)" xr:uid="{00000000-0004-0000-2100-000000000000}"/>
    <hyperlink ref="F8" r:id="rId2" display="=@sum(F6:F7)" xr:uid="{00000000-0004-0000-2100-000001000000}"/>
    <hyperlink ref="G8" r:id="rId3" display="=@sum(G6:G7)" xr:uid="{00000000-0004-0000-2100-000002000000}"/>
    <hyperlink ref="H8" r:id="rId4" display="=@sum(H6:H7)" xr:uid="{00000000-0004-0000-2100-000003000000}"/>
  </hyperlinks>
  <pageMargins left="0.7" right="0.7" top="0.75" bottom="0.75" header="0.3" footer="0.3"/>
  <pageSetup scale="78" orientation="landscape" r:id="rId5"/>
  <legacyDrawing r:id="rId6"/>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84"/>
  <sheetViews>
    <sheetView zoomScale="85" zoomScaleNormal="85" workbookViewId="0">
      <selection activeCell="O29" sqref="O29"/>
    </sheetView>
  </sheetViews>
  <sheetFormatPr defaultRowHeight="15" x14ac:dyDescent="0.25"/>
  <cols>
    <col min="1" max="1" width="13.7109375" style="177" customWidth="1"/>
    <col min="2" max="2" width="54.5703125" style="177" customWidth="1"/>
    <col min="3" max="3" width="19.28515625" style="177" customWidth="1"/>
    <col min="4" max="4" width="17.7109375" style="177" customWidth="1"/>
    <col min="5" max="5" width="17.7109375" style="77" customWidth="1"/>
    <col min="6" max="6" width="17" style="177" customWidth="1"/>
    <col min="7" max="7" width="15.5703125" style="177" customWidth="1"/>
    <col min="8" max="8" width="18.28515625" style="177" customWidth="1"/>
    <col min="9" max="9" width="15.28515625" style="177" customWidth="1"/>
    <col min="10" max="10" width="24.28515625" style="177" customWidth="1"/>
    <col min="11" max="11" width="19.28515625" style="69" customWidth="1"/>
    <col min="12" max="12" width="22.42578125" style="177" customWidth="1"/>
    <col min="13" max="13" width="23" style="177" customWidth="1"/>
    <col min="14" max="16384" width="9.140625" style="177"/>
  </cols>
  <sheetData>
    <row r="1" spans="1:13" x14ac:dyDescent="0.25">
      <c r="A1" s="930" t="s">
        <v>832</v>
      </c>
      <c r="B1" s="31"/>
      <c r="J1" s="965"/>
      <c r="K1" s="1026"/>
      <c r="L1" s="1027"/>
      <c r="M1" s="1028"/>
    </row>
    <row r="2" spans="1:13" ht="14.1" customHeight="1" x14ac:dyDescent="0.25">
      <c r="A2" s="930" t="s">
        <v>992</v>
      </c>
      <c r="B2" s="31"/>
      <c r="D2" s="1" t="s">
        <v>97</v>
      </c>
      <c r="E2" s="1029">
        <f>Assumptions!B9</f>
        <v>0.33333333333333337</v>
      </c>
      <c r="F2" s="1030" t="s">
        <v>97</v>
      </c>
      <c r="G2" s="1029">
        <f>Assumptions!B10</f>
        <v>0.33333333333333337</v>
      </c>
      <c r="H2" s="1030" t="s">
        <v>97</v>
      </c>
      <c r="I2" s="1029">
        <f>Assumptions!B11</f>
        <v>0.33333333333333337</v>
      </c>
      <c r="J2" s="1031" t="s">
        <v>993</v>
      </c>
      <c r="K2" s="1032" t="s">
        <v>994</v>
      </c>
      <c r="L2" s="1033" t="s">
        <v>995</v>
      </c>
      <c r="M2" s="1354" t="s">
        <v>996</v>
      </c>
    </row>
    <row r="3" spans="1:13" x14ac:dyDescent="0.25">
      <c r="A3" s="199" t="s">
        <v>997</v>
      </c>
      <c r="D3" s="1"/>
      <c r="E3" s="1029"/>
      <c r="F3" s="1030"/>
      <c r="G3" s="1029"/>
      <c r="H3" s="1030"/>
      <c r="I3" s="1029"/>
      <c r="J3" s="1034" t="s">
        <v>998</v>
      </c>
      <c r="K3" s="1026" t="s">
        <v>999</v>
      </c>
      <c r="L3" s="1027" t="s">
        <v>1000</v>
      </c>
      <c r="M3" s="1354"/>
    </row>
    <row r="4" spans="1:13" x14ac:dyDescent="0.25">
      <c r="B4" s="1" t="s">
        <v>1001</v>
      </c>
      <c r="C4" s="1" t="s">
        <v>199</v>
      </c>
      <c r="D4" s="35" t="s">
        <v>1002</v>
      </c>
      <c r="E4" s="1035" t="s">
        <v>1003</v>
      </c>
      <c r="F4" s="1" t="s">
        <v>70</v>
      </c>
      <c r="G4" s="1" t="s">
        <v>1004</v>
      </c>
      <c r="H4" s="1" t="s">
        <v>1005</v>
      </c>
      <c r="I4" s="1" t="s">
        <v>1006</v>
      </c>
      <c r="J4" s="964" t="s">
        <v>98</v>
      </c>
      <c r="K4" s="1026"/>
      <c r="L4" s="1027"/>
      <c r="M4" s="1028"/>
    </row>
    <row r="5" spans="1:13" x14ac:dyDescent="0.25">
      <c r="A5" s="177">
        <v>1</v>
      </c>
      <c r="B5" s="177" t="str">
        <f>'CU Can Data'!B54</f>
        <v>Panorama - Wastewater Treatment Plant</v>
      </c>
      <c r="C5" s="633" t="s">
        <v>99</v>
      </c>
      <c r="D5" s="73">
        <f>VLOOKUP(B5,'CU Can Data'!$B$6:$M$48,4,)/Assumptions!$B$4</f>
        <v>1080397.2613726107</v>
      </c>
      <c r="E5" s="77">
        <f>D5/$D$47</f>
        <v>2.7104157124527031E-2</v>
      </c>
      <c r="F5" s="73">
        <f>IF(Assumptions!$B$14="Net",VLOOKUP(B5,'CU Can Data'!$B$6:$M$48,8,)+VLOOKUP(B5,'CU Can Data'!$B$6:$M$48,9,),VLOOKUP(B5,'CU Can Data'!$B$6:$M$48,8,))/Assumptions!$B$5</f>
        <v>3623834.3894973528</v>
      </c>
      <c r="G5" s="77">
        <f>F5/$F$47</f>
        <v>3.6583591766674924E-2</v>
      </c>
      <c r="H5" s="73">
        <f>VLOOKUP(B5,'CU Can Data'!$B$6:$M$48,12,)</f>
        <v>2.0376074539262237</v>
      </c>
      <c r="I5" s="77">
        <f>H5/$H$47</f>
        <v>1.3435364986985521E-2</v>
      </c>
      <c r="J5" s="1036">
        <f>(E5*$E$2)+(G5*$G$2)+(I5*$I$2)</f>
        <v>2.5707704626062495E-2</v>
      </c>
      <c r="K5" s="1037">
        <f>IF(C5="DEU",(D5/SUMIF($C$5:$C$46,"DEU",$D$5:$D$46)*$E$2)+(F5/SUMIF($C$5:$C$46,"DEU",$F$5:$F$46)*$G$2)+(H5/SUMIF($C$5:$C$46,"DEU",$H$5:$H$46)*$I$2),0)</f>
        <v>0</v>
      </c>
      <c r="L5" s="1038">
        <f>IF(C5="Cdn Utilities",(D5/SUMIF($C$5:$C$46,"Cdn Utilities",$D$5:$D$46)*$E$2)+(F5/SUMIF($C$5:$C$46,"Cdn Utilities",$F$5:$F$46)*$G$2)+(H5/SUMIF($C$5:$C$46,"Cdn Utilities",$H$5:$H$46)*$I$2),0)</f>
        <v>3.099046308980595E-2</v>
      </c>
      <c r="M5" s="1039">
        <f>((D5/SUM($D$47+$D$57))*$E$2)+((F5/SUM($F$47+$F$57))*$G$2)+((H5/SUM($H$47+$H$57))*$I$2)</f>
        <v>6.2207084400939493E-3</v>
      </c>
    </row>
    <row r="6" spans="1:13" x14ac:dyDescent="0.25">
      <c r="A6" s="177">
        <f>A5+1</f>
        <v>2</v>
      </c>
      <c r="B6" s="177" t="str">
        <f>'CU Can Data'!B55</f>
        <v>Panorama - Propane Storage Farm</v>
      </c>
      <c r="C6" s="633" t="s">
        <v>99</v>
      </c>
      <c r="D6" s="73">
        <f>VLOOKUP(B6,'CU Can Data'!$B$6:$M$48,4,)/Assumptions!$B$4</f>
        <v>455397.08249245596</v>
      </c>
      <c r="E6" s="77">
        <f t="shared" ref="E6:E45" si="0">D6/$D$47</f>
        <v>1.1424643989050041E-2</v>
      </c>
      <c r="F6" s="73">
        <f>IF(Assumptions!$B$14="Net",VLOOKUP(B6,'CU Can Data'!$B$6:$M$48,8,)+VLOOKUP(B6,'CU Can Data'!$B$6:$M$48,9,),VLOOKUP(B6,'CU Can Data'!$B$6:$M$48,8,))/Assumptions!$B$5</f>
        <v>482426.84428067197</v>
      </c>
      <c r="G6" s="77">
        <f t="shared" ref="G6:G45" si="1">F6/$F$47</f>
        <v>4.8702299364451265E-3</v>
      </c>
      <c r="H6" s="73">
        <f>VLOOKUP(B6,'CU Can Data'!$B$6:$M$48,12,)</f>
        <v>0.50874500900857811</v>
      </c>
      <c r="I6" s="77">
        <f t="shared" ref="I6:I45" si="2">H6/$H$47</f>
        <v>3.354510147755362E-3</v>
      </c>
      <c r="J6" s="1036">
        <f t="shared" ref="J6:J45" si="3">(E6*$E$2)+(G6*$G$2)+(I6*$I$2)</f>
        <v>6.549794691083511E-3</v>
      </c>
      <c r="K6" s="1037">
        <f t="shared" ref="K6:K45" si="4">IF(C6="DEU",(D6/SUMIF($C$5:$C$46,"DEU",$D$5:$D$46)*$E$2)+(F6/SUMIF($C$5:$C$46,"DEU",$F$5:$F$46)*$G$2)+(H6/SUMIF($C$5:$C$46,"DEU",$H$5:$H$46)*$I$2),0)</f>
        <v>0</v>
      </c>
      <c r="L6" s="1038">
        <f t="shared" ref="L6:L45" si="5">IF(C6="Cdn Utilities",(D6/SUMIF($C$5:$C$46,"Cdn Utilities",$D$5:$D$46)*$E$2)+(F6/SUMIF($C$5:$C$46,"Cdn Utilities",$F$5:$F$46)*$G$2)+(H6/SUMIF($C$5:$C$46,"Cdn Utilities",$H$5:$H$46)*$I$2),0)</f>
        <v>7.5583894256378526E-3</v>
      </c>
      <c r="M6" s="1039">
        <f t="shared" ref="M6:M45" si="6">((D6/SUM($D$47+$D$57))*$E$2)+((F6/SUM($F$47+$F$57))*$G$2)+((H6/SUM($H$47+$H$57))*$I$2)</f>
        <v>1.794519862755231E-3</v>
      </c>
    </row>
    <row r="7" spans="1:13" x14ac:dyDescent="0.25">
      <c r="A7" s="177">
        <f t="shared" ref="A7:A45" si="7">A6+1</f>
        <v>3</v>
      </c>
      <c r="B7" s="177" t="str">
        <f>'CU Can Data'!B56</f>
        <v>Panorama - Propane Distribution</v>
      </c>
      <c r="C7" s="633" t="s">
        <v>99</v>
      </c>
      <c r="D7" s="73">
        <f>VLOOKUP(B7,'CU Can Data'!$B$6:$M$48,4,)/Assumptions!$B$4</f>
        <v>557914.53770261246</v>
      </c>
      <c r="E7" s="77">
        <f t="shared" si="0"/>
        <v>1.3996521309890857E-2</v>
      </c>
      <c r="F7" s="73">
        <f>IF(Assumptions!$B$14="Net",VLOOKUP(B7,'CU Can Data'!$B$6:$M$48,8,)+VLOOKUP(B7,'CU Can Data'!$B$6:$M$48,9,),VLOOKUP(B7,'CU Can Data'!$B$6:$M$48,8,))/Assumptions!$B$5</f>
        <v>156366.42322603939</v>
      </c>
      <c r="G7" s="77">
        <f t="shared" si="1"/>
        <v>1.5785614844584551E-3</v>
      </c>
      <c r="H7" s="73">
        <f>VLOOKUP(B7,'CU Can Data'!$B$6:$M$48,12,)</f>
        <v>0.47764648199713666</v>
      </c>
      <c r="I7" s="77">
        <f t="shared" si="2"/>
        <v>3.1494559013394222E-3</v>
      </c>
      <c r="J7" s="1036">
        <f t="shared" si="3"/>
        <v>6.2415128985629119E-3</v>
      </c>
      <c r="K7" s="1037">
        <f t="shared" si="4"/>
        <v>0</v>
      </c>
      <c r="L7" s="1038">
        <f t="shared" si="5"/>
        <v>6.9705067029803783E-3</v>
      </c>
      <c r="M7" s="1039">
        <f t="shared" si="6"/>
        <v>1.8542917794238942E-3</v>
      </c>
    </row>
    <row r="8" spans="1:13" x14ac:dyDescent="0.25">
      <c r="A8" s="177">
        <f t="shared" si="7"/>
        <v>4</v>
      </c>
      <c r="B8" s="177" t="str">
        <f>'CU Can Data'!B57</f>
        <v>Panorama - Water</v>
      </c>
      <c r="C8" s="633" t="s">
        <v>99</v>
      </c>
      <c r="D8" s="73">
        <f>VLOOKUP(B8,'CU Can Data'!$B$6:$M$48,4,)/Assumptions!$B$4</f>
        <v>184042.08935470966</v>
      </c>
      <c r="E8" s="77">
        <f t="shared" si="0"/>
        <v>4.6171032505754493E-3</v>
      </c>
      <c r="F8" s="73">
        <f>IF(Assumptions!$B$14="Net",VLOOKUP(B8,'CU Can Data'!$B$6:$M$48,8,)+VLOOKUP(B8,'CU Can Data'!$B$6:$M$48,9,),VLOOKUP(B8,'CU Can Data'!$B$6:$M$48,8,))/Assumptions!$B$5</f>
        <v>1683796.1702487068</v>
      </c>
      <c r="G8" s="77">
        <f t="shared" si="1"/>
        <v>1.6998379365568507E-2</v>
      </c>
      <c r="H8" s="73">
        <f>VLOOKUP(B8,'CU Can Data'!$B$6:$M$48,12,)</f>
        <v>0.70440621272545001</v>
      </c>
      <c r="I8" s="77">
        <f t="shared" si="2"/>
        <v>4.6446407274525264E-3</v>
      </c>
      <c r="J8" s="1036">
        <f t="shared" si="3"/>
        <v>8.753374447865496E-3</v>
      </c>
      <c r="K8" s="1037">
        <f t="shared" si="4"/>
        <v>0</v>
      </c>
      <c r="L8" s="1038">
        <f t="shared" si="5"/>
        <v>1.089639655973907E-2</v>
      </c>
      <c r="M8" s="1039">
        <f t="shared" si="6"/>
        <v>1.9042164569116923E-3</v>
      </c>
    </row>
    <row r="9" spans="1:13" x14ac:dyDescent="0.25">
      <c r="A9" s="177">
        <f t="shared" si="7"/>
        <v>5</v>
      </c>
      <c r="B9" s="177" t="str">
        <f>'CU Can Data'!B58</f>
        <v>Panorama - Sewer</v>
      </c>
      <c r="C9" s="633" t="s">
        <v>99</v>
      </c>
      <c r="D9" s="73">
        <f>VLOOKUP(B9,'CU Can Data'!$B$6:$M$48,4,)/Assumptions!$B$4</f>
        <v>755864.00798643171</v>
      </c>
      <c r="E9" s="77">
        <f t="shared" si="0"/>
        <v>1.8962521999741872E-2</v>
      </c>
      <c r="F9" s="73">
        <f>IF(Assumptions!$B$14="Net",VLOOKUP(B9,'CU Can Data'!$B$6:$M$48,8,)+VLOOKUP(B9,'CU Can Data'!$B$6:$M$48,9,),VLOOKUP(B9,'CU Can Data'!$B$6:$M$48,8,))/Assumptions!$B$5</f>
        <v>1042042.0518471235</v>
      </c>
      <c r="G9" s="77">
        <f t="shared" si="1"/>
        <v>1.0519697351227788E-2</v>
      </c>
      <c r="H9" s="73">
        <f>VLOOKUP(B9,'CU Can Data'!$B$6:$M$48,12,)</f>
        <v>0.92525818653863068</v>
      </c>
      <c r="I9" s="77">
        <f t="shared" si="2"/>
        <v>6.1008715979073641E-3</v>
      </c>
      <c r="J9" s="1036">
        <f t="shared" si="3"/>
        <v>1.1861030316292341E-2</v>
      </c>
      <c r="K9" s="1037">
        <f t="shared" si="4"/>
        <v>0</v>
      </c>
      <c r="L9" s="1038">
        <f t="shared" si="5"/>
        <v>1.3816368051945445E-2</v>
      </c>
      <c r="M9" s="1039">
        <f t="shared" si="6"/>
        <v>3.1696220010014146E-3</v>
      </c>
    </row>
    <row r="10" spans="1:13" x14ac:dyDescent="0.25">
      <c r="A10" s="177">
        <f t="shared" si="7"/>
        <v>6</v>
      </c>
      <c r="B10" s="177" t="str">
        <f>'CU Can Data'!B61</f>
        <v>Sun Rivers - Electric</v>
      </c>
      <c r="C10" s="633" t="s">
        <v>99</v>
      </c>
      <c r="D10" s="73">
        <f>VLOOKUP(B10,'CU Can Data'!$B$6:$M$48,4,)/Assumptions!$B$4</f>
        <v>1235956.8281159082</v>
      </c>
      <c r="E10" s="77">
        <f t="shared" si="0"/>
        <v>3.1006713239744313E-2</v>
      </c>
      <c r="F10" s="73">
        <f>IF(Assumptions!$B$14="Net",VLOOKUP(B10,'CU Can Data'!$B$6:$M$48,8,)+VLOOKUP(B10,'CU Can Data'!$B$6:$M$48,9,),VLOOKUP(B10,'CU Can Data'!$B$6:$M$48,8,))/Assumptions!$B$5</f>
        <v>5953958.4805659093</v>
      </c>
      <c r="G10" s="77">
        <f t="shared" si="1"/>
        <v>6.0106826923447751E-2</v>
      </c>
      <c r="H10" s="73">
        <f>VLOOKUP(B10,'CU Can Data'!$B$6:$M$48,12,)</f>
        <v>1.8830900807539781</v>
      </c>
      <c r="I10" s="77">
        <f t="shared" si="2"/>
        <v>1.2416524335711318E-2</v>
      </c>
      <c r="J10" s="1036">
        <f t="shared" si="3"/>
        <v>3.4510021499634468E-2</v>
      </c>
      <c r="K10" s="1037">
        <f t="shared" si="4"/>
        <v>0</v>
      </c>
      <c r="L10" s="1038">
        <f t="shared" si="5"/>
        <v>4.2445027655025239E-2</v>
      </c>
      <c r="M10" s="1039">
        <f t="shared" si="6"/>
        <v>7.4495738920913367E-3</v>
      </c>
    </row>
    <row r="11" spans="1:13" x14ac:dyDescent="0.25">
      <c r="A11" s="177">
        <f t="shared" si="7"/>
        <v>7</v>
      </c>
      <c r="B11" s="177" t="str">
        <f>'CU Can Data'!B62</f>
        <v>Sun Rivers - Gas</v>
      </c>
      <c r="C11" s="633" t="s">
        <v>99</v>
      </c>
      <c r="D11" s="73">
        <f>VLOOKUP(B11,'CU Can Data'!$B$6:$M$48,4,)/Assumptions!$B$4</f>
        <v>130587.5543095638</v>
      </c>
      <c r="E11" s="77">
        <f t="shared" si="0"/>
        <v>3.2760778993620779E-3</v>
      </c>
      <c r="F11" s="73">
        <f>IF(Assumptions!$B$14="Net",VLOOKUP(B11,'CU Can Data'!$B$6:$M$48,8,)+VLOOKUP(B11,'CU Can Data'!$B$6:$M$48,9,),VLOOKUP(B11,'CU Can Data'!$B$6:$M$48,8,))/Assumptions!$B$5</f>
        <v>827752.47784531896</v>
      </c>
      <c r="G11" s="77">
        <f t="shared" si="1"/>
        <v>8.3563859378096711E-3</v>
      </c>
      <c r="H11" s="73">
        <f>VLOOKUP(B11,'CU Can Data'!$B$6:$M$48,12,)</f>
        <v>0.23097497195247083</v>
      </c>
      <c r="I11" s="77">
        <f t="shared" si="2"/>
        <v>1.522978847108472E-3</v>
      </c>
      <c r="J11" s="1036">
        <f t="shared" si="3"/>
        <v>4.3851475614267409E-3</v>
      </c>
      <c r="K11" s="1037">
        <f t="shared" si="4"/>
        <v>0</v>
      </c>
      <c r="L11" s="1038">
        <f t="shared" si="5"/>
        <v>5.4480269116712055E-3</v>
      </c>
      <c r="M11" s="1039">
        <f t="shared" si="6"/>
        <v>9.084014500997206E-4</v>
      </c>
    </row>
    <row r="12" spans="1:13" x14ac:dyDescent="0.25">
      <c r="A12" s="177">
        <f t="shared" si="7"/>
        <v>8</v>
      </c>
      <c r="B12" s="177" t="str">
        <f>'CU Can Data'!B63</f>
        <v>Sun Rivers - Domestic Water</v>
      </c>
      <c r="C12" s="633" t="s">
        <v>99</v>
      </c>
      <c r="D12" s="73">
        <f>VLOOKUP(B12,'CU Can Data'!$B$6:$M$48,4,)/Assumptions!$B$4</f>
        <v>274530.03663127054</v>
      </c>
      <c r="E12" s="77">
        <f t="shared" si="0"/>
        <v>6.8871937335371275E-3</v>
      </c>
      <c r="F12" s="73">
        <f>IF(Assumptions!$B$14="Net",VLOOKUP(B12,'CU Can Data'!$B$6:$M$48,8,)+VLOOKUP(B12,'CU Can Data'!$B$6:$M$48,9,),VLOOKUP(B12,'CU Can Data'!$B$6:$M$48,8,))/Assumptions!$B$5</f>
        <v>2596404.015217463</v>
      </c>
      <c r="G12" s="77">
        <f t="shared" si="1"/>
        <v>2.6211403266484915E-2</v>
      </c>
      <c r="H12" s="73">
        <f>VLOOKUP(B12,'CU Can Data'!$B$6:$M$48,12,)</f>
        <v>0.62354155683578927</v>
      </c>
      <c r="I12" s="77">
        <f t="shared" si="2"/>
        <v>4.11144373490564E-3</v>
      </c>
      <c r="J12" s="1036">
        <f t="shared" si="3"/>
        <v>1.2403346911642563E-2</v>
      </c>
      <c r="K12" s="1037">
        <f t="shared" si="4"/>
        <v>0</v>
      </c>
      <c r="L12" s="1038">
        <f t="shared" si="5"/>
        <v>1.5605308772530803E-2</v>
      </c>
      <c r="M12" s="1039">
        <f t="shared" si="6"/>
        <v>2.4324869542640473E-3</v>
      </c>
    </row>
    <row r="13" spans="1:13" x14ac:dyDescent="0.25">
      <c r="A13" s="177">
        <f t="shared" si="7"/>
        <v>9</v>
      </c>
      <c r="B13" s="177" t="str">
        <f>'CU Can Data'!B64</f>
        <v>Sun Rivers - Irrigation Water</v>
      </c>
      <c r="C13" s="633" t="s">
        <v>99</v>
      </c>
      <c r="D13" s="73">
        <f>VLOOKUP(B13,'CU Can Data'!$B$6:$M$48,4,)/Assumptions!$B$4</f>
        <v>215471.01651295344</v>
      </c>
      <c r="E13" s="77">
        <f t="shared" si="0"/>
        <v>5.4055674668491002E-3</v>
      </c>
      <c r="F13" s="73">
        <f>IF(Assumptions!$B$14="Net",VLOOKUP(B13,'CU Can Data'!$B$6:$M$48,8,)+VLOOKUP(B13,'CU Can Data'!$B$6:$M$48,9,),VLOOKUP(B13,'CU Can Data'!$B$6:$M$48,8,))/Assumptions!$B$5</f>
        <v>2330570.0012206123</v>
      </c>
      <c r="G13" s="77">
        <f t="shared" si="1"/>
        <v>2.3527736740789666E-2</v>
      </c>
      <c r="H13" s="73">
        <f>VLOOKUP(B13,'CU Can Data'!$B$6:$M$48,12,)</f>
        <v>0.53656829472679424</v>
      </c>
      <c r="I13" s="77">
        <f t="shared" si="2"/>
        <v>3.5379684473611653E-3</v>
      </c>
      <c r="J13" s="1036">
        <f t="shared" si="3"/>
        <v>1.0823757551666646E-2</v>
      </c>
      <c r="K13" s="1037">
        <f t="shared" si="4"/>
        <v>0</v>
      </c>
      <c r="L13" s="1038">
        <f t="shared" si="5"/>
        <v>1.3667648875579084E-2</v>
      </c>
      <c r="M13" s="1039">
        <f t="shared" si="6"/>
        <v>2.0879153155932027E-3</v>
      </c>
    </row>
    <row r="14" spans="1:13" x14ac:dyDescent="0.25">
      <c r="A14" s="177">
        <f t="shared" si="7"/>
        <v>10</v>
      </c>
      <c r="B14" s="177" t="str">
        <f>'CU Can Data'!B65</f>
        <v>Sun Rivers - Sewer</v>
      </c>
      <c r="C14" s="633" t="s">
        <v>99</v>
      </c>
      <c r="D14" s="73">
        <f>VLOOKUP(B14,'CU Can Data'!$B$6:$M$48,4,)/Assumptions!$B$4</f>
        <v>238007.18979437585</v>
      </c>
      <c r="E14" s="77">
        <f t="shared" si="0"/>
        <v>5.9709372650187187E-3</v>
      </c>
      <c r="F14" s="73">
        <f>IF(Assumptions!$B$14="Net",VLOOKUP(B14,'CU Can Data'!$B$6:$M$48,8,)+VLOOKUP(B14,'CU Can Data'!$B$6:$M$48,9,),VLOOKUP(B14,'CU Can Data'!$B$6:$M$48,8,))/Assumptions!$B$5</f>
        <v>2304815.3457119768</v>
      </c>
      <c r="G14" s="77">
        <f t="shared" si="1"/>
        <v>2.3267736502933886E-2</v>
      </c>
      <c r="H14" s="73">
        <f>VLOOKUP(B14,'CU Can Data'!$B$6:$M$48,12,)</f>
        <v>0.54926100707118586</v>
      </c>
      <c r="I14" s="77">
        <f t="shared" si="2"/>
        <v>3.6216603393853749E-3</v>
      </c>
      <c r="J14" s="1036">
        <f t="shared" si="3"/>
        <v>1.0953444702445993E-2</v>
      </c>
      <c r="K14" s="1037">
        <f t="shared" si="4"/>
        <v>0</v>
      </c>
      <c r="L14" s="1038">
        <f t="shared" si="5"/>
        <v>1.3790250503749385E-2</v>
      </c>
      <c r="M14" s="1039">
        <f t="shared" si="6"/>
        <v>2.141741112909911E-3</v>
      </c>
    </row>
    <row r="15" spans="1:13" x14ac:dyDescent="0.25">
      <c r="A15" s="177">
        <f t="shared" si="7"/>
        <v>11</v>
      </c>
      <c r="B15" s="177" t="str">
        <f>'CU Can Data'!B66</f>
        <v>Sun Rivers - Geothermal</v>
      </c>
      <c r="C15" s="633" t="s">
        <v>99</v>
      </c>
      <c r="D15" s="73">
        <f>VLOOKUP(B15,'CU Can Data'!$B$6:$M$48,4,)/Assumptions!$B$4</f>
        <v>757688.38453656528</v>
      </c>
      <c r="E15" s="77">
        <f t="shared" si="0"/>
        <v>1.9008290524373545E-2</v>
      </c>
      <c r="F15" s="73">
        <f>IF(Assumptions!$B$14="Net",VLOOKUP(B15,'CU Can Data'!$B$6:$M$48,8,)+VLOOKUP(B15,'CU Can Data'!$B$6:$M$48,9,),VLOOKUP(B15,'CU Can Data'!$B$6:$M$48,8,))/Assumptions!$B$5</f>
        <v>8941358.743844701</v>
      </c>
      <c r="G15" s="77">
        <f t="shared" si="1"/>
        <v>9.0265443440856435E-2</v>
      </c>
      <c r="H15" s="73">
        <f>VLOOKUP(B15,'CU Can Data'!$B$6:$M$48,12,)</f>
        <v>2.0070220858959402</v>
      </c>
      <c r="I15" s="77">
        <f t="shared" si="2"/>
        <v>1.3233694355109724E-2</v>
      </c>
      <c r="J15" s="1036">
        <f t="shared" si="3"/>
        <v>4.0835809440113238E-2</v>
      </c>
      <c r="K15" s="1037">
        <f t="shared" si="4"/>
        <v>0</v>
      </c>
      <c r="L15" s="1038">
        <f t="shared" si="5"/>
        <v>5.1679168790316685E-2</v>
      </c>
      <c r="M15" s="1039">
        <f t="shared" si="6"/>
        <v>7.7975235526165157E-3</v>
      </c>
    </row>
    <row r="16" spans="1:13" x14ac:dyDescent="0.25">
      <c r="A16" s="177">
        <f t="shared" si="7"/>
        <v>12</v>
      </c>
      <c r="B16" s="177" t="str">
        <f>'CU Can Data'!B67</f>
        <v>Sun Rivers - Municipal</v>
      </c>
      <c r="C16" s="633" t="s">
        <v>99</v>
      </c>
      <c r="D16" s="73">
        <f>VLOOKUP(B16,'CU Can Data'!$B$6:$M$48,4,)/Assumptions!$B$4</f>
        <v>638178.24081745895</v>
      </c>
      <c r="E16" s="77">
        <f t="shared" si="0"/>
        <v>1.6010113993250041E-2</v>
      </c>
      <c r="F16" s="73">
        <f>IF(Assumptions!$B$14="Net",VLOOKUP(B16,'CU Can Data'!$B$6:$M$48,8,)+VLOOKUP(B16,'CU Can Data'!$B$6:$M$48,9,),VLOOKUP(B16,'CU Can Data'!$B$6:$M$48,8,))/Assumptions!$B$5</f>
        <v>6949816.0534544559</v>
      </c>
      <c r="G16" s="77">
        <f t="shared" si="1"/>
        <v>7.0160279423897048E-2</v>
      </c>
      <c r="H16" s="73">
        <f>VLOOKUP(B16,'CU Can Data'!$B$6:$M$48,12,)</f>
        <v>1.596799976563605</v>
      </c>
      <c r="I16" s="77">
        <f t="shared" si="2"/>
        <v>1.0528814298850095E-2</v>
      </c>
      <c r="J16" s="1036">
        <f t="shared" si="3"/>
        <v>3.2233069238665729E-2</v>
      </c>
      <c r="K16" s="1037">
        <f t="shared" si="4"/>
        <v>0</v>
      </c>
      <c r="L16" s="1038">
        <f t="shared" si="5"/>
        <v>4.0709361088253897E-2</v>
      </c>
      <c r="M16" s="1039">
        <f t="shared" si="6"/>
        <v>6.2127534920134331E-3</v>
      </c>
    </row>
    <row r="17" spans="1:13" x14ac:dyDescent="0.25">
      <c r="A17" s="177">
        <f t="shared" si="7"/>
        <v>13</v>
      </c>
      <c r="B17" s="177" t="str">
        <f>'CU Can Data'!B68</f>
        <v>Foothills - Wastewater</v>
      </c>
      <c r="C17" s="633" t="s">
        <v>99</v>
      </c>
      <c r="D17" s="73">
        <f>VLOOKUP(B17,'CU Can Data'!$B$6:$M$48,4,)/Assumptions!$B$4</f>
        <v>680163.5977447097</v>
      </c>
      <c r="E17" s="77">
        <f t="shared" si="0"/>
        <v>1.7063409620489776E-2</v>
      </c>
      <c r="F17" s="73">
        <f>IF(Assumptions!$B$14="Net",VLOOKUP(B17,'CU Can Data'!$B$6:$M$48,8,)+VLOOKUP(B17,'CU Can Data'!$B$6:$M$48,9,),VLOOKUP(B17,'CU Can Data'!$B$6:$M$48,8,))/Assumptions!$B$5</f>
        <v>1590078.3119649091</v>
      </c>
      <c r="G17" s="77">
        <f t="shared" si="1"/>
        <v>1.605227214868294E-2</v>
      </c>
      <c r="H17" s="73">
        <f>VLOOKUP(B17,'CU Can Data'!$B$6:$M$48,12,)</f>
        <v>2.4735235738369097</v>
      </c>
      <c r="I17" s="77">
        <f t="shared" si="2"/>
        <v>1.6309663548970791E-2</v>
      </c>
      <c r="J17" s="1036">
        <f t="shared" si="3"/>
        <v>1.6475115106047836E-2</v>
      </c>
      <c r="K17" s="1037">
        <f t="shared" si="4"/>
        <v>0</v>
      </c>
      <c r="L17" s="1038">
        <f t="shared" si="5"/>
        <v>1.9286949844629649E-2</v>
      </c>
      <c r="M17" s="1039">
        <f t="shared" si="6"/>
        <v>4.8520059167177065E-3</v>
      </c>
    </row>
    <row r="18" spans="1:13" x14ac:dyDescent="0.25">
      <c r="A18" s="177">
        <f t="shared" si="7"/>
        <v>14</v>
      </c>
      <c r="B18" s="177" t="str">
        <f>'CU Can Data'!B69</f>
        <v>Foothills - Water</v>
      </c>
      <c r="C18" s="633" t="s">
        <v>99</v>
      </c>
      <c r="D18" s="73">
        <f>VLOOKUP(B18,'CU Can Data'!$B$6:$M$48,4,)/Assumptions!$B$4</f>
        <v>971641.32821103034</v>
      </c>
      <c r="E18" s="77">
        <f t="shared" si="0"/>
        <v>2.4375773773303959E-2</v>
      </c>
      <c r="F18" s="73">
        <f>IF(Assumptions!$B$14="Net",VLOOKUP(B18,'CU Can Data'!$B$6:$M$48,8,)+VLOOKUP(B18,'CU Can Data'!$B$6:$M$48,9,),VLOOKUP(B18,'CU Can Data'!$B$6:$M$48,8,))/Assumptions!$B$5</f>
        <v>2935016.6172672692</v>
      </c>
      <c r="G18" s="77">
        <f t="shared" si="1"/>
        <v>2.962978939261247E-2</v>
      </c>
      <c r="H18" s="73">
        <f>VLOOKUP(B18,'CU Can Data'!$B$6:$M$48,12,)</f>
        <v>4.1091058208042668</v>
      </c>
      <c r="I18" s="77">
        <f t="shared" si="2"/>
        <v>2.7094196365582669E-2</v>
      </c>
      <c r="J18" s="1036">
        <f t="shared" si="3"/>
        <v>2.7033253177166372E-2</v>
      </c>
      <c r="K18" s="1037">
        <f t="shared" si="4"/>
        <v>0</v>
      </c>
      <c r="L18" s="1038">
        <f t="shared" si="5"/>
        <v>3.1895987110170478E-2</v>
      </c>
      <c r="M18" s="1039">
        <f t="shared" si="6"/>
        <v>7.8251120198214799E-3</v>
      </c>
    </row>
    <row r="19" spans="1:13" x14ac:dyDescent="0.25">
      <c r="A19" s="177">
        <f t="shared" si="7"/>
        <v>15</v>
      </c>
      <c r="B19" s="177" t="str">
        <f>'CU Can Data'!B70</f>
        <v>Sage Meadows - Wastewater</v>
      </c>
      <c r="C19" s="633" t="s">
        <v>99</v>
      </c>
      <c r="D19" s="73">
        <f>VLOOKUP(B19,'CU Can Data'!$B$6:$M$48,4,)/Assumptions!$B$4</f>
        <v>35937.601909813406</v>
      </c>
      <c r="E19" s="77">
        <f t="shared" si="0"/>
        <v>9.0157430388593794E-4</v>
      </c>
      <c r="F19" s="73">
        <f>IF(Assumptions!$B$14="Net",VLOOKUP(B19,'CU Can Data'!$B$6:$M$48,8,)+VLOOKUP(B19,'CU Can Data'!$B$6:$M$48,9,),VLOOKUP(B19,'CU Can Data'!$B$6:$M$48,8,))/Assumptions!$B$5</f>
        <v>178618.20052314963</v>
      </c>
      <c r="G19" s="77">
        <f t="shared" si="1"/>
        <v>1.8031992159949009E-3</v>
      </c>
      <c r="H19" s="73">
        <f>VLOOKUP(B19,'CU Can Data'!$B$6:$M$48,12,)</f>
        <v>2.6560677717462532E-2</v>
      </c>
      <c r="I19" s="77">
        <f t="shared" si="2"/>
        <v>1.7513304574352193E-4</v>
      </c>
      <c r="J19" s="1036">
        <f t="shared" si="3"/>
        <v>9.5996885520812053E-4</v>
      </c>
      <c r="K19" s="1037">
        <f t="shared" si="4"/>
        <v>0</v>
      </c>
      <c r="L19" s="1038">
        <f t="shared" si="5"/>
        <v>1.1909364491132276E-3</v>
      </c>
      <c r="M19" s="1039">
        <f t="shared" si="6"/>
        <v>1.8964227772120003E-4</v>
      </c>
    </row>
    <row r="20" spans="1:13" x14ac:dyDescent="0.25">
      <c r="A20" s="177">
        <f t="shared" si="7"/>
        <v>16</v>
      </c>
      <c r="B20" s="177" t="str">
        <f>'CU Can Data'!B71</f>
        <v>Sage Meadows - Water</v>
      </c>
      <c r="C20" s="633" t="s">
        <v>99</v>
      </c>
      <c r="D20" s="73">
        <f>VLOOKUP(B20,'CU Can Data'!$B$6:$M$48,4,)/Assumptions!$B$4</f>
        <v>36378.035753561468</v>
      </c>
      <c r="E20" s="77">
        <f t="shared" si="0"/>
        <v>9.126235619049194E-4</v>
      </c>
      <c r="F20" s="73">
        <f>IF(Assumptions!$B$14="Net",VLOOKUP(B20,'CU Can Data'!$B$6:$M$48,8,)+VLOOKUP(B20,'CU Can Data'!$B$6:$M$48,9,),VLOOKUP(B20,'CU Can Data'!$B$6:$M$48,8,))/Assumptions!$B$5</f>
        <v>97871.030951682202</v>
      </c>
      <c r="G20" s="77">
        <f t="shared" si="1"/>
        <v>9.8803462224899869E-4</v>
      </c>
      <c r="H20" s="73">
        <f>VLOOKUP(B20,'CU Can Data'!$B$6:$M$48,12,)</f>
        <v>1.8526540929213527E-2</v>
      </c>
      <c r="I20" s="77">
        <f t="shared" si="2"/>
        <v>1.2215838671510965E-4</v>
      </c>
      <c r="J20" s="1036">
        <f t="shared" si="3"/>
        <v>6.7427219028967601E-4</v>
      </c>
      <c r="K20" s="1037">
        <f t="shared" si="4"/>
        <v>0</v>
      </c>
      <c r="L20" s="1038">
        <f t="shared" si="5"/>
        <v>8.1538458354796282E-4</v>
      </c>
      <c r="M20" s="1039">
        <f t="shared" si="6"/>
        <v>1.4654772941834904E-4</v>
      </c>
    </row>
    <row r="21" spans="1:13" x14ac:dyDescent="0.25">
      <c r="A21" s="177">
        <f t="shared" si="7"/>
        <v>17</v>
      </c>
      <c r="B21" s="177" t="str">
        <f>'CU Can Data'!B72</f>
        <v>Canadian Lakeview Estates (in Adventure Bay) - Wastewater</v>
      </c>
      <c r="C21" s="633" t="s">
        <v>99</v>
      </c>
      <c r="D21" s="73">
        <f>VLOOKUP(B21,'CU Can Data'!$B$6:$M$48,4,)/Assumptions!$B$4</f>
        <v>220698.67544099974</v>
      </c>
      <c r="E21" s="77">
        <f t="shared" si="0"/>
        <v>5.5367148642417865E-3</v>
      </c>
      <c r="F21" s="73">
        <f>IF(Assumptions!$B$14="Net",VLOOKUP(B21,'CU Can Data'!$B$6:$M$48,8,)+VLOOKUP(B21,'CU Can Data'!$B$6:$M$48,9,),VLOOKUP(B21,'CU Can Data'!$B$6:$M$48,8,))/Assumptions!$B$5</f>
        <v>233170.70963344656</v>
      </c>
      <c r="G21" s="77">
        <f t="shared" si="1"/>
        <v>2.3539216024601765E-3</v>
      </c>
      <c r="H21" s="73">
        <f>VLOOKUP(B21,'CU Can Data'!$B$6:$M$48,12,)</f>
        <v>7.6050507004756879E-2</v>
      </c>
      <c r="I21" s="77">
        <f t="shared" si="2"/>
        <v>5.014539562492212E-4</v>
      </c>
      <c r="J21" s="1036">
        <f t="shared" si="3"/>
        <v>2.7973634743170619E-3</v>
      </c>
      <c r="K21" s="1037">
        <f t="shared" si="4"/>
        <v>0</v>
      </c>
      <c r="L21" s="1038">
        <f t="shared" si="5"/>
        <v>3.2504815585055733E-3</v>
      </c>
      <c r="M21" s="1039">
        <f t="shared" si="6"/>
        <v>6.9160361659874933E-4</v>
      </c>
    </row>
    <row r="22" spans="1:13" x14ac:dyDescent="0.25">
      <c r="A22" s="177">
        <f t="shared" si="7"/>
        <v>18</v>
      </c>
      <c r="B22" s="177" t="str">
        <f>'CU Can Data'!B73</f>
        <v>Canadian Lakeview Estates (in Adventure Bay) - Water</v>
      </c>
      <c r="C22" s="633" t="s">
        <v>99</v>
      </c>
      <c r="D22" s="73">
        <f>VLOOKUP(B22,'CU Can Data'!$B$6:$M$48,4,)/Assumptions!$B$4</f>
        <v>212060.61534817648</v>
      </c>
      <c r="E22" s="77">
        <f t="shared" si="0"/>
        <v>5.3200100035597653E-3</v>
      </c>
      <c r="F22" s="73">
        <f>IF(Assumptions!$B$14="Net",VLOOKUP(B22,'CU Can Data'!$B$6:$M$48,8,)+VLOOKUP(B22,'CU Can Data'!$B$6:$M$48,9,),VLOOKUP(B22,'CU Can Data'!$B$6:$M$48,8,))/Assumptions!$B$5</f>
        <v>157779.10186950368</v>
      </c>
      <c r="G22" s="77">
        <f t="shared" si="1"/>
        <v>1.5928228588026525E-3</v>
      </c>
      <c r="H22" s="73">
        <f>VLOOKUP(B22,'CU Can Data'!$B$6:$M$48,12,)</f>
        <v>6.639462359698349E-2</v>
      </c>
      <c r="I22" s="77">
        <f t="shared" si="2"/>
        <v>4.3778599233142227E-4</v>
      </c>
      <c r="J22" s="1036">
        <f t="shared" si="3"/>
        <v>2.4502062848979472E-3</v>
      </c>
      <c r="K22" s="1037">
        <f t="shared" si="4"/>
        <v>0</v>
      </c>
      <c r="L22" s="1038">
        <f t="shared" si="5"/>
        <v>2.8115342528183141E-3</v>
      </c>
      <c r="M22" s="1039">
        <f t="shared" si="6"/>
        <v>6.2824532501328824E-4</v>
      </c>
    </row>
    <row r="23" spans="1:13" x14ac:dyDescent="0.25">
      <c r="A23" s="177">
        <f t="shared" si="7"/>
        <v>19</v>
      </c>
      <c r="B23" s="177" t="str">
        <f>'CU Can Data'!B74</f>
        <v>Cultus Lake - Water</v>
      </c>
      <c r="C23" s="633" t="s">
        <v>99</v>
      </c>
      <c r="D23" s="73">
        <f>VLOOKUP(B23,'CU Can Data'!$B$6:$M$48,4,)/Assumptions!$B$4</f>
        <v>132873.8347513733</v>
      </c>
      <c r="E23" s="77">
        <f t="shared" si="0"/>
        <v>3.3334343056961794E-3</v>
      </c>
      <c r="F23" s="73">
        <f>IF(Assumptions!$B$14="Net",VLOOKUP(B23,'CU Can Data'!$B$6:$M$48,8,)+VLOOKUP(B23,'CU Can Data'!$B$6:$M$48,9,),VLOOKUP(B23,'CU Can Data'!$B$6:$M$48,8,))/Assumptions!$B$5</f>
        <v>66565.36912046709</v>
      </c>
      <c r="G23" s="77">
        <f t="shared" si="1"/>
        <v>6.7199546887653817E-4</v>
      </c>
      <c r="H23" s="73">
        <f>VLOOKUP(B23,'CU Can Data'!$B$6:$M$48,12,)</f>
        <v>3.8346458137245278E-2</v>
      </c>
      <c r="I23" s="77">
        <f t="shared" si="2"/>
        <v>2.5284490397761629E-4</v>
      </c>
      <c r="J23" s="1036">
        <f t="shared" si="3"/>
        <v>1.4194248928501116E-3</v>
      </c>
      <c r="K23" s="1037">
        <f t="shared" si="4"/>
        <v>0</v>
      </c>
      <c r="L23" s="1038">
        <f t="shared" si="5"/>
        <v>1.6097341385172121E-3</v>
      </c>
      <c r="M23" s="1039">
        <f t="shared" si="6"/>
        <v>3.759619242449029E-4</v>
      </c>
    </row>
    <row r="24" spans="1:13" x14ac:dyDescent="0.25">
      <c r="A24" s="177">
        <f t="shared" si="7"/>
        <v>20</v>
      </c>
      <c r="B24" s="177" t="str">
        <f>'CU Can Data'!B75</f>
        <v>Cultus Lake - Wastewater</v>
      </c>
      <c r="C24" s="633" t="s">
        <v>99</v>
      </c>
      <c r="D24" s="73">
        <f>VLOOKUP(B24,'CU Can Data'!$B$6:$M$48,4,)/Assumptions!$B$4</f>
        <v>101468.83427867679</v>
      </c>
      <c r="E24" s="77">
        <f t="shared" si="0"/>
        <v>2.5455703432992536E-3</v>
      </c>
      <c r="F24" s="73">
        <f>IF(Assumptions!$B$14="Net",VLOOKUP(B24,'CU Can Data'!$B$6:$M$48,8,)+VLOOKUP(B24,'CU Can Data'!$B$6:$M$48,9,),VLOOKUP(B24,'CU Can Data'!$B$6:$M$48,8,))/Assumptions!$B$5</f>
        <v>252576.29471878434</v>
      </c>
      <c r="G24" s="77">
        <f t="shared" si="1"/>
        <v>2.5498262510867779E-3</v>
      </c>
      <c r="H24" s="73">
        <f>VLOOKUP(B24,'CU Can Data'!$B$6:$M$48,12,)</f>
        <v>4.9618189732721661E-2</v>
      </c>
      <c r="I24" s="77">
        <f t="shared" si="2"/>
        <v>3.2716728031598094E-4</v>
      </c>
      <c r="J24" s="1036">
        <f t="shared" si="3"/>
        <v>1.8075212915673378E-3</v>
      </c>
      <c r="K24" s="1037">
        <f t="shared" si="4"/>
        <v>0</v>
      </c>
      <c r="L24" s="1038">
        <f t="shared" si="5"/>
        <v>2.1783104141877689E-3</v>
      </c>
      <c r="M24" s="1039">
        <f t="shared" si="6"/>
        <v>3.9758435110016162E-4</v>
      </c>
    </row>
    <row r="25" spans="1:13" x14ac:dyDescent="0.25">
      <c r="A25" s="177">
        <f t="shared" si="7"/>
        <v>21</v>
      </c>
      <c r="B25" s="177" t="str">
        <f>'CU Can Data'!B76</f>
        <v>Sonoma Pines - Electric</v>
      </c>
      <c r="C25" s="633" t="s">
        <v>99</v>
      </c>
      <c r="D25" s="73">
        <f>VLOOKUP(B25,'CU Can Data'!$B$6:$M$48,4,)/Assumptions!$B$4</f>
        <v>337121.26724520506</v>
      </c>
      <c r="E25" s="77">
        <f t="shared" si="0"/>
        <v>8.457433320244576E-3</v>
      </c>
      <c r="F25" s="73">
        <f>IF(Assumptions!$B$14="Net",VLOOKUP(B25,'CU Can Data'!$B$6:$M$48,8,)+VLOOKUP(B25,'CU Can Data'!$B$6:$M$48,9,),VLOOKUP(B25,'CU Can Data'!$B$6:$M$48,8,))/Assumptions!$B$5</f>
        <v>2711418.6012526713</v>
      </c>
      <c r="G25" s="77">
        <f t="shared" si="1"/>
        <v>2.7372506730517332E-2</v>
      </c>
      <c r="H25" s="73">
        <f>VLOOKUP(B25,'CU Can Data'!$B$6:$M$48,12,)</f>
        <v>0.35356825384872437</v>
      </c>
      <c r="I25" s="77">
        <f t="shared" si="2"/>
        <v>2.3313217318259557E-3</v>
      </c>
      <c r="J25" s="1036">
        <f t="shared" si="3"/>
        <v>1.2720420594195956E-2</v>
      </c>
      <c r="K25" s="1037">
        <f t="shared" si="4"/>
        <v>0</v>
      </c>
      <c r="L25" s="1038">
        <f t="shared" si="5"/>
        <v>1.6044684687412256E-2</v>
      </c>
      <c r="M25" s="1039">
        <f t="shared" si="6"/>
        <v>2.3462504139956254E-3</v>
      </c>
    </row>
    <row r="26" spans="1:13" x14ac:dyDescent="0.25">
      <c r="A26" s="177">
        <f t="shared" si="7"/>
        <v>22</v>
      </c>
      <c r="B26" s="177" t="str">
        <f>'CU Can Data'!B77</f>
        <v>Sonoma Pines - Gas</v>
      </c>
      <c r="C26" s="633" t="s">
        <v>99</v>
      </c>
      <c r="D26" s="73">
        <f>VLOOKUP(B26,'CU Can Data'!$B$6:$M$48,4,)/Assumptions!$B$4</f>
        <v>183814.63648967032</v>
      </c>
      <c r="E26" s="77">
        <f t="shared" si="0"/>
        <v>4.6113970919124609E-3</v>
      </c>
      <c r="F26" s="73">
        <f>IF(Assumptions!$B$14="Net",VLOOKUP(B26,'CU Can Data'!$B$6:$M$48,8,)+VLOOKUP(B26,'CU Can Data'!$B$6:$M$48,9,),VLOOKUP(B26,'CU Can Data'!$B$6:$M$48,8,))/Assumptions!$B$5</f>
        <v>827114.90075055778</v>
      </c>
      <c r="G26" s="77">
        <f t="shared" si="1"/>
        <v>8.3499494239827367E-3</v>
      </c>
      <c r="H26" s="73">
        <f>VLOOKUP(B26,'CU Can Data'!$B$6:$M$48,12,)</f>
        <v>0.12713579170821201</v>
      </c>
      <c r="I26" s="77">
        <f t="shared" si="2"/>
        <v>8.3829481543064776E-4</v>
      </c>
      <c r="J26" s="1036">
        <f t="shared" si="3"/>
        <v>4.5998804437752819E-3</v>
      </c>
      <c r="K26" s="1037">
        <f t="shared" si="4"/>
        <v>0</v>
      </c>
      <c r="L26" s="1038">
        <f t="shared" si="5"/>
        <v>5.6845865233342008E-3</v>
      </c>
      <c r="M26" s="1039">
        <f t="shared" si="6"/>
        <v>9.2262464355018876E-4</v>
      </c>
    </row>
    <row r="27" spans="1:13" x14ac:dyDescent="0.25">
      <c r="A27" s="177">
        <f t="shared" si="7"/>
        <v>23</v>
      </c>
      <c r="B27" s="177" t="str">
        <f>'CU Can Data'!B78</f>
        <v>Dockside Green - Energy</v>
      </c>
      <c r="C27" s="633" t="s">
        <v>106</v>
      </c>
      <c r="D27" s="73">
        <f>VLOOKUP(B27,'CU Can Data'!$B$6:$M$48,4,)/Assumptions!$B$4</f>
        <v>400251.19421669026</v>
      </c>
      <c r="E27" s="77">
        <f t="shared" si="0"/>
        <v>1.0041187297666895E-2</v>
      </c>
      <c r="F27" s="73">
        <f>IF(Assumptions!$B$14="Net",VLOOKUP(B27,'CU Can Data'!$B$6:$M$48,8,)+VLOOKUP(B27,'CU Can Data'!$B$6:$M$48,9,),VLOOKUP(B27,'CU Can Data'!$B$6:$M$48,8,))/Assumptions!$B$5</f>
        <v>1110721.3151136017</v>
      </c>
      <c r="G27" s="77">
        <f t="shared" si="1"/>
        <v>1.1213033155275207E-2</v>
      </c>
      <c r="H27" s="73">
        <f>VLOOKUP(B27,'CU Can Data'!$B$6:$M$48,12,)</f>
        <v>0.96808789334843914</v>
      </c>
      <c r="I27" s="77">
        <f t="shared" si="2"/>
        <v>6.3832776826351009E-3</v>
      </c>
      <c r="J27" s="1036">
        <f t="shared" si="3"/>
        <v>9.2124993785257341E-3</v>
      </c>
      <c r="K27" s="1037">
        <f t="shared" si="4"/>
        <v>7.7455938402541433E-2</v>
      </c>
      <c r="L27" s="1038">
        <f t="shared" si="5"/>
        <v>0</v>
      </c>
      <c r="M27" s="1039">
        <f t="shared" si="6"/>
        <v>2.4243353517859507E-3</v>
      </c>
    </row>
    <row r="28" spans="1:13" x14ac:dyDescent="0.25">
      <c r="A28" s="177">
        <f t="shared" si="7"/>
        <v>24</v>
      </c>
      <c r="B28" s="177" t="str">
        <f>'CU Can Data'!B79</f>
        <v>Dockside Green  - Wastewater and Admin</v>
      </c>
      <c r="C28" s="633" t="s">
        <v>99</v>
      </c>
      <c r="D28" s="73">
        <f>VLOOKUP(B28,'CU Can Data'!$B$6:$M$48,4,)/Assumptions!$B$4</f>
        <v>309340.00611965806</v>
      </c>
      <c r="E28" s="77">
        <f t="shared" si="0"/>
        <v>7.7604788817376763E-3</v>
      </c>
      <c r="F28" s="73">
        <f>IF(Assumptions!$B$14="Net",VLOOKUP(B28,'CU Can Data'!$B$6:$M$48,8,)+VLOOKUP(B28,'CU Can Data'!$B$6:$M$48,9,),VLOOKUP(B28,'CU Can Data'!$B$6:$M$48,8,))/Assumptions!$B$5</f>
        <v>69920.425282312252</v>
      </c>
      <c r="G28" s="77">
        <f t="shared" si="1"/>
        <v>7.0586567148152952E-4</v>
      </c>
      <c r="H28" s="73">
        <f>VLOOKUP(B28,'CU Can Data'!$B$6:$M$48,12,)</f>
        <v>6.8154464193476123</v>
      </c>
      <c r="I28" s="77">
        <f t="shared" si="2"/>
        <v>4.4938984698322651E-2</v>
      </c>
      <c r="J28" s="1036">
        <f t="shared" si="3"/>
        <v>1.7801776417180622E-2</v>
      </c>
      <c r="K28" s="1037">
        <f t="shared" si="4"/>
        <v>0</v>
      </c>
      <c r="L28" s="1038">
        <f t="shared" si="5"/>
        <v>1.9531796276027288E-2</v>
      </c>
      <c r="M28" s="1039">
        <f t="shared" si="6"/>
        <v>7.8515131091496798E-3</v>
      </c>
    </row>
    <row r="29" spans="1:13" x14ac:dyDescent="0.25">
      <c r="A29" s="177">
        <f t="shared" si="7"/>
        <v>25</v>
      </c>
      <c r="B29" s="177" t="str">
        <f>'CU Can Data'!B80</f>
        <v>West Shore Environmental Services</v>
      </c>
      <c r="C29" s="633" t="s">
        <v>99</v>
      </c>
      <c r="D29" s="73">
        <f>VLOOKUP(B29,'CU Can Data'!$B$6:$M$48,4,)/Assumptions!$B$4</f>
        <v>15437569.840692338</v>
      </c>
      <c r="E29" s="77">
        <f t="shared" si="0"/>
        <v>0.38728561571082887</v>
      </c>
      <c r="F29" s="73">
        <f>IF(Assumptions!$B$14="Net",VLOOKUP(B29,'CU Can Data'!$B$6:$M$48,8,)+VLOOKUP(B29,'CU Can Data'!$B$6:$M$48,9,),VLOOKUP(B29,'CU Can Data'!$B$6:$M$48,8,))/Assumptions!$B$5</f>
        <v>26904883.89429896</v>
      </c>
      <c r="G29" s="77">
        <f t="shared" si="1"/>
        <v>0.27161210561152194</v>
      </c>
      <c r="H29" s="73">
        <f>VLOOKUP(B29,'CU Can Data'!$B$6:$M$48,12,)</f>
        <v>11.765816430081282</v>
      </c>
      <c r="I29" s="77">
        <f t="shared" si="2"/>
        <v>7.7580221746546774E-2</v>
      </c>
      <c r="J29" s="1036">
        <f t="shared" si="3"/>
        <v>0.24549264768963258</v>
      </c>
      <c r="K29" s="1037">
        <f t="shared" si="4"/>
        <v>0</v>
      </c>
      <c r="L29" s="1038">
        <f t="shared" si="5"/>
        <v>0.29013169131394856</v>
      </c>
      <c r="M29" s="1039">
        <f t="shared" si="6"/>
        <v>5.978717554953944E-2</v>
      </c>
    </row>
    <row r="30" spans="1:13" x14ac:dyDescent="0.25">
      <c r="A30" s="177">
        <f t="shared" si="7"/>
        <v>26</v>
      </c>
      <c r="B30" s="177" t="str">
        <f>'CU Can Data'!B81</f>
        <v>Rise</v>
      </c>
      <c r="C30" s="633" t="s">
        <v>99</v>
      </c>
      <c r="D30" s="73">
        <f>VLOOKUP(B30,'CU Can Data'!$B$6:$M$48,4,)/Assumptions!$B$4</f>
        <v>49750.03726008095</v>
      </c>
      <c r="E30" s="77">
        <f t="shared" si="0"/>
        <v>1.2480898231222531E-3</v>
      </c>
      <c r="F30" s="73">
        <f>IF(Assumptions!$B$14="Net",VLOOKUP(B30,'CU Can Data'!$B$6:$M$48,8,)+VLOOKUP(B30,'CU Can Data'!$B$6:$M$48,9,),VLOOKUP(B30,'CU Can Data'!$B$6:$M$48,8,))/Assumptions!$B$5</f>
        <v>566447.78720962955</v>
      </c>
      <c r="G30" s="77">
        <f t="shared" si="1"/>
        <v>5.7184441608237489E-3</v>
      </c>
      <c r="H30" s="73">
        <f>VLOOKUP(B30,'CU Can Data'!$B$6:$M$48,12,)</f>
        <v>6.8941109010338605E-2</v>
      </c>
      <c r="I30" s="77">
        <f t="shared" si="2"/>
        <v>4.5457674410087444E-4</v>
      </c>
      <c r="J30" s="1036">
        <f t="shared" si="3"/>
        <v>2.4737035760156257E-3</v>
      </c>
      <c r="K30" s="1037">
        <f t="shared" si="4"/>
        <v>0</v>
      </c>
      <c r="L30" s="1038">
        <f t="shared" si="5"/>
        <v>3.1501421413042611E-3</v>
      </c>
      <c r="M30" s="1039">
        <f t="shared" si="6"/>
        <v>4.3732342677274755E-4</v>
      </c>
    </row>
    <row r="31" spans="1:13" x14ac:dyDescent="0.25">
      <c r="A31" s="177">
        <f t="shared" si="7"/>
        <v>27</v>
      </c>
      <c r="B31" s="177" t="str">
        <f>'CU Can Data'!B82</f>
        <v>UBC</v>
      </c>
      <c r="C31" s="633" t="s">
        <v>106</v>
      </c>
      <c r="D31" s="73">
        <f>VLOOKUP(B31,'CU Can Data'!$B$6:$M$48,4,)/Assumptions!$B$4</f>
        <v>747725.4805303819</v>
      </c>
      <c r="E31" s="77">
        <f t="shared" si="0"/>
        <v>1.8758349021136947E-2</v>
      </c>
      <c r="F31" s="73">
        <f>IF(Assumptions!$B$14="Net",VLOOKUP(B31,'CU Can Data'!$B$6:$M$48,8,)+VLOOKUP(B31,'CU Can Data'!$B$6:$M$48,9,),VLOOKUP(B31,'CU Can Data'!$B$6:$M$48,8,))/Assumptions!$B$5</f>
        <v>8504981.3444562163</v>
      </c>
      <c r="G31" s="77">
        <f t="shared" si="1"/>
        <v>8.5860095149637772E-2</v>
      </c>
      <c r="H31" s="73">
        <f>VLOOKUP(B31,'CU Can Data'!$B$6:$M$48,12,)</f>
        <v>3.7272578151470626</v>
      </c>
      <c r="I31" s="77">
        <f t="shared" si="2"/>
        <v>2.4576406535322851E-2</v>
      </c>
      <c r="J31" s="1036">
        <f t="shared" si="3"/>
        <v>4.3064950235365863E-2</v>
      </c>
      <c r="K31" s="1037">
        <f t="shared" si="4"/>
        <v>0.28210389700253202</v>
      </c>
      <c r="L31" s="1038">
        <f t="shared" si="5"/>
        <v>0</v>
      </c>
      <c r="M31" s="1039">
        <f t="shared" si="6"/>
        <v>9.3752503380182331E-3</v>
      </c>
    </row>
    <row r="32" spans="1:13" x14ac:dyDescent="0.25">
      <c r="A32" s="177">
        <f t="shared" si="7"/>
        <v>28</v>
      </c>
      <c r="B32" s="177" t="str">
        <f>'CU Can Data'!B83</f>
        <v>SFU UniverCity</v>
      </c>
      <c r="C32" s="633" t="s">
        <v>106</v>
      </c>
      <c r="D32" s="73">
        <f>VLOOKUP(B32,'CU Can Data'!$B$6:$M$48,4,)/Assumptions!$B$4</f>
        <v>875024.2269288036</v>
      </c>
      <c r="E32" s="77">
        <f t="shared" si="0"/>
        <v>2.1951919893164713E-2</v>
      </c>
      <c r="F32" s="73">
        <f>IF(Assumptions!$B$14="Net",VLOOKUP(B32,'CU Can Data'!$B$6:$M$48,8,)+VLOOKUP(B32,'CU Can Data'!$B$6:$M$48,9,),VLOOKUP(B32,'CU Can Data'!$B$6:$M$48,8,))/Assumptions!$B$5</f>
        <v>5974576.6144844461</v>
      </c>
      <c r="G32" s="77">
        <f t="shared" si="1"/>
        <v>6.0314972581663386E-2</v>
      </c>
      <c r="H32" s="73">
        <f>VLOOKUP(B32,'CU Can Data'!$B$6:$M$48,12,)</f>
        <v>3.1746593572502233</v>
      </c>
      <c r="I32" s="77">
        <f t="shared" si="2"/>
        <v>2.093274005835569E-2</v>
      </c>
      <c r="J32" s="1036">
        <f t="shared" si="3"/>
        <v>3.4399877511061265E-2</v>
      </c>
      <c r="K32" s="1037">
        <f t="shared" si="4"/>
        <v>0.24511625912734891</v>
      </c>
      <c r="L32" s="1038">
        <f t="shared" si="5"/>
        <v>0</v>
      </c>
      <c r="M32" s="1039">
        <f t="shared" si="6"/>
        <v>7.9729009603502453E-3</v>
      </c>
    </row>
    <row r="33" spans="1:13" x14ac:dyDescent="0.25">
      <c r="A33" s="177">
        <f t="shared" si="7"/>
        <v>29</v>
      </c>
      <c r="B33" s="177" t="str">
        <f>'CU Can Data'!B84</f>
        <v>SFU Biomass</v>
      </c>
      <c r="C33" s="633" t="s">
        <v>106</v>
      </c>
      <c r="D33" s="73">
        <f>VLOOKUP(B33,'CU Can Data'!$B$6:$M$48,4,)/Assumptions!$B$4</f>
        <v>0</v>
      </c>
      <c r="E33" s="77">
        <f t="shared" si="0"/>
        <v>0</v>
      </c>
      <c r="F33" s="73">
        <f>IF(Assumptions!$B$14="Net",VLOOKUP(B33,'CU Can Data'!$B$6:$M$48,8,)+VLOOKUP(B33,'CU Can Data'!$B$6:$M$48,9,),VLOOKUP(B33,'CU Can Data'!$B$6:$M$48,8,))/Assumptions!$B$5</f>
        <v>0</v>
      </c>
      <c r="G33" s="77">
        <f t="shared" si="1"/>
        <v>0</v>
      </c>
      <c r="H33" s="73">
        <f>VLOOKUP(B33,'CU Can Data'!$B$6:$M$48,12,)</f>
        <v>0</v>
      </c>
      <c r="I33" s="77">
        <f t="shared" si="2"/>
        <v>0</v>
      </c>
      <c r="J33" s="1036">
        <f t="shared" si="3"/>
        <v>0</v>
      </c>
      <c r="K33" s="1037">
        <f t="shared" si="4"/>
        <v>0</v>
      </c>
      <c r="L33" s="1038">
        <f t="shared" si="5"/>
        <v>0</v>
      </c>
      <c r="M33" s="1039">
        <f t="shared" si="6"/>
        <v>0</v>
      </c>
    </row>
    <row r="34" spans="1:13" x14ac:dyDescent="0.25">
      <c r="A34" s="177">
        <f t="shared" si="7"/>
        <v>30</v>
      </c>
      <c r="B34" s="177" t="str">
        <f>'CU Can Data'!B85</f>
        <v>Riverport</v>
      </c>
      <c r="C34" s="633" t="s">
        <v>99</v>
      </c>
      <c r="D34" s="73">
        <f>VLOOKUP(B34,'CU Can Data'!$B$6:$M$48,4,)/Assumptions!$B$4</f>
        <v>283570.51830363314</v>
      </c>
      <c r="E34" s="77">
        <f t="shared" si="0"/>
        <v>7.1139942304375122E-3</v>
      </c>
      <c r="F34" s="73">
        <f>IF(Assumptions!$B$14="Net",VLOOKUP(B34,'CU Can Data'!$B$6:$M$48,8,)+VLOOKUP(B34,'CU Can Data'!$B$6:$M$48,9,),VLOOKUP(B34,'CU Can Data'!$B$6:$M$48,8,))/Assumptions!$B$5</f>
        <v>334175.6598047475</v>
      </c>
      <c r="G34" s="77">
        <f t="shared" si="1"/>
        <v>3.3735939898599638E-3</v>
      </c>
      <c r="H34" s="73">
        <f>VLOOKUP(B34,'CU Can Data'!$B$6:$M$48,12,)</f>
        <v>0.1012010437380067</v>
      </c>
      <c r="I34" s="77">
        <f t="shared" si="2"/>
        <v>6.6728896042467841E-4</v>
      </c>
      <c r="J34" s="1036">
        <f t="shared" si="3"/>
        <v>3.718292393574052E-3</v>
      </c>
      <c r="K34" s="1037">
        <f t="shared" si="4"/>
        <v>0</v>
      </c>
      <c r="L34" s="1038">
        <f t="shared" si="5"/>
        <v>4.3391383220099736E-3</v>
      </c>
      <c r="M34" s="1039">
        <f t="shared" si="6"/>
        <v>9.0756241596117164E-4</v>
      </c>
    </row>
    <row r="35" spans="1:13" x14ac:dyDescent="0.25">
      <c r="A35" s="177">
        <f t="shared" si="7"/>
        <v>31</v>
      </c>
      <c r="B35" s="177" t="str">
        <f>'CU Can Data'!B86</f>
        <v>RG GAAP - Related to LIEC</v>
      </c>
      <c r="C35" s="633" t="s">
        <v>106</v>
      </c>
      <c r="D35" s="73">
        <f>VLOOKUP(B35,'CU Can Data'!$B$6:$M$48,4,)/Assumptions!$B$4</f>
        <v>392972.69111002766</v>
      </c>
      <c r="E35" s="77">
        <f t="shared" si="0"/>
        <v>9.8585899338197239E-3</v>
      </c>
      <c r="F35" s="73">
        <f>IF(Assumptions!$B$14="Net",VLOOKUP(B35,'CU Can Data'!$B$6:$M$48,8,)+VLOOKUP(B35,'CU Can Data'!$B$6:$M$48,9,),VLOOKUP(B35,'CU Can Data'!$B$6:$M$48,8,))/Assumptions!$B$5</f>
        <v>6830.3397200896597</v>
      </c>
      <c r="G35" s="77">
        <f t="shared" si="1"/>
        <v>6.8954133409535959E-5</v>
      </c>
      <c r="H35" s="73">
        <f>VLOOKUP(B35,'CU Can Data'!$B$6:$M$48,12,)</f>
        <v>0.62710572776753148</v>
      </c>
      <c r="I35" s="77">
        <f t="shared" si="2"/>
        <v>4.1349447960406941E-3</v>
      </c>
      <c r="J35" s="1036">
        <f t="shared" si="3"/>
        <v>4.687496287756652E-3</v>
      </c>
      <c r="K35" s="1037">
        <f t="shared" si="4"/>
        <v>5.2889531442428278E-2</v>
      </c>
      <c r="L35" s="1038">
        <f t="shared" si="5"/>
        <v>0</v>
      </c>
      <c r="M35" s="1039">
        <f t="shared" si="6"/>
        <v>1.5634764603916277E-3</v>
      </c>
    </row>
    <row r="36" spans="1:13" x14ac:dyDescent="0.25">
      <c r="A36" s="177">
        <f t="shared" si="7"/>
        <v>32</v>
      </c>
      <c r="B36" s="177" t="str">
        <f>'CU Can Data'!B87</f>
        <v>LIEC</v>
      </c>
      <c r="C36" s="633" t="s">
        <v>106</v>
      </c>
      <c r="D36" s="73">
        <f>VLOOKUP(B36,'CU Can Data'!$B$6:$M$48,4,)/Assumptions!$B$4</f>
        <v>968636.52913974563</v>
      </c>
      <c r="E36" s="77">
        <f t="shared" si="0"/>
        <v>2.4300391736466635E-2</v>
      </c>
      <c r="F36" s="73">
        <f>IF(Assumptions!$B$14="Net",VLOOKUP(B36,'CU Can Data'!$B$6:$M$48,8,)+VLOOKUP(B36,'CU Can Data'!$B$6:$M$48,9,),VLOOKUP(B36,'CU Can Data'!$B$6:$M$48,8,))/Assumptions!$B$5</f>
        <v>7814042.3315042127</v>
      </c>
      <c r="G36" s="77">
        <f t="shared" si="1"/>
        <v>7.8884878274726594E-2</v>
      </c>
      <c r="H36" s="73">
        <f>VLOOKUP(B36,'CU Can Data'!$B$6:$M$48,12,)</f>
        <v>3.8724632446530292</v>
      </c>
      <c r="I36" s="77">
        <f t="shared" si="2"/>
        <v>2.5533847056923579E-2</v>
      </c>
      <c r="J36" s="1036">
        <f t="shared" si="3"/>
        <v>4.290637235603894E-2</v>
      </c>
      <c r="K36" s="1037">
        <f t="shared" si="4"/>
        <v>0.29698892475710525</v>
      </c>
      <c r="L36" s="1038">
        <f t="shared" si="5"/>
        <v>0</v>
      </c>
      <c r="M36" s="1039">
        <f t="shared" si="6"/>
        <v>9.7305138084207363E-3</v>
      </c>
    </row>
    <row r="37" spans="1:13" x14ac:dyDescent="0.25">
      <c r="A37" s="177">
        <f t="shared" si="7"/>
        <v>33</v>
      </c>
      <c r="B37" s="177" t="str">
        <f>'CU Can Data'!B88</f>
        <v>Beaver Barracks</v>
      </c>
      <c r="C37" s="633" t="s">
        <v>106</v>
      </c>
      <c r="D37" s="73">
        <f>VLOOKUP(B37,'CU Can Data'!$B$6:$M$48,4,)/Assumptions!$B$4</f>
        <v>189002.85378061602</v>
      </c>
      <c r="E37" s="77">
        <f t="shared" si="0"/>
        <v>4.7415550085211393E-3</v>
      </c>
      <c r="F37" s="73">
        <f>IF(Assumptions!$B$14="Net",VLOOKUP(B37,'CU Can Data'!$B$6:$M$48,8,)+VLOOKUP(B37,'CU Can Data'!$B$6:$M$48,9,),VLOOKUP(B37,'CU Can Data'!$B$6:$M$48,8,))/Assumptions!$B$5</f>
        <v>939570.44781202974</v>
      </c>
      <c r="G37" s="77">
        <f t="shared" si="1"/>
        <v>9.4852186949842821E-3</v>
      </c>
      <c r="H37" s="73">
        <f>VLOOKUP(B37,'CU Can Data'!$B$6:$M$48,12,)</f>
        <v>0.58100149434089066</v>
      </c>
      <c r="I37" s="77">
        <f t="shared" si="2"/>
        <v>3.830947476861999E-3</v>
      </c>
      <c r="J37" s="1036">
        <f t="shared" si="3"/>
        <v>6.0192403934558065E-3</v>
      </c>
      <c r="K37" s="1037">
        <f t="shared" si="4"/>
        <v>4.5445449268044315E-2</v>
      </c>
      <c r="L37" s="1038">
        <f t="shared" si="5"/>
        <v>0</v>
      </c>
      <c r="M37" s="1039">
        <f t="shared" si="6"/>
        <v>1.4576372092626228E-3</v>
      </c>
    </row>
    <row r="38" spans="1:13" x14ac:dyDescent="0.25">
      <c r="A38" s="177">
        <f t="shared" si="7"/>
        <v>34</v>
      </c>
      <c r="B38" s="177" t="str">
        <f>'CU Can Data'!B89</f>
        <v>Coastal Ops</v>
      </c>
      <c r="C38" s="633" t="s">
        <v>99</v>
      </c>
      <c r="D38" s="73">
        <f>VLOOKUP(B38,'CU Can Data'!$B$6:$M$48,4,)/Assumptions!$B$4</f>
        <v>573881.16369903262</v>
      </c>
      <c r="E38" s="77">
        <f t="shared" si="0"/>
        <v>1.4397079470511998E-2</v>
      </c>
      <c r="F38" s="73">
        <f>IF(Assumptions!$B$14="Net",VLOOKUP(B38,'CU Can Data'!$B$6:$M$48,8,)+VLOOKUP(B38,'CU Can Data'!$B$6:$M$48,9,),VLOOKUP(B38,'CU Can Data'!$B$6:$M$48,8,))/Assumptions!$B$5</f>
        <v>43768.366704053529</v>
      </c>
      <c r="G38" s="77">
        <f t="shared" si="1"/>
        <v>4.4185354177217739E-4</v>
      </c>
      <c r="H38" s="73">
        <f>VLOOKUP(B38,'CU Can Data'!$B$6:$M$48,12,)</f>
        <v>7.6706173608383912</v>
      </c>
      <c r="I38" s="77">
        <f t="shared" si="2"/>
        <v>5.0577722279034634E-2</v>
      </c>
      <c r="J38" s="1036">
        <f t="shared" si="3"/>
        <v>2.180555176377294E-2</v>
      </c>
      <c r="K38" s="1037">
        <f t="shared" si="4"/>
        <v>0</v>
      </c>
      <c r="L38" s="1038">
        <f t="shared" si="5"/>
        <v>2.3900232398461514E-2</v>
      </c>
      <c r="M38" s="1039">
        <f t="shared" si="6"/>
        <v>9.341943993335336E-3</v>
      </c>
    </row>
    <row r="39" spans="1:13" x14ac:dyDescent="0.25">
      <c r="A39" s="177">
        <f t="shared" si="7"/>
        <v>35</v>
      </c>
      <c r="B39" s="177" t="str">
        <f>'CU Can Data'!B90</f>
        <v>Island Ops</v>
      </c>
      <c r="C39" s="633" t="s">
        <v>99</v>
      </c>
      <c r="D39" s="73">
        <f>VLOOKUP(B39,'CU Can Data'!$B$6:$M$48,4,)/Assumptions!$B$4</f>
        <v>9883.3159582783301</v>
      </c>
      <c r="E39" s="77">
        <f t="shared" si="0"/>
        <v>2.4794486085996697E-4</v>
      </c>
      <c r="F39" s="73">
        <f>IF(Assumptions!$B$14="Net",VLOOKUP(B39,'CU Can Data'!$B$6:$M$48,8,)+VLOOKUP(B39,'CU Can Data'!$B$6:$M$48,9,),VLOOKUP(B39,'CU Can Data'!$B$6:$M$48,8,))/Assumptions!$B$5</f>
        <v>104.06038365101341</v>
      </c>
      <c r="G39" s="77">
        <f t="shared" si="1"/>
        <v>1.050517817703112E-6</v>
      </c>
      <c r="H39" s="73">
        <f>VLOOKUP(B39,'CU Can Data'!$B$6:$M$48,12,)</f>
        <v>2.3636815595948755E-3</v>
      </c>
      <c r="I39" s="77">
        <f t="shared" si="2"/>
        <v>1.5585398652214664E-5</v>
      </c>
      <c r="J39" s="1036">
        <f t="shared" si="3"/>
        <v>8.819359244329493E-5</v>
      </c>
      <c r="K39" s="1037">
        <f t="shared" si="4"/>
        <v>0</v>
      </c>
      <c r="L39" s="1038">
        <f t="shared" si="5"/>
        <v>9.6932062689957947E-5</v>
      </c>
      <c r="M39" s="1039">
        <f t="shared" si="6"/>
        <v>2.5310034950052648E-5</v>
      </c>
    </row>
    <row r="40" spans="1:13" x14ac:dyDescent="0.25">
      <c r="A40" s="177">
        <f t="shared" si="7"/>
        <v>36</v>
      </c>
      <c r="B40" s="177" t="str">
        <f>'CU Can Data'!B91</f>
        <v>Kamloops Ops</v>
      </c>
      <c r="C40" s="633" t="s">
        <v>99</v>
      </c>
      <c r="D40" s="73">
        <f>VLOOKUP(B40,'CU Can Data'!$B$6:$M$48,4,)/Assumptions!$B$4</f>
        <v>965428.59756135754</v>
      </c>
      <c r="E40" s="77">
        <f t="shared" si="0"/>
        <v>2.4219913670986446E-2</v>
      </c>
      <c r="F40" s="73">
        <f>IF(Assumptions!$B$14="Net",VLOOKUP(B40,'CU Can Data'!$B$6:$M$48,8,)+VLOOKUP(B40,'CU Can Data'!$B$6:$M$48,9,),VLOOKUP(B40,'CU Can Data'!$B$6:$M$48,8,))/Assumptions!$B$5</f>
        <v>76469.467242897226</v>
      </c>
      <c r="G40" s="77">
        <f t="shared" si="1"/>
        <v>7.7198002765719827E-4</v>
      </c>
      <c r="H40" s="73">
        <f>VLOOKUP(B40,'CU Can Data'!$B$6:$M$48,12,)</f>
        <v>10.994096829105008</v>
      </c>
      <c r="I40" s="77">
        <f t="shared" si="2"/>
        <v>7.249173697154826E-2</v>
      </c>
      <c r="J40" s="1036">
        <f t="shared" si="3"/>
        <v>3.2494543556730635E-2</v>
      </c>
      <c r="K40" s="1037">
        <f t="shared" si="4"/>
        <v>0</v>
      </c>
      <c r="L40" s="1038">
        <f t="shared" si="5"/>
        <v>3.5629546396545989E-2</v>
      </c>
      <c r="M40" s="1039">
        <f t="shared" si="6"/>
        <v>1.3725291203581647E-2</v>
      </c>
    </row>
    <row r="41" spans="1:13" x14ac:dyDescent="0.25">
      <c r="A41" s="177">
        <f t="shared" si="7"/>
        <v>37</v>
      </c>
      <c r="B41" s="177" t="str">
        <f>'CU Can Data'!B92</f>
        <v>Kootenay Ops</v>
      </c>
      <c r="C41" s="633" t="s">
        <v>99</v>
      </c>
      <c r="D41" s="73">
        <f>VLOOKUP(B41,'CU Can Data'!$B$6:$M$48,4,)/Assumptions!$B$4</f>
        <v>534726.60145121801</v>
      </c>
      <c r="E41" s="77">
        <f t="shared" si="0"/>
        <v>1.3414800594722777E-2</v>
      </c>
      <c r="F41" s="73">
        <f>IF(Assumptions!$B$14="Net",VLOOKUP(B41,'CU Can Data'!$B$6:$M$48,8,)+VLOOKUP(B41,'CU Can Data'!$B$6:$M$48,9,),VLOOKUP(B41,'CU Can Data'!$B$6:$M$48,8,))/Assumptions!$B$5</f>
        <v>37052.489480562246</v>
      </c>
      <c r="G41" s="77">
        <f t="shared" si="1"/>
        <v>3.7405493833395732E-4</v>
      </c>
      <c r="H41" s="73">
        <f>VLOOKUP(B41,'CU Can Data'!$B$6:$M$48,12,)</f>
        <v>9.8119223997033096</v>
      </c>
      <c r="I41" s="77">
        <f t="shared" si="2"/>
        <v>6.4696837661237711E-2</v>
      </c>
      <c r="J41" s="1036">
        <f t="shared" si="3"/>
        <v>2.6161897731431481E-2</v>
      </c>
      <c r="K41" s="1037">
        <f t="shared" si="4"/>
        <v>0</v>
      </c>
      <c r="L41" s="1038">
        <f t="shared" si="5"/>
        <v>2.8656376028738322E-2</v>
      </c>
      <c r="M41" s="1039">
        <f t="shared" si="6"/>
        <v>1.1481547385876848E-2</v>
      </c>
    </row>
    <row r="42" spans="1:13" x14ac:dyDescent="0.25">
      <c r="A42" s="177">
        <f t="shared" si="7"/>
        <v>38</v>
      </c>
      <c r="B42" s="177" t="str">
        <f>'CU Can Data'!B94</f>
        <v>Alberta Ops (North)</v>
      </c>
      <c r="C42" s="633" t="s">
        <v>99</v>
      </c>
      <c r="D42" s="73">
        <f>VLOOKUP(B42,'CU Can Data'!$B$6:$M$48,4,)/Assumptions!$B$4</f>
        <v>1652260.8434448952</v>
      </c>
      <c r="E42" s="77">
        <f t="shared" si="0"/>
        <v>4.1450621093336013E-2</v>
      </c>
      <c r="F42" s="73">
        <f>IF(Assumptions!$B$14="Net",VLOOKUP(B42,'CU Can Data'!$B$6:$M$48,8,)+VLOOKUP(B42,'CU Can Data'!$B$6:$M$48,9,),VLOOKUP(B42,'CU Can Data'!$B$6:$M$48,8,))/Assumptions!$B$5</f>
        <v>211085.07604971665</v>
      </c>
      <c r="G42" s="77">
        <f t="shared" si="1"/>
        <v>2.1309611368061127E-3</v>
      </c>
      <c r="H42" s="73">
        <f>VLOOKUP(B42,'CU Can Data'!$B$6:$M$48,12,)</f>
        <v>11.338609248916629</v>
      </c>
      <c r="I42" s="77">
        <f t="shared" si="2"/>
        <v>7.4763347282847364E-2</v>
      </c>
      <c r="J42" s="1036">
        <f t="shared" si="3"/>
        <v>3.9448309837663169E-2</v>
      </c>
      <c r="K42" s="1037">
        <f t="shared" si="4"/>
        <v>0</v>
      </c>
      <c r="L42" s="1038">
        <f t="shared" si="5"/>
        <v>4.336729732171369E-2</v>
      </c>
      <c r="M42" s="1039">
        <f t="shared" si="6"/>
        <v>1.5728520981994985E-2</v>
      </c>
    </row>
    <row r="43" spans="1:13" x14ac:dyDescent="0.25">
      <c r="A43" s="177">
        <f t="shared" si="7"/>
        <v>39</v>
      </c>
      <c r="B43" s="177" t="str">
        <f>'CU Can Data'!B95</f>
        <v>Alberta Ops (South)</v>
      </c>
      <c r="C43" s="633" t="s">
        <v>99</v>
      </c>
      <c r="D43" s="73">
        <f>VLOOKUP(B43,'CU Can Data'!$B$6:$M$48,4,)/Assumptions!$B$4</f>
        <v>1757253.802298995</v>
      </c>
      <c r="E43" s="77">
        <f t="shared" si="0"/>
        <v>4.4084601903445701E-2</v>
      </c>
      <c r="F43" s="73">
        <f>IF(Assumptions!$B$14="Net",VLOOKUP(B43,'CU Can Data'!$B$6:$M$48,8,)+VLOOKUP(B43,'CU Can Data'!$B$6:$M$48,9,),VLOOKUP(B43,'CU Can Data'!$B$6:$M$48,8,))/Assumptions!$B$5</f>
        <v>83234.859209181304</v>
      </c>
      <c r="G43" s="77">
        <f t="shared" si="1"/>
        <v>8.4027849586352512E-4</v>
      </c>
      <c r="H43" s="73">
        <f>VLOOKUP(B43,'CU Can Data'!$B$6:$M$48,12,)</f>
        <v>17.469813417283511</v>
      </c>
      <c r="I43" s="77">
        <f t="shared" si="2"/>
        <v>0.11519064629621202</v>
      </c>
      <c r="J43" s="1036">
        <f t="shared" si="3"/>
        <v>5.3371842231840425E-2</v>
      </c>
      <c r="K43" s="1037">
        <f t="shared" si="4"/>
        <v>0</v>
      </c>
      <c r="L43" s="1038">
        <f t="shared" si="5"/>
        <v>5.8495222192365935E-2</v>
      </c>
      <c r="M43" s="1039">
        <f t="shared" si="6"/>
        <v>2.230760957143986E-2</v>
      </c>
    </row>
    <row r="44" spans="1:13" x14ac:dyDescent="0.25">
      <c r="A44" s="177">
        <f t="shared" si="7"/>
        <v>40</v>
      </c>
      <c r="B44" s="177" t="str">
        <f>'CU Can Data'!B98</f>
        <v>Corix Water Services Inc. (See note)</v>
      </c>
      <c r="C44" s="633" t="s">
        <v>99</v>
      </c>
      <c r="D44" s="73">
        <f>VLOOKUP(B44,'CU Can Data'!$B$6:$M$48,4,)/Assumptions!$B$4</f>
        <v>5067809.4195218105</v>
      </c>
      <c r="E44" s="77">
        <f t="shared" si="0"/>
        <v>0.12713721859065746</v>
      </c>
      <c r="F44" s="73">
        <f>IF(Assumptions!$B$14="Net",VLOOKUP(B44,'CU Can Data'!$B$6:$M$48,8,)+VLOOKUP(B44,'CU Can Data'!$B$6:$M$48,9,),VLOOKUP(B44,'CU Can Data'!$B$6:$M$48,8,))/Assumptions!$B$5</f>
        <v>432854.58603392891</v>
      </c>
      <c r="G44" s="77">
        <f t="shared" si="1"/>
        <v>4.3697845342195079E-3</v>
      </c>
      <c r="H44" s="73">
        <f>VLOOKUP(B44,'CU Can Data'!$B$6:$M$48,12,)</f>
        <v>43.200701984565129</v>
      </c>
      <c r="I44" s="77">
        <f t="shared" si="2"/>
        <v>0.28485231428567281</v>
      </c>
      <c r="J44" s="1036">
        <f t="shared" si="3"/>
        <v>0.13878643913684993</v>
      </c>
      <c r="K44" s="1037">
        <f t="shared" si="4"/>
        <v>0</v>
      </c>
      <c r="L44" s="1038">
        <f t="shared" si="5"/>
        <v>0.15229981723748215</v>
      </c>
      <c r="M44" s="1039">
        <f t="shared" si="6"/>
        <v>5.6930754972100941E-2</v>
      </c>
    </row>
    <row r="45" spans="1:13" x14ac:dyDescent="0.25">
      <c r="A45" s="177">
        <f t="shared" si="7"/>
        <v>41</v>
      </c>
      <c r="B45" s="177" t="str">
        <f>'CU Can Data'!B99</f>
        <v>Corix Energy Inc.</v>
      </c>
      <c r="C45" s="633" t="s">
        <v>99</v>
      </c>
      <c r="D45" s="73">
        <f>VLOOKUP(B45,'CU Can Data'!$B$6:$M$48,4,)/Assumptions!$B$4</f>
        <v>209663.19051522712</v>
      </c>
      <c r="E45" s="77">
        <f t="shared" si="0"/>
        <v>5.2598652941184005E-3</v>
      </c>
      <c r="F45" s="73">
        <f>IF(Assumptions!$B$14="Net",VLOOKUP(B45,'CU Can Data'!$B$6:$M$48,8,)+VLOOKUP(B45,'CU Can Data'!$B$6:$M$48,9,),VLOOKUP(B45,'CU Can Data'!$B$6:$M$48,8,))/Assumptions!$B$5</f>
        <v>2207.5214568280048</v>
      </c>
      <c r="G45" s="77">
        <f t="shared" si="1"/>
        <v>2.2285528286510075E-5</v>
      </c>
      <c r="H45" s="73">
        <f>VLOOKUP(B45,'CU Can Data'!$B$6:$M$48,12,)</f>
        <v>5.014278803174059E-2</v>
      </c>
      <c r="I45" s="77">
        <f t="shared" si="2"/>
        <v>3.3062632224542136E-4</v>
      </c>
      <c r="J45" s="1036">
        <f t="shared" si="3"/>
        <v>1.8709257148834442E-3</v>
      </c>
      <c r="K45" s="1037">
        <f t="shared" si="4"/>
        <v>0</v>
      </c>
      <c r="L45" s="1038">
        <f t="shared" si="5"/>
        <v>2.0563023192409261E-3</v>
      </c>
      <c r="M45" s="1039">
        <f t="shared" si="6"/>
        <v>5.3692330611317921E-4</v>
      </c>
    </row>
    <row r="46" spans="1:13" x14ac:dyDescent="0.25">
      <c r="J46" s="965"/>
      <c r="K46" s="1026"/>
      <c r="L46" s="1027"/>
      <c r="M46" s="1028"/>
    </row>
    <row r="47" spans="1:13" s="1040" customFormat="1" x14ac:dyDescent="0.25">
      <c r="B47" s="1040" t="s">
        <v>1007</v>
      </c>
      <c r="D47" s="1041">
        <f t="shared" ref="D47:L47" si="8">SUM(D5:D45)</f>
        <v>39860942.969332926</v>
      </c>
      <c r="E47" s="1042">
        <f t="shared" si="8"/>
        <v>0.99999999999999989</v>
      </c>
      <c r="F47" s="1041">
        <f t="shared" si="8"/>
        <v>99056276.721259803</v>
      </c>
      <c r="G47" s="1042">
        <f t="shared" si="8"/>
        <v>1.0000000000000004</v>
      </c>
      <c r="H47" s="1041">
        <f t="shared" si="8"/>
        <v>151.65999999999997</v>
      </c>
      <c r="I47" s="1042">
        <f t="shared" si="8"/>
        <v>1.0000000000000002</v>
      </c>
      <c r="J47" s="1043">
        <f>SUM(J5:J45)</f>
        <v>1.0000000000000002</v>
      </c>
      <c r="K47" s="1044">
        <f t="shared" si="8"/>
        <v>1.0000000000000002</v>
      </c>
      <c r="L47" s="1045">
        <f t="shared" si="8"/>
        <v>1.0000000000000002</v>
      </c>
      <c r="M47" s="1046"/>
    </row>
    <row r="48" spans="1:13" x14ac:dyDescent="0.25">
      <c r="B48" s="177" t="s">
        <v>96</v>
      </c>
      <c r="D48" s="76">
        <f>('CU Can Data'!E48/Assumptions!$B$4)-'CU Composites'!D47</f>
        <v>0</v>
      </c>
      <c r="F48" s="76">
        <f>IF(Assumptions!B14="Gross",'CU Can Data'!I48/Assumptions!$B$5-'CU Composites'!F47,(('CU Can Data'!I48+'CU Can Data'!J48)/Assumptions!$B$5)-'CU Composites'!F47)</f>
        <v>4.4703483581542969E-8</v>
      </c>
      <c r="H48" s="76">
        <f>H47-'CU Can Data'!M48</f>
        <v>0</v>
      </c>
      <c r="M48" s="1028"/>
    </row>
    <row r="49" spans="1:13" x14ac:dyDescent="0.25">
      <c r="M49" s="1028"/>
    </row>
    <row r="50" spans="1:13" x14ac:dyDescent="0.25">
      <c r="A50" s="1" t="s">
        <v>1008</v>
      </c>
      <c r="D50" s="35" t="s">
        <v>1002</v>
      </c>
      <c r="F50" s="1" t="s">
        <v>70</v>
      </c>
      <c r="H50" s="1" t="s">
        <v>1005</v>
      </c>
      <c r="J50" s="1047" t="s">
        <v>1009</v>
      </c>
      <c r="M50" s="1028"/>
    </row>
    <row r="51" spans="1:13" x14ac:dyDescent="0.25">
      <c r="J51" s="172"/>
      <c r="M51" s="1028"/>
    </row>
    <row r="52" spans="1:13" x14ac:dyDescent="0.25">
      <c r="A52" s="177">
        <v>42</v>
      </c>
      <c r="B52" s="177" t="s">
        <v>109</v>
      </c>
      <c r="D52" s="665">
        <v>18451445</v>
      </c>
      <c r="E52" s="77">
        <f>D52/$D$57</f>
        <v>0.17633756934361908</v>
      </c>
      <c r="F52" s="696">
        <f>IF(Assumptions!$B$14="Gross",118000000+68234059+23360288+758000,79000000+58971918+19863998)</f>
        <v>210352347</v>
      </c>
      <c r="G52" s="77">
        <f>F52/$F$57</f>
        <v>0.3215441658615108</v>
      </c>
      <c r="H52" s="633">
        <f>41.5+4.1</f>
        <v>45.6</v>
      </c>
      <c r="I52" s="77">
        <f>H52/$H$57</f>
        <v>0.27142857142857146</v>
      </c>
      <c r="J52" s="175">
        <f>(E52*$E$2)+(G52*$G$2)+(I52*$I$2)</f>
        <v>0.25643676887790046</v>
      </c>
      <c r="M52" s="1039">
        <f t="shared" ref="M52:M55" si="9">((D52/SUM($D$47+$D$57))*$E$2)+((F52/SUM($F$47+$F$57))*$G$2)+((H52/SUM($H$47+$H$57))*$I$2)</f>
        <v>0.18320148819435431</v>
      </c>
    </row>
    <row r="53" spans="1:13" x14ac:dyDescent="0.25">
      <c r="A53" s="177">
        <v>43</v>
      </c>
      <c r="B53" s="177" t="s">
        <v>114</v>
      </c>
      <c r="D53" s="665">
        <v>837888</v>
      </c>
      <c r="E53" s="77">
        <f t="shared" ref="E53:E55" si="10">D53/$D$57</f>
        <v>8.0075643561892465E-3</v>
      </c>
      <c r="F53" s="696">
        <v>123937</v>
      </c>
      <c r="G53" s="77">
        <f t="shared" ref="G53:G55" si="11">F53/$F$57</f>
        <v>1.8944984381076606E-4</v>
      </c>
      <c r="H53" s="633">
        <f>3+0.9</f>
        <v>3.9</v>
      </c>
      <c r="I53" s="77">
        <f>H53/$H$57</f>
        <v>2.3214285714285715E-2</v>
      </c>
      <c r="J53" s="175">
        <f>(E53*$E$2)+(G53*$G$2)+(I53*$I$2)</f>
        <v>1.047043330476191E-2</v>
      </c>
      <c r="M53" s="1039">
        <f t="shared" si="9"/>
        <v>6.0545373959831634E-3</v>
      </c>
    </row>
    <row r="54" spans="1:13" x14ac:dyDescent="0.25">
      <c r="A54" s="177">
        <v>44</v>
      </c>
      <c r="B54" s="177" t="s">
        <v>110</v>
      </c>
      <c r="D54" s="665">
        <v>24307162</v>
      </c>
      <c r="E54" s="77">
        <f t="shared" si="10"/>
        <v>0.23229973938201495</v>
      </c>
      <c r="F54" s="696">
        <f>IF(Assumptions!$B$14="Gross",35010039,35010039-3978767)</f>
        <v>35010039</v>
      </c>
      <c r="G54" s="77">
        <f t="shared" si="11"/>
        <v>5.3516273754882146E-2</v>
      </c>
      <c r="H54" s="633">
        <v>33</v>
      </c>
      <c r="I54" s="77">
        <f>H54/$H$57</f>
        <v>0.19642857142857142</v>
      </c>
      <c r="J54" s="175">
        <f>(E54*$E$2)+(G54*$G$2)+(I54*$I$2)</f>
        <v>0.16074819485515618</v>
      </c>
      <c r="M54" s="1039">
        <f t="shared" si="9"/>
        <v>0.10597709201183639</v>
      </c>
    </row>
    <row r="55" spans="1:13" x14ac:dyDescent="0.25">
      <c r="A55" s="177">
        <v>45</v>
      </c>
      <c r="B55" s="31" t="s">
        <v>837</v>
      </c>
      <c r="C55" s="1048">
        <v>0.5</v>
      </c>
      <c r="D55" s="665">
        <f>IF(Assumptions!$B$16="Yes",122081132*C55,0)</f>
        <v>61040566</v>
      </c>
      <c r="E55" s="77">
        <f t="shared" si="10"/>
        <v>0.5833551269181767</v>
      </c>
      <c r="F55" s="696">
        <f>IF(Assumptions!$B$16="Yes",IF(Assumptions!$B$14="Gross",408707935,408707935-119557158))</f>
        <v>408707935</v>
      </c>
      <c r="G55" s="77">
        <f t="shared" si="11"/>
        <v>0.62475011053979623</v>
      </c>
      <c r="H55" s="665">
        <f>IF(Assumptions!B16="Yes",171*C55,0)</f>
        <v>85.5</v>
      </c>
      <c r="I55" s="77">
        <f>H55/$H$57</f>
        <v>0.5089285714285714</v>
      </c>
      <c r="J55" s="175">
        <f>(E55*$E$2)+(G55*$G$2)+(I55*$I$2)</f>
        <v>0.57234460296218148</v>
      </c>
      <c r="M55" s="1039">
        <f t="shared" si="9"/>
        <v>0.41083195979082499</v>
      </c>
    </row>
    <row r="56" spans="1:13" x14ac:dyDescent="0.25">
      <c r="F56" s="1049"/>
      <c r="M56" s="1028"/>
    </row>
    <row r="57" spans="1:13" s="168" customFormat="1" x14ac:dyDescent="0.25">
      <c r="B57" s="1040" t="s">
        <v>1010</v>
      </c>
      <c r="D57" s="1041">
        <f t="shared" ref="D57:J57" si="12">SUM(D52:D55)</f>
        <v>104637061</v>
      </c>
      <c r="E57" s="1042">
        <f t="shared" si="12"/>
        <v>1</v>
      </c>
      <c r="F57" s="1041">
        <f t="shared" si="12"/>
        <v>654194258</v>
      </c>
      <c r="G57" s="1042">
        <f t="shared" si="12"/>
        <v>1</v>
      </c>
      <c r="H57" s="1041">
        <f t="shared" si="12"/>
        <v>168</v>
      </c>
      <c r="I57" s="1042">
        <f t="shared" si="12"/>
        <v>1</v>
      </c>
      <c r="J57" s="1042">
        <f t="shared" si="12"/>
        <v>1</v>
      </c>
    </row>
    <row r="59" spans="1:13" s="168" customFormat="1" x14ac:dyDescent="0.25">
      <c r="B59" s="1040" t="s">
        <v>852</v>
      </c>
      <c r="D59" s="1041">
        <f>D57+D47</f>
        <v>144498003.96933293</v>
      </c>
      <c r="E59" s="1042"/>
      <c r="F59" s="1041">
        <f>F57+F47</f>
        <v>753250534.72125983</v>
      </c>
      <c r="G59" s="1042"/>
      <c r="H59" s="1041">
        <f>H57+H47</f>
        <v>319.65999999999997</v>
      </c>
      <c r="I59" s="1041"/>
      <c r="J59" s="1042"/>
      <c r="M59" s="1050">
        <f>SUM(M5:M55)</f>
        <v>1</v>
      </c>
    </row>
    <row r="72" spans="2:3" x14ac:dyDescent="0.25">
      <c r="B72" s="627"/>
      <c r="C72" s="71"/>
    </row>
    <row r="73" spans="2:3" x14ac:dyDescent="0.25">
      <c r="B73" s="1051"/>
      <c r="C73" s="1052"/>
    </row>
    <row r="74" spans="2:3" x14ac:dyDescent="0.25">
      <c r="B74" s="1051"/>
      <c r="C74" s="1052"/>
    </row>
    <row r="75" spans="2:3" x14ac:dyDescent="0.25">
      <c r="B75" s="1051"/>
      <c r="C75" s="1052"/>
    </row>
    <row r="76" spans="2:3" x14ac:dyDescent="0.25">
      <c r="B76" s="1051"/>
      <c r="C76" s="1052"/>
    </row>
    <row r="77" spans="2:3" x14ac:dyDescent="0.25">
      <c r="B77" s="1051"/>
      <c r="C77" s="1052"/>
    </row>
    <row r="78" spans="2:3" x14ac:dyDescent="0.25">
      <c r="B78" s="1051"/>
      <c r="C78" s="1052"/>
    </row>
    <row r="79" spans="2:3" x14ac:dyDescent="0.25">
      <c r="B79" s="1053"/>
      <c r="C79" s="1052"/>
    </row>
    <row r="80" spans="2:3" x14ac:dyDescent="0.25">
      <c r="B80" s="1051"/>
      <c r="C80" s="1052"/>
    </row>
    <row r="81" spans="2:3" x14ac:dyDescent="0.25">
      <c r="B81" s="1054"/>
      <c r="C81" s="1055"/>
    </row>
    <row r="82" spans="2:3" x14ac:dyDescent="0.25">
      <c r="B82" s="1054"/>
      <c r="C82" s="1056"/>
    </row>
    <row r="83" spans="2:3" x14ac:dyDescent="0.25">
      <c r="B83" s="1054"/>
      <c r="C83" s="1055"/>
    </row>
    <row r="84" spans="2:3" x14ac:dyDescent="0.25">
      <c r="B84" s="1054"/>
      <c r="C84" s="1052"/>
    </row>
  </sheetData>
  <mergeCells count="1">
    <mergeCell ref="M2:M3"/>
  </mergeCells>
  <pageMargins left="0.7" right="0.7" top="0.75" bottom="0.75" header="0.3" footer="0.3"/>
  <pageSetup scale="43" fitToHeight="3"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22"/>
  <sheetViews>
    <sheetView workbookViewId="0">
      <selection activeCell="O29" sqref="O29"/>
    </sheetView>
  </sheetViews>
  <sheetFormatPr defaultRowHeight="15" x14ac:dyDescent="0.25"/>
  <cols>
    <col min="1" max="1" width="13.7109375" style="177" customWidth="1"/>
    <col min="2" max="2" width="25.28515625" style="177" customWidth="1"/>
    <col min="3" max="3" width="19.28515625" style="177" customWidth="1"/>
    <col min="4" max="4" width="17.7109375" style="177" customWidth="1"/>
    <col min="5" max="5" width="17.7109375" style="77" customWidth="1"/>
    <col min="6" max="6" width="17" style="177" customWidth="1"/>
    <col min="7" max="7" width="15.5703125" style="177" customWidth="1"/>
    <col min="8" max="8" width="18.28515625" style="177" customWidth="1"/>
    <col min="9" max="9" width="15.28515625" style="177" customWidth="1"/>
    <col min="10" max="10" width="18.7109375" style="177" customWidth="1"/>
    <col min="11" max="11" width="10.5703125" style="177" bestFit="1" customWidth="1"/>
    <col min="12" max="16384" width="9.140625" style="177"/>
  </cols>
  <sheetData>
    <row r="1" spans="1:12" x14ac:dyDescent="0.25">
      <c r="A1" s="1" t="s">
        <v>838</v>
      </c>
      <c r="J1" s="965"/>
    </row>
    <row r="2" spans="1:12" ht="14.1" customHeight="1" x14ac:dyDescent="0.25">
      <c r="A2" s="930" t="s">
        <v>992</v>
      </c>
      <c r="B2" s="31"/>
      <c r="D2" s="1" t="s">
        <v>97</v>
      </c>
      <c r="E2" s="1029">
        <f>Assumptions!B9</f>
        <v>0.33333333333333337</v>
      </c>
      <c r="F2" s="1030" t="s">
        <v>97</v>
      </c>
      <c r="G2" s="1029">
        <f>Assumptions!B10</f>
        <v>0.33333333333333337</v>
      </c>
      <c r="H2" s="1030" t="s">
        <v>97</v>
      </c>
      <c r="I2" s="1029">
        <f>Assumptions!B11</f>
        <v>0.33333333333333337</v>
      </c>
      <c r="J2" s="1031" t="s">
        <v>1011</v>
      </c>
    </row>
    <row r="3" spans="1:12" x14ac:dyDescent="0.25">
      <c r="A3" s="199"/>
      <c r="D3" s="1"/>
      <c r="E3" s="1029"/>
      <c r="F3" s="1030"/>
      <c r="G3" s="1029"/>
      <c r="H3" s="1030"/>
      <c r="I3" s="1029"/>
      <c r="J3" s="1034"/>
    </row>
    <row r="4" spans="1:12" s="3" customFormat="1" x14ac:dyDescent="0.25">
      <c r="B4" s="35" t="s">
        <v>1001</v>
      </c>
      <c r="C4" s="35"/>
      <c r="D4" s="35" t="s">
        <v>1002</v>
      </c>
      <c r="E4" s="1035" t="s">
        <v>1003</v>
      </c>
      <c r="F4" s="35" t="s">
        <v>70</v>
      </c>
      <c r="G4" s="35" t="s">
        <v>1004</v>
      </c>
      <c r="H4" s="35" t="s">
        <v>1005</v>
      </c>
      <c r="I4" s="35" t="s">
        <v>1006</v>
      </c>
      <c r="J4" s="1057" t="s">
        <v>98</v>
      </c>
      <c r="K4" s="35" t="s">
        <v>118</v>
      </c>
      <c r="L4" s="35" t="s">
        <v>1012</v>
      </c>
    </row>
    <row r="5" spans="1:12" x14ac:dyDescent="0.25">
      <c r="A5" s="177">
        <v>1</v>
      </c>
      <c r="B5" s="177" t="str">
        <f>'RU Working Paper'!B5</f>
        <v>Atlantic</v>
      </c>
      <c r="C5" s="633"/>
      <c r="D5" s="73">
        <f>'RU Working Paper'!C5*1000</f>
        <v>32992000</v>
      </c>
      <c r="E5" s="77">
        <f t="shared" ref="E5:E12" si="0">D5/$D$14</f>
        <v>0.16525994680344827</v>
      </c>
      <c r="F5" s="81">
        <f>IF(Assumptions!$B$14="Gross",'RU Working Paper'!G5*1000,'RU Working Paper'!I5*1000)</f>
        <v>212348813.93000004</v>
      </c>
      <c r="G5" s="77">
        <f t="shared" ref="G5:G12" si="1">F5/$F$14</f>
        <v>0.15835432454773513</v>
      </c>
      <c r="H5" s="73">
        <f>'RU Working Paper'!M5</f>
        <v>89</v>
      </c>
      <c r="I5" s="77">
        <f t="shared" ref="I5:I12" si="2">H5/$H$14</f>
        <v>0.1586452762923351</v>
      </c>
      <c r="J5" s="1036">
        <f>(E5*$E$2)+(G5*$G$2)+(I5*$I$2)</f>
        <v>0.16075318254783952</v>
      </c>
      <c r="K5" s="44">
        <f>J5-'RU Working Paper'!T5</f>
        <v>5.2784774849656824E-6</v>
      </c>
      <c r="L5" s="44">
        <f>'RU Working Paper'!R21</f>
        <v>0.18958901900077488</v>
      </c>
    </row>
    <row r="6" spans="1:12" x14ac:dyDescent="0.25">
      <c r="A6" s="177">
        <f>A5+1</f>
        <v>2</v>
      </c>
      <c r="B6" s="177" t="str">
        <f>'RU Working Paper'!B6</f>
        <v>Midwest</v>
      </c>
      <c r="C6" s="633"/>
      <c r="D6" s="73">
        <f>'RU Working Paper'!C6*1000</f>
        <v>28422000</v>
      </c>
      <c r="E6" s="77">
        <f t="shared" si="0"/>
        <v>0.14236839864353801</v>
      </c>
      <c r="F6" s="81">
        <f>IF(Assumptions!$B$14="Gross",'RU Working Paper'!G6*1000,'RU Working Paper'!I6*1000)</f>
        <v>197070535.54999998</v>
      </c>
      <c r="G6" s="77">
        <f t="shared" si="1"/>
        <v>0.14696089404844959</v>
      </c>
      <c r="H6" s="73">
        <f>'RU Working Paper'!M6</f>
        <v>84</v>
      </c>
      <c r="I6" s="77">
        <f t="shared" si="2"/>
        <v>0.1497326203208556</v>
      </c>
      <c r="J6" s="1036">
        <f t="shared" ref="J6:J12" si="3">(E6*$E$2)+(G6*$G$2)+(I6*$I$2)</f>
        <v>0.1463539710042811</v>
      </c>
      <c r="K6" s="44">
        <f>J6-'RU Working Paper'!T6</f>
        <v>4.8986964683306322E-6</v>
      </c>
      <c r="L6" s="44">
        <f>'RU Working Paper'!R22</f>
        <v>0.17623900073803875</v>
      </c>
    </row>
    <row r="7" spans="1:12" x14ac:dyDescent="0.25">
      <c r="A7" s="177">
        <f t="shared" ref="A7:A12" si="4">A6+1</f>
        <v>3</v>
      </c>
      <c r="B7" s="177" t="str">
        <f>'RU Working Paper'!B7</f>
        <v>South Carolina</v>
      </c>
      <c r="C7" s="633"/>
      <c r="D7" s="73">
        <f>'RU Working Paper'!C7*1000</f>
        <v>21732000</v>
      </c>
      <c r="E7" s="77">
        <f t="shared" si="0"/>
        <v>0.10885757650134995</v>
      </c>
      <c r="F7" s="81">
        <f>IF(Assumptions!$B$14="Gross",'RU Working Paper'!G7*1000,'RU Working Paper'!I7*1000)</f>
        <v>100086268.64000002</v>
      </c>
      <c r="G7" s="77">
        <f t="shared" si="1"/>
        <v>7.4637070834852687E-2</v>
      </c>
      <c r="H7" s="73">
        <f>'RU Working Paper'!M7</f>
        <v>49</v>
      </c>
      <c r="I7" s="77">
        <f t="shared" si="2"/>
        <v>8.7344028520499106E-2</v>
      </c>
      <c r="J7" s="1036">
        <f>(E7*$E$2)+(G7*$G$2)+(I7*$I$2)</f>
        <v>9.0279558618900593E-2</v>
      </c>
      <c r="K7" s="44">
        <f>J7-'RU Working Paper'!T7</f>
        <v>2.4879023611951157E-6</v>
      </c>
      <c r="L7" s="44">
        <f>'RU Working Paper'!R23</f>
        <v>9.954605012071141E-2</v>
      </c>
    </row>
    <row r="8" spans="1:12" x14ac:dyDescent="0.25">
      <c r="A8" s="177">
        <f t="shared" si="4"/>
        <v>4</v>
      </c>
      <c r="B8" s="177" t="str">
        <f>'RU Working Paper'!B8</f>
        <v>Florida</v>
      </c>
      <c r="C8" s="633"/>
      <c r="D8" s="73">
        <f>'RU Working Paper'!C8*1000</f>
        <v>35682000</v>
      </c>
      <c r="E8" s="77">
        <f t="shared" si="0"/>
        <v>0.17873440294133852</v>
      </c>
      <c r="F8" s="81">
        <f>IF(Assumptions!$B$14="Gross",'RU Working Paper'!G8*1000,'RU Working Paper'!I8*1000)</f>
        <v>227846444.91000003</v>
      </c>
      <c r="G8" s="77">
        <f t="shared" si="1"/>
        <v>0.16991133228660077</v>
      </c>
      <c r="H8" s="73">
        <f>'RU Working Paper'!M8</f>
        <v>84</v>
      </c>
      <c r="I8" s="77">
        <f t="shared" si="2"/>
        <v>0.1497326203208556</v>
      </c>
      <c r="J8" s="1036">
        <f t="shared" si="3"/>
        <v>0.16612611851626496</v>
      </c>
      <c r="K8" s="44">
        <f>J8-'RU Working Paper'!T8</f>
        <v>5.6637110762147724E-6</v>
      </c>
      <c r="L8" s="44">
        <f>'RU Working Paper'!R24</f>
        <v>0.22308145481474492</v>
      </c>
    </row>
    <row r="9" spans="1:12" x14ac:dyDescent="0.25">
      <c r="A9" s="177">
        <f t="shared" si="4"/>
        <v>5</v>
      </c>
      <c r="B9" s="177" t="str">
        <f>'RU Working Paper'!B9</f>
        <v>South</v>
      </c>
      <c r="C9" s="633"/>
      <c r="D9" s="73">
        <f>'RU Working Paper'!C9*1000</f>
        <v>25851000</v>
      </c>
      <c r="E9" s="77">
        <f t="shared" si="0"/>
        <v>0.12949002439427562</v>
      </c>
      <c r="F9" s="81">
        <f>IF(Assumptions!$B$14="Gross",'RU Working Paper'!G9*1000,'RU Working Paper'!I9*1000)</f>
        <v>155125467.80999997</v>
      </c>
      <c r="G9" s="77">
        <f t="shared" si="1"/>
        <v>0.11568130860058234</v>
      </c>
      <c r="H9" s="73">
        <f>'RU Working Paper'!M9</f>
        <v>81</v>
      </c>
      <c r="I9" s="77">
        <f t="shared" si="2"/>
        <v>0.14438502673796791</v>
      </c>
      <c r="J9" s="1036">
        <f t="shared" si="3"/>
        <v>0.12985211991094198</v>
      </c>
      <c r="K9" s="44">
        <f>J9-'RU Working Paper'!T9</f>
        <v>3.8560436200485437E-6</v>
      </c>
      <c r="L9" s="44">
        <f>'RU Working Paper'!R25</f>
        <v>0.16703511715842201</v>
      </c>
    </row>
    <row r="10" spans="1:12" x14ac:dyDescent="0.25">
      <c r="A10" s="177">
        <f t="shared" si="4"/>
        <v>6</v>
      </c>
      <c r="B10" s="177" t="str">
        <f>'RU Working Paper'!B10</f>
        <v>West</v>
      </c>
      <c r="C10" s="633"/>
      <c r="D10" s="73">
        <f>'RU Working Paper'!C10*1000</f>
        <v>17549000</v>
      </c>
      <c r="E10" s="77">
        <f t="shared" si="0"/>
        <v>8.7904546752355525E-2</v>
      </c>
      <c r="F10" s="81">
        <f>IF(Assumptions!$B$14="Gross",'RU Working Paper'!G10*1000,'RU Working Paper'!I10*1000)</f>
        <v>144441658.12</v>
      </c>
      <c r="G10" s="77">
        <f t="shared" si="1"/>
        <v>0.10771409919759413</v>
      </c>
      <c r="H10" s="73">
        <f>'RU Working Paper'!M10</f>
        <v>49</v>
      </c>
      <c r="I10" s="77">
        <f t="shared" si="2"/>
        <v>8.7344028520499106E-2</v>
      </c>
      <c r="J10" s="1036">
        <f t="shared" si="3"/>
        <v>9.4320891490149592E-2</v>
      </c>
      <c r="K10" s="44">
        <f>J10-'RU Working Paper'!T10</f>
        <v>3.5904699732663969E-6</v>
      </c>
      <c r="L10" s="44">
        <f>'RU Working Paper'!R26</f>
        <v>0.10970223959873179</v>
      </c>
    </row>
    <row r="11" spans="1:12" x14ac:dyDescent="0.25">
      <c r="A11" s="177">
        <f t="shared" si="4"/>
        <v>7</v>
      </c>
      <c r="B11" s="177" t="str">
        <f>'RU Working Paper'!B11</f>
        <v>Texas</v>
      </c>
      <c r="C11" s="633"/>
      <c r="D11" s="73">
        <f>'RU Working Paper'!C11*1000</f>
        <v>9446000</v>
      </c>
      <c r="E11" s="77">
        <f t="shared" si="0"/>
        <v>4.7315878319149254E-2</v>
      </c>
      <c r="F11" s="81">
        <f>IF(Assumptions!$B$14="Gross",'RU Working Paper'!G11*1000,'RU Working Paper'!I11*1000)</f>
        <v>57198433.899999999</v>
      </c>
      <c r="G11" s="77">
        <f t="shared" si="1"/>
        <v>4.2654438222615096E-2</v>
      </c>
      <c r="H11" s="73">
        <f>'RU Working Paper'!M11</f>
        <v>39</v>
      </c>
      <c r="I11" s="77">
        <f t="shared" si="2"/>
        <v>6.9518716577540107E-2</v>
      </c>
      <c r="J11" s="1036">
        <f t="shared" si="3"/>
        <v>5.3163011039768157E-2</v>
      </c>
      <c r="K11" s="44">
        <f>J11-'RU Working Paper'!T11</f>
        <v>1.4218146074315707E-6</v>
      </c>
      <c r="L11" s="44">
        <f>'RU Working Paper'!R27</f>
        <v>3.4807118568576281E-2</v>
      </c>
    </row>
    <row r="12" spans="1:12" x14ac:dyDescent="0.25">
      <c r="A12" s="177">
        <f t="shared" si="4"/>
        <v>8</v>
      </c>
      <c r="B12" s="177" t="str">
        <f>'RU Working Paper'!B12</f>
        <v>Alaska</v>
      </c>
      <c r="C12" s="633"/>
      <c r="D12" s="73">
        <f>'RU Working Paper'!C12*1000</f>
        <v>27963000</v>
      </c>
      <c r="E12" s="77">
        <f t="shared" si="0"/>
        <v>0.14006922564454485</v>
      </c>
      <c r="F12" s="81">
        <f>IF(Assumptions!$B$14="Gross",'RU Working Paper'!G12*1000,'RU Working Paper'!I12*1000)</f>
        <v>246855000</v>
      </c>
      <c r="G12" s="77">
        <f t="shared" si="1"/>
        <v>0.18408653226157037</v>
      </c>
      <c r="H12" s="73">
        <f>'RU Working Paper'!M12</f>
        <v>86</v>
      </c>
      <c r="I12" s="77">
        <f t="shared" si="2"/>
        <v>0.15329768270944741</v>
      </c>
      <c r="J12" s="1036">
        <f t="shared" si="3"/>
        <v>0.15915114687185422</v>
      </c>
      <c r="K12" s="44">
        <f>J12-'RU Working Paper'!T12</f>
        <v>6.1362177420642983E-6</v>
      </c>
      <c r="L12" s="44"/>
    </row>
    <row r="13" spans="1:12" x14ac:dyDescent="0.25">
      <c r="F13" s="69"/>
      <c r="J13" s="965"/>
    </row>
    <row r="14" spans="1:12" s="1040" customFormat="1" x14ac:dyDescent="0.25">
      <c r="B14" s="1040" t="s">
        <v>1013</v>
      </c>
      <c r="D14" s="1041">
        <f t="shared" ref="D14:L14" si="5">SUM(D5:D12)</f>
        <v>199637000</v>
      </c>
      <c r="E14" s="1042">
        <f t="shared" si="5"/>
        <v>1</v>
      </c>
      <c r="F14" s="1041">
        <f t="shared" si="5"/>
        <v>1340972622.8599999</v>
      </c>
      <c r="G14" s="1042">
        <f t="shared" si="5"/>
        <v>1.0000000000000002</v>
      </c>
      <c r="H14" s="1041">
        <f t="shared" si="5"/>
        <v>561</v>
      </c>
      <c r="I14" s="1042">
        <f t="shared" si="5"/>
        <v>1</v>
      </c>
      <c r="J14" s="1043">
        <f t="shared" si="5"/>
        <v>1</v>
      </c>
      <c r="L14" s="1042">
        <f t="shared" si="5"/>
        <v>1</v>
      </c>
    </row>
    <row r="15" spans="1:12" x14ac:dyDescent="0.25">
      <c r="B15" s="177" t="s">
        <v>96</v>
      </c>
      <c r="D15" s="76"/>
      <c r="F15" s="76"/>
      <c r="H15" s="76"/>
    </row>
    <row r="16" spans="1:12" x14ac:dyDescent="0.25">
      <c r="C16" s="1" t="s">
        <v>1014</v>
      </c>
    </row>
    <row r="17" spans="2:11" x14ac:dyDescent="0.25">
      <c r="C17" s="177" t="s">
        <v>122</v>
      </c>
      <c r="D17" s="177" t="s">
        <v>123</v>
      </c>
      <c r="E17" s="77" t="s">
        <v>1015</v>
      </c>
      <c r="F17" s="177" t="s">
        <v>124</v>
      </c>
      <c r="G17" s="177" t="s">
        <v>125</v>
      </c>
      <c r="H17" s="177" t="s">
        <v>126</v>
      </c>
      <c r="I17" s="177" t="s">
        <v>127</v>
      </c>
      <c r="J17" s="177" t="s">
        <v>1</v>
      </c>
      <c r="K17" s="177" t="s">
        <v>3</v>
      </c>
    </row>
    <row r="18" spans="2:11" x14ac:dyDescent="0.25">
      <c r="B18" s="628" t="s">
        <v>1016</v>
      </c>
      <c r="C18" s="73">
        <f>'Cost Allocation - Tier 2'!BD62</f>
        <v>1257086.5034834347</v>
      </c>
      <c r="D18" s="73">
        <f>'Cost Allocation - Tier 2'!BE62</f>
        <v>1168568.0446201903</v>
      </c>
      <c r="E18" s="73">
        <f>'Cost Allocation - Tier 2'!BF62</f>
        <v>660048.75567883183</v>
      </c>
      <c r="F18" s="73">
        <f>'Cost Allocation - Tier 2'!BG62</f>
        <v>1479161.0163029504</v>
      </c>
      <c r="G18" s="73">
        <f>'Cost Allocation - Tier 2'!BH62</f>
        <v>1107540.892897222</v>
      </c>
      <c r="H18" s="73">
        <f>'Cost Allocation - Tier 2'!BI62</f>
        <v>727390.25460598059</v>
      </c>
      <c r="I18" s="73">
        <f>'Cost Allocation - Tier 2'!BJ62</f>
        <v>230791.63133138037</v>
      </c>
      <c r="J18" s="73">
        <f>'Cost Allocation - Tier 2'!BK62</f>
        <v>1149027.7030487694</v>
      </c>
      <c r="K18" s="76">
        <f>SUM(C18:J18)</f>
        <v>7779614.8019687599</v>
      </c>
    </row>
    <row r="19" spans="2:11" x14ac:dyDescent="0.25">
      <c r="B19" s="628" t="s">
        <v>945</v>
      </c>
      <c r="C19" s="78">
        <f>'Cost Allocation - Tier 1'!BD62</f>
        <v>1267458.8286903251</v>
      </c>
      <c r="D19" s="78">
        <f>'Cost Allocation - Tier 1'!BE62</f>
        <v>1155923.020715947</v>
      </c>
      <c r="E19" s="78">
        <f>'Cost Allocation - Tier 1'!BF62</f>
        <v>707729.19513366243</v>
      </c>
      <c r="F19" s="78">
        <f>'Cost Allocation - Tier 1'!BG62</f>
        <v>1307987.1182438065</v>
      </c>
      <c r="G19" s="78">
        <f>'Cost Allocation - Tier 1'!BH62</f>
        <v>1024615.6956282982</v>
      </c>
      <c r="H19" s="78">
        <f>'Cost Allocation - Tier 1'!BI62</f>
        <v>746071.36260111793</v>
      </c>
      <c r="I19" s="78">
        <f>'Cost Allocation - Tier 1'!BJ62</f>
        <v>420801.87790683174</v>
      </c>
      <c r="J19" s="78">
        <f>'Cost Allocation - Tier 1'!BK62</f>
        <v>1149027.7030487694</v>
      </c>
      <c r="K19" s="76">
        <f>SUM(C19:J19)</f>
        <v>7779614.8019687589</v>
      </c>
    </row>
    <row r="20" spans="2:11" x14ac:dyDescent="0.25">
      <c r="B20" s="628" t="s">
        <v>1017</v>
      </c>
      <c r="C20" s="76">
        <f>C18-C19</f>
        <v>-10372.325206890469</v>
      </c>
      <c r="D20" s="76">
        <f t="shared" ref="D20:J20" si="6">D18-D19</f>
        <v>12645.023904243251</v>
      </c>
      <c r="E20" s="76">
        <f t="shared" si="6"/>
        <v>-47680.439454830601</v>
      </c>
      <c r="F20" s="76">
        <f t="shared" si="6"/>
        <v>171173.89805914392</v>
      </c>
      <c r="G20" s="76">
        <f t="shared" si="6"/>
        <v>82925.197268923745</v>
      </c>
      <c r="H20" s="76">
        <f t="shared" si="6"/>
        <v>-18681.107995137339</v>
      </c>
      <c r="I20" s="76">
        <f t="shared" si="6"/>
        <v>-190010.24657545137</v>
      </c>
      <c r="J20" s="76">
        <f t="shared" si="6"/>
        <v>0</v>
      </c>
      <c r="K20" s="76">
        <f>SUM(C20:J20)</f>
        <v>1.1350493878126144E-9</v>
      </c>
    </row>
    <row r="22" spans="2:11" x14ac:dyDescent="0.25">
      <c r="B22" s="628" t="s">
        <v>839</v>
      </c>
      <c r="C22" s="45">
        <f>C20/C19</f>
        <v>-8.1835598696395305E-3</v>
      </c>
      <c r="D22" s="45">
        <f t="shared" ref="D22:J22" si="7">D20/D19</f>
        <v>1.0939330455077598E-2</v>
      </c>
      <c r="E22" s="45">
        <f t="shared" si="7"/>
        <v>-6.7371022394837943E-2</v>
      </c>
      <c r="F22" s="45">
        <f t="shared" si="7"/>
        <v>0.13086818338774908</v>
      </c>
      <c r="G22" s="45">
        <f t="shared" si="7"/>
        <v>8.0932975771051116E-2</v>
      </c>
      <c r="H22" s="45">
        <f t="shared" si="7"/>
        <v>-2.5039304457427712E-2</v>
      </c>
      <c r="I22" s="45">
        <f t="shared" si="7"/>
        <v>-0.45154324766944332</v>
      </c>
      <c r="J22" s="45">
        <f t="shared" si="7"/>
        <v>0</v>
      </c>
    </row>
  </sheetData>
  <pageMargins left="0.7" right="0.7" top="0.75" bottom="0.75" header="0.3" footer="0.3"/>
  <pageSetup scale="61" orientation="landscape"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Y29"/>
  <sheetViews>
    <sheetView workbookViewId="0">
      <pane xSplit="2" ySplit="4" topLeftCell="I5" activePane="bottomRight" state="frozen"/>
      <selection activeCell="O29" sqref="O29"/>
      <selection pane="topRight" activeCell="O29" sqref="O29"/>
      <selection pane="bottomLeft" activeCell="O29" sqref="O29"/>
      <selection pane="bottomRight" activeCell="O29" sqref="O29"/>
    </sheetView>
  </sheetViews>
  <sheetFormatPr defaultRowHeight="15" x14ac:dyDescent="0.25"/>
  <cols>
    <col min="1" max="1" width="9.140625" style="177"/>
    <col min="2" max="2" width="13.28515625" style="177" bestFit="1" customWidth="1"/>
    <col min="3" max="3" width="14.5703125" style="177" customWidth="1"/>
    <col min="4" max="4" width="14.5703125" style="77" customWidth="1"/>
    <col min="5" max="5" width="14.5703125" style="177" customWidth="1"/>
    <col min="6" max="6" width="17.5703125" style="177" customWidth="1"/>
    <col min="7" max="20" width="14.5703125" style="177" customWidth="1"/>
    <col min="21" max="21" width="9.140625" style="177"/>
    <col min="22" max="22" width="12.28515625" style="177" customWidth="1"/>
    <col min="23" max="23" width="9.140625" style="177"/>
    <col min="24" max="24" width="20.28515625" style="177" bestFit="1" customWidth="1"/>
    <col min="25" max="16384" width="9.140625" style="177"/>
  </cols>
  <sheetData>
    <row r="1" spans="1:25" x14ac:dyDescent="0.25">
      <c r="T1" s="965"/>
    </row>
    <row r="2" spans="1:25" x14ac:dyDescent="0.25">
      <c r="C2" s="3" t="s">
        <v>1018</v>
      </c>
      <c r="E2" s="3" t="s">
        <v>1019</v>
      </c>
      <c r="G2" s="1058">
        <v>43312</v>
      </c>
      <c r="I2" s="1058">
        <v>43312</v>
      </c>
      <c r="K2" s="1058">
        <v>43312</v>
      </c>
      <c r="M2" s="1058">
        <v>43830</v>
      </c>
      <c r="O2" s="1058">
        <v>43830</v>
      </c>
      <c r="Q2" s="1058">
        <v>43343</v>
      </c>
      <c r="T2" s="965"/>
    </row>
    <row r="3" spans="1:25" x14ac:dyDescent="0.25">
      <c r="C3" s="35" t="s">
        <v>97</v>
      </c>
      <c r="D3" s="1059">
        <f>1/3</f>
        <v>0.33333333333333331</v>
      </c>
      <c r="E3" s="35" t="s">
        <v>97</v>
      </c>
      <c r="F3" s="1059"/>
      <c r="G3" s="35" t="s">
        <v>97</v>
      </c>
      <c r="H3" s="1059">
        <v>0.33329999999999999</v>
      </c>
      <c r="I3" s="35" t="s">
        <v>97</v>
      </c>
      <c r="J3" s="1059"/>
      <c r="K3" s="35" t="s">
        <v>97</v>
      </c>
      <c r="L3" s="1059"/>
      <c r="M3" s="35" t="s">
        <v>97</v>
      </c>
      <c r="N3" s="1059">
        <f>1/3</f>
        <v>0.33333333333333331</v>
      </c>
      <c r="O3" s="35" t="s">
        <v>97</v>
      </c>
      <c r="P3" s="1059"/>
      <c r="Q3" s="35" t="s">
        <v>97</v>
      </c>
      <c r="R3" s="1059"/>
      <c r="S3" s="1059"/>
      <c r="T3" s="1057" t="s">
        <v>1020</v>
      </c>
    </row>
    <row r="4" spans="1:25" ht="15.75" thickBot="1" x14ac:dyDescent="0.3">
      <c r="B4" s="1" t="s">
        <v>66</v>
      </c>
      <c r="C4" s="35" t="s">
        <v>63</v>
      </c>
      <c r="D4" s="1035" t="s">
        <v>1003</v>
      </c>
      <c r="E4" s="35" t="s">
        <v>1021</v>
      </c>
      <c r="F4" s="35" t="s">
        <v>1022</v>
      </c>
      <c r="G4" s="35" t="s">
        <v>120</v>
      </c>
      <c r="H4" s="35" t="s">
        <v>1023</v>
      </c>
      <c r="I4" s="35" t="s">
        <v>1024</v>
      </c>
      <c r="J4" s="35" t="s">
        <v>1025</v>
      </c>
      <c r="K4" s="35" t="s">
        <v>1026</v>
      </c>
      <c r="L4" s="35" t="s">
        <v>1027</v>
      </c>
      <c r="M4" s="35" t="s">
        <v>69</v>
      </c>
      <c r="N4" s="35" t="s">
        <v>1006</v>
      </c>
      <c r="O4" s="35" t="s">
        <v>1028</v>
      </c>
      <c r="P4" s="35" t="s">
        <v>1029</v>
      </c>
      <c r="Q4" s="35" t="s">
        <v>121</v>
      </c>
      <c r="R4" s="35" t="s">
        <v>1012</v>
      </c>
      <c r="S4" s="1035" t="s">
        <v>1030</v>
      </c>
      <c r="T4" s="1057" t="s">
        <v>98</v>
      </c>
      <c r="U4" s="35"/>
      <c r="V4" s="35"/>
    </row>
    <row r="5" spans="1:25" x14ac:dyDescent="0.25">
      <c r="A5" s="177">
        <v>1</v>
      </c>
      <c r="B5" s="177" t="s">
        <v>122</v>
      </c>
      <c r="C5" s="817">
        <v>32992</v>
      </c>
      <c r="D5" s="1060">
        <f>C5/$C$14</f>
        <v>0.16525994680344827</v>
      </c>
      <c r="E5" s="817">
        <v>12205.674359999997</v>
      </c>
      <c r="F5" s="1060">
        <f>E5/$E$14</f>
        <v>0.19069143821177292</v>
      </c>
      <c r="G5" s="817">
        <v>212348.81393000003</v>
      </c>
      <c r="H5" s="1060">
        <f>G5/$G$14</f>
        <v>0.1583543245477351</v>
      </c>
      <c r="I5" s="817">
        <v>158071.93915000002</v>
      </c>
      <c r="J5" s="1060">
        <f>I5/$I$14</f>
        <v>0.18237489806788235</v>
      </c>
      <c r="K5" s="817">
        <v>112995.18999500001</v>
      </c>
      <c r="L5" s="1060">
        <f>K5/$K$14</f>
        <v>0.18764439433145405</v>
      </c>
      <c r="M5" s="817">
        <v>89</v>
      </c>
      <c r="N5" s="1060">
        <f>M5/$M$14</f>
        <v>0.1586452762923351</v>
      </c>
      <c r="O5" s="817">
        <v>5717.5080200000002</v>
      </c>
      <c r="P5" s="1060">
        <f>O5/$O$14</f>
        <v>0.15422341831842915</v>
      </c>
      <c r="Q5" s="817">
        <v>56655.37</v>
      </c>
      <c r="R5" s="1060">
        <f>Q5/$Q$14</f>
        <v>0.18958901900077488</v>
      </c>
      <c r="S5" s="1060">
        <f>N5</f>
        <v>0.1586452762923351</v>
      </c>
      <c r="T5" s="1061">
        <f>(D5*$D$3)+(F5*$F$3)+(H5*$H$3)+(J5*$J$3)+(L5*$L$3)+(N5*$N$3)+(P5*$P$3)+(R5*$R$3)</f>
        <v>0.16074790407035455</v>
      </c>
      <c r="U5" s="44"/>
      <c r="V5" s="44"/>
      <c r="Y5" s="44"/>
    </row>
    <row r="6" spans="1:25" x14ac:dyDescent="0.25">
      <c r="A6" s="177">
        <f>A5+1</f>
        <v>2</v>
      </c>
      <c r="B6" s="177" t="s">
        <v>123</v>
      </c>
      <c r="C6" s="817">
        <v>28422</v>
      </c>
      <c r="D6" s="1060">
        <f t="shared" ref="D6:D12" si="0">C6/$C$14</f>
        <v>0.14236839864353801</v>
      </c>
      <c r="E6" s="817">
        <v>7925.387999999999</v>
      </c>
      <c r="F6" s="1060">
        <f t="shared" ref="F6:F12" si="1">E6/$E$14</f>
        <v>0.12381975723185908</v>
      </c>
      <c r="G6" s="817">
        <v>197070.53554999997</v>
      </c>
      <c r="H6" s="1060">
        <f t="shared" ref="H6:H12" si="2">G6/$G$14</f>
        <v>0.14696089404844956</v>
      </c>
      <c r="I6" s="817">
        <v>127767.87941999998</v>
      </c>
      <c r="J6" s="1060">
        <f t="shared" ref="J6:J12" si="3">I6/$I$14</f>
        <v>0.14741170451170477</v>
      </c>
      <c r="K6" s="817">
        <v>91599.943207499979</v>
      </c>
      <c r="L6" s="1060">
        <f t="shared" ref="L6:L12" si="4">K6/$K$14</f>
        <v>0.15211457996333733</v>
      </c>
      <c r="M6" s="817">
        <v>84</v>
      </c>
      <c r="N6" s="1060">
        <f t="shared" ref="N6:N12" si="5">M6/$M$14</f>
        <v>0.1497326203208556</v>
      </c>
      <c r="O6" s="817">
        <v>5659.732</v>
      </c>
      <c r="P6" s="1060">
        <f t="shared" ref="P6:P12" si="6">O6/$O$14</f>
        <v>0.15266497445266367</v>
      </c>
      <c r="Q6" s="817">
        <v>52665.95</v>
      </c>
      <c r="R6" s="1060">
        <f t="shared" ref="R6:R11" si="7">Q6/$Q$14</f>
        <v>0.17623900073803875</v>
      </c>
      <c r="S6" s="1060">
        <f t="shared" ref="S6:S12" si="8">N6</f>
        <v>0.1497326203208556</v>
      </c>
      <c r="T6" s="1062">
        <f t="shared" ref="T6:T12" si="9">(D6*$D$3)+(F6*$F$3)+(H6*$H$3)+(J6*$J$3)+(L6*$L$3)+(N6*$N$3)+(P6*$P$3)+(R6*$R$3)</f>
        <v>0.14634907230781277</v>
      </c>
      <c r="U6" s="44"/>
      <c r="V6" s="44"/>
      <c r="Y6" s="44"/>
    </row>
    <row r="7" spans="1:25" x14ac:dyDescent="0.25">
      <c r="A7" s="177">
        <f t="shared" ref="A7:A12" si="10">A6+1</f>
        <v>3</v>
      </c>
      <c r="B7" s="177" t="s">
        <v>1015</v>
      </c>
      <c r="C7" s="817">
        <v>21732</v>
      </c>
      <c r="D7" s="1060">
        <f t="shared" si="0"/>
        <v>0.10885757650134995</v>
      </c>
      <c r="E7" s="817">
        <v>12397.114708092584</v>
      </c>
      <c r="F7" s="1060">
        <f t="shared" si="1"/>
        <v>0.19368234508285695</v>
      </c>
      <c r="G7" s="817">
        <v>100086.26864000001</v>
      </c>
      <c r="H7" s="1060">
        <f t="shared" si="2"/>
        <v>7.4637070834852687E-2</v>
      </c>
      <c r="I7" s="817">
        <v>84948.163840000023</v>
      </c>
      <c r="J7" s="1060">
        <f t="shared" si="3"/>
        <v>9.8008620661460211E-2</v>
      </c>
      <c r="K7" s="817">
        <v>62156.874321250012</v>
      </c>
      <c r="L7" s="1060">
        <f t="shared" si="4"/>
        <v>0.10322022588805212</v>
      </c>
      <c r="M7" s="817">
        <v>49</v>
      </c>
      <c r="N7" s="1060">
        <f t="shared" si="5"/>
        <v>8.7344028520499106E-2</v>
      </c>
      <c r="O7" s="817">
        <v>3136.683062485055</v>
      </c>
      <c r="P7" s="1060">
        <f t="shared" si="6"/>
        <v>8.460853616397096E-2</v>
      </c>
      <c r="Q7" s="817">
        <v>29747.599999999999</v>
      </c>
      <c r="R7" s="1060">
        <f t="shared" si="7"/>
        <v>9.954605012071141E-2</v>
      </c>
      <c r="S7" s="1060">
        <f t="shared" si="8"/>
        <v>8.7344028520499106E-2</v>
      </c>
      <c r="T7" s="1062">
        <f t="shared" si="9"/>
        <v>9.0277070716539398E-2</v>
      </c>
      <c r="U7" s="44"/>
      <c r="V7" s="44"/>
      <c r="Y7" s="44"/>
    </row>
    <row r="8" spans="1:25" x14ac:dyDescent="0.25">
      <c r="A8" s="177">
        <f t="shared" si="10"/>
        <v>4</v>
      </c>
      <c r="B8" s="177" t="s">
        <v>124</v>
      </c>
      <c r="C8" s="817">
        <v>35682</v>
      </c>
      <c r="D8" s="1060">
        <f t="shared" si="0"/>
        <v>0.17873440294133852</v>
      </c>
      <c r="E8" s="817">
        <v>8569.9430000000011</v>
      </c>
      <c r="F8" s="1060">
        <f t="shared" si="1"/>
        <v>0.13388975552375104</v>
      </c>
      <c r="G8" s="817">
        <v>227846.44491000002</v>
      </c>
      <c r="H8" s="1060">
        <f t="shared" si="2"/>
        <v>0.16991133228660077</v>
      </c>
      <c r="I8" s="817">
        <v>124424.42930000003</v>
      </c>
      <c r="J8" s="1060">
        <f t="shared" si="3"/>
        <v>0.14355421166313906</v>
      </c>
      <c r="K8" s="817">
        <v>105315.06750624999</v>
      </c>
      <c r="L8" s="1060">
        <f t="shared" si="4"/>
        <v>0.17489047150645021</v>
      </c>
      <c r="M8" s="817">
        <v>84</v>
      </c>
      <c r="N8" s="1060">
        <f t="shared" si="5"/>
        <v>0.1497326203208556</v>
      </c>
      <c r="O8" s="817">
        <v>5085.3999999999996</v>
      </c>
      <c r="P8" s="1060">
        <f t="shared" si="6"/>
        <v>0.13717300767626023</v>
      </c>
      <c r="Q8" s="817">
        <v>66664</v>
      </c>
      <c r="R8" s="1060">
        <f t="shared" si="7"/>
        <v>0.22308145481474492</v>
      </c>
      <c r="S8" s="1060">
        <f t="shared" si="8"/>
        <v>0.1497326203208556</v>
      </c>
      <c r="T8" s="1062">
        <f t="shared" si="9"/>
        <v>0.16612045480518875</v>
      </c>
      <c r="U8" s="44"/>
      <c r="V8" s="44"/>
      <c r="Y8" s="44"/>
    </row>
    <row r="9" spans="1:25" x14ac:dyDescent="0.25">
      <c r="A9" s="177">
        <f t="shared" si="10"/>
        <v>5</v>
      </c>
      <c r="B9" s="177" t="s">
        <v>125</v>
      </c>
      <c r="C9" s="817">
        <v>25851</v>
      </c>
      <c r="D9" s="1060">
        <f t="shared" si="0"/>
        <v>0.12949002439427562</v>
      </c>
      <c r="E9" s="817">
        <v>6603.4043579070994</v>
      </c>
      <c r="F9" s="1060">
        <f t="shared" si="1"/>
        <v>0.10316616984554666</v>
      </c>
      <c r="G9" s="817">
        <v>155125.46780999997</v>
      </c>
      <c r="H9" s="1060">
        <f t="shared" si="2"/>
        <v>0.11568130860058233</v>
      </c>
      <c r="I9" s="817">
        <v>125683.85416999998</v>
      </c>
      <c r="J9" s="1060">
        <f t="shared" si="3"/>
        <v>0.14500726831269681</v>
      </c>
      <c r="K9" s="817">
        <v>76410.13057374995</v>
      </c>
      <c r="L9" s="1060">
        <f t="shared" si="4"/>
        <v>0.12688976117419756</v>
      </c>
      <c r="M9" s="817">
        <v>81</v>
      </c>
      <c r="N9" s="1060">
        <f t="shared" si="5"/>
        <v>0.14438502673796791</v>
      </c>
      <c r="O9" s="817">
        <v>5283.8819999999996</v>
      </c>
      <c r="P9" s="1060">
        <f t="shared" si="6"/>
        <v>0.14252683882220735</v>
      </c>
      <c r="Q9" s="817">
        <v>49915.53</v>
      </c>
      <c r="R9" s="1060">
        <f t="shared" si="7"/>
        <v>0.16703511715842201</v>
      </c>
      <c r="S9" s="1060">
        <f t="shared" si="8"/>
        <v>0.14438502673796791</v>
      </c>
      <c r="T9" s="1062">
        <f t="shared" si="9"/>
        <v>0.12984826386732193</v>
      </c>
      <c r="U9" s="44"/>
      <c r="V9" s="44"/>
      <c r="Y9" s="44"/>
    </row>
    <row r="10" spans="1:25" x14ac:dyDescent="0.25">
      <c r="A10" s="177">
        <f t="shared" si="10"/>
        <v>6</v>
      </c>
      <c r="B10" s="177" t="s">
        <v>126</v>
      </c>
      <c r="C10" s="817">
        <v>17549</v>
      </c>
      <c r="D10" s="1060">
        <f t="shared" si="0"/>
        <v>8.7904546752355525E-2</v>
      </c>
      <c r="E10" s="817">
        <v>4023.6465461111106</v>
      </c>
      <c r="F10" s="1060">
        <f t="shared" si="1"/>
        <v>6.2862151168660257E-2</v>
      </c>
      <c r="G10" s="817">
        <v>144441.65812000001</v>
      </c>
      <c r="H10" s="1060">
        <f t="shared" si="2"/>
        <v>0.10771409919759412</v>
      </c>
      <c r="I10" s="817">
        <v>88680.069600000017</v>
      </c>
      <c r="J10" s="1060">
        <f t="shared" si="3"/>
        <v>0.10231429272595668</v>
      </c>
      <c r="K10" s="817">
        <v>56347.476605000033</v>
      </c>
      <c r="L10" s="1060">
        <f t="shared" si="4"/>
        <v>9.3572904476012395E-2</v>
      </c>
      <c r="M10" s="817">
        <v>49</v>
      </c>
      <c r="N10" s="1060">
        <f t="shared" si="5"/>
        <v>8.7344028520499106E-2</v>
      </c>
      <c r="O10" s="817">
        <v>3105.3531965482757</v>
      </c>
      <c r="P10" s="1060">
        <f t="shared" si="6"/>
        <v>8.37634478836701E-2</v>
      </c>
      <c r="Q10" s="817">
        <v>32782.6</v>
      </c>
      <c r="R10" s="1060">
        <f t="shared" si="7"/>
        <v>0.10970223959873179</v>
      </c>
      <c r="S10" s="1060">
        <f t="shared" si="8"/>
        <v>8.7344028520499106E-2</v>
      </c>
      <c r="T10" s="1062">
        <f t="shared" si="9"/>
        <v>9.4317301020176325E-2</v>
      </c>
      <c r="U10" s="44"/>
      <c r="V10" s="44"/>
      <c r="Y10" s="44"/>
    </row>
    <row r="11" spans="1:25" x14ac:dyDescent="0.25">
      <c r="A11" s="177">
        <f t="shared" si="10"/>
        <v>7</v>
      </c>
      <c r="B11" s="177" t="s">
        <v>127</v>
      </c>
      <c r="C11" s="817">
        <v>9446</v>
      </c>
      <c r="D11" s="1060">
        <f t="shared" si="0"/>
        <v>4.7315878319149254E-2</v>
      </c>
      <c r="E11" s="817">
        <v>2793.161000000001</v>
      </c>
      <c r="F11" s="1060">
        <f t="shared" si="1"/>
        <v>4.3638054935543458E-2</v>
      </c>
      <c r="G11" s="817">
        <v>57198.433899999996</v>
      </c>
      <c r="H11" s="1060">
        <f t="shared" si="2"/>
        <v>4.2654438222615089E-2</v>
      </c>
      <c r="I11" s="817">
        <v>30427.919139999995</v>
      </c>
      <c r="J11" s="1060">
        <f t="shared" si="3"/>
        <v>3.5106095878974133E-2</v>
      </c>
      <c r="K11" s="817">
        <v>24873.291511249998</v>
      </c>
      <c r="L11" s="1060">
        <f t="shared" si="4"/>
        <v>4.1305596467112723E-2</v>
      </c>
      <c r="M11" s="817">
        <v>39</v>
      </c>
      <c r="N11" s="1060">
        <f t="shared" si="5"/>
        <v>6.9518716577540107E-2</v>
      </c>
      <c r="O11" s="817">
        <v>2534.3330000000001</v>
      </c>
      <c r="P11" s="1060">
        <f t="shared" si="6"/>
        <v>6.836081332111528E-2</v>
      </c>
      <c r="Q11" s="817">
        <v>10401.5</v>
      </c>
      <c r="R11" s="1060">
        <f t="shared" si="7"/>
        <v>3.4807118568576281E-2</v>
      </c>
      <c r="S11" s="1060">
        <f t="shared" si="8"/>
        <v>6.9518716577540107E-2</v>
      </c>
      <c r="T11" s="1062">
        <f t="shared" si="9"/>
        <v>5.3161589225160726E-2</v>
      </c>
      <c r="U11" s="44"/>
      <c r="V11" s="44"/>
      <c r="Y11" s="44"/>
    </row>
    <row r="12" spans="1:25" ht="15.75" thickBot="1" x14ac:dyDescent="0.3">
      <c r="A12" s="177">
        <f t="shared" si="10"/>
        <v>8</v>
      </c>
      <c r="B12" s="177" t="s">
        <v>1</v>
      </c>
      <c r="C12" s="1063">
        <v>27963</v>
      </c>
      <c r="D12" s="1060">
        <f t="shared" si="0"/>
        <v>0.14006922564454485</v>
      </c>
      <c r="E12" s="1063">
        <v>9489.1267499999994</v>
      </c>
      <c r="F12" s="1060">
        <f t="shared" si="1"/>
        <v>0.14825032800000959</v>
      </c>
      <c r="G12" s="1063">
        <v>246855</v>
      </c>
      <c r="H12" s="1060">
        <f t="shared" si="2"/>
        <v>0.18408653226157035</v>
      </c>
      <c r="I12" s="1063">
        <v>126737.5</v>
      </c>
      <c r="J12" s="1060">
        <f t="shared" si="3"/>
        <v>0.1462229081781859</v>
      </c>
      <c r="K12" s="1063">
        <v>72479.301000000007</v>
      </c>
      <c r="L12" s="1060">
        <f t="shared" si="4"/>
        <v>0.12036206619338365</v>
      </c>
      <c r="M12" s="1063">
        <v>86</v>
      </c>
      <c r="N12" s="1060">
        <f t="shared" si="5"/>
        <v>0.15329768270944741</v>
      </c>
      <c r="O12" s="1063">
        <v>6550</v>
      </c>
      <c r="P12" s="1060">
        <f t="shared" si="6"/>
        <v>0.17667896336168337</v>
      </c>
      <c r="Q12" s="1063"/>
      <c r="R12" s="1064"/>
      <c r="S12" s="1060">
        <f t="shared" si="8"/>
        <v>0.15329768270944741</v>
      </c>
      <c r="T12" s="1065">
        <f t="shared" si="9"/>
        <v>0.15914501065411216</v>
      </c>
      <c r="U12" s="44"/>
      <c r="V12" s="44"/>
      <c r="Y12" s="44"/>
    </row>
    <row r="13" spans="1:25" x14ac:dyDescent="0.25">
      <c r="C13" s="3"/>
      <c r="D13" s="1060"/>
      <c r="E13" s="3"/>
      <c r="F13" s="1060"/>
      <c r="G13" s="3"/>
      <c r="H13" s="1060"/>
      <c r="I13" s="3"/>
      <c r="J13" s="1060"/>
      <c r="K13" s="3"/>
      <c r="L13" s="1060"/>
      <c r="M13" s="3"/>
      <c r="N13" s="1060"/>
      <c r="O13" s="3"/>
      <c r="P13" s="1060"/>
      <c r="Q13" s="3"/>
      <c r="R13" s="1060"/>
      <c r="S13" s="1060"/>
      <c r="T13" s="1066"/>
    </row>
    <row r="14" spans="1:25" s="1040" customFormat="1" x14ac:dyDescent="0.25">
      <c r="B14" s="1040" t="s">
        <v>3</v>
      </c>
      <c r="C14" s="1067">
        <f t="shared" ref="C14:T14" si="11">SUM(C5:C12)</f>
        <v>199637</v>
      </c>
      <c r="D14" s="1068">
        <f t="shared" si="11"/>
        <v>1</v>
      </c>
      <c r="E14" s="1067">
        <f t="shared" ref="E14:H14" si="12">SUM(E5:E12)</f>
        <v>64007.458722110794</v>
      </c>
      <c r="F14" s="1068">
        <f t="shared" si="12"/>
        <v>1</v>
      </c>
      <c r="G14" s="1067">
        <f t="shared" si="12"/>
        <v>1340972.62286</v>
      </c>
      <c r="H14" s="1068">
        <f t="shared" si="12"/>
        <v>0.99999999999999989</v>
      </c>
      <c r="I14" s="1067">
        <f t="shared" si="11"/>
        <v>866741.75462000014</v>
      </c>
      <c r="J14" s="1068">
        <f t="shared" ref="J14:L14" si="13">SUM(J5:J12)</f>
        <v>1</v>
      </c>
      <c r="K14" s="1067">
        <f t="shared" si="13"/>
        <v>602177.27471999999</v>
      </c>
      <c r="L14" s="1068">
        <f t="shared" si="13"/>
        <v>1.0000000000000002</v>
      </c>
      <c r="M14" s="1067">
        <f t="shared" si="11"/>
        <v>561</v>
      </c>
      <c r="N14" s="1068">
        <f t="shared" ref="N14:P14" si="14">SUM(N5:N12)</f>
        <v>1</v>
      </c>
      <c r="O14" s="1067">
        <f t="shared" si="14"/>
        <v>37072.891279033327</v>
      </c>
      <c r="P14" s="1068">
        <f t="shared" si="14"/>
        <v>1</v>
      </c>
      <c r="Q14" s="1067">
        <f t="shared" si="11"/>
        <v>298832.55</v>
      </c>
      <c r="R14" s="1068">
        <f t="shared" ref="R14:S14" si="15">SUM(R5:R12)</f>
        <v>1</v>
      </c>
      <c r="S14" s="1068">
        <f t="shared" si="15"/>
        <v>1</v>
      </c>
      <c r="T14" s="1069">
        <f t="shared" si="11"/>
        <v>0.99996666666666656</v>
      </c>
    </row>
    <row r="17" spans="2:25" x14ac:dyDescent="0.25">
      <c r="B17" s="177" t="s">
        <v>1031</v>
      </c>
    </row>
    <row r="18" spans="2:25" x14ac:dyDescent="0.25">
      <c r="C18" s="3" t="s">
        <v>1018</v>
      </c>
      <c r="E18" s="3" t="s">
        <v>1019</v>
      </c>
      <c r="G18" s="1058">
        <v>43312</v>
      </c>
      <c r="I18" s="1058">
        <v>43312</v>
      </c>
      <c r="K18" s="1058">
        <v>43312</v>
      </c>
      <c r="M18" s="1058">
        <v>43830</v>
      </c>
      <c r="O18" s="1058">
        <v>43830</v>
      </c>
      <c r="Q18" s="1058">
        <v>43343</v>
      </c>
      <c r="T18" s="965"/>
    </row>
    <row r="19" spans="2:25" x14ac:dyDescent="0.25">
      <c r="C19" s="35" t="s">
        <v>97</v>
      </c>
      <c r="D19" s="1059">
        <f>1/3</f>
        <v>0.33333333333333331</v>
      </c>
      <c r="E19" s="35" t="s">
        <v>97</v>
      </c>
      <c r="F19" s="1059"/>
      <c r="G19" s="35" t="s">
        <v>97</v>
      </c>
      <c r="H19" s="1059">
        <v>0.33329999999999999</v>
      </c>
      <c r="I19" s="35" t="s">
        <v>97</v>
      </c>
      <c r="J19" s="1059"/>
      <c r="K19" s="35" t="s">
        <v>97</v>
      </c>
      <c r="L19" s="1059"/>
      <c r="M19" s="35" t="s">
        <v>97</v>
      </c>
      <c r="N19" s="1059">
        <f>1/3</f>
        <v>0.33333333333333331</v>
      </c>
      <c r="O19" s="35" t="s">
        <v>97</v>
      </c>
      <c r="P19" s="1059"/>
      <c r="Q19" s="35" t="s">
        <v>97</v>
      </c>
      <c r="R19" s="1059"/>
      <c r="S19" s="1059"/>
      <c r="T19" s="1057" t="s">
        <v>1020</v>
      </c>
      <c r="V19" s="1" t="s">
        <v>1032</v>
      </c>
    </row>
    <row r="20" spans="2:25" ht="15.75" thickBot="1" x14ac:dyDescent="0.3">
      <c r="B20" s="1" t="s">
        <v>66</v>
      </c>
      <c r="C20" s="35" t="s">
        <v>63</v>
      </c>
      <c r="D20" s="1035" t="s">
        <v>1003</v>
      </c>
      <c r="E20" s="35" t="s">
        <v>1021</v>
      </c>
      <c r="F20" s="35" t="s">
        <v>1022</v>
      </c>
      <c r="G20" s="35" t="s">
        <v>120</v>
      </c>
      <c r="H20" s="35" t="s">
        <v>1023</v>
      </c>
      <c r="I20" s="35" t="s">
        <v>1024</v>
      </c>
      <c r="J20" s="35" t="s">
        <v>1025</v>
      </c>
      <c r="K20" s="35" t="s">
        <v>1026</v>
      </c>
      <c r="L20" s="35" t="s">
        <v>1027</v>
      </c>
      <c r="M20" s="35" t="s">
        <v>69</v>
      </c>
      <c r="N20" s="35" t="s">
        <v>1006</v>
      </c>
      <c r="O20" s="35" t="s">
        <v>1028</v>
      </c>
      <c r="P20" s="35" t="s">
        <v>1029</v>
      </c>
      <c r="Q20" s="35" t="s">
        <v>121</v>
      </c>
      <c r="R20" s="35" t="s">
        <v>1012</v>
      </c>
      <c r="S20" s="1035" t="s">
        <v>1030</v>
      </c>
      <c r="T20" s="1057" t="s">
        <v>98</v>
      </c>
      <c r="U20" s="35"/>
      <c r="V20" s="35" t="s">
        <v>1033</v>
      </c>
    </row>
    <row r="21" spans="2:25" x14ac:dyDescent="0.25">
      <c r="B21" s="177" t="s">
        <v>122</v>
      </c>
      <c r="C21" s="817">
        <v>32992</v>
      </c>
      <c r="D21" s="1060">
        <f>C21/$C$29</f>
        <v>0.19217819821289187</v>
      </c>
      <c r="E21" s="817">
        <v>12205.674359999997</v>
      </c>
      <c r="F21" s="1060">
        <f>E21/$E$29</f>
        <v>0.22388202130329096</v>
      </c>
      <c r="G21" s="817">
        <v>212348.81393000003</v>
      </c>
      <c r="H21" s="1060">
        <f>G21/$G$29</f>
        <v>0.1940822535834171</v>
      </c>
      <c r="I21" s="817">
        <v>158071.93915000002</v>
      </c>
      <c r="J21" s="1060">
        <f>I21/$I$29</f>
        <v>0.21360950043614493</v>
      </c>
      <c r="K21" s="817">
        <v>112995.18999500001</v>
      </c>
      <c r="L21" s="1060">
        <f>K21/$K$29</f>
        <v>0.21332003443669886</v>
      </c>
      <c r="M21" s="817">
        <v>89</v>
      </c>
      <c r="N21" s="1060">
        <f>M21/$M$29</f>
        <v>0.18736842105263157</v>
      </c>
      <c r="O21" s="817">
        <v>5717.5080200000002</v>
      </c>
      <c r="P21" s="1060">
        <f>O21/$O$29</f>
        <v>0.18731869034724932</v>
      </c>
      <c r="Q21" s="817">
        <v>56655.37</v>
      </c>
      <c r="R21" s="1060">
        <f>Q21/$Q$29</f>
        <v>0.18958901900077488</v>
      </c>
      <c r="S21" s="1060">
        <f>N21</f>
        <v>0.18736842105263157</v>
      </c>
      <c r="T21" s="1061">
        <f>(D21*$D$3)+(F21*$F$3)+(H21*$H$3)+(J21*$J$3)+(L21*$L$3)+(N21*$N$3)+(P21*$P$3)+(R21*$R$3)</f>
        <v>0.19120315487452738</v>
      </c>
      <c r="U21" s="44"/>
      <c r="V21" s="1070">
        <f>R21-T21</f>
        <v>-1.6141358737525036E-3</v>
      </c>
      <c r="W21" s="44"/>
      <c r="X21" s="1071"/>
      <c r="Y21" s="44"/>
    </row>
    <row r="22" spans="2:25" x14ac:dyDescent="0.25">
      <c r="B22" s="177" t="s">
        <v>123</v>
      </c>
      <c r="C22" s="817">
        <v>28422</v>
      </c>
      <c r="D22" s="1060">
        <f t="shared" ref="D22:D27" si="16">C22/$C$29</f>
        <v>0.16555797616412501</v>
      </c>
      <c r="E22" s="817">
        <v>7925.387999999999</v>
      </c>
      <c r="F22" s="1060">
        <f t="shared" ref="F22:F27" si="17">E22/$E$29</f>
        <v>0.14537106535200459</v>
      </c>
      <c r="G22" s="817">
        <v>197070.53554999997</v>
      </c>
      <c r="H22" s="1060">
        <f t="shared" ref="H22:H27" si="18">G22/$G$29</f>
        <v>0.18011823540037844</v>
      </c>
      <c r="I22" s="817">
        <v>127767.87941999998</v>
      </c>
      <c r="J22" s="1060">
        <f t="shared" ref="J22:J27" si="19">I22/$I$29</f>
        <v>0.17265830381692887</v>
      </c>
      <c r="K22" s="817">
        <v>91599.943207499979</v>
      </c>
      <c r="L22" s="1060">
        <f t="shared" ref="L22:L27" si="20">K22/$K$29</f>
        <v>0.17292862678746057</v>
      </c>
      <c r="M22" s="817">
        <v>84</v>
      </c>
      <c r="N22" s="1060">
        <f t="shared" ref="N22:N27" si="21">M22/$M$29</f>
        <v>0.17684210526315788</v>
      </c>
      <c r="O22" s="817">
        <v>5659.732</v>
      </c>
      <c r="P22" s="1060">
        <f t="shared" ref="P22:P27" si="22">O22/$O$29</f>
        <v>0.18542581527614857</v>
      </c>
      <c r="Q22" s="817">
        <v>52665.95</v>
      </c>
      <c r="R22" s="1060">
        <f t="shared" ref="R22:R27" si="23">Q22/$Q$29</f>
        <v>0.17623900073803875</v>
      </c>
      <c r="S22" s="1060">
        <f t="shared" ref="S22:S27" si="24">N22</f>
        <v>0.17684210526315788</v>
      </c>
      <c r="T22" s="1062">
        <f t="shared" ref="T22:T27" si="25">(D22*$D$3)+(F22*$F$3)+(H22*$H$3)+(J22*$J$3)+(L22*$L$3)+(N22*$N$3)+(P22*$P$3)+(R22*$R$3)</f>
        <v>0.17416676833470709</v>
      </c>
      <c r="U22" s="44"/>
      <c r="V22" s="1070">
        <f t="shared" ref="V22:V27" si="26">R22-T22</f>
        <v>2.072232403331653E-3</v>
      </c>
      <c r="W22" s="44"/>
      <c r="X22" s="44"/>
      <c r="Y22" s="44"/>
    </row>
    <row r="23" spans="2:25" x14ac:dyDescent="0.25">
      <c r="B23" s="177" t="s">
        <v>1015</v>
      </c>
      <c r="C23" s="817">
        <v>21732</v>
      </c>
      <c r="D23" s="1060">
        <f t="shared" si="16"/>
        <v>0.12658876708179456</v>
      </c>
      <c r="E23" s="817">
        <v>12397.114708092584</v>
      </c>
      <c r="F23" s="1060">
        <f t="shared" si="17"/>
        <v>0.227393507094722</v>
      </c>
      <c r="G23" s="817">
        <v>100086.26864000001</v>
      </c>
      <c r="H23" s="1060">
        <f t="shared" si="18"/>
        <v>9.1476699167294881E-2</v>
      </c>
      <c r="I23" s="817">
        <v>84948.163840000023</v>
      </c>
      <c r="J23" s="1060">
        <f t="shared" si="19"/>
        <v>0.1147941559925514</v>
      </c>
      <c r="K23" s="817">
        <v>62156.874321250012</v>
      </c>
      <c r="L23" s="1060">
        <f t="shared" si="20"/>
        <v>0.11734399111389905</v>
      </c>
      <c r="M23" s="817">
        <v>49</v>
      </c>
      <c r="N23" s="1060">
        <f t="shared" si="21"/>
        <v>0.1031578947368421</v>
      </c>
      <c r="O23" s="817">
        <v>3136.683062485055</v>
      </c>
      <c r="P23" s="1060">
        <f t="shared" si="22"/>
        <v>0.10276493906852441</v>
      </c>
      <c r="Q23" s="817">
        <v>29747.599999999999</v>
      </c>
      <c r="R23" s="1060">
        <f t="shared" si="23"/>
        <v>9.954605012071141E-2</v>
      </c>
      <c r="S23" s="1060">
        <f t="shared" si="24"/>
        <v>0.1031578947368421</v>
      </c>
      <c r="T23" s="1062">
        <f t="shared" si="25"/>
        <v>0.10707140443867159</v>
      </c>
      <c r="U23" s="44"/>
      <c r="V23" s="1070">
        <f t="shared" si="26"/>
        <v>-7.5253543179601839E-3</v>
      </c>
      <c r="W23" s="44"/>
      <c r="X23" s="44"/>
      <c r="Y23" s="44"/>
    </row>
    <row r="24" spans="2:25" x14ac:dyDescent="0.25">
      <c r="B24" s="177" t="s">
        <v>124</v>
      </c>
      <c r="C24" s="817">
        <v>35682</v>
      </c>
      <c r="D24" s="1060">
        <f t="shared" si="16"/>
        <v>0.20784743176019665</v>
      </c>
      <c r="E24" s="817">
        <v>8569.9430000000011</v>
      </c>
      <c r="F24" s="1060">
        <f t="shared" si="17"/>
        <v>0.15719378583306642</v>
      </c>
      <c r="G24" s="817">
        <v>227846.44491000002</v>
      </c>
      <c r="H24" s="1060">
        <f t="shared" si="18"/>
        <v>0.20824675533002959</v>
      </c>
      <c r="I24" s="817">
        <v>124424.42930000003</v>
      </c>
      <c r="J24" s="1060">
        <f t="shared" si="19"/>
        <v>0.16814015395613269</v>
      </c>
      <c r="K24" s="817">
        <v>105315.06750624999</v>
      </c>
      <c r="L24" s="1060">
        <f t="shared" si="20"/>
        <v>0.19882097484088143</v>
      </c>
      <c r="M24" s="817">
        <v>84</v>
      </c>
      <c r="N24" s="1060">
        <f t="shared" si="21"/>
        <v>0.17684210526315788</v>
      </c>
      <c r="O24" s="817">
        <v>5085.3999999999996</v>
      </c>
      <c r="P24" s="1060">
        <f t="shared" si="22"/>
        <v>0.16660938026841657</v>
      </c>
      <c r="Q24" s="817">
        <v>66664</v>
      </c>
      <c r="R24" s="1060">
        <f t="shared" si="23"/>
        <v>0.22308145481474492</v>
      </c>
      <c r="S24" s="1060">
        <f t="shared" si="24"/>
        <v>0.17684210526315788</v>
      </c>
      <c r="T24" s="1062">
        <f t="shared" si="25"/>
        <v>0.1976384892259504</v>
      </c>
      <c r="U24" s="44"/>
      <c r="V24" s="1070">
        <f t="shared" si="26"/>
        <v>2.5442965588794525E-2</v>
      </c>
      <c r="W24" s="44"/>
      <c r="X24" s="44"/>
      <c r="Y24" s="44"/>
    </row>
    <row r="25" spans="2:25" x14ac:dyDescent="0.25">
      <c r="B25" s="177" t="s">
        <v>125</v>
      </c>
      <c r="C25" s="817">
        <v>25851</v>
      </c>
      <c r="D25" s="1060">
        <f t="shared" si="16"/>
        <v>0.15058191688898726</v>
      </c>
      <c r="E25" s="817">
        <v>6603.4043579070994</v>
      </c>
      <c r="F25" s="1060">
        <f t="shared" si="17"/>
        <v>0.12112264111978177</v>
      </c>
      <c r="G25" s="817">
        <v>155125.46780999997</v>
      </c>
      <c r="H25" s="1060">
        <f t="shared" si="18"/>
        <v>0.14178134468258113</v>
      </c>
      <c r="I25" s="817">
        <v>125683.85416999998</v>
      </c>
      <c r="J25" s="1060">
        <f t="shared" si="19"/>
        <v>0.16984206967099119</v>
      </c>
      <c r="K25" s="817">
        <v>76410.13057374995</v>
      </c>
      <c r="L25" s="1060">
        <f t="shared" si="20"/>
        <v>0.1442522614106517</v>
      </c>
      <c r="M25" s="817">
        <v>81</v>
      </c>
      <c r="N25" s="1060">
        <f t="shared" si="21"/>
        <v>0.17052631578947369</v>
      </c>
      <c r="O25" s="817">
        <v>5283.8819999999996</v>
      </c>
      <c r="P25" s="1060">
        <f t="shared" si="22"/>
        <v>0.17311210631050489</v>
      </c>
      <c r="Q25" s="817">
        <v>49915.53</v>
      </c>
      <c r="R25" s="1060">
        <f t="shared" si="23"/>
        <v>0.16703511715842201</v>
      </c>
      <c r="S25" s="1060">
        <f t="shared" si="24"/>
        <v>0.17052631578947369</v>
      </c>
      <c r="T25" s="1062">
        <f t="shared" si="25"/>
        <v>0.15429179974219126</v>
      </c>
      <c r="U25" s="44"/>
      <c r="V25" s="1070">
        <f t="shared" si="26"/>
        <v>1.2743317416230748E-2</v>
      </c>
      <c r="W25" s="44"/>
      <c r="X25" s="44"/>
      <c r="Y25" s="44"/>
    </row>
    <row r="26" spans="2:25" x14ac:dyDescent="0.25">
      <c r="B26" s="177" t="s">
        <v>126</v>
      </c>
      <c r="C26" s="817">
        <v>17549</v>
      </c>
      <c r="D26" s="1060">
        <f t="shared" si="16"/>
        <v>0.10222281766604145</v>
      </c>
      <c r="E26" s="817">
        <v>4023.6465461111106</v>
      </c>
      <c r="F26" s="1060">
        <f t="shared" si="17"/>
        <v>7.3803551953303223E-2</v>
      </c>
      <c r="G26" s="817">
        <v>144441.65812000001</v>
      </c>
      <c r="H26" s="1060">
        <f t="shared" si="18"/>
        <v>0.13201657216929988</v>
      </c>
      <c r="I26" s="817">
        <v>88680.069600000017</v>
      </c>
      <c r="J26" s="1060">
        <f t="shared" si="19"/>
        <v>0.11983724288928332</v>
      </c>
      <c r="K26" s="817">
        <v>56347.476605000033</v>
      </c>
      <c r="L26" s="1060">
        <f t="shared" si="20"/>
        <v>0.10637661346763143</v>
      </c>
      <c r="M26" s="817">
        <v>49</v>
      </c>
      <c r="N26" s="1060">
        <f t="shared" si="21"/>
        <v>0.1031578947368421</v>
      </c>
      <c r="O26" s="817">
        <v>3105.3531965482757</v>
      </c>
      <c r="P26" s="1060">
        <f t="shared" si="22"/>
        <v>0.10173850072589269</v>
      </c>
      <c r="Q26" s="817">
        <v>32782.6</v>
      </c>
      <c r="R26" s="1060">
        <f t="shared" si="23"/>
        <v>0.10970223959873179</v>
      </c>
      <c r="S26" s="1060">
        <f t="shared" si="24"/>
        <v>0.1031578947368421</v>
      </c>
      <c r="T26" s="1062">
        <f t="shared" si="25"/>
        <v>0.1124613609716555</v>
      </c>
      <c r="U26" s="44"/>
      <c r="V26" s="1070">
        <f t="shared" si="26"/>
        <v>-2.7591213729237091E-3</v>
      </c>
      <c r="W26" s="44"/>
      <c r="X26" s="44"/>
      <c r="Y26" s="44"/>
    </row>
    <row r="27" spans="2:25" x14ac:dyDescent="0.25">
      <c r="B27" s="177" t="s">
        <v>127</v>
      </c>
      <c r="C27" s="817">
        <v>9446</v>
      </c>
      <c r="D27" s="1060">
        <f t="shared" si="16"/>
        <v>5.5022892225963162E-2</v>
      </c>
      <c r="E27" s="817">
        <v>2793.161000000001</v>
      </c>
      <c r="F27" s="1060">
        <f t="shared" si="17"/>
        <v>5.1233427343831073E-2</v>
      </c>
      <c r="G27" s="817">
        <v>57198.433899999996</v>
      </c>
      <c r="H27" s="1060">
        <f t="shared" si="18"/>
        <v>5.2278139666998978E-2</v>
      </c>
      <c r="I27" s="817">
        <v>30427.919139999995</v>
      </c>
      <c r="J27" s="1060">
        <f t="shared" si="19"/>
        <v>4.1118573237967457E-2</v>
      </c>
      <c r="K27" s="817">
        <v>24873.291511249998</v>
      </c>
      <c r="L27" s="1060">
        <f t="shared" si="20"/>
        <v>4.6957497942776906E-2</v>
      </c>
      <c r="M27" s="817">
        <v>39</v>
      </c>
      <c r="N27" s="1060">
        <f t="shared" si="21"/>
        <v>8.2105263157894737E-2</v>
      </c>
      <c r="O27" s="817">
        <v>2534.3330000000001</v>
      </c>
      <c r="P27" s="1060">
        <f t="shared" si="22"/>
        <v>8.3030568003263666E-2</v>
      </c>
      <c r="Q27" s="817">
        <v>10401.5</v>
      </c>
      <c r="R27" s="1060">
        <f t="shared" si="23"/>
        <v>3.4807118568576281E-2</v>
      </c>
      <c r="S27" s="1060">
        <f t="shared" si="24"/>
        <v>8.2105263157894737E-2</v>
      </c>
      <c r="T27" s="1062">
        <f t="shared" si="25"/>
        <v>6.3133689078963384E-2</v>
      </c>
      <c r="U27" s="44"/>
      <c r="V27" s="1070">
        <f t="shared" si="26"/>
        <v>-2.8326570510387103E-2</v>
      </c>
      <c r="W27" s="44"/>
      <c r="X27" s="44"/>
      <c r="Y27" s="44"/>
    </row>
    <row r="28" spans="2:25" x14ac:dyDescent="0.25">
      <c r="C28" s="3"/>
      <c r="D28" s="1060"/>
      <c r="E28" s="3"/>
      <c r="F28" s="1060"/>
      <c r="G28" s="3"/>
      <c r="H28" s="1060"/>
      <c r="I28" s="3"/>
      <c r="J28" s="1060"/>
      <c r="K28" s="3"/>
      <c r="L28" s="1060"/>
      <c r="M28" s="3"/>
      <c r="N28" s="1060"/>
      <c r="O28" s="3"/>
      <c r="P28" s="1060"/>
      <c r="Q28" s="3"/>
      <c r="R28" s="1060"/>
      <c r="S28" s="1060"/>
      <c r="T28" s="1066"/>
      <c r="V28" s="1072"/>
      <c r="W28" s="44"/>
    </row>
    <row r="29" spans="2:25" x14ac:dyDescent="0.25">
      <c r="B29" s="1040" t="s">
        <v>3</v>
      </c>
      <c r="C29" s="1067">
        <f t="shared" ref="C29:T29" si="27">SUM(C21:C27)</f>
        <v>171674</v>
      </c>
      <c r="D29" s="1068">
        <f t="shared" si="27"/>
        <v>1</v>
      </c>
      <c r="E29" s="1067">
        <f t="shared" si="27"/>
        <v>54518.331972110791</v>
      </c>
      <c r="F29" s="1068">
        <f t="shared" si="27"/>
        <v>1</v>
      </c>
      <c r="G29" s="1067">
        <f t="shared" si="27"/>
        <v>1094117.62286</v>
      </c>
      <c r="H29" s="1068">
        <f t="shared" si="27"/>
        <v>1</v>
      </c>
      <c r="I29" s="1067">
        <f t="shared" si="27"/>
        <v>740004.25462000014</v>
      </c>
      <c r="J29" s="1068">
        <f t="shared" si="27"/>
        <v>0.99999999999999989</v>
      </c>
      <c r="K29" s="1067">
        <f t="shared" si="27"/>
        <v>529697.97372000001</v>
      </c>
      <c r="L29" s="1068">
        <f t="shared" si="27"/>
        <v>1</v>
      </c>
      <c r="M29" s="1067">
        <f t="shared" si="27"/>
        <v>475</v>
      </c>
      <c r="N29" s="1068">
        <f t="shared" si="27"/>
        <v>1</v>
      </c>
      <c r="O29" s="1067">
        <f t="shared" si="27"/>
        <v>30522.891279033327</v>
      </c>
      <c r="P29" s="1068">
        <f t="shared" si="27"/>
        <v>1.0000000000000002</v>
      </c>
      <c r="Q29" s="1067">
        <f t="shared" si="27"/>
        <v>298832.55</v>
      </c>
      <c r="R29" s="1068">
        <f t="shared" si="27"/>
        <v>1</v>
      </c>
      <c r="S29" s="1068">
        <f t="shared" si="27"/>
        <v>1</v>
      </c>
      <c r="T29" s="1069">
        <f t="shared" si="27"/>
        <v>0.99996666666666667</v>
      </c>
      <c r="U29" s="1040"/>
      <c r="V29" s="1040"/>
      <c r="W29" s="1040"/>
      <c r="X29" s="1040"/>
      <c r="Y29" s="1040"/>
    </row>
  </sheetData>
  <pageMargins left="0.7" right="0.7" top="0.75" bottom="0.75" header="0.3" footer="0.3"/>
  <pageSetup scale="35"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409"/>
  <sheetViews>
    <sheetView zoomScale="70" zoomScaleNormal="70" workbookViewId="0">
      <selection activeCell="O29" sqref="O29"/>
    </sheetView>
  </sheetViews>
  <sheetFormatPr defaultRowHeight="15" x14ac:dyDescent="0.25"/>
  <cols>
    <col min="1" max="1" width="9.140625" style="177"/>
    <col min="2" max="2" width="70.7109375" style="177" customWidth="1"/>
    <col min="3" max="3" width="35.7109375" style="177" bestFit="1" customWidth="1"/>
    <col min="4" max="4" width="8" style="177" customWidth="1"/>
    <col min="5" max="5" width="18.28515625" style="177" bestFit="1" customWidth="1"/>
    <col min="6" max="6" width="21.5703125" style="177" bestFit="1" customWidth="1"/>
    <col min="7" max="8" width="17.7109375" style="177" bestFit="1" customWidth="1"/>
    <col min="9" max="9" width="26.5703125" style="177" bestFit="1" customWidth="1"/>
    <col min="10" max="10" width="17.7109375" style="177" bestFit="1" customWidth="1"/>
    <col min="11" max="11" width="11.42578125" style="177" customWidth="1"/>
    <col min="12" max="12" width="12.28515625" style="177" customWidth="1"/>
    <col min="13" max="13" width="8.7109375" style="177" bestFit="1" customWidth="1"/>
    <col min="14" max="14" width="94.28515625" style="177" bestFit="1" customWidth="1"/>
    <col min="15" max="16384" width="9.140625" style="177"/>
  </cols>
  <sheetData>
    <row r="1" spans="1:14" x14ac:dyDescent="0.25">
      <c r="B1" s="1339" t="s">
        <v>67</v>
      </c>
      <c r="C1" s="1339"/>
      <c r="D1" s="119"/>
      <c r="E1" s="49"/>
      <c r="F1" s="69"/>
      <c r="G1" s="69"/>
      <c r="H1" s="69"/>
      <c r="I1" s="69"/>
      <c r="J1" s="69"/>
      <c r="K1" s="69"/>
      <c r="L1" s="69"/>
      <c r="M1" s="69"/>
      <c r="N1" s="69"/>
    </row>
    <row r="2" spans="1:14" x14ac:dyDescent="0.25">
      <c r="B2" s="69" t="s">
        <v>140</v>
      </c>
      <c r="C2" s="138" t="s">
        <v>157</v>
      </c>
      <c r="D2" s="27"/>
      <c r="E2" s="69"/>
      <c r="F2" s="69"/>
      <c r="G2" s="69"/>
      <c r="H2" s="69"/>
      <c r="I2" s="69"/>
      <c r="J2" s="69"/>
      <c r="K2" s="69"/>
      <c r="L2" s="69"/>
      <c r="M2" s="69"/>
      <c r="N2" s="69"/>
    </row>
    <row r="3" spans="1:14" ht="15.75" thickBot="1" x14ac:dyDescent="0.3">
      <c r="B3" s="69"/>
      <c r="C3" s="69"/>
      <c r="D3" s="27"/>
      <c r="E3" s="69"/>
      <c r="F3" s="69"/>
      <c r="G3" s="69"/>
      <c r="H3" s="69"/>
      <c r="I3" s="69"/>
      <c r="J3" s="69"/>
      <c r="K3" s="69"/>
      <c r="L3" s="69"/>
      <c r="M3" s="69"/>
      <c r="N3" s="69"/>
    </row>
    <row r="4" spans="1:14" x14ac:dyDescent="0.25">
      <c r="B4" s="1335" t="s">
        <v>66</v>
      </c>
      <c r="C4" s="1337" t="s">
        <v>65</v>
      </c>
      <c r="D4" s="1337" t="s">
        <v>64</v>
      </c>
      <c r="E4" s="72" t="s">
        <v>63</v>
      </c>
      <c r="F4" s="72" t="s">
        <v>63</v>
      </c>
      <c r="G4" s="72" t="s">
        <v>63</v>
      </c>
      <c r="H4" s="72" t="s">
        <v>63</v>
      </c>
      <c r="I4" s="1340" t="s">
        <v>1034</v>
      </c>
      <c r="J4" s="1337" t="s">
        <v>754</v>
      </c>
      <c r="K4" s="1325" t="s">
        <v>62</v>
      </c>
      <c r="L4" s="1329" t="s">
        <v>61</v>
      </c>
      <c r="M4" s="1329" t="s">
        <v>1035</v>
      </c>
      <c r="N4" s="69"/>
    </row>
    <row r="5" spans="1:14" ht="15.75" thickBot="1" x14ac:dyDescent="0.3">
      <c r="B5" s="1342"/>
      <c r="C5" s="1356"/>
      <c r="D5" s="1356"/>
      <c r="E5" s="1073" t="s">
        <v>1036</v>
      </c>
      <c r="F5" s="1073" t="s">
        <v>840</v>
      </c>
      <c r="G5" s="1073" t="s">
        <v>1037</v>
      </c>
      <c r="H5" s="1073" t="s">
        <v>1038</v>
      </c>
      <c r="I5" s="1357"/>
      <c r="J5" s="1356"/>
      <c r="K5" s="1355"/>
      <c r="L5" s="1330"/>
      <c r="M5" s="1330"/>
      <c r="N5" s="69"/>
    </row>
    <row r="6" spans="1:14" x14ac:dyDescent="0.25">
      <c r="A6" s="22"/>
      <c r="B6" s="18" t="s">
        <v>72</v>
      </c>
      <c r="C6" s="24" t="s">
        <v>59</v>
      </c>
      <c r="D6" s="23" t="s">
        <v>12</v>
      </c>
      <c r="E6" s="120">
        <f>E364</f>
        <v>1433503.4983070211</v>
      </c>
      <c r="F6" s="1074"/>
      <c r="G6" s="1074"/>
      <c r="H6" s="1074"/>
      <c r="I6" s="121">
        <f>G364</f>
        <v>4602269.6746616382</v>
      </c>
      <c r="J6" s="121">
        <f>H364</f>
        <v>0</v>
      </c>
      <c r="K6" s="1075"/>
      <c r="L6" s="1075"/>
      <c r="M6" s="122">
        <f>J364</f>
        <v>2.0376074539262237</v>
      </c>
      <c r="N6" s="69"/>
    </row>
    <row r="7" spans="1:14" x14ac:dyDescent="0.25">
      <c r="A7" s="22"/>
      <c r="B7" s="12" t="s">
        <v>73</v>
      </c>
      <c r="C7" s="20" t="s">
        <v>58</v>
      </c>
      <c r="D7" s="19" t="s">
        <v>12</v>
      </c>
      <c r="E7" s="127">
        <f t="shared" ref="E7:E46" si="0">E365</f>
        <v>604234.51096346532</v>
      </c>
      <c r="F7" s="123"/>
      <c r="G7" s="123"/>
      <c r="H7" s="1076"/>
      <c r="I7" s="123">
        <f t="shared" ref="I7:J22" si="1">G365</f>
        <v>612682.09223645343</v>
      </c>
      <c r="J7" s="123">
        <f t="shared" si="1"/>
        <v>0</v>
      </c>
      <c r="K7" s="124"/>
      <c r="L7" s="124"/>
      <c r="M7" s="125">
        <f t="shared" ref="M7:M46" si="2">J365</f>
        <v>0.50874500900857811</v>
      </c>
      <c r="N7" s="69"/>
    </row>
    <row r="8" spans="1:14" x14ac:dyDescent="0.25">
      <c r="A8" s="22"/>
      <c r="B8" s="12" t="s">
        <v>74</v>
      </c>
      <c r="C8" s="20" t="s">
        <v>57</v>
      </c>
      <c r="D8" s="19" t="s">
        <v>8</v>
      </c>
      <c r="E8" s="127">
        <f t="shared" si="0"/>
        <v>740257.74605995731</v>
      </c>
      <c r="F8" s="1076"/>
      <c r="G8" s="1076"/>
      <c r="H8" s="1076"/>
      <c r="I8" s="123">
        <f t="shared" si="1"/>
        <v>198585.35749707004</v>
      </c>
      <c r="J8" s="123">
        <f t="shared" si="1"/>
        <v>-153341.78</v>
      </c>
      <c r="K8" s="124"/>
      <c r="L8" s="124"/>
      <c r="M8" s="125">
        <f t="shared" si="2"/>
        <v>0.47764648199713666</v>
      </c>
      <c r="N8" s="69"/>
    </row>
    <row r="9" spans="1:14" x14ac:dyDescent="0.25">
      <c r="A9" s="22"/>
      <c r="B9" s="12" t="s">
        <v>75</v>
      </c>
      <c r="C9" s="20" t="s">
        <v>46</v>
      </c>
      <c r="D9" s="19" t="s">
        <v>8</v>
      </c>
      <c r="E9" s="127">
        <f t="shared" si="0"/>
        <v>244192.56541850942</v>
      </c>
      <c r="F9" s="123"/>
      <c r="G9" s="123"/>
      <c r="H9" s="123"/>
      <c r="I9" s="123">
        <f t="shared" si="1"/>
        <v>2138421.1362158577</v>
      </c>
      <c r="J9" s="123">
        <f t="shared" si="1"/>
        <v>-1034346.36</v>
      </c>
      <c r="K9" s="124"/>
      <c r="L9" s="124"/>
      <c r="M9" s="125">
        <f t="shared" si="2"/>
        <v>0.70440621272545001</v>
      </c>
      <c r="N9" s="69"/>
    </row>
    <row r="10" spans="1:14" x14ac:dyDescent="0.25">
      <c r="A10" s="22"/>
      <c r="B10" s="12" t="s">
        <v>76</v>
      </c>
      <c r="C10" s="20" t="s">
        <v>51</v>
      </c>
      <c r="D10" s="19" t="s">
        <v>8</v>
      </c>
      <c r="E10" s="127">
        <f t="shared" si="0"/>
        <v>1002903.0417166372</v>
      </c>
      <c r="F10" s="123"/>
      <c r="G10" s="123"/>
      <c r="H10" s="123"/>
      <c r="I10" s="123">
        <f t="shared" si="1"/>
        <v>1323393.405845847</v>
      </c>
      <c r="J10" s="123">
        <f t="shared" si="1"/>
        <v>-304289.15000000002</v>
      </c>
      <c r="K10" s="124"/>
      <c r="L10" s="124"/>
      <c r="M10" s="125">
        <f t="shared" si="2"/>
        <v>0.92525818653863068</v>
      </c>
      <c r="N10" s="69"/>
    </row>
    <row r="11" spans="1:14" x14ac:dyDescent="0.25">
      <c r="A11" s="22"/>
      <c r="B11" s="12" t="s">
        <v>77</v>
      </c>
      <c r="C11" s="20" t="s">
        <v>44</v>
      </c>
      <c r="D11" s="19" t="s">
        <v>8</v>
      </c>
      <c r="E11" s="127">
        <f t="shared" si="0"/>
        <v>1639904.5982490303</v>
      </c>
      <c r="F11" s="123"/>
      <c r="G11" s="123"/>
      <c r="H11" s="123"/>
      <c r="I11" s="123">
        <f t="shared" si="1"/>
        <v>7561527.2703187047</v>
      </c>
      <c r="J11" s="123">
        <f t="shared" si="1"/>
        <v>-1616399.02</v>
      </c>
      <c r="K11" s="124"/>
      <c r="L11" s="124"/>
      <c r="M11" s="125">
        <f t="shared" si="2"/>
        <v>1.8830900807539781</v>
      </c>
      <c r="N11" s="69"/>
    </row>
    <row r="12" spans="1:14" x14ac:dyDescent="0.25">
      <c r="A12" s="22"/>
      <c r="B12" s="12" t="s">
        <v>78</v>
      </c>
      <c r="C12" s="20" t="s">
        <v>43</v>
      </c>
      <c r="D12" s="19" t="s">
        <v>8</v>
      </c>
      <c r="E12" s="127">
        <f t="shared" si="0"/>
        <v>173267.48468455853</v>
      </c>
      <c r="F12" s="123"/>
      <c r="G12" s="123"/>
      <c r="H12" s="123"/>
      <c r="I12" s="123">
        <f t="shared" si="1"/>
        <v>1051245.6468635551</v>
      </c>
      <c r="J12" s="123">
        <f t="shared" si="1"/>
        <v>-407370</v>
      </c>
      <c r="K12" s="124"/>
      <c r="L12" s="124"/>
      <c r="M12" s="125">
        <f t="shared" si="2"/>
        <v>0.23097497195247083</v>
      </c>
      <c r="N12" s="69"/>
    </row>
    <row r="13" spans="1:14" x14ac:dyDescent="0.25">
      <c r="A13" s="22"/>
      <c r="B13" s="12" t="s">
        <v>79</v>
      </c>
      <c r="C13" s="20" t="s">
        <v>53</v>
      </c>
      <c r="D13" s="19" t="s">
        <v>8</v>
      </c>
      <c r="E13" s="127">
        <f t="shared" si="0"/>
        <v>364254.6885034687</v>
      </c>
      <c r="F13" s="123"/>
      <c r="G13" s="123"/>
      <c r="H13" s="123"/>
      <c r="I13" s="123">
        <f t="shared" si="1"/>
        <v>3297433.099326178</v>
      </c>
      <c r="J13" s="123">
        <f t="shared" si="1"/>
        <v>-347698</v>
      </c>
      <c r="K13" s="124"/>
      <c r="L13" s="124"/>
      <c r="M13" s="125">
        <f t="shared" si="2"/>
        <v>0.62354155683578927</v>
      </c>
      <c r="N13" s="69"/>
    </row>
    <row r="14" spans="1:14" x14ac:dyDescent="0.25">
      <c r="A14" s="22"/>
      <c r="B14" s="12" t="s">
        <v>80</v>
      </c>
      <c r="C14" s="20" t="s">
        <v>52</v>
      </c>
      <c r="D14" s="19" t="s">
        <v>8</v>
      </c>
      <c r="E14" s="127">
        <f t="shared" si="0"/>
        <v>285893.408839882</v>
      </c>
      <c r="F14" s="123"/>
      <c r="G14" s="123"/>
      <c r="H14" s="123"/>
      <c r="I14" s="123">
        <f t="shared" si="1"/>
        <v>2959823.901550178</v>
      </c>
      <c r="J14" s="123">
        <f t="shared" si="1"/>
        <v>-361322</v>
      </c>
      <c r="K14" s="124"/>
      <c r="L14" s="124"/>
      <c r="M14" s="125">
        <f t="shared" si="2"/>
        <v>0.53656829472679424</v>
      </c>
      <c r="N14" s="69"/>
    </row>
    <row r="15" spans="1:14" x14ac:dyDescent="0.25">
      <c r="A15" s="22"/>
      <c r="B15" s="12" t="s">
        <v>81</v>
      </c>
      <c r="C15" s="20" t="s">
        <v>51</v>
      </c>
      <c r="D15" s="19" t="s">
        <v>8</v>
      </c>
      <c r="E15" s="127">
        <f t="shared" si="0"/>
        <v>315795.07963487168</v>
      </c>
      <c r="F15" s="123"/>
      <c r="G15" s="123"/>
      <c r="H15" s="123"/>
      <c r="I15" s="123">
        <f t="shared" si="1"/>
        <v>2927115.4890542105</v>
      </c>
      <c r="J15" s="123">
        <f t="shared" si="1"/>
        <v>-300258</v>
      </c>
      <c r="K15" s="124"/>
      <c r="L15" s="124"/>
      <c r="M15" s="125">
        <f t="shared" si="2"/>
        <v>0.54926100707118586</v>
      </c>
      <c r="N15" s="69"/>
    </row>
    <row r="16" spans="1:14" x14ac:dyDescent="0.25">
      <c r="A16" s="22"/>
      <c r="B16" s="12" t="s">
        <v>82</v>
      </c>
      <c r="C16" s="20" t="s">
        <v>50</v>
      </c>
      <c r="D16" s="19" t="s">
        <v>8</v>
      </c>
      <c r="E16" s="127">
        <f t="shared" si="0"/>
        <v>1005323.679254651</v>
      </c>
      <c r="F16" s="123"/>
      <c r="G16" s="123"/>
      <c r="H16" s="123"/>
      <c r="I16" s="123">
        <f t="shared" si="1"/>
        <v>11355525.60468277</v>
      </c>
      <c r="J16" s="123">
        <f t="shared" si="1"/>
        <v>-2200526</v>
      </c>
      <c r="K16" s="124"/>
      <c r="L16" s="124"/>
      <c r="M16" s="125">
        <f t="shared" si="2"/>
        <v>2.0070220858959402</v>
      </c>
      <c r="N16" s="69"/>
    </row>
    <row r="17" spans="1:14" x14ac:dyDescent="0.25">
      <c r="A17" s="22"/>
      <c r="B17" s="12" t="s">
        <v>83</v>
      </c>
      <c r="C17" s="20" t="s">
        <v>48</v>
      </c>
      <c r="D17" s="19" t="s">
        <v>47</v>
      </c>
      <c r="E17" s="127">
        <f t="shared" si="0"/>
        <v>846754.03526382905</v>
      </c>
      <c r="F17" s="123"/>
      <c r="G17" s="123"/>
      <c r="H17" s="123"/>
      <c r="I17" s="123">
        <f t="shared" si="1"/>
        <v>8826266.3878871594</v>
      </c>
      <c r="J17" s="123">
        <f t="shared" si="1"/>
        <v>-175667</v>
      </c>
      <c r="K17" s="124"/>
      <c r="L17" s="124"/>
      <c r="M17" s="125">
        <f t="shared" si="2"/>
        <v>1.596799976563605</v>
      </c>
      <c r="N17" s="69"/>
    </row>
    <row r="18" spans="1:14" x14ac:dyDescent="0.25">
      <c r="A18" s="22"/>
      <c r="B18" s="12" t="s">
        <v>87</v>
      </c>
      <c r="C18" s="20" t="s">
        <v>45</v>
      </c>
      <c r="D18" s="19" t="s">
        <v>8</v>
      </c>
      <c r="E18" s="127">
        <f t="shared" si="0"/>
        <v>902461.46639561316</v>
      </c>
      <c r="F18" s="123"/>
      <c r="G18" s="123"/>
      <c r="H18" s="123"/>
      <c r="I18" s="123">
        <f t="shared" si="1"/>
        <v>2019399.4561954346</v>
      </c>
      <c r="J18" s="123">
        <f t="shared" si="1"/>
        <v>-189353.8</v>
      </c>
      <c r="K18" s="124"/>
      <c r="L18" s="124"/>
      <c r="M18" s="125">
        <f t="shared" si="2"/>
        <v>2.4735235738369097</v>
      </c>
      <c r="N18" s="69"/>
    </row>
    <row r="19" spans="1:14" x14ac:dyDescent="0.25">
      <c r="A19" s="22"/>
      <c r="B19" s="12" t="s">
        <v>86</v>
      </c>
      <c r="C19" s="20" t="s">
        <v>46</v>
      </c>
      <c r="D19" s="19" t="s">
        <v>8</v>
      </c>
      <c r="E19" s="127">
        <f t="shared" si="0"/>
        <v>1289202.8635102413</v>
      </c>
      <c r="F19" s="123"/>
      <c r="G19" s="123"/>
      <c r="H19" s="123"/>
      <c r="I19" s="123">
        <f t="shared" si="1"/>
        <v>3727471.1039294316</v>
      </c>
      <c r="J19" s="123">
        <f t="shared" si="1"/>
        <v>-376811.81</v>
      </c>
      <c r="K19" s="124"/>
      <c r="L19" s="124"/>
      <c r="M19" s="125">
        <f t="shared" si="2"/>
        <v>4.1091058208042668</v>
      </c>
      <c r="N19" s="69"/>
    </row>
    <row r="20" spans="1:14" x14ac:dyDescent="0.25">
      <c r="A20" s="22"/>
      <c r="B20" s="12" t="s">
        <v>88</v>
      </c>
      <c r="C20" s="20" t="s">
        <v>45</v>
      </c>
      <c r="D20" s="19" t="s">
        <v>12</v>
      </c>
      <c r="E20" s="127">
        <f t="shared" si="0"/>
        <v>47683.088341997718</v>
      </c>
      <c r="F20" s="123"/>
      <c r="G20" s="123"/>
      <c r="H20" s="123"/>
      <c r="I20" s="123">
        <f t="shared" si="1"/>
        <v>226845.11466440003</v>
      </c>
      <c r="J20" s="123">
        <f t="shared" si="1"/>
        <v>-69338</v>
      </c>
      <c r="K20" s="124"/>
      <c r="L20" s="124"/>
      <c r="M20" s="125">
        <f t="shared" si="2"/>
        <v>2.6560677717462532E-2</v>
      </c>
      <c r="N20" s="69"/>
    </row>
    <row r="21" spans="1:14" x14ac:dyDescent="0.25">
      <c r="A21" s="22"/>
      <c r="B21" s="12" t="s">
        <v>89</v>
      </c>
      <c r="C21" s="20" t="s">
        <v>46</v>
      </c>
      <c r="D21" s="19" t="s">
        <v>12</v>
      </c>
      <c r="E21" s="127">
        <f t="shared" si="0"/>
        <v>48267.469178897962</v>
      </c>
      <c r="F21" s="123"/>
      <c r="G21" s="123"/>
      <c r="H21" s="123"/>
      <c r="I21" s="123">
        <f t="shared" si="1"/>
        <v>124296.2093086364</v>
      </c>
      <c r="J21" s="123">
        <f t="shared" si="1"/>
        <v>-32800</v>
      </c>
      <c r="K21" s="124"/>
      <c r="L21" s="124"/>
      <c r="M21" s="125">
        <f t="shared" si="2"/>
        <v>1.8526540929213527E-2</v>
      </c>
      <c r="N21" s="69"/>
    </row>
    <row r="22" spans="1:14" x14ac:dyDescent="0.25">
      <c r="A22" s="22"/>
      <c r="B22" s="21" t="s">
        <v>90</v>
      </c>
      <c r="C22" s="20" t="s">
        <v>45</v>
      </c>
      <c r="D22" s="19" t="s">
        <v>12</v>
      </c>
      <c r="E22" s="127">
        <f t="shared" si="0"/>
        <v>292829.62353538169</v>
      </c>
      <c r="F22" s="123"/>
      <c r="G22" s="123"/>
      <c r="H22" s="123"/>
      <c r="I22" s="123">
        <f t="shared" si="1"/>
        <v>296126.80123447714</v>
      </c>
      <c r="J22" s="123">
        <f t="shared" si="1"/>
        <v>0</v>
      </c>
      <c r="K22" s="124"/>
      <c r="L22" s="124"/>
      <c r="M22" s="125">
        <f t="shared" si="2"/>
        <v>7.6050507004756879E-2</v>
      </c>
      <c r="N22" s="69"/>
    </row>
    <row r="23" spans="1:14" x14ac:dyDescent="0.25">
      <c r="A23" s="22"/>
      <c r="B23" s="21" t="s">
        <v>91</v>
      </c>
      <c r="C23" s="20" t="s">
        <v>46</v>
      </c>
      <c r="D23" s="19" t="s">
        <v>12</v>
      </c>
      <c r="E23" s="127">
        <f t="shared" si="0"/>
        <v>281368.38626242097</v>
      </c>
      <c r="F23" s="123"/>
      <c r="G23" s="123"/>
      <c r="H23" s="123"/>
      <c r="I23" s="123">
        <f t="shared" ref="I23:J38" si="3">G381</f>
        <v>200379.45937426967</v>
      </c>
      <c r="J23" s="123">
        <f t="shared" si="3"/>
        <v>0</v>
      </c>
      <c r="K23" s="124"/>
      <c r="L23" s="124"/>
      <c r="M23" s="125">
        <f t="shared" si="2"/>
        <v>6.639462359698349E-2</v>
      </c>
      <c r="N23" s="69"/>
    </row>
    <row r="24" spans="1:14" x14ac:dyDescent="0.25">
      <c r="A24" s="22"/>
      <c r="B24" s="12" t="s">
        <v>141</v>
      </c>
      <c r="C24" s="20" t="s">
        <v>46</v>
      </c>
      <c r="D24" s="19" t="s">
        <v>8</v>
      </c>
      <c r="E24" s="127">
        <f t="shared" si="0"/>
        <v>176300.99016316465</v>
      </c>
      <c r="F24" s="123"/>
      <c r="G24" s="123"/>
      <c r="H24" s="123"/>
      <c r="I24" s="123">
        <f t="shared" si="3"/>
        <v>84538.018782993211</v>
      </c>
      <c r="J24" s="123">
        <f t="shared" si="3"/>
        <v>-33117</v>
      </c>
      <c r="K24" s="124"/>
      <c r="L24" s="124"/>
      <c r="M24" s="125">
        <f t="shared" si="2"/>
        <v>3.8346458137245278E-2</v>
      </c>
      <c r="N24" s="69"/>
    </row>
    <row r="25" spans="1:14" x14ac:dyDescent="0.25">
      <c r="A25" s="22"/>
      <c r="B25" s="12" t="s">
        <v>142</v>
      </c>
      <c r="C25" s="20" t="s">
        <v>45</v>
      </c>
      <c r="D25" s="19" t="s">
        <v>8</v>
      </c>
      <c r="E25" s="127">
        <f t="shared" si="0"/>
        <v>134631.89338597673</v>
      </c>
      <c r="F25" s="123"/>
      <c r="G25" s="123"/>
      <c r="H25" s="123"/>
      <c r="I25" s="123">
        <f t="shared" si="3"/>
        <v>320771.8942928561</v>
      </c>
      <c r="J25" s="123">
        <f t="shared" si="3"/>
        <v>-37921.39</v>
      </c>
      <c r="K25" s="124"/>
      <c r="L25" s="124"/>
      <c r="M25" s="125">
        <f t="shared" si="2"/>
        <v>4.9618189732721661E-2</v>
      </c>
      <c r="N25" s="69"/>
    </row>
    <row r="26" spans="1:14" x14ac:dyDescent="0.25">
      <c r="A26" s="22"/>
      <c r="B26" s="21" t="s">
        <v>92</v>
      </c>
      <c r="C26" s="20" t="s">
        <v>44</v>
      </c>
      <c r="D26" s="19" t="s">
        <v>8</v>
      </c>
      <c r="E26" s="127">
        <f t="shared" si="0"/>
        <v>447302.61101895542</v>
      </c>
      <c r="F26" s="123"/>
      <c r="G26" s="123"/>
      <c r="H26" s="123"/>
      <c r="I26" s="123">
        <f t="shared" si="3"/>
        <v>3443501.6235908926</v>
      </c>
      <c r="J26" s="123">
        <f t="shared" si="3"/>
        <v>-2162193.54</v>
      </c>
      <c r="K26" s="124"/>
      <c r="L26" s="124"/>
      <c r="M26" s="125">
        <f t="shared" si="2"/>
        <v>0.35356825384872437</v>
      </c>
      <c r="N26" s="69"/>
    </row>
    <row r="27" spans="1:14" x14ac:dyDescent="0.25">
      <c r="A27" s="22"/>
      <c r="B27" s="21" t="s">
        <v>93</v>
      </c>
      <c r="C27" s="20" t="s">
        <v>43</v>
      </c>
      <c r="D27" s="19" t="s">
        <v>8</v>
      </c>
      <c r="E27" s="127">
        <f t="shared" si="0"/>
        <v>243890.77413358926</v>
      </c>
      <c r="F27" s="123"/>
      <c r="G27" s="123"/>
      <c r="H27" s="123"/>
      <c r="I27" s="123">
        <f t="shared" si="3"/>
        <v>1050435.9239532084</v>
      </c>
      <c r="J27" s="123">
        <f t="shared" si="3"/>
        <v>-407370</v>
      </c>
      <c r="K27" s="124"/>
      <c r="L27" s="124"/>
      <c r="M27" s="125">
        <f t="shared" si="2"/>
        <v>0.12713579170821201</v>
      </c>
      <c r="N27" s="69"/>
    </row>
    <row r="28" spans="1:14" x14ac:dyDescent="0.25">
      <c r="A28" s="22"/>
      <c r="B28" s="21" t="s">
        <v>94</v>
      </c>
      <c r="C28" s="20" t="s">
        <v>42</v>
      </c>
      <c r="D28" s="19" t="s">
        <v>12</v>
      </c>
      <c r="E28" s="127">
        <f t="shared" si="0"/>
        <v>531065.29202253115</v>
      </c>
      <c r="F28" s="123"/>
      <c r="G28" s="123"/>
      <c r="H28" s="123"/>
      <c r="I28" s="123">
        <f t="shared" si="3"/>
        <v>1410616.0701942742</v>
      </c>
      <c r="J28" s="123">
        <f t="shared" si="3"/>
        <v>0</v>
      </c>
      <c r="K28" s="124"/>
      <c r="L28" s="124"/>
      <c r="M28" s="125">
        <f t="shared" si="2"/>
        <v>0.96808789334843914</v>
      </c>
      <c r="N28" s="69"/>
    </row>
    <row r="29" spans="1:14" x14ac:dyDescent="0.25">
      <c r="A29" s="22"/>
      <c r="B29" s="21" t="s">
        <v>95</v>
      </c>
      <c r="C29" s="20" t="s">
        <v>41</v>
      </c>
      <c r="D29" s="19" t="s">
        <v>12</v>
      </c>
      <c r="E29" s="127">
        <f t="shared" si="0"/>
        <v>410441.60031974589</v>
      </c>
      <c r="F29" s="123"/>
      <c r="G29" s="123"/>
      <c r="H29" s="123"/>
      <c r="I29" s="123">
        <f t="shared" si="3"/>
        <v>88798.940108536568</v>
      </c>
      <c r="J29" s="123">
        <f t="shared" si="3"/>
        <v>0</v>
      </c>
      <c r="K29" s="124"/>
      <c r="L29" s="124"/>
      <c r="M29" s="125">
        <f t="shared" si="2"/>
        <v>6.8154464193476123</v>
      </c>
      <c r="N29" s="69"/>
    </row>
    <row r="30" spans="1:14" x14ac:dyDescent="0.25">
      <c r="A30" s="22"/>
      <c r="B30" s="21" t="s">
        <v>40</v>
      </c>
      <c r="C30" s="20"/>
      <c r="D30" s="19"/>
      <c r="E30" s="127">
        <f t="shared" si="0"/>
        <v>20483030.791725814</v>
      </c>
      <c r="F30" s="123"/>
      <c r="G30" s="123"/>
      <c r="H30" s="123"/>
      <c r="I30" s="123">
        <f t="shared" si="3"/>
        <v>34169202.545759678</v>
      </c>
      <c r="J30" s="123">
        <f t="shared" si="3"/>
        <v>0</v>
      </c>
      <c r="K30" s="124"/>
      <c r="L30" s="124"/>
      <c r="M30" s="125">
        <f t="shared" si="2"/>
        <v>11.765816430081282</v>
      </c>
      <c r="N30" s="69"/>
    </row>
    <row r="31" spans="1:14" x14ac:dyDescent="0.25">
      <c r="A31" s="22"/>
      <c r="B31" s="21" t="s">
        <v>39</v>
      </c>
      <c r="C31" s="20"/>
      <c r="D31" s="19" t="s">
        <v>8</v>
      </c>
      <c r="E31" s="127">
        <f t="shared" si="0"/>
        <v>66009.8419377932</v>
      </c>
      <c r="F31" s="123"/>
      <c r="G31" s="123"/>
      <c r="H31" s="123"/>
      <c r="I31" s="123">
        <f t="shared" si="3"/>
        <v>719388.68975622952</v>
      </c>
      <c r="J31" s="123">
        <f t="shared" si="3"/>
        <v>-154102</v>
      </c>
      <c r="K31" s="124"/>
      <c r="L31" s="124"/>
      <c r="M31" s="125">
        <f t="shared" si="2"/>
        <v>6.8941109010338605E-2</v>
      </c>
      <c r="N31" s="69"/>
    </row>
    <row r="32" spans="1:14" x14ac:dyDescent="0.25">
      <c r="A32" s="22"/>
      <c r="B32" s="21" t="s">
        <v>38</v>
      </c>
      <c r="C32" s="20"/>
      <c r="D32" s="19" t="s">
        <v>8</v>
      </c>
      <c r="E32" s="127">
        <f t="shared" si="0"/>
        <v>992104.59933212656</v>
      </c>
      <c r="F32" s="123"/>
      <c r="G32" s="123"/>
      <c r="H32" s="123"/>
      <c r="I32" s="123">
        <f t="shared" si="3"/>
        <v>10801326.307459395</v>
      </c>
      <c r="J32" s="123">
        <f t="shared" si="3"/>
        <v>0</v>
      </c>
      <c r="K32" s="124"/>
      <c r="L32" s="124"/>
      <c r="M32" s="125">
        <f t="shared" si="2"/>
        <v>3.7272578151470626</v>
      </c>
      <c r="N32" s="69"/>
    </row>
    <row r="33" spans="1:14" x14ac:dyDescent="0.25">
      <c r="A33" s="22"/>
      <c r="B33" s="21" t="s">
        <v>37</v>
      </c>
      <c r="C33" s="20"/>
      <c r="D33" s="19" t="s">
        <v>8</v>
      </c>
      <c r="E33" s="127">
        <f t="shared" si="0"/>
        <v>1161008.3950159445</v>
      </c>
      <c r="F33" s="123"/>
      <c r="G33" s="123"/>
      <c r="H33" s="123"/>
      <c r="I33" s="123">
        <f t="shared" si="3"/>
        <v>7587712.3003952466</v>
      </c>
      <c r="J33" s="123">
        <f t="shared" si="3"/>
        <v>-1352028.74</v>
      </c>
      <c r="K33" s="124"/>
      <c r="L33" s="124"/>
      <c r="M33" s="125">
        <f t="shared" si="2"/>
        <v>3.1746593572502233</v>
      </c>
      <c r="N33" s="69"/>
    </row>
    <row r="34" spans="1:14" x14ac:dyDescent="0.25">
      <c r="A34" s="22"/>
      <c r="B34" s="21" t="s">
        <v>36</v>
      </c>
      <c r="C34" s="20"/>
      <c r="D34" s="19" t="s">
        <v>8</v>
      </c>
      <c r="E34" s="127">
        <f t="shared" si="0"/>
        <v>0</v>
      </c>
      <c r="F34" s="123"/>
      <c r="G34" s="123"/>
      <c r="H34" s="123"/>
      <c r="I34" s="123">
        <f t="shared" si="3"/>
        <v>0</v>
      </c>
      <c r="J34" s="123">
        <f t="shared" si="3"/>
        <v>0</v>
      </c>
      <c r="K34" s="124"/>
      <c r="L34" s="124"/>
      <c r="M34" s="125">
        <f t="shared" si="2"/>
        <v>0</v>
      </c>
      <c r="N34" s="69"/>
    </row>
    <row r="35" spans="1:14" x14ac:dyDescent="0.25">
      <c r="A35" s="22"/>
      <c r="B35" s="21" t="s">
        <v>35</v>
      </c>
      <c r="C35" s="20"/>
      <c r="D35" s="19" t="s">
        <v>12</v>
      </c>
      <c r="E35" s="127">
        <f t="shared" si="0"/>
        <v>376249.87080080953</v>
      </c>
      <c r="F35" s="123"/>
      <c r="G35" s="123"/>
      <c r="H35" s="123"/>
      <c r="I35" s="123">
        <f t="shared" si="3"/>
        <v>424403.08795202931</v>
      </c>
      <c r="J35" s="123">
        <f t="shared" si="3"/>
        <v>-244214.99</v>
      </c>
      <c r="K35" s="124"/>
      <c r="L35" s="124"/>
      <c r="M35" s="125">
        <f t="shared" si="2"/>
        <v>0.1012010437380067</v>
      </c>
      <c r="N35" s="69"/>
    </row>
    <row r="36" spans="1:14" x14ac:dyDescent="0.25">
      <c r="A36" s="22"/>
      <c r="B36" s="21" t="s">
        <v>34</v>
      </c>
      <c r="C36" s="20"/>
      <c r="D36" s="19" t="s">
        <v>12</v>
      </c>
      <c r="E36" s="127">
        <f t="shared" si="0"/>
        <v>521407.95574551797</v>
      </c>
      <c r="F36" s="123"/>
      <c r="G36" s="123"/>
      <c r="H36" s="123"/>
      <c r="I36" s="123">
        <f t="shared" si="3"/>
        <v>8674.5314445138683</v>
      </c>
      <c r="J36" s="123">
        <f t="shared" si="3"/>
        <v>0</v>
      </c>
      <c r="K36" s="124"/>
      <c r="L36" s="124"/>
      <c r="M36" s="125">
        <f t="shared" si="2"/>
        <v>0.62710572776753148</v>
      </c>
      <c r="N36" s="69"/>
    </row>
    <row r="37" spans="1:14" x14ac:dyDescent="0.25">
      <c r="A37" s="22"/>
      <c r="B37" s="21" t="s">
        <v>33</v>
      </c>
      <c r="C37" s="20"/>
      <c r="D37" s="19" t="s">
        <v>12</v>
      </c>
      <c r="E37" s="127">
        <f t="shared" si="0"/>
        <v>1285216.0059584887</v>
      </c>
      <c r="F37" s="123"/>
      <c r="G37" s="123"/>
      <c r="H37" s="123"/>
      <c r="I37" s="123">
        <f t="shared" si="3"/>
        <v>9923833.7610103507</v>
      </c>
      <c r="J37" s="123">
        <f t="shared" si="3"/>
        <v>-2764014.91</v>
      </c>
      <c r="K37" s="124"/>
      <c r="L37" s="124"/>
      <c r="M37" s="125">
        <f t="shared" si="2"/>
        <v>3.8724632446530292</v>
      </c>
      <c r="N37" s="69"/>
    </row>
    <row r="38" spans="1:14" x14ac:dyDescent="0.25">
      <c r="A38" s="22"/>
      <c r="B38" s="21" t="s">
        <v>32</v>
      </c>
      <c r="C38" s="20"/>
      <c r="D38" s="19" t="s">
        <v>8</v>
      </c>
      <c r="E38" s="127">
        <f t="shared" si="0"/>
        <v>250774.65648173474</v>
      </c>
      <c r="F38" s="1077"/>
      <c r="G38" s="1077"/>
      <c r="H38" s="1077"/>
      <c r="I38" s="123">
        <f t="shared" si="3"/>
        <v>1193254.4687212778</v>
      </c>
      <c r="J38" s="123">
        <f t="shared" si="3"/>
        <v>0</v>
      </c>
      <c r="K38" s="124"/>
      <c r="L38" s="124"/>
      <c r="M38" s="125">
        <f t="shared" si="2"/>
        <v>0.58100149434089066</v>
      </c>
      <c r="N38" s="69"/>
    </row>
    <row r="39" spans="1:14" x14ac:dyDescent="0.25">
      <c r="A39" s="22"/>
      <c r="B39" s="21" t="s">
        <v>31</v>
      </c>
      <c r="C39" s="20" t="s">
        <v>30</v>
      </c>
      <c r="D39" s="19" t="s">
        <v>12</v>
      </c>
      <c r="E39" s="127">
        <f t="shared" si="0"/>
        <v>761442.7444307874</v>
      </c>
      <c r="F39" s="123"/>
      <c r="G39" s="123"/>
      <c r="H39" s="123"/>
      <c r="I39" s="123">
        <f t="shared" ref="I39:J46" si="4">G397</f>
        <v>55585.825714147984</v>
      </c>
      <c r="J39" s="123">
        <f t="shared" si="4"/>
        <v>0</v>
      </c>
      <c r="K39" s="124"/>
      <c r="L39" s="124"/>
      <c r="M39" s="125">
        <f t="shared" si="2"/>
        <v>7.6706173608383912</v>
      </c>
      <c r="N39" s="69"/>
    </row>
    <row r="40" spans="1:14" x14ac:dyDescent="0.25">
      <c r="A40" s="22"/>
      <c r="B40" s="21" t="s">
        <v>29</v>
      </c>
      <c r="C40" s="20"/>
      <c r="D40" s="19" t="s">
        <v>8</v>
      </c>
      <c r="E40" s="127">
        <f t="shared" si="0"/>
        <v>13113.480112922436</v>
      </c>
      <c r="F40" s="1078"/>
      <c r="G40" s="1078"/>
      <c r="H40" s="1078"/>
      <c r="I40" s="123">
        <f t="shared" si="4"/>
        <v>132.15668723678704</v>
      </c>
      <c r="J40" s="123">
        <f t="shared" si="4"/>
        <v>0</v>
      </c>
      <c r="K40" s="124"/>
      <c r="L40" s="124"/>
      <c r="M40" s="125">
        <f t="shared" si="2"/>
        <v>2.3636815595948755E-3</v>
      </c>
      <c r="N40" s="69"/>
    </row>
    <row r="41" spans="1:14" x14ac:dyDescent="0.25">
      <c r="A41" s="22"/>
      <c r="B41" s="21" t="s">
        <v>28</v>
      </c>
      <c r="C41" s="20"/>
      <c r="D41" s="19" t="s">
        <v>12</v>
      </c>
      <c r="E41" s="127">
        <f t="shared" si="0"/>
        <v>1280959.626102336</v>
      </c>
      <c r="F41" s="123"/>
      <c r="G41" s="123"/>
      <c r="H41" s="123"/>
      <c r="I41" s="123">
        <f t="shared" si="4"/>
        <v>97116.223398479488</v>
      </c>
      <c r="J41" s="123">
        <f t="shared" si="4"/>
        <v>0</v>
      </c>
      <c r="K41" s="124"/>
      <c r="L41" s="124"/>
      <c r="M41" s="125">
        <f t="shared" si="2"/>
        <v>10.994096829105008</v>
      </c>
      <c r="N41" s="69"/>
    </row>
    <row r="42" spans="1:14" x14ac:dyDescent="0.25">
      <c r="A42" s="22"/>
      <c r="B42" s="21" t="s">
        <v>27</v>
      </c>
      <c r="C42" s="20" t="s">
        <v>26</v>
      </c>
      <c r="D42" s="19" t="s">
        <v>12</v>
      </c>
      <c r="E42" s="127">
        <f t="shared" si="0"/>
        <v>709491.29660351959</v>
      </c>
      <c r="F42" s="123"/>
      <c r="G42" s="123"/>
      <c r="H42" s="123"/>
      <c r="I42" s="123">
        <f t="shared" si="4"/>
        <v>47056.661640314058</v>
      </c>
      <c r="J42" s="123">
        <f t="shared" si="4"/>
        <v>0</v>
      </c>
      <c r="K42" s="124"/>
      <c r="L42" s="124"/>
      <c r="M42" s="125">
        <f t="shared" si="2"/>
        <v>9.8119223997033096</v>
      </c>
      <c r="N42" s="69"/>
    </row>
    <row r="43" spans="1:14" x14ac:dyDescent="0.25">
      <c r="A43" s="22"/>
      <c r="B43" s="21" t="s">
        <v>24</v>
      </c>
      <c r="C43" s="20"/>
      <c r="D43" s="19" t="s">
        <v>12</v>
      </c>
      <c r="E43" s="127">
        <f t="shared" si="0"/>
        <v>2192269.2549079903</v>
      </c>
      <c r="F43" s="123"/>
      <c r="G43" s="123"/>
      <c r="H43" s="123"/>
      <c r="I43" s="123">
        <f t="shared" si="4"/>
        <v>268078.04658314015</v>
      </c>
      <c r="J43" s="123">
        <f t="shared" si="4"/>
        <v>0</v>
      </c>
      <c r="K43" s="124"/>
      <c r="L43" s="124"/>
      <c r="M43" s="125">
        <f t="shared" si="2"/>
        <v>11.338609248916629</v>
      </c>
      <c r="N43" s="69"/>
    </row>
    <row r="44" spans="1:14" x14ac:dyDescent="0.25">
      <c r="A44" s="22"/>
      <c r="B44" s="21" t="s">
        <v>23</v>
      </c>
      <c r="C44" s="20"/>
      <c r="D44" s="19" t="s">
        <v>12</v>
      </c>
      <c r="E44" s="127">
        <f t="shared" si="0"/>
        <v>2331577.0625043754</v>
      </c>
      <c r="F44" s="123"/>
      <c r="G44" s="123"/>
      <c r="H44" s="123"/>
      <c r="I44" s="123">
        <f t="shared" si="4"/>
        <v>105708.27119566026</v>
      </c>
      <c r="J44" s="123">
        <f t="shared" si="4"/>
        <v>0</v>
      </c>
      <c r="K44" s="124"/>
      <c r="L44" s="124"/>
      <c r="M44" s="125">
        <f t="shared" si="2"/>
        <v>17.469813417283511</v>
      </c>
      <c r="N44" s="69"/>
    </row>
    <row r="45" spans="1:14" x14ac:dyDescent="0.25">
      <c r="A45" s="22"/>
      <c r="B45" s="21" t="s">
        <v>19</v>
      </c>
      <c r="C45" s="20"/>
      <c r="D45" s="19" t="s">
        <v>18</v>
      </c>
      <c r="E45" s="127">
        <f t="shared" si="0"/>
        <v>6724121.5721041234</v>
      </c>
      <c r="F45" s="123"/>
      <c r="G45" s="123"/>
      <c r="H45" s="123"/>
      <c r="I45" s="123">
        <f t="shared" si="4"/>
        <v>549725.32426308969</v>
      </c>
      <c r="J45" s="123">
        <f t="shared" si="4"/>
        <v>-407370</v>
      </c>
      <c r="K45" s="124"/>
      <c r="L45" s="124"/>
      <c r="M45" s="125">
        <f t="shared" si="2"/>
        <v>43.200701984565129</v>
      </c>
      <c r="N45" s="69"/>
    </row>
    <row r="46" spans="1:14" x14ac:dyDescent="0.25">
      <c r="A46" s="22"/>
      <c r="B46" s="21" t="s">
        <v>17</v>
      </c>
      <c r="C46" s="20"/>
      <c r="D46" s="19" t="s">
        <v>16</v>
      </c>
      <c r="E46" s="127">
        <f t="shared" si="0"/>
        <v>278187.41107131878</v>
      </c>
      <c r="F46" s="123"/>
      <c r="G46" s="123"/>
      <c r="H46" s="123"/>
      <c r="I46" s="123">
        <f t="shared" si="4"/>
        <v>2803.5522501715659</v>
      </c>
      <c r="J46" s="123">
        <f t="shared" si="4"/>
        <v>0</v>
      </c>
      <c r="K46" s="124"/>
      <c r="L46" s="124"/>
      <c r="M46" s="125">
        <f t="shared" si="2"/>
        <v>5.014278803174059E-2</v>
      </c>
      <c r="N46" s="69"/>
    </row>
    <row r="47" spans="1:14" x14ac:dyDescent="0.25">
      <c r="B47" s="12"/>
      <c r="C47" s="71"/>
      <c r="D47" s="46"/>
      <c r="E47" s="79"/>
      <c r="F47" s="79"/>
      <c r="G47" s="79"/>
      <c r="H47" s="79"/>
      <c r="I47" s="79"/>
      <c r="J47" s="79"/>
      <c r="K47" s="1079"/>
      <c r="L47" s="1079"/>
      <c r="M47" s="150"/>
      <c r="N47" s="69"/>
    </row>
    <row r="48" spans="1:14" ht="15.75" thickBot="1" x14ac:dyDescent="0.3">
      <c r="B48" s="9"/>
      <c r="C48" s="7"/>
      <c r="D48" s="128" t="s">
        <v>6</v>
      </c>
      <c r="E48" s="129">
        <f>SUM(E6:E46)</f>
        <v>52888694.960000008</v>
      </c>
      <c r="F48" s="129"/>
      <c r="G48" s="129"/>
      <c r="H48" s="129"/>
      <c r="I48" s="129">
        <f>SUM(I6:I46)</f>
        <v>125801471.436</v>
      </c>
      <c r="J48" s="129">
        <f>SUM(J6:J46)</f>
        <v>-15131853.49</v>
      </c>
      <c r="K48" s="129">
        <f>SUM(K6:K46)</f>
        <v>0</v>
      </c>
      <c r="L48" s="129">
        <f>SUM(L6:L46)</f>
        <v>0</v>
      </c>
      <c r="M48" s="151">
        <f>SUM(M6:M46)</f>
        <v>151.65999999999997</v>
      </c>
      <c r="N48" s="69"/>
    </row>
    <row r="49" spans="1:14" x14ac:dyDescent="0.25">
      <c r="B49" s="71"/>
      <c r="C49" s="71"/>
      <c r="D49" s="411"/>
      <c r="E49" s="126">
        <f>E48-E104</f>
        <v>0</v>
      </c>
      <c r="F49" s="126"/>
      <c r="G49" s="126"/>
      <c r="H49" s="126"/>
      <c r="I49" s="126">
        <f>I48-I104</f>
        <v>0</v>
      </c>
      <c r="J49" s="126">
        <f>J48-J104</f>
        <v>0</v>
      </c>
      <c r="K49" s="126"/>
      <c r="L49" s="126"/>
      <c r="M49" s="126">
        <f>M48-M104</f>
        <v>0</v>
      </c>
      <c r="N49" s="69"/>
    </row>
    <row r="50" spans="1:14" x14ac:dyDescent="0.25">
      <c r="B50" s="71"/>
      <c r="C50" s="71"/>
      <c r="D50" s="411"/>
      <c r="E50" s="126"/>
      <c r="F50" s="126"/>
      <c r="G50" s="126"/>
      <c r="H50" s="126"/>
      <c r="I50" s="126"/>
      <c r="J50" s="126"/>
      <c r="K50" s="126"/>
      <c r="L50" s="126"/>
      <c r="M50" s="126"/>
      <c r="N50" s="69"/>
    </row>
    <row r="51" spans="1:14" ht="15.75" thickBot="1" x14ac:dyDescent="0.3">
      <c r="B51" s="69" t="s">
        <v>158</v>
      </c>
      <c r="C51" s="69"/>
      <c r="D51" s="27"/>
      <c r="E51" s="69"/>
      <c r="F51" s="69"/>
      <c r="G51" s="69"/>
      <c r="H51" s="69"/>
      <c r="I51" s="69"/>
      <c r="J51" s="69"/>
      <c r="K51" s="69"/>
      <c r="L51" s="69"/>
      <c r="M51" s="69"/>
      <c r="N51" s="69"/>
    </row>
    <row r="52" spans="1:14" x14ac:dyDescent="0.25">
      <c r="B52" s="1335" t="s">
        <v>66</v>
      </c>
      <c r="C52" s="1337" t="s">
        <v>65</v>
      </c>
      <c r="D52" s="1337" t="s">
        <v>64</v>
      </c>
      <c r="E52" s="72" t="s">
        <v>63</v>
      </c>
      <c r="F52" s="72" t="s">
        <v>63</v>
      </c>
      <c r="G52" s="72" t="s">
        <v>63</v>
      </c>
      <c r="H52" s="72" t="s">
        <v>63</v>
      </c>
      <c r="I52" s="1340" t="s">
        <v>1034</v>
      </c>
      <c r="J52" s="1337" t="s">
        <v>754</v>
      </c>
      <c r="K52" s="1325" t="s">
        <v>62</v>
      </c>
      <c r="L52" s="1329" t="s">
        <v>61</v>
      </c>
      <c r="M52" s="1329" t="s">
        <v>1035</v>
      </c>
      <c r="N52" s="1327" t="s">
        <v>60</v>
      </c>
    </row>
    <row r="53" spans="1:14" ht="15.75" thickBot="1" x14ac:dyDescent="0.3">
      <c r="B53" s="1336"/>
      <c r="C53" s="1338"/>
      <c r="D53" s="1338"/>
      <c r="E53" s="1080" t="s">
        <v>1036</v>
      </c>
      <c r="F53" s="1080" t="s">
        <v>840</v>
      </c>
      <c r="G53" s="1080" t="s">
        <v>1037</v>
      </c>
      <c r="H53" s="1080" t="s">
        <v>1038</v>
      </c>
      <c r="I53" s="1341"/>
      <c r="J53" s="1338"/>
      <c r="K53" s="1332"/>
      <c r="L53" s="1328"/>
      <c r="M53" s="1328"/>
      <c r="N53" s="1328"/>
    </row>
    <row r="54" spans="1:14" x14ac:dyDescent="0.25">
      <c r="A54" s="22">
        <v>1</v>
      </c>
      <c r="B54" s="18" t="s">
        <v>72</v>
      </c>
      <c r="C54" s="24" t="s">
        <v>59</v>
      </c>
      <c r="D54" s="23" t="s">
        <v>12</v>
      </c>
      <c r="E54" s="98">
        <v>1439148</v>
      </c>
      <c r="F54" s="1081">
        <v>1358510.496945</v>
      </c>
      <c r="G54" s="1081">
        <v>1358510.496945</v>
      </c>
      <c r="H54" s="1081">
        <v>1358510.496945</v>
      </c>
      <c r="I54" s="95">
        <v>4503886.1599999992</v>
      </c>
      <c r="J54" s="95">
        <v>0</v>
      </c>
      <c r="K54" s="96">
        <v>0</v>
      </c>
      <c r="L54" s="97">
        <v>0</v>
      </c>
      <c r="M54" s="122">
        <f>K54+L54</f>
        <v>0</v>
      </c>
      <c r="N54" s="1082" t="s">
        <v>7</v>
      </c>
    </row>
    <row r="55" spans="1:14" x14ac:dyDescent="0.25">
      <c r="A55" s="22">
        <v>2</v>
      </c>
      <c r="B55" s="12" t="s">
        <v>73</v>
      </c>
      <c r="C55" s="20" t="s">
        <v>58</v>
      </c>
      <c r="D55" s="19" t="s">
        <v>12</v>
      </c>
      <c r="E55" s="100">
        <v>605678</v>
      </c>
      <c r="F55" s="92">
        <v>531399.86399999994</v>
      </c>
      <c r="G55" s="92">
        <v>547166.76</v>
      </c>
      <c r="H55" s="100">
        <v>547166.76</v>
      </c>
      <c r="I55" s="92">
        <v>588041.27000000014</v>
      </c>
      <c r="J55" s="99">
        <v>0</v>
      </c>
      <c r="K55" s="93">
        <v>0</v>
      </c>
      <c r="L55" s="94">
        <v>0</v>
      </c>
      <c r="M55" s="125">
        <f t="shared" ref="M55:M102" si="5">K55+L55</f>
        <v>0</v>
      </c>
      <c r="N55" s="335" t="s">
        <v>7</v>
      </c>
    </row>
    <row r="56" spans="1:14" x14ac:dyDescent="0.25">
      <c r="A56" s="22">
        <v>3</v>
      </c>
      <c r="B56" s="12" t="s">
        <v>74</v>
      </c>
      <c r="C56" s="20" t="s">
        <v>57</v>
      </c>
      <c r="D56" s="19" t="s">
        <v>8</v>
      </c>
      <c r="E56" s="100">
        <v>741637</v>
      </c>
      <c r="F56" s="100">
        <v>672922.35867124004</v>
      </c>
      <c r="G56" s="100">
        <v>730702.30231000017</v>
      </c>
      <c r="H56" s="100">
        <v>730702.30231000017</v>
      </c>
      <c r="I56" s="92">
        <v>175396.95</v>
      </c>
      <c r="J56" s="99">
        <v>-153341.78</v>
      </c>
      <c r="K56" s="93">
        <v>0</v>
      </c>
      <c r="L56" s="94">
        <v>0</v>
      </c>
      <c r="M56" s="125">
        <f t="shared" si="5"/>
        <v>0</v>
      </c>
      <c r="N56" s="335" t="s">
        <v>7</v>
      </c>
    </row>
    <row r="57" spans="1:14" x14ac:dyDescent="0.25">
      <c r="A57" s="22">
        <v>4</v>
      </c>
      <c r="B57" s="12" t="s">
        <v>75</v>
      </c>
      <c r="C57" s="20" t="s">
        <v>46</v>
      </c>
      <c r="D57" s="19" t="s">
        <v>8</v>
      </c>
      <c r="E57" s="92">
        <v>246109</v>
      </c>
      <c r="F57" s="92">
        <v>536218.89000000013</v>
      </c>
      <c r="G57" s="92">
        <v>662220</v>
      </c>
      <c r="H57" s="92">
        <v>660870.04999999993</v>
      </c>
      <c r="I57" s="92">
        <f>2104487.93</f>
        <v>2104487.9300000002</v>
      </c>
      <c r="J57" s="92">
        <v>-1034346.36</v>
      </c>
      <c r="K57" s="93">
        <v>0</v>
      </c>
      <c r="L57" s="94">
        <v>0</v>
      </c>
      <c r="M57" s="125">
        <f t="shared" si="5"/>
        <v>0</v>
      </c>
      <c r="N57" s="335" t="s">
        <v>7</v>
      </c>
    </row>
    <row r="58" spans="1:14" x14ac:dyDescent="0.25">
      <c r="A58" s="22">
        <v>5</v>
      </c>
      <c r="B58" s="12" t="s">
        <v>76</v>
      </c>
      <c r="C58" s="20" t="s">
        <v>51</v>
      </c>
      <c r="D58" s="19" t="s">
        <v>8</v>
      </c>
      <c r="E58" s="92">
        <v>1005515</v>
      </c>
      <c r="F58" s="92">
        <v>973899.43673000019</v>
      </c>
      <c r="G58" s="92">
        <v>993377.41766460019</v>
      </c>
      <c r="H58" s="92">
        <v>1013244.9676178921</v>
      </c>
      <c r="I58" s="92">
        <v>1278608.8500000001</v>
      </c>
      <c r="J58" s="92">
        <v>-304289.15000000002</v>
      </c>
      <c r="K58" s="93">
        <v>0</v>
      </c>
      <c r="L58" s="94">
        <v>0</v>
      </c>
      <c r="M58" s="125">
        <f t="shared" si="5"/>
        <v>0</v>
      </c>
      <c r="N58" s="335" t="s">
        <v>7</v>
      </c>
    </row>
    <row r="59" spans="1:14" ht="15.75" thickBot="1" x14ac:dyDescent="0.3">
      <c r="A59" s="22">
        <v>6</v>
      </c>
      <c r="B59" s="1083" t="s">
        <v>56</v>
      </c>
      <c r="C59" s="1084" t="s">
        <v>55</v>
      </c>
      <c r="D59" s="1085" t="s">
        <v>8</v>
      </c>
      <c r="E59" s="1086">
        <v>5293</v>
      </c>
      <c r="F59" s="1086">
        <v>-3374.8209500000007</v>
      </c>
      <c r="G59" s="1086">
        <v>-3396.0497582500002</v>
      </c>
      <c r="H59" s="1086">
        <v>-3417.1778695512508</v>
      </c>
      <c r="I59" s="1086">
        <v>133556.43</v>
      </c>
      <c r="J59" s="1086">
        <v>0</v>
      </c>
      <c r="K59" s="1087">
        <v>2</v>
      </c>
      <c r="L59" s="1088">
        <v>1</v>
      </c>
      <c r="M59" s="132">
        <f t="shared" si="5"/>
        <v>3</v>
      </c>
      <c r="N59" s="1089" t="s">
        <v>7</v>
      </c>
    </row>
    <row r="60" spans="1:14" x14ac:dyDescent="0.25">
      <c r="A60" s="22">
        <v>7</v>
      </c>
      <c r="B60" s="1090" t="s">
        <v>49</v>
      </c>
      <c r="C60" s="1091" t="s">
        <v>54</v>
      </c>
      <c r="D60" s="1092" t="s">
        <v>8</v>
      </c>
      <c r="E60" s="1093">
        <v>15660</v>
      </c>
      <c r="F60" s="1093">
        <v>14000</v>
      </c>
      <c r="G60" s="1093">
        <v>14000</v>
      </c>
      <c r="H60" s="1093">
        <v>14000</v>
      </c>
      <c r="I60" s="1093">
        <v>32635.770000000004</v>
      </c>
      <c r="J60" s="1094">
        <v>0</v>
      </c>
      <c r="K60" s="1095">
        <v>3</v>
      </c>
      <c r="L60" s="1096">
        <v>0.33</v>
      </c>
      <c r="M60" s="133">
        <f t="shared" si="5"/>
        <v>3.33</v>
      </c>
      <c r="N60" s="335" t="s">
        <v>7</v>
      </c>
    </row>
    <row r="61" spans="1:14" x14ac:dyDescent="0.25">
      <c r="A61" s="22">
        <v>8</v>
      </c>
      <c r="B61" s="12" t="s">
        <v>77</v>
      </c>
      <c r="C61" s="20" t="s">
        <v>44</v>
      </c>
      <c r="D61" s="19" t="s">
        <v>8</v>
      </c>
      <c r="E61" s="92">
        <v>1646186</v>
      </c>
      <c r="F61" s="92">
        <v>1651619.6754304238</v>
      </c>
      <c r="G61" s="92">
        <v>1809736.7734275949</v>
      </c>
      <c r="H61" s="92">
        <v>2171768.2043019976</v>
      </c>
      <c r="I61" s="92">
        <v>7499488.5700000003</v>
      </c>
      <c r="J61" s="106">
        <v>-1616399.02</v>
      </c>
      <c r="K61" s="93">
        <v>0</v>
      </c>
      <c r="L61" s="94">
        <v>0</v>
      </c>
      <c r="M61" s="125">
        <f t="shared" si="5"/>
        <v>0</v>
      </c>
      <c r="N61" s="335" t="s">
        <v>11</v>
      </c>
    </row>
    <row r="62" spans="1:14" x14ac:dyDescent="0.25">
      <c r="A62" s="22">
        <v>9</v>
      </c>
      <c r="B62" s="12" t="s">
        <v>78</v>
      </c>
      <c r="C62" s="20" t="s">
        <v>43</v>
      </c>
      <c r="D62" s="19" t="s">
        <v>8</v>
      </c>
      <c r="E62" s="92">
        <v>174106</v>
      </c>
      <c r="F62" s="92">
        <v>183266.23751661307</v>
      </c>
      <c r="G62" s="92">
        <v>207965.53507836198</v>
      </c>
      <c r="H62" s="92">
        <v>254190.19503724301</v>
      </c>
      <c r="I62" s="92">
        <v>1043443</v>
      </c>
      <c r="J62" s="106">
        <v>-407370</v>
      </c>
      <c r="K62" s="93">
        <v>0</v>
      </c>
      <c r="L62" s="94">
        <v>0</v>
      </c>
      <c r="M62" s="125">
        <f t="shared" si="5"/>
        <v>0</v>
      </c>
      <c r="N62" s="335" t="s">
        <v>11</v>
      </c>
    </row>
    <row r="63" spans="1:14" x14ac:dyDescent="0.25">
      <c r="A63" s="22">
        <v>10</v>
      </c>
      <c r="B63" s="12" t="s">
        <v>79</v>
      </c>
      <c r="C63" s="20" t="s">
        <v>53</v>
      </c>
      <c r="D63" s="19" t="s">
        <v>8</v>
      </c>
      <c r="E63" s="92">
        <v>366771</v>
      </c>
      <c r="F63" s="92">
        <v>399048.57177074999</v>
      </c>
      <c r="G63" s="92">
        <v>443816.59026507899</v>
      </c>
      <c r="H63" s="92">
        <v>495833.21551192744</v>
      </c>
      <c r="I63" s="1097">
        <v>3275652</v>
      </c>
      <c r="J63" s="1098">
        <v>-347698</v>
      </c>
      <c r="K63" s="93">
        <v>0</v>
      </c>
      <c r="L63" s="94">
        <v>0</v>
      </c>
      <c r="M63" s="125">
        <f t="shared" si="5"/>
        <v>0</v>
      </c>
      <c r="N63" s="335" t="s">
        <v>11</v>
      </c>
    </row>
    <row r="64" spans="1:14" x14ac:dyDescent="0.25">
      <c r="A64" s="22">
        <v>11</v>
      </c>
      <c r="B64" s="12" t="s">
        <v>80</v>
      </c>
      <c r="C64" s="20" t="s">
        <v>52</v>
      </c>
      <c r="D64" s="19" t="s">
        <v>8</v>
      </c>
      <c r="E64" s="92">
        <v>288126</v>
      </c>
      <c r="F64" s="92">
        <v>379082</v>
      </c>
      <c r="G64" s="92">
        <v>413885.1088859241</v>
      </c>
      <c r="H64" s="92">
        <v>447248.60181048047</v>
      </c>
      <c r="I64" s="1097">
        <v>2940890</v>
      </c>
      <c r="J64" s="1098">
        <v>-361322</v>
      </c>
      <c r="K64" s="93">
        <v>0</v>
      </c>
      <c r="L64" s="94">
        <v>0</v>
      </c>
      <c r="M64" s="125">
        <f t="shared" si="5"/>
        <v>0</v>
      </c>
      <c r="N64" s="335" t="s">
        <v>11</v>
      </c>
    </row>
    <row r="65" spans="1:14" x14ac:dyDescent="0.25">
      <c r="A65" s="22">
        <v>12</v>
      </c>
      <c r="B65" s="12" t="s">
        <v>81</v>
      </c>
      <c r="C65" s="20" t="s">
        <v>51</v>
      </c>
      <c r="D65" s="19" t="s">
        <v>8</v>
      </c>
      <c r="E65" s="92">
        <v>318024</v>
      </c>
      <c r="F65" s="92">
        <v>324122.87197045522</v>
      </c>
      <c r="G65" s="92">
        <v>359264.39539779112</v>
      </c>
      <c r="H65" s="92">
        <v>400019.25619001145</v>
      </c>
      <c r="I65" s="1097">
        <v>2907894</v>
      </c>
      <c r="J65" s="1098">
        <v>-300258</v>
      </c>
      <c r="K65" s="93">
        <v>0</v>
      </c>
      <c r="L65" s="94">
        <v>0</v>
      </c>
      <c r="M65" s="125">
        <f t="shared" si="5"/>
        <v>0</v>
      </c>
      <c r="N65" s="335" t="s">
        <v>11</v>
      </c>
    </row>
    <row r="66" spans="1:14" x14ac:dyDescent="0.25">
      <c r="A66" s="22">
        <v>13</v>
      </c>
      <c r="B66" s="12" t="s">
        <v>82</v>
      </c>
      <c r="C66" s="20" t="s">
        <v>50</v>
      </c>
      <c r="D66" s="19" t="s">
        <v>8</v>
      </c>
      <c r="E66" s="92">
        <v>1013831</v>
      </c>
      <c r="F66" s="92">
        <v>1098303</v>
      </c>
      <c r="G66" s="92">
        <v>1163375</v>
      </c>
      <c r="H66" s="92">
        <v>1248285</v>
      </c>
      <c r="I66" s="1097">
        <v>11284260</v>
      </c>
      <c r="J66" s="1098">
        <v>-2200526</v>
      </c>
      <c r="K66" s="93">
        <v>0</v>
      </c>
      <c r="L66" s="94">
        <v>0</v>
      </c>
      <c r="M66" s="125">
        <f t="shared" si="5"/>
        <v>0</v>
      </c>
      <c r="N66" s="335" t="s">
        <v>11</v>
      </c>
    </row>
    <row r="67" spans="1:14" ht="15.75" thickBot="1" x14ac:dyDescent="0.3">
      <c r="A67" s="22">
        <v>14</v>
      </c>
      <c r="B67" s="12" t="s">
        <v>83</v>
      </c>
      <c r="C67" s="20" t="s">
        <v>48</v>
      </c>
      <c r="D67" s="19" t="s">
        <v>47</v>
      </c>
      <c r="E67" s="92">
        <v>853408</v>
      </c>
      <c r="F67" s="92">
        <v>744382.93167398265</v>
      </c>
      <c r="G67" s="92">
        <v>832957.39177581598</v>
      </c>
      <c r="H67" s="92">
        <v>937478.42471830151</v>
      </c>
      <c r="I67" s="1097">
        <v>8769892</v>
      </c>
      <c r="J67" s="1098">
        <v>-175667</v>
      </c>
      <c r="K67" s="93">
        <v>0</v>
      </c>
      <c r="L67" s="94">
        <v>0</v>
      </c>
      <c r="M67" s="125">
        <f t="shared" si="5"/>
        <v>0</v>
      </c>
      <c r="N67" s="335" t="s">
        <v>11</v>
      </c>
    </row>
    <row r="68" spans="1:14" x14ac:dyDescent="0.25">
      <c r="A68" s="22">
        <v>15</v>
      </c>
      <c r="B68" s="18" t="s">
        <v>87</v>
      </c>
      <c r="C68" s="24" t="s">
        <v>45</v>
      </c>
      <c r="D68" s="23" t="s">
        <v>8</v>
      </c>
      <c r="E68" s="95">
        <v>907702</v>
      </c>
      <c r="F68" s="95">
        <v>948228.39360000007</v>
      </c>
      <c r="G68" s="95">
        <v>956472.27840000018</v>
      </c>
      <c r="H68" s="95">
        <v>984010.48646400007</v>
      </c>
      <c r="I68" s="95">
        <v>1993219.8599999999</v>
      </c>
      <c r="J68" s="105">
        <v>-189353.8</v>
      </c>
      <c r="K68" s="96">
        <v>2</v>
      </c>
      <c r="L68" s="97">
        <v>0</v>
      </c>
      <c r="M68" s="122">
        <f t="shared" si="5"/>
        <v>2</v>
      </c>
      <c r="N68" s="1082" t="s">
        <v>7</v>
      </c>
    </row>
    <row r="69" spans="1:14" ht="15.75" thickBot="1" x14ac:dyDescent="0.3">
      <c r="A69" s="22">
        <v>16</v>
      </c>
      <c r="B69" s="9" t="s">
        <v>86</v>
      </c>
      <c r="C69" s="5" t="s">
        <v>46</v>
      </c>
      <c r="D69" s="26" t="s">
        <v>8</v>
      </c>
      <c r="E69" s="101">
        <v>1297814</v>
      </c>
      <c r="F69" s="101">
        <v>1278504.3416666668</v>
      </c>
      <c r="G69" s="101">
        <v>1288574.6616666669</v>
      </c>
      <c r="H69" s="101">
        <v>1298644.9816666669</v>
      </c>
      <c r="I69" s="101">
        <v>3684443.1159999999</v>
      </c>
      <c r="J69" s="104">
        <v>-376811.81</v>
      </c>
      <c r="K69" s="1099">
        <v>3</v>
      </c>
      <c r="L69" s="103">
        <v>0.33</v>
      </c>
      <c r="M69" s="134">
        <f t="shared" si="5"/>
        <v>3.33</v>
      </c>
      <c r="N69" s="1089" t="s">
        <v>7</v>
      </c>
    </row>
    <row r="70" spans="1:14" x14ac:dyDescent="0.25">
      <c r="A70" s="22">
        <v>17</v>
      </c>
      <c r="B70" s="12" t="s">
        <v>88</v>
      </c>
      <c r="C70" s="20" t="s">
        <v>45</v>
      </c>
      <c r="D70" s="19" t="s">
        <v>12</v>
      </c>
      <c r="E70" s="92">
        <v>47975</v>
      </c>
      <c r="F70" s="92">
        <v>50448.641508000001</v>
      </c>
      <c r="G70" s="92">
        <v>51962.100753240004</v>
      </c>
      <c r="H70" s="92">
        <v>53520.963775837212</v>
      </c>
      <c r="I70" s="1097">
        <v>225385</v>
      </c>
      <c r="J70" s="1098">
        <v>-69338</v>
      </c>
      <c r="K70" s="93">
        <v>0</v>
      </c>
      <c r="L70" s="94">
        <v>0</v>
      </c>
      <c r="M70" s="125">
        <f t="shared" si="5"/>
        <v>0</v>
      </c>
      <c r="N70" s="1082" t="s">
        <v>7</v>
      </c>
    </row>
    <row r="71" spans="1:14" ht="15.75" thickBot="1" x14ac:dyDescent="0.3">
      <c r="A71" s="22">
        <v>18</v>
      </c>
      <c r="B71" s="12" t="s">
        <v>89</v>
      </c>
      <c r="C71" s="5" t="s">
        <v>46</v>
      </c>
      <c r="D71" s="26" t="s">
        <v>12</v>
      </c>
      <c r="E71" s="101">
        <v>48472</v>
      </c>
      <c r="F71" s="101">
        <v>49958.848872000002</v>
      </c>
      <c r="G71" s="101">
        <v>50958.025849440004</v>
      </c>
      <c r="H71" s="101">
        <v>51977.186366428796</v>
      </c>
      <c r="I71" s="1100">
        <v>123274</v>
      </c>
      <c r="J71" s="1101">
        <v>-32800</v>
      </c>
      <c r="K71" s="102">
        <v>0</v>
      </c>
      <c r="L71" s="103">
        <v>0</v>
      </c>
      <c r="M71" s="134">
        <f t="shared" si="5"/>
        <v>0</v>
      </c>
      <c r="N71" s="1089" t="s">
        <v>7</v>
      </c>
    </row>
    <row r="72" spans="1:14" x14ac:dyDescent="0.25">
      <c r="A72" s="22">
        <v>19</v>
      </c>
      <c r="B72" s="25" t="s">
        <v>90</v>
      </c>
      <c r="C72" s="24" t="s">
        <v>45</v>
      </c>
      <c r="D72" s="23" t="s">
        <v>12</v>
      </c>
      <c r="E72" s="1102">
        <v>293675</v>
      </c>
      <c r="F72" s="95">
        <v>293675</v>
      </c>
      <c r="G72" s="95">
        <v>299548</v>
      </c>
      <c r="H72" s="95">
        <v>305539</v>
      </c>
      <c r="I72" s="1103">
        <v>291907</v>
      </c>
      <c r="J72" s="105">
        <v>0</v>
      </c>
      <c r="K72" s="96">
        <v>0</v>
      </c>
      <c r="L72" s="97">
        <v>0</v>
      </c>
      <c r="M72" s="122">
        <f t="shared" si="5"/>
        <v>0</v>
      </c>
      <c r="N72" s="1082" t="s">
        <v>7</v>
      </c>
    </row>
    <row r="73" spans="1:14" ht="15.75" thickBot="1" x14ac:dyDescent="0.3">
      <c r="A73" s="22">
        <v>20</v>
      </c>
      <c r="B73" s="6" t="s">
        <v>91</v>
      </c>
      <c r="C73" s="5" t="s">
        <v>46</v>
      </c>
      <c r="D73" s="26" t="s">
        <v>12</v>
      </c>
      <c r="E73" s="1104">
        <v>282108</v>
      </c>
      <c r="F73" s="101">
        <v>280884</v>
      </c>
      <c r="G73" s="101">
        <v>286443.41888000001</v>
      </c>
      <c r="H73" s="101">
        <v>299347.30548159999</v>
      </c>
      <c r="I73" s="1105">
        <v>196689</v>
      </c>
      <c r="J73" s="104">
        <v>0</v>
      </c>
      <c r="K73" s="102">
        <v>0</v>
      </c>
      <c r="L73" s="103">
        <v>0</v>
      </c>
      <c r="M73" s="134">
        <f t="shared" si="5"/>
        <v>0</v>
      </c>
      <c r="N73" s="1089" t="s">
        <v>7</v>
      </c>
    </row>
    <row r="74" spans="1:14" x14ac:dyDescent="0.25">
      <c r="A74" s="22">
        <v>21</v>
      </c>
      <c r="B74" s="12" t="s">
        <v>141</v>
      </c>
      <c r="C74" s="24" t="s">
        <v>46</v>
      </c>
      <c r="D74" s="23" t="s">
        <v>8</v>
      </c>
      <c r="E74" s="95">
        <v>176729</v>
      </c>
      <c r="F74" s="95">
        <v>173944.008</v>
      </c>
      <c r="G74" s="95">
        <v>178403.90400000004</v>
      </c>
      <c r="H74" s="95">
        <v>178403.90400000004</v>
      </c>
      <c r="I74" s="95">
        <v>82403.13</v>
      </c>
      <c r="J74" s="105">
        <v>-33117</v>
      </c>
      <c r="K74" s="96">
        <v>0</v>
      </c>
      <c r="L74" s="97">
        <v>0</v>
      </c>
      <c r="M74" s="122">
        <f t="shared" si="5"/>
        <v>0</v>
      </c>
      <c r="N74" s="1082" t="s">
        <v>7</v>
      </c>
    </row>
    <row r="75" spans="1:14" ht="15.75" thickBot="1" x14ac:dyDescent="0.3">
      <c r="A75" s="22">
        <v>22</v>
      </c>
      <c r="B75" s="9" t="s">
        <v>142</v>
      </c>
      <c r="C75" s="5" t="s">
        <v>45</v>
      </c>
      <c r="D75" s="26" t="s">
        <v>8</v>
      </c>
      <c r="E75" s="101">
        <v>135180</v>
      </c>
      <c r="F75" s="101">
        <v>138974.71643999999</v>
      </c>
      <c r="G75" s="101">
        <v>141754.2107688</v>
      </c>
      <c r="H75" s="101">
        <v>144589.29498417597</v>
      </c>
      <c r="I75" s="101">
        <v>318032.85000000003</v>
      </c>
      <c r="J75" s="104">
        <v>-37921.39</v>
      </c>
      <c r="K75" s="102">
        <v>0</v>
      </c>
      <c r="L75" s="103">
        <v>0</v>
      </c>
      <c r="M75" s="134">
        <f t="shared" si="5"/>
        <v>0</v>
      </c>
      <c r="N75" s="1089" t="s">
        <v>7</v>
      </c>
    </row>
    <row r="76" spans="1:14" x14ac:dyDescent="0.25">
      <c r="A76" s="22">
        <v>23</v>
      </c>
      <c r="B76" s="25" t="s">
        <v>92</v>
      </c>
      <c r="C76" s="24" t="s">
        <v>44</v>
      </c>
      <c r="D76" s="23" t="s">
        <v>8</v>
      </c>
      <c r="E76" s="95">
        <v>451177</v>
      </c>
      <c r="F76" s="95">
        <v>465900.21559200005</v>
      </c>
      <c r="G76" s="95">
        <v>479877.22205976007</v>
      </c>
      <c r="H76" s="95">
        <v>494273.53872155282</v>
      </c>
      <c r="I76" s="95">
        <v>3424111.87</v>
      </c>
      <c r="J76" s="95">
        <v>-2162193.54</v>
      </c>
      <c r="K76" s="96">
        <v>0</v>
      </c>
      <c r="L76" s="97">
        <v>0</v>
      </c>
      <c r="M76" s="122">
        <f t="shared" si="5"/>
        <v>0</v>
      </c>
      <c r="N76" s="1082" t="s">
        <v>7</v>
      </c>
    </row>
    <row r="77" spans="1:14" ht="15.75" thickBot="1" x14ac:dyDescent="0.3">
      <c r="A77" s="22">
        <v>24</v>
      </c>
      <c r="B77" s="6" t="s">
        <v>93</v>
      </c>
      <c r="C77" s="5" t="s">
        <v>43</v>
      </c>
      <c r="D77" s="26" t="s">
        <v>8</v>
      </c>
      <c r="E77" s="101">
        <v>245289</v>
      </c>
      <c r="F77" s="101">
        <v>244458.16648221802</v>
      </c>
      <c r="G77" s="101">
        <v>244458.16648221802</v>
      </c>
      <c r="H77" s="101">
        <v>244458.16648221802</v>
      </c>
      <c r="I77" s="101">
        <v>1043443</v>
      </c>
      <c r="J77" s="101">
        <v>-407370</v>
      </c>
      <c r="K77" s="102">
        <v>0</v>
      </c>
      <c r="L77" s="103">
        <v>0</v>
      </c>
      <c r="M77" s="134">
        <f t="shared" si="5"/>
        <v>0</v>
      </c>
      <c r="N77" s="1089" t="s">
        <v>7</v>
      </c>
    </row>
    <row r="78" spans="1:14" x14ac:dyDescent="0.25">
      <c r="A78" s="22">
        <v>25</v>
      </c>
      <c r="B78" s="25" t="s">
        <v>94</v>
      </c>
      <c r="C78" s="24" t="s">
        <v>42</v>
      </c>
      <c r="D78" s="23" t="s">
        <v>12</v>
      </c>
      <c r="E78" s="1106">
        <v>523751</v>
      </c>
      <c r="F78" s="95">
        <v>408871.57349102665</v>
      </c>
      <c r="G78" s="95">
        <v>469656.83596757211</v>
      </c>
      <c r="H78" s="95">
        <v>490644.59485323756</v>
      </c>
      <c r="I78" s="1106">
        <f>139120+1255283</f>
        <v>1394403</v>
      </c>
      <c r="J78" s="95">
        <v>0</v>
      </c>
      <c r="K78" s="96">
        <v>0</v>
      </c>
      <c r="L78" s="97">
        <v>0</v>
      </c>
      <c r="M78" s="122">
        <f t="shared" si="5"/>
        <v>0</v>
      </c>
      <c r="N78" s="1082" t="s">
        <v>11</v>
      </c>
    </row>
    <row r="79" spans="1:14" ht="15.75" thickBot="1" x14ac:dyDescent="0.3">
      <c r="A79" s="22">
        <v>26</v>
      </c>
      <c r="B79" s="6" t="s">
        <v>95</v>
      </c>
      <c r="C79" s="5" t="s">
        <v>41</v>
      </c>
      <c r="D79" s="26" t="s">
        <v>12</v>
      </c>
      <c r="E79" s="101">
        <v>343874</v>
      </c>
      <c r="F79" s="101">
        <v>369580.67534373427</v>
      </c>
      <c r="G79" s="101">
        <v>368264.23731529037</v>
      </c>
      <c r="H79" s="101">
        <v>375834.80563279719</v>
      </c>
      <c r="I79" s="101">
        <v>43181.189999999995</v>
      </c>
      <c r="J79" s="101">
        <v>0</v>
      </c>
      <c r="K79" s="102">
        <v>1</v>
      </c>
      <c r="L79" s="103">
        <v>0</v>
      </c>
      <c r="M79" s="134">
        <f t="shared" si="5"/>
        <v>1</v>
      </c>
      <c r="N79" s="1089" t="s">
        <v>7</v>
      </c>
    </row>
    <row r="80" spans="1:14" x14ac:dyDescent="0.25">
      <c r="A80" s="22">
        <v>27</v>
      </c>
      <c r="B80" s="21" t="s">
        <v>40</v>
      </c>
      <c r="C80" s="20"/>
      <c r="D80" s="19"/>
      <c r="E80" s="92">
        <v>20557982</v>
      </c>
      <c r="F80" s="92">
        <v>17423820</v>
      </c>
      <c r="G80" s="92">
        <v>15809091</v>
      </c>
      <c r="H80" s="92">
        <v>16243559</v>
      </c>
      <c r="I80" s="1107">
        <f>28772095.27+5022747.38</f>
        <v>33794842.649999999</v>
      </c>
      <c r="J80" s="92">
        <v>0</v>
      </c>
      <c r="K80" s="96">
        <v>4.8</v>
      </c>
      <c r="L80" s="97">
        <v>0.2</v>
      </c>
      <c r="M80" s="122">
        <f t="shared" si="5"/>
        <v>5</v>
      </c>
      <c r="N80" s="335" t="s">
        <v>7</v>
      </c>
    </row>
    <row r="81" spans="1:14" x14ac:dyDescent="0.25">
      <c r="A81" s="22">
        <v>28</v>
      </c>
      <c r="B81" s="21" t="s">
        <v>39</v>
      </c>
      <c r="C81" s="20"/>
      <c r="D81" s="19" t="s">
        <v>8</v>
      </c>
      <c r="E81" s="92">
        <v>66764</v>
      </c>
      <c r="F81" s="92">
        <v>67502.656199999998</v>
      </c>
      <c r="G81" s="92">
        <v>71556.049361999976</v>
      </c>
      <c r="H81" s="92">
        <v>75715.85622121497</v>
      </c>
      <c r="I81" s="92">
        <v>715613.25</v>
      </c>
      <c r="J81" s="106">
        <v>-154102</v>
      </c>
      <c r="K81" s="93">
        <v>0</v>
      </c>
      <c r="L81" s="94">
        <v>0</v>
      </c>
      <c r="M81" s="125">
        <f t="shared" si="5"/>
        <v>0</v>
      </c>
      <c r="N81" s="335" t="s">
        <v>7</v>
      </c>
    </row>
    <row r="82" spans="1:14" x14ac:dyDescent="0.25">
      <c r="A82" s="22">
        <v>29</v>
      </c>
      <c r="B82" s="21" t="s">
        <v>38</v>
      </c>
      <c r="C82" s="20"/>
      <c r="D82" s="19" t="s">
        <v>8</v>
      </c>
      <c r="E82" s="92">
        <v>968684</v>
      </c>
      <c r="F82" s="92">
        <v>1541635.4499999997</v>
      </c>
      <c r="G82" s="92">
        <v>2112114.9000000004</v>
      </c>
      <c r="H82" s="92">
        <v>2411473.84771688</v>
      </c>
      <c r="I82" s="92">
        <v>10728058.1</v>
      </c>
      <c r="J82" s="106">
        <v>0</v>
      </c>
      <c r="K82" s="93">
        <v>0</v>
      </c>
      <c r="L82" s="94">
        <v>0</v>
      </c>
      <c r="M82" s="125">
        <f t="shared" si="5"/>
        <v>0</v>
      </c>
      <c r="N82" s="335" t="s">
        <v>7</v>
      </c>
    </row>
    <row r="83" spans="1:14" x14ac:dyDescent="0.25">
      <c r="A83" s="22">
        <v>30</v>
      </c>
      <c r="B83" s="21" t="s">
        <v>37</v>
      </c>
      <c r="C83" s="20"/>
      <c r="D83" s="19" t="s">
        <v>8</v>
      </c>
      <c r="E83" s="92">
        <v>1139637</v>
      </c>
      <c r="F83" s="92">
        <v>1484498.9384940751</v>
      </c>
      <c r="G83" s="92">
        <v>2253337</v>
      </c>
      <c r="H83" s="92">
        <v>2890768</v>
      </c>
      <c r="I83" s="92">
        <v>7528562.8099999996</v>
      </c>
      <c r="J83" s="92">
        <v>-1352028.74</v>
      </c>
      <c r="K83" s="93">
        <v>0</v>
      </c>
      <c r="L83" s="94">
        <v>0</v>
      </c>
      <c r="M83" s="125">
        <f t="shared" si="5"/>
        <v>0</v>
      </c>
      <c r="N83" s="335" t="s">
        <v>11</v>
      </c>
    </row>
    <row r="84" spans="1:14" ht="15.75" thickBot="1" x14ac:dyDescent="0.3">
      <c r="A84" s="22">
        <v>31</v>
      </c>
      <c r="B84" s="6" t="s">
        <v>36</v>
      </c>
      <c r="C84" s="5"/>
      <c r="D84" s="26" t="s">
        <v>8</v>
      </c>
      <c r="E84" s="101">
        <v>0</v>
      </c>
      <c r="F84" s="101">
        <v>0</v>
      </c>
      <c r="G84" s="101">
        <v>3322917</v>
      </c>
      <c r="H84" s="101">
        <v>3376295</v>
      </c>
      <c r="I84" s="101">
        <v>0</v>
      </c>
      <c r="J84" s="101">
        <v>0</v>
      </c>
      <c r="K84" s="102">
        <v>0</v>
      </c>
      <c r="L84" s="103">
        <v>0</v>
      </c>
      <c r="M84" s="134">
        <f t="shared" si="5"/>
        <v>0</v>
      </c>
      <c r="N84" s="1089" t="s">
        <v>11</v>
      </c>
    </row>
    <row r="85" spans="1:14" x14ac:dyDescent="0.25">
      <c r="A85" s="22">
        <v>32</v>
      </c>
      <c r="B85" s="21" t="s">
        <v>35</v>
      </c>
      <c r="C85" s="20"/>
      <c r="D85" s="19" t="s">
        <v>12</v>
      </c>
      <c r="E85" s="92">
        <v>377374</v>
      </c>
      <c r="F85" s="92">
        <v>353418.49440000003</v>
      </c>
      <c r="G85" s="92">
        <v>360486.86428799992</v>
      </c>
      <c r="H85" s="92">
        <v>367696.60157375998</v>
      </c>
      <c r="I85" s="92">
        <v>418791.12</v>
      </c>
      <c r="J85" s="92">
        <v>-244214.99</v>
      </c>
      <c r="K85" s="93">
        <v>0</v>
      </c>
      <c r="L85" s="94">
        <v>0</v>
      </c>
      <c r="M85" s="125">
        <f t="shared" si="5"/>
        <v>0</v>
      </c>
      <c r="N85" s="335" t="s">
        <v>7</v>
      </c>
    </row>
    <row r="86" spans="1:14" x14ac:dyDescent="0.25">
      <c r="A86" s="22">
        <v>33</v>
      </c>
      <c r="B86" s="21" t="s">
        <v>34</v>
      </c>
      <c r="C86" s="20"/>
      <c r="D86" s="19" t="s">
        <v>12</v>
      </c>
      <c r="E86" s="92">
        <v>515871</v>
      </c>
      <c r="F86" s="92">
        <v>1605697.29556775</v>
      </c>
      <c r="G86" s="92">
        <v>5462416.0533682993</v>
      </c>
      <c r="H86" s="92">
        <v>-289936.1784863678</v>
      </c>
      <c r="I86" s="92">
        <v>0</v>
      </c>
      <c r="J86" s="92">
        <v>0</v>
      </c>
      <c r="K86" s="93">
        <v>0</v>
      </c>
      <c r="L86" s="94">
        <v>0</v>
      </c>
      <c r="M86" s="125">
        <f t="shared" si="5"/>
        <v>0</v>
      </c>
      <c r="N86" s="335" t="s">
        <v>7</v>
      </c>
    </row>
    <row r="87" spans="1:14" x14ac:dyDescent="0.25">
      <c r="A87" s="22">
        <v>34</v>
      </c>
      <c r="B87" s="21" t="s">
        <v>33</v>
      </c>
      <c r="C87" s="20"/>
      <c r="D87" s="19" t="s">
        <v>12</v>
      </c>
      <c r="E87" s="92">
        <v>1259737</v>
      </c>
      <c r="F87" s="92">
        <v>1289769.9489875198</v>
      </c>
      <c r="G87" s="92">
        <v>1609916.8863185411</v>
      </c>
      <c r="H87" s="92">
        <v>2328368.9651806913</v>
      </c>
      <c r="I87" s="92">
        <v>9850333.2300000004</v>
      </c>
      <c r="J87" s="92">
        <v>-2764014.91</v>
      </c>
      <c r="K87" s="93">
        <v>0</v>
      </c>
      <c r="L87" s="94">
        <v>0</v>
      </c>
      <c r="M87" s="125">
        <f t="shared" si="5"/>
        <v>0</v>
      </c>
      <c r="N87" s="335" t="s">
        <v>7</v>
      </c>
    </row>
    <row r="88" spans="1:14" ht="15.75" thickBot="1" x14ac:dyDescent="0.3">
      <c r="A88" s="22">
        <v>35</v>
      </c>
      <c r="B88" s="21" t="s">
        <v>32</v>
      </c>
      <c r="C88" s="20"/>
      <c r="D88" s="19" t="s">
        <v>8</v>
      </c>
      <c r="E88" s="1108">
        <v>246690.96</v>
      </c>
      <c r="F88" s="107">
        <v>251625</v>
      </c>
      <c r="G88" s="107">
        <v>256657</v>
      </c>
      <c r="H88" s="107">
        <v>261790</v>
      </c>
      <c r="I88" s="107">
        <v>1182824</v>
      </c>
      <c r="J88" s="107">
        <v>0</v>
      </c>
      <c r="K88" s="93">
        <v>0</v>
      </c>
      <c r="L88" s="94">
        <v>0</v>
      </c>
      <c r="M88" s="125">
        <f t="shared" si="5"/>
        <v>0</v>
      </c>
      <c r="N88" s="335" t="s">
        <v>7</v>
      </c>
    </row>
    <row r="89" spans="1:14" x14ac:dyDescent="0.25">
      <c r="A89" s="22">
        <v>36</v>
      </c>
      <c r="B89" s="25" t="s">
        <v>31</v>
      </c>
      <c r="C89" s="24" t="s">
        <v>30</v>
      </c>
      <c r="D89" s="23" t="s">
        <v>12</v>
      </c>
      <c r="E89" s="95">
        <v>768902</v>
      </c>
      <c r="F89" s="95">
        <v>468059</v>
      </c>
      <c r="G89" s="95">
        <v>484059</v>
      </c>
      <c r="H89" s="95">
        <v>498059</v>
      </c>
      <c r="I89" s="95">
        <v>18356.240000000005</v>
      </c>
      <c r="J89" s="95">
        <v>0</v>
      </c>
      <c r="K89" s="96">
        <v>5</v>
      </c>
      <c r="L89" s="97">
        <v>2</v>
      </c>
      <c r="M89" s="122">
        <f t="shared" si="5"/>
        <v>7</v>
      </c>
      <c r="N89" s="1082" t="s">
        <v>7</v>
      </c>
    </row>
    <row r="90" spans="1:14" x14ac:dyDescent="0.25">
      <c r="A90" s="22">
        <v>37</v>
      </c>
      <c r="B90" s="21" t="s">
        <v>29</v>
      </c>
      <c r="C90" s="20"/>
      <c r="D90" s="19" t="s">
        <v>8</v>
      </c>
      <c r="E90" s="99">
        <v>13140</v>
      </c>
      <c r="F90" s="99">
        <v>8599.9500000000007</v>
      </c>
      <c r="G90" s="99">
        <v>8599.9500000000007</v>
      </c>
      <c r="H90" s="99">
        <v>8599.9500000000007</v>
      </c>
      <c r="I90" s="99">
        <v>0</v>
      </c>
      <c r="J90" s="99">
        <v>0</v>
      </c>
      <c r="K90" s="93">
        <v>0</v>
      </c>
      <c r="L90" s="94">
        <v>0</v>
      </c>
      <c r="M90" s="125">
        <f t="shared" si="5"/>
        <v>0</v>
      </c>
      <c r="N90" s="335" t="s">
        <v>7</v>
      </c>
    </row>
    <row r="91" spans="1:14" x14ac:dyDescent="0.25">
      <c r="A91" s="22">
        <v>38</v>
      </c>
      <c r="B91" s="21" t="s">
        <v>28</v>
      </c>
      <c r="C91" s="20"/>
      <c r="D91" s="19" t="s">
        <v>12</v>
      </c>
      <c r="E91" s="92">
        <v>1292020</v>
      </c>
      <c r="F91" s="92">
        <v>1397418</v>
      </c>
      <c r="G91" s="92">
        <v>1397418</v>
      </c>
      <c r="H91" s="92">
        <v>1397418</v>
      </c>
      <c r="I91" s="92">
        <v>41916</v>
      </c>
      <c r="J91" s="92">
        <v>0</v>
      </c>
      <c r="K91" s="93">
        <v>8</v>
      </c>
      <c r="L91" s="94">
        <v>2</v>
      </c>
      <c r="M91" s="125">
        <f t="shared" si="5"/>
        <v>10</v>
      </c>
      <c r="N91" s="335" t="s">
        <v>7</v>
      </c>
    </row>
    <row r="92" spans="1:14" x14ac:dyDescent="0.25">
      <c r="A92" s="22">
        <v>39</v>
      </c>
      <c r="B92" s="21" t="s">
        <v>27</v>
      </c>
      <c r="C92" s="20" t="s">
        <v>26</v>
      </c>
      <c r="D92" s="19" t="s">
        <v>12</v>
      </c>
      <c r="E92" s="92">
        <v>718518</v>
      </c>
      <c r="F92" s="92">
        <v>956248.11800000002</v>
      </c>
      <c r="G92" s="92">
        <v>979643.59178000002</v>
      </c>
      <c r="H92" s="92">
        <v>999036.36912110006</v>
      </c>
      <c r="I92" s="92">
        <v>2000</v>
      </c>
      <c r="J92" s="92">
        <v>0</v>
      </c>
      <c r="K92" s="93">
        <v>8</v>
      </c>
      <c r="L92" s="94">
        <v>1</v>
      </c>
      <c r="M92" s="125">
        <f t="shared" si="5"/>
        <v>9</v>
      </c>
      <c r="N92" s="335" t="s">
        <v>7</v>
      </c>
    </row>
    <row r="93" spans="1:14" x14ac:dyDescent="0.25">
      <c r="A93" s="22">
        <v>40</v>
      </c>
      <c r="B93" s="1109" t="s">
        <v>25</v>
      </c>
      <c r="C93" s="1110" t="s">
        <v>107</v>
      </c>
      <c r="D93" s="1111" t="s">
        <v>12</v>
      </c>
      <c r="E93" s="1112">
        <v>1188</v>
      </c>
      <c r="F93" s="1113">
        <v>0</v>
      </c>
      <c r="G93" s="1113">
        <v>0</v>
      </c>
      <c r="H93" s="1113">
        <v>0</v>
      </c>
      <c r="I93" s="1113">
        <v>35138.29</v>
      </c>
      <c r="J93" s="1113">
        <v>0</v>
      </c>
      <c r="K93" s="1114">
        <v>4</v>
      </c>
      <c r="L93" s="1115">
        <v>0</v>
      </c>
      <c r="M93" s="135">
        <f t="shared" si="5"/>
        <v>4</v>
      </c>
      <c r="N93" s="335" t="s">
        <v>7</v>
      </c>
    </row>
    <row r="94" spans="1:14" x14ac:dyDescent="0.25">
      <c r="A94" s="22">
        <v>41</v>
      </c>
      <c r="B94" s="21" t="s">
        <v>24</v>
      </c>
      <c r="C94" s="20"/>
      <c r="D94" s="19" t="s">
        <v>12</v>
      </c>
      <c r="E94" s="92">
        <v>2205443</v>
      </c>
      <c r="F94" s="92">
        <v>1076215.2</v>
      </c>
      <c r="G94" s="92">
        <v>1108227.0567000001</v>
      </c>
      <c r="H94" s="92">
        <v>1141193.7771150002</v>
      </c>
      <c r="I94" s="92">
        <v>198574.62999999998</v>
      </c>
      <c r="J94" s="92">
        <v>0</v>
      </c>
      <c r="K94" s="93">
        <v>5</v>
      </c>
      <c r="L94" s="94">
        <v>0</v>
      </c>
      <c r="M94" s="125">
        <f t="shared" si="5"/>
        <v>5</v>
      </c>
      <c r="N94" s="335" t="s">
        <v>7</v>
      </c>
    </row>
    <row r="95" spans="1:14" x14ac:dyDescent="0.25">
      <c r="A95" s="22">
        <v>42</v>
      </c>
      <c r="B95" s="21" t="s">
        <v>23</v>
      </c>
      <c r="C95" s="20"/>
      <c r="D95" s="19" t="s">
        <v>12</v>
      </c>
      <c r="E95" s="92">
        <v>2349668</v>
      </c>
      <c r="F95" s="92">
        <v>2575441.2467999989</v>
      </c>
      <c r="G95" s="92">
        <v>2625221.3478359985</v>
      </c>
      <c r="H95" s="92">
        <v>2676041.0095552187</v>
      </c>
      <c r="I95" s="92">
        <v>12616.8</v>
      </c>
      <c r="J95" s="92">
        <v>0</v>
      </c>
      <c r="K95" s="93">
        <v>11</v>
      </c>
      <c r="L95" s="94">
        <v>1</v>
      </c>
      <c r="M95" s="125">
        <f t="shared" si="5"/>
        <v>12</v>
      </c>
      <c r="N95" s="335" t="s">
        <v>7</v>
      </c>
    </row>
    <row r="96" spans="1:14" ht="15.75" thickBot="1" x14ac:dyDescent="0.3">
      <c r="A96" s="22">
        <v>43</v>
      </c>
      <c r="B96" s="1083" t="s">
        <v>22</v>
      </c>
      <c r="C96" s="1084"/>
      <c r="D96" s="1085" t="s">
        <v>12</v>
      </c>
      <c r="E96" s="1116">
        <v>0</v>
      </c>
      <c r="F96" s="1116">
        <v>0</v>
      </c>
      <c r="G96" s="1116">
        <v>0</v>
      </c>
      <c r="H96" s="1116">
        <v>0</v>
      </c>
      <c r="I96" s="1116">
        <v>6575</v>
      </c>
      <c r="J96" s="1116">
        <v>0</v>
      </c>
      <c r="K96" s="1087">
        <v>8</v>
      </c>
      <c r="L96" s="1088">
        <v>1</v>
      </c>
      <c r="M96" s="132">
        <f t="shared" si="5"/>
        <v>9</v>
      </c>
      <c r="N96" s="1089" t="s">
        <v>21</v>
      </c>
    </row>
    <row r="97" spans="1:14" x14ac:dyDescent="0.25">
      <c r="A97" s="22">
        <v>44</v>
      </c>
      <c r="B97" s="1117" t="s">
        <v>20</v>
      </c>
      <c r="C97" s="1118"/>
      <c r="D97" s="1119" t="s">
        <v>12</v>
      </c>
      <c r="E97" s="1106">
        <v>74679</v>
      </c>
      <c r="F97" s="1106">
        <v>0</v>
      </c>
      <c r="G97" s="1106">
        <v>0</v>
      </c>
      <c r="H97" s="1106">
        <v>0</v>
      </c>
      <c r="I97" s="1106">
        <v>0</v>
      </c>
      <c r="J97" s="1106">
        <v>0</v>
      </c>
      <c r="K97" s="1120">
        <v>2</v>
      </c>
      <c r="L97" s="1121">
        <v>0</v>
      </c>
      <c r="M97" s="136">
        <f t="shared" si="5"/>
        <v>2</v>
      </c>
      <c r="N97" s="335" t="s">
        <v>7</v>
      </c>
    </row>
    <row r="98" spans="1:14" x14ac:dyDescent="0.25">
      <c r="A98" s="22">
        <v>45</v>
      </c>
      <c r="B98" s="21" t="s">
        <v>19</v>
      </c>
      <c r="C98" s="20"/>
      <c r="D98" s="19" t="s">
        <v>18</v>
      </c>
      <c r="E98" s="92">
        <v>6770885</v>
      </c>
      <c r="F98" s="92">
        <v>6604000</v>
      </c>
      <c r="G98" s="92">
        <v>6770040</v>
      </c>
      <c r="H98" s="92">
        <v>6931280</v>
      </c>
      <c r="I98" s="92">
        <v>316361.49</v>
      </c>
      <c r="J98" s="92">
        <v>-407370</v>
      </c>
      <c r="K98" s="93">
        <v>38</v>
      </c>
      <c r="L98" s="94">
        <v>1</v>
      </c>
      <c r="M98" s="125">
        <f t="shared" si="5"/>
        <v>39</v>
      </c>
      <c r="N98" s="335" t="s">
        <v>7</v>
      </c>
    </row>
    <row r="99" spans="1:14" x14ac:dyDescent="0.25">
      <c r="A99" s="22">
        <v>46</v>
      </c>
      <c r="B99" s="21" t="s">
        <v>17</v>
      </c>
      <c r="C99" s="20"/>
      <c r="D99" s="19" t="s">
        <v>16</v>
      </c>
      <c r="E99" s="92">
        <v>278750</v>
      </c>
      <c r="F99" s="92">
        <v>436246</v>
      </c>
      <c r="G99" s="92">
        <v>453909</v>
      </c>
      <c r="H99" s="92">
        <v>453909</v>
      </c>
      <c r="I99" s="92">
        <v>0</v>
      </c>
      <c r="J99" s="92">
        <v>0</v>
      </c>
      <c r="K99" s="93">
        <v>0</v>
      </c>
      <c r="L99" s="94">
        <v>0</v>
      </c>
      <c r="M99" s="125">
        <f t="shared" si="5"/>
        <v>0</v>
      </c>
      <c r="N99" s="335" t="s">
        <v>7</v>
      </c>
    </row>
    <row r="100" spans="1:14" x14ac:dyDescent="0.25">
      <c r="A100" s="22">
        <v>47</v>
      </c>
      <c r="B100" s="1109" t="s">
        <v>15</v>
      </c>
      <c r="C100" s="1110" t="s">
        <v>14</v>
      </c>
      <c r="D100" s="1111" t="s">
        <v>12</v>
      </c>
      <c r="E100" s="1113">
        <v>-396016</v>
      </c>
      <c r="F100" s="1113">
        <v>2376</v>
      </c>
      <c r="G100" s="1113">
        <v>2376</v>
      </c>
      <c r="H100" s="1113">
        <v>2376</v>
      </c>
      <c r="I100" s="1113">
        <v>1548398.8299999998</v>
      </c>
      <c r="J100" s="1122">
        <v>0</v>
      </c>
      <c r="K100" s="1114">
        <v>20</v>
      </c>
      <c r="L100" s="1115">
        <v>2</v>
      </c>
      <c r="M100" s="135">
        <f t="shared" si="5"/>
        <v>22</v>
      </c>
      <c r="N100" s="335" t="s">
        <v>11</v>
      </c>
    </row>
    <row r="101" spans="1:14" x14ac:dyDescent="0.25">
      <c r="A101" s="22">
        <v>48</v>
      </c>
      <c r="B101" s="1109" t="s">
        <v>13</v>
      </c>
      <c r="C101" s="1110" t="s">
        <v>106</v>
      </c>
      <c r="D101" s="1111" t="s">
        <v>12</v>
      </c>
      <c r="E101" s="1113">
        <v>203947</v>
      </c>
      <c r="F101" s="1113">
        <v>179489.22999999998</v>
      </c>
      <c r="G101" s="1113">
        <v>173283.7978</v>
      </c>
      <c r="H101" s="1113">
        <v>184985.39279999997</v>
      </c>
      <c r="I101" s="1113">
        <v>43883.049999999996</v>
      </c>
      <c r="J101" s="1122">
        <v>0</v>
      </c>
      <c r="K101" s="1114">
        <v>15</v>
      </c>
      <c r="L101" s="1115">
        <v>0</v>
      </c>
      <c r="M101" s="135">
        <f t="shared" si="5"/>
        <v>15</v>
      </c>
      <c r="N101" s="335" t="s">
        <v>11</v>
      </c>
    </row>
    <row r="102" spans="1:14" ht="15.75" thickBot="1" x14ac:dyDescent="0.3">
      <c r="A102" s="22">
        <v>49</v>
      </c>
      <c r="B102" s="1109" t="s">
        <v>10</v>
      </c>
      <c r="C102" s="1110" t="s">
        <v>9</v>
      </c>
      <c r="D102" s="1111" t="s">
        <v>8</v>
      </c>
      <c r="E102" s="1113">
        <v>1593</v>
      </c>
      <c r="F102" s="1113">
        <v>251800</v>
      </c>
      <c r="G102" s="1113">
        <v>1346800</v>
      </c>
      <c r="H102" s="1113">
        <v>2464300</v>
      </c>
      <c r="I102" s="1113">
        <v>0</v>
      </c>
      <c r="J102" s="1122">
        <v>0</v>
      </c>
      <c r="K102" s="1123">
        <v>0</v>
      </c>
      <c r="L102" s="1124">
        <v>0</v>
      </c>
      <c r="M102" s="137">
        <f t="shared" si="5"/>
        <v>0</v>
      </c>
      <c r="N102" s="335" t="s">
        <v>7</v>
      </c>
    </row>
    <row r="103" spans="1:14" x14ac:dyDescent="0.25">
      <c r="B103" s="18"/>
      <c r="C103" s="16"/>
      <c r="D103" s="17"/>
      <c r="E103" s="16"/>
      <c r="F103" s="16"/>
      <c r="G103" s="16"/>
      <c r="H103" s="16"/>
      <c r="I103" s="16"/>
      <c r="J103" s="16"/>
      <c r="K103" s="15"/>
      <c r="L103" s="14"/>
      <c r="M103" s="13"/>
      <c r="N103" s="209"/>
    </row>
    <row r="104" spans="1:14" ht="15.75" thickBot="1" x14ac:dyDescent="0.3">
      <c r="B104" s="12"/>
      <c r="C104" s="71"/>
      <c r="D104" s="411" t="s">
        <v>6</v>
      </c>
      <c r="E104" s="70">
        <f t="shared" ref="E104:M104" si="6">SUM(E54:E102)</f>
        <v>52888694.960000001</v>
      </c>
      <c r="F104" s="70">
        <f t="shared" si="6"/>
        <v>51540690.623203456</v>
      </c>
      <c r="G104" s="70">
        <f t="shared" si="6"/>
        <v>60958025.281587742</v>
      </c>
      <c r="H104" s="70">
        <f t="shared" si="6"/>
        <v>59620074.115799315</v>
      </c>
      <c r="I104" s="70">
        <f>SUM(I54:I102)</f>
        <v>125801471.43599997</v>
      </c>
      <c r="J104" s="70">
        <f t="shared" si="6"/>
        <v>-15131853.49</v>
      </c>
      <c r="K104" s="70">
        <f t="shared" si="6"/>
        <v>139.80000000000001</v>
      </c>
      <c r="L104" s="70">
        <f t="shared" si="6"/>
        <v>11.86</v>
      </c>
      <c r="M104" s="70">
        <f t="shared" si="6"/>
        <v>151.66</v>
      </c>
      <c r="N104" s="214"/>
    </row>
    <row r="105" spans="1:14" ht="16.5" thickTop="1" thickBot="1" x14ac:dyDescent="0.3">
      <c r="B105" s="9"/>
      <c r="C105" s="7"/>
      <c r="D105" s="8"/>
      <c r="E105" s="7"/>
      <c r="F105" s="7"/>
      <c r="G105" s="7"/>
      <c r="H105" s="7"/>
      <c r="I105" s="67">
        <f>(I98+I95+I94+I92+I91+I89+I88+I87+I85+I83+I82+I81+I80+I79+I77+I76+I75+I74+I69+I68+I62+I61+I58+I57+I56+I55+I54)</f>
        <v>92591038.065999985</v>
      </c>
      <c r="J105" s="7"/>
      <c r="K105" s="6"/>
      <c r="L105" s="5"/>
      <c r="M105" s="66">
        <f>SUM(M54:M57,M58,M61,M62:M92,M94,M95,M98:M99)</f>
        <v>93.33</v>
      </c>
      <c r="N105" s="230"/>
    </row>
    <row r="106" spans="1:14" x14ac:dyDescent="0.25">
      <c r="D106" s="3"/>
      <c r="K106" s="69"/>
      <c r="L106" s="69"/>
    </row>
    <row r="107" spans="1:14" x14ac:dyDescent="0.25">
      <c r="D107" s="3"/>
      <c r="E107" s="32"/>
      <c r="F107" s="32"/>
      <c r="G107" s="32"/>
      <c r="H107" s="32"/>
      <c r="I107" s="32"/>
      <c r="J107" s="32"/>
      <c r="K107" s="32"/>
      <c r="L107" s="32"/>
      <c r="M107" s="32"/>
    </row>
    <row r="108" spans="1:14" x14ac:dyDescent="0.25">
      <c r="D108" s="3"/>
      <c r="E108" s="32"/>
      <c r="F108" s="32"/>
      <c r="G108" s="32"/>
      <c r="H108" s="32"/>
      <c r="I108" s="32"/>
      <c r="J108" s="32"/>
      <c r="K108" s="32"/>
      <c r="L108" s="32"/>
      <c r="M108" s="32"/>
    </row>
    <row r="109" spans="1:14" x14ac:dyDescent="0.25">
      <c r="B109" s="4" t="s">
        <v>5</v>
      </c>
      <c r="E109" s="32"/>
      <c r="J109" s="32"/>
      <c r="K109" s="69"/>
      <c r="L109" s="69"/>
    </row>
    <row r="110" spans="1:14" x14ac:dyDescent="0.25">
      <c r="B110" s="4"/>
      <c r="D110" s="3"/>
      <c r="E110" s="32"/>
      <c r="J110" s="32"/>
      <c r="K110" s="69"/>
      <c r="L110" s="69"/>
    </row>
    <row r="111" spans="1:14" x14ac:dyDescent="0.25">
      <c r="B111" s="4"/>
      <c r="D111" s="3"/>
      <c r="E111" s="32"/>
      <c r="J111" s="32"/>
      <c r="K111" s="47"/>
      <c r="L111" s="47"/>
      <c r="M111" s="47"/>
    </row>
    <row r="112" spans="1:14" s="71" customFormat="1" x14ac:dyDescent="0.25">
      <c r="B112" s="71" t="s">
        <v>4</v>
      </c>
      <c r="D112" s="46"/>
      <c r="F112" s="48"/>
      <c r="K112" s="20"/>
      <c r="L112" s="20"/>
    </row>
    <row r="113" spans="2:12" x14ac:dyDescent="0.25">
      <c r="B113" s="31" t="s">
        <v>100</v>
      </c>
      <c r="F113" s="32"/>
    </row>
    <row r="114" spans="2:12" x14ac:dyDescent="0.25">
      <c r="B114" s="39" t="s">
        <v>108</v>
      </c>
      <c r="F114" s="48"/>
    </row>
    <row r="115" spans="2:12" x14ac:dyDescent="0.25">
      <c r="B115" s="177" t="s">
        <v>71</v>
      </c>
      <c r="F115" s="32"/>
    </row>
    <row r="116" spans="2:12" x14ac:dyDescent="0.25">
      <c r="B116" s="69" t="s">
        <v>139</v>
      </c>
    </row>
    <row r="117" spans="2:12" x14ac:dyDescent="0.25">
      <c r="B117" s="177" t="s">
        <v>84</v>
      </c>
      <c r="C117" s="177">
        <f>COUNTA(B102,B101,B100,B97,B96,B93,B59,B60)</f>
        <v>8</v>
      </c>
    </row>
    <row r="118" spans="2:12" x14ac:dyDescent="0.25">
      <c r="B118" s="177" t="s">
        <v>3</v>
      </c>
      <c r="C118" s="177">
        <f>A102</f>
        <v>49</v>
      </c>
    </row>
    <row r="119" spans="2:12" x14ac:dyDescent="0.25">
      <c r="B119" s="177" t="s">
        <v>85</v>
      </c>
      <c r="C119" s="177">
        <f>C118-C117</f>
        <v>41</v>
      </c>
    </row>
    <row r="122" spans="2:12" x14ac:dyDescent="0.25">
      <c r="B122" s="177" t="s">
        <v>149</v>
      </c>
    </row>
    <row r="124" spans="2:12" x14ac:dyDescent="0.25">
      <c r="B124" s="1" t="s">
        <v>145</v>
      </c>
      <c r="F124" s="177" t="s">
        <v>97</v>
      </c>
      <c r="I124" s="177" t="s">
        <v>97</v>
      </c>
      <c r="K124" s="177" t="s">
        <v>97</v>
      </c>
    </row>
    <row r="125" spans="2:12" ht="15.75" thickBot="1" x14ac:dyDescent="0.3">
      <c r="F125" s="60">
        <v>0.5</v>
      </c>
      <c r="I125" s="44">
        <f>1-F125</f>
        <v>0.5</v>
      </c>
      <c r="K125" s="44">
        <v>0</v>
      </c>
    </row>
    <row r="126" spans="2:12" ht="14.65" customHeight="1" x14ac:dyDescent="0.25">
      <c r="B126" s="1335" t="s">
        <v>66</v>
      </c>
      <c r="C126" s="1337" t="s">
        <v>65</v>
      </c>
      <c r="D126" s="1337" t="s">
        <v>64</v>
      </c>
      <c r="E126" s="72" t="s">
        <v>63</v>
      </c>
      <c r="F126" s="72" t="s">
        <v>128</v>
      </c>
      <c r="G126" s="1340" t="s">
        <v>1034</v>
      </c>
      <c r="H126" s="1337" t="s">
        <v>754</v>
      </c>
      <c r="I126" s="1337" t="s">
        <v>134</v>
      </c>
      <c r="J126" s="1329" t="s">
        <v>1035</v>
      </c>
      <c r="K126" s="1325" t="s">
        <v>135</v>
      </c>
      <c r="L126" s="1325" t="s">
        <v>152</v>
      </c>
    </row>
    <row r="127" spans="2:12" ht="15.75" thickBot="1" x14ac:dyDescent="0.3">
      <c r="B127" s="1336"/>
      <c r="C127" s="1338"/>
      <c r="D127" s="1338"/>
      <c r="E127" s="1080" t="s">
        <v>1036</v>
      </c>
      <c r="F127" s="1080" t="s">
        <v>63</v>
      </c>
      <c r="G127" s="1341"/>
      <c r="H127" s="1338"/>
      <c r="I127" s="1338"/>
      <c r="J127" s="1328"/>
      <c r="K127" s="1326"/>
      <c r="L127" s="1326"/>
    </row>
    <row r="129" spans="2:13" x14ac:dyDescent="0.25">
      <c r="B129" s="83" t="s">
        <v>133</v>
      </c>
      <c r="C129" s="83" t="str">
        <f>C59</f>
        <v>PA-Admin</v>
      </c>
      <c r="D129" s="83"/>
      <c r="E129" s="84">
        <f>E59</f>
        <v>5293</v>
      </c>
      <c r="F129" s="84"/>
      <c r="G129" s="84">
        <f>I59</f>
        <v>133556.43</v>
      </c>
      <c r="H129" s="84">
        <f>J59</f>
        <v>0</v>
      </c>
      <c r="I129" s="84"/>
      <c r="J129" s="85">
        <f>M59</f>
        <v>3</v>
      </c>
      <c r="K129" s="85"/>
      <c r="L129" s="85"/>
    </row>
    <row r="130" spans="2:13" x14ac:dyDescent="0.25">
      <c r="B130" s="69" t="s">
        <v>136</v>
      </c>
      <c r="C130" s="69"/>
      <c r="D130" s="69"/>
      <c r="E130" s="81"/>
      <c r="F130" s="81"/>
      <c r="G130" s="81"/>
      <c r="H130" s="81"/>
      <c r="I130" s="81"/>
      <c r="J130" s="86"/>
      <c r="K130" s="86"/>
      <c r="L130" s="86"/>
    </row>
    <row r="131" spans="2:13" x14ac:dyDescent="0.25">
      <c r="B131" s="177" t="str">
        <f t="shared" ref="B131:C135" si="7">B54</f>
        <v>Panorama - Wastewater Treatment Plant</v>
      </c>
      <c r="C131" s="177" t="str">
        <f t="shared" si="7"/>
        <v>Wastewater Treatment Plant</v>
      </c>
      <c r="E131" s="73">
        <f>E54</f>
        <v>1439148</v>
      </c>
      <c r="F131" s="45">
        <f>E131/$E$136</f>
        <v>0.35639351009525055</v>
      </c>
      <c r="G131" s="73">
        <f t="shared" ref="G131:H135" si="8">I54</f>
        <v>4503886.1599999992</v>
      </c>
      <c r="H131" s="73">
        <f t="shared" si="8"/>
        <v>0</v>
      </c>
      <c r="I131" s="89">
        <f>IF(Assumptions!$B$14="Gross",'CU Can Data'!G131/'CU Can Data'!$G$136,('CU Can Data'!G131+'CU Can Data'!H131)/('CU Can Data'!$G$136+'CU Can Data'!$H$136))</f>
        <v>0.52065513073816616</v>
      </c>
      <c r="J131" s="82">
        <f>M54</f>
        <v>0</v>
      </c>
      <c r="K131" s="82">
        <v>0</v>
      </c>
      <c r="L131" s="45">
        <f>(F131*$F$125)+(I131*$I$125)+(K131*$K$125)</f>
        <v>0.43852432041670836</v>
      </c>
    </row>
    <row r="132" spans="2:13" x14ac:dyDescent="0.25">
      <c r="B132" s="177" t="str">
        <f t="shared" si="7"/>
        <v>Panorama - Propane Storage Farm</v>
      </c>
      <c r="C132" s="177" t="str">
        <f t="shared" si="7"/>
        <v>Propane Storage Farm</v>
      </c>
      <c r="E132" s="73">
        <f t="shared" ref="E132:E135" si="9">E55</f>
        <v>605678</v>
      </c>
      <c r="F132" s="45">
        <f t="shared" ref="F132:F135" si="10">E132/$E$136</f>
        <v>0.14999132014738661</v>
      </c>
      <c r="G132" s="73">
        <f t="shared" si="8"/>
        <v>588041.27000000014</v>
      </c>
      <c r="H132" s="73">
        <f t="shared" si="8"/>
        <v>0</v>
      </c>
      <c r="I132" s="89">
        <f>IF(Assumptions!$B$14="Gross",'CU Can Data'!G132/'CU Can Data'!$G$136,('CU Can Data'!G132+'CU Can Data'!H132)/('CU Can Data'!$G$136+'CU Can Data'!$H$136))</f>
        <v>6.7978339912411867E-2</v>
      </c>
      <c r="J132" s="82">
        <f>M55</f>
        <v>0</v>
      </c>
      <c r="K132" s="82">
        <v>0</v>
      </c>
      <c r="L132" s="45">
        <f t="shared" ref="L132:L135" si="11">(F132*$F$125)+(I132*$I$125)+(K132*$K$125)</f>
        <v>0.10898483002989924</v>
      </c>
    </row>
    <row r="133" spans="2:13" x14ac:dyDescent="0.25">
      <c r="B133" s="177" t="str">
        <f t="shared" si="7"/>
        <v>Panorama - Propane Distribution</v>
      </c>
      <c r="C133" s="177" t="str">
        <f t="shared" si="7"/>
        <v>Propane Distribution</v>
      </c>
      <c r="E133" s="73">
        <f t="shared" si="9"/>
        <v>741637</v>
      </c>
      <c r="F133" s="45">
        <f t="shared" si="10"/>
        <v>0.1836604808167828</v>
      </c>
      <c r="G133" s="73">
        <f t="shared" si="8"/>
        <v>175396.95</v>
      </c>
      <c r="H133" s="73">
        <f t="shared" si="8"/>
        <v>-153341.78</v>
      </c>
      <c r="I133" s="89">
        <f>IF(Assumptions!$B$14="Gross",'CU Can Data'!G133/'CU Can Data'!$G$136,('CU Can Data'!G133+'CU Can Data'!H133)/('CU Can Data'!$G$136+'CU Can Data'!$H$136))</f>
        <v>2.0276116822039218E-2</v>
      </c>
      <c r="J133" s="82">
        <f>M56</f>
        <v>0</v>
      </c>
      <c r="K133" s="82">
        <v>0</v>
      </c>
      <c r="L133" s="45">
        <f t="shared" si="11"/>
        <v>0.10196829881941101</v>
      </c>
    </row>
    <row r="134" spans="2:13" x14ac:dyDescent="0.25">
      <c r="B134" s="71" t="str">
        <f t="shared" si="7"/>
        <v>Panorama - Water</v>
      </c>
      <c r="C134" s="71" t="str">
        <f t="shared" si="7"/>
        <v>Water</v>
      </c>
      <c r="D134" s="71"/>
      <c r="E134" s="74">
        <f t="shared" si="9"/>
        <v>246109</v>
      </c>
      <c r="F134" s="45">
        <f t="shared" si="10"/>
        <v>6.094692858276704E-2</v>
      </c>
      <c r="G134" s="74">
        <f t="shared" si="8"/>
        <v>2104487.9300000002</v>
      </c>
      <c r="H134" s="74">
        <f t="shared" si="8"/>
        <v>-1034346.36</v>
      </c>
      <c r="I134" s="89">
        <f>IF(Assumptions!$B$14="Gross",'CU Can Data'!G134/'CU Can Data'!$G$136,('CU Can Data'!G134+'CU Can Data'!H134)/('CU Can Data'!$G$136+'CU Can Data'!$H$136))</f>
        <v>0.24328155717218283</v>
      </c>
      <c r="J134" s="75">
        <f>M57</f>
        <v>0</v>
      </c>
      <c r="K134" s="82">
        <v>0</v>
      </c>
      <c r="L134" s="45">
        <f t="shared" si="11"/>
        <v>0.15211424287747494</v>
      </c>
    </row>
    <row r="135" spans="2:13" x14ac:dyDescent="0.25">
      <c r="B135" s="79" t="str">
        <f t="shared" si="7"/>
        <v>Panorama - Sewer</v>
      </c>
      <c r="C135" s="79" t="str">
        <f t="shared" si="7"/>
        <v>Sewer</v>
      </c>
      <c r="D135" s="79"/>
      <c r="E135" s="78">
        <f t="shared" si="9"/>
        <v>1005515</v>
      </c>
      <c r="F135" s="88">
        <f t="shared" si="10"/>
        <v>0.249007760357813</v>
      </c>
      <c r="G135" s="78">
        <f t="shared" si="8"/>
        <v>1278608.8500000001</v>
      </c>
      <c r="H135" s="78">
        <f t="shared" si="8"/>
        <v>-304289.15000000002</v>
      </c>
      <c r="I135" s="88">
        <f>IF(Assumptions!$B$14="Gross",'CU Can Data'!G135/'CU Can Data'!$G$136,('CU Can Data'!G135+'CU Can Data'!H135)/('CU Can Data'!$G$136+'CU Can Data'!$H$136))</f>
        <v>0.14780885535519986</v>
      </c>
      <c r="J135" s="87">
        <f>M58</f>
        <v>0</v>
      </c>
      <c r="K135" s="87">
        <v>0</v>
      </c>
      <c r="L135" s="88">
        <f t="shared" si="11"/>
        <v>0.19840830785650643</v>
      </c>
    </row>
    <row r="136" spans="2:13" x14ac:dyDescent="0.25">
      <c r="E136" s="76">
        <f t="shared" ref="E136:J136" si="12">SUM(E131:E135)</f>
        <v>4038087</v>
      </c>
      <c r="F136" s="80">
        <f t="shared" si="12"/>
        <v>1</v>
      </c>
      <c r="G136" s="76">
        <f t="shared" si="12"/>
        <v>8650421.1600000001</v>
      </c>
      <c r="H136" s="76">
        <f t="shared" si="12"/>
        <v>-1491977.29</v>
      </c>
      <c r="I136" s="80">
        <f t="shared" si="12"/>
        <v>0.99999999999999989</v>
      </c>
      <c r="J136" s="76">
        <f t="shared" si="12"/>
        <v>0</v>
      </c>
      <c r="K136" s="76">
        <v>0</v>
      </c>
      <c r="L136" s="77">
        <f>SUM(L131:L135)</f>
        <v>1</v>
      </c>
    </row>
    <row r="137" spans="2:13" x14ac:dyDescent="0.25">
      <c r="B137" s="177" t="s">
        <v>137</v>
      </c>
      <c r="K137" s="82"/>
      <c r="L137" s="82"/>
      <c r="M137" s="82"/>
    </row>
    <row r="138" spans="2:13" x14ac:dyDescent="0.25">
      <c r="B138" s="71" t="str">
        <f>B131</f>
        <v>Panorama - Wastewater Treatment Plant</v>
      </c>
      <c r="C138" s="71" t="str">
        <f t="shared" ref="C138" si="13">C131</f>
        <v>Wastewater Treatment Plant</v>
      </c>
      <c r="D138" s="71"/>
      <c r="E138" s="74">
        <f>E131+(L131*$E$129)</f>
        <v>1441469.1092279656</v>
      </c>
      <c r="F138" s="89">
        <f>E138/$E$143</f>
        <v>0.35650102370491166</v>
      </c>
      <c r="G138" s="74">
        <f>G131+(L131*$G$129)</f>
        <v>4562453.902703031</v>
      </c>
      <c r="H138" s="74">
        <f>H131+(L131*$H$129)</f>
        <v>0</v>
      </c>
      <c r="I138" s="89">
        <f>IF(Assumptions!$B$14="Gross",'CU Can Data'!G138/'CU Can Data'!$G$143,('CU Can Data'!G138+'CU Can Data'!H138)/('CU Can Data'!$G$143+'CU Can Data'!$H$143))</f>
        <v>0.51940636869305024</v>
      </c>
      <c r="J138" s="75">
        <f>J131+(L131*$J$129)</f>
        <v>1.315572961250125</v>
      </c>
      <c r="K138" s="90">
        <f>J138/$J$143</f>
        <v>0.43852432041670836</v>
      </c>
      <c r="L138" s="45">
        <f>(F138*$F$125)+(I138*$I$125)+(K138*$K$125)</f>
        <v>0.43795369619898095</v>
      </c>
      <c r="M138" s="82"/>
    </row>
    <row r="139" spans="2:13" x14ac:dyDescent="0.25">
      <c r="B139" s="71" t="str">
        <f t="shared" ref="B139:C142" si="14">B132</f>
        <v>Panorama - Propane Storage Farm</v>
      </c>
      <c r="C139" s="71" t="str">
        <f t="shared" si="14"/>
        <v>Propane Storage Farm</v>
      </c>
      <c r="D139" s="71"/>
      <c r="E139" s="74">
        <f>E132+(L132*$E$129)</f>
        <v>606254.85670534824</v>
      </c>
      <c r="F139" s="89">
        <f t="shared" ref="F139:F142" si="15">E139/$E$143</f>
        <v>0.14993764046548883</v>
      </c>
      <c r="G139" s="74">
        <f>G132+(L132*$G$129)</f>
        <v>602596.89482295024</v>
      </c>
      <c r="H139" s="74">
        <f>H132+(L132*$H$129)</f>
        <v>0</v>
      </c>
      <c r="I139" s="89">
        <f>IF(Assumptions!$B$14="Gross",'CU Can Data'!G139/'CU Can Data'!$G$143,('CU Can Data'!G139+'CU Can Data'!H139)/('CU Can Data'!$G$143+'CU Can Data'!$H$143))</f>
        <v>6.860182515822541E-2</v>
      </c>
      <c r="J139" s="75">
        <f t="shared" ref="J139:J142" si="16">J132+(L132*$J$129)</f>
        <v>0.32695449008969774</v>
      </c>
      <c r="K139" s="90">
        <f t="shared" ref="K139:K142" si="17">J139/$J$143</f>
        <v>0.10898483002989924</v>
      </c>
      <c r="L139" s="45">
        <f t="shared" ref="L139:L142" si="18">(F139*$F$125)+(I139*$I$125)+(K139*$K$125)</f>
        <v>0.10926973281185712</v>
      </c>
      <c r="M139" s="82"/>
    </row>
    <row r="140" spans="2:13" x14ac:dyDescent="0.25">
      <c r="B140" s="71" t="str">
        <f t="shared" si="14"/>
        <v>Panorama - Propane Distribution</v>
      </c>
      <c r="C140" s="71" t="str">
        <f t="shared" si="14"/>
        <v>Propane Distribution</v>
      </c>
      <c r="D140" s="71"/>
      <c r="E140" s="74">
        <f>E133+(L133*$E$129)</f>
        <v>742176.71820565115</v>
      </c>
      <c r="F140" s="89">
        <f t="shared" si="15"/>
        <v>0.18355354139498417</v>
      </c>
      <c r="G140" s="74">
        <f>G133+(L133*$G$129)</f>
        <v>189015.47196349376</v>
      </c>
      <c r="H140" s="74">
        <f>H133+(L133*$H$129)</f>
        <v>-153341.78</v>
      </c>
      <c r="I140" s="89">
        <f>IF(Assumptions!$B$14="Gross",'CU Can Data'!G140/'CU Can Data'!$G$143,('CU Can Data'!G140+'CU Can Data'!H140)/('CU Can Data'!$G$143+'CU Can Data'!$H$143))</f>
        <v>2.1518209720693716E-2</v>
      </c>
      <c r="J140" s="75">
        <f t="shared" si="16"/>
        <v>0.30590489645823304</v>
      </c>
      <c r="K140" s="90">
        <f t="shared" si="17"/>
        <v>0.10196829881941101</v>
      </c>
      <c r="L140" s="45">
        <f t="shared" si="18"/>
        <v>0.10253587555783894</v>
      </c>
      <c r="M140" s="82"/>
    </row>
    <row r="141" spans="2:13" x14ac:dyDescent="0.25">
      <c r="B141" s="71" t="str">
        <f t="shared" si="14"/>
        <v>Panorama - Water</v>
      </c>
      <c r="C141" s="71" t="str">
        <f t="shared" si="14"/>
        <v>Water</v>
      </c>
      <c r="D141" s="71"/>
      <c r="E141" s="74">
        <f>E134+(L134*$E$129)</f>
        <v>246914.14068755048</v>
      </c>
      <c r="F141" s="89">
        <f t="shared" si="15"/>
        <v>6.106627145792641E-2</v>
      </c>
      <c r="G141" s="74">
        <f>G134+(L134*$G$129)</f>
        <v>2124803.7652308685</v>
      </c>
      <c r="H141" s="74">
        <f>H134+(L134*$H$129)</f>
        <v>-1034346.36</v>
      </c>
      <c r="I141" s="89">
        <f>IF(Assumptions!$B$14="Gross",'CU Can Data'!G141/'CU Can Data'!$G$143,('CU Can Data'!G141+'CU Can Data'!H141)/('CU Can Data'!$G$143+'CU Can Data'!$H$143))</f>
        <v>0.24189539914694483</v>
      </c>
      <c r="J141" s="75">
        <f t="shared" si="16"/>
        <v>0.45634272863242481</v>
      </c>
      <c r="K141" s="90">
        <f t="shared" si="17"/>
        <v>0.15211424287747494</v>
      </c>
      <c r="L141" s="45">
        <f t="shared" si="18"/>
        <v>0.15148083530243561</v>
      </c>
    </row>
    <row r="142" spans="2:13" x14ac:dyDescent="0.25">
      <c r="B142" s="79" t="str">
        <f t="shared" si="14"/>
        <v>Panorama - Sewer</v>
      </c>
      <c r="C142" s="79" t="str">
        <f t="shared" si="14"/>
        <v>Sewer</v>
      </c>
      <c r="D142" s="79"/>
      <c r="E142" s="78">
        <f>E135+(L135*$E$129)</f>
        <v>1006565.1751734845</v>
      </c>
      <c r="F142" s="88">
        <f t="shared" si="15"/>
        <v>0.24894152297668892</v>
      </c>
      <c r="G142" s="78">
        <f>G135+(L135*$G$129)</f>
        <v>1305107.5552796561</v>
      </c>
      <c r="H142" s="78">
        <f>H135+(L135*$H$129)</f>
        <v>-304289.15000000002</v>
      </c>
      <c r="I142" s="88">
        <f>IF(Assumptions!$B$14="Gross",'CU Can Data'!G142/'CU Can Data'!$G$143,('CU Can Data'!G142+'CU Can Data'!H142)/('CU Can Data'!$G$143+'CU Can Data'!$H$143))</f>
        <v>0.14857819728108573</v>
      </c>
      <c r="J142" s="87">
        <f t="shared" si="16"/>
        <v>0.59522492356951928</v>
      </c>
      <c r="K142" s="91">
        <f t="shared" si="17"/>
        <v>0.19840830785650643</v>
      </c>
      <c r="L142" s="88">
        <f t="shared" si="18"/>
        <v>0.19875986012888733</v>
      </c>
    </row>
    <row r="143" spans="2:13" x14ac:dyDescent="0.25">
      <c r="E143" s="76">
        <f t="shared" ref="E143:L143" si="19">SUM(E138:E142)</f>
        <v>4043380</v>
      </c>
      <c r="F143" s="80">
        <f t="shared" si="19"/>
        <v>1</v>
      </c>
      <c r="G143" s="76">
        <f t="shared" si="19"/>
        <v>8783977.5899999999</v>
      </c>
      <c r="H143" s="76">
        <f t="shared" si="19"/>
        <v>-1491977.29</v>
      </c>
      <c r="I143" s="80">
        <f t="shared" si="19"/>
        <v>1</v>
      </c>
      <c r="J143" s="76">
        <f t="shared" si="19"/>
        <v>3</v>
      </c>
      <c r="K143" s="80">
        <f t="shared" si="19"/>
        <v>1</v>
      </c>
      <c r="L143" s="77">
        <f t="shared" si="19"/>
        <v>1</v>
      </c>
    </row>
    <row r="145" spans="2:12" x14ac:dyDescent="0.25">
      <c r="D145" s="177" t="s">
        <v>118</v>
      </c>
      <c r="E145" s="76">
        <f>E143-E136-E129</f>
        <v>0</v>
      </c>
      <c r="G145" s="76">
        <f>G143-G136-G129</f>
        <v>-2.9103830456733704E-10</v>
      </c>
      <c r="H145" s="76">
        <f>H143-H136-H129</f>
        <v>0</v>
      </c>
      <c r="J145" s="76">
        <f>J143-J136-J129</f>
        <v>0</v>
      </c>
      <c r="K145" s="80">
        <f>K143-K136-K129</f>
        <v>1</v>
      </c>
    </row>
    <row r="146" spans="2:12" ht="15.75" thickBot="1" x14ac:dyDescent="0.3">
      <c r="E146" s="76"/>
      <c r="G146" s="76"/>
      <c r="H146" s="76"/>
      <c r="J146" s="76"/>
      <c r="K146" s="80"/>
    </row>
    <row r="147" spans="2:12" x14ac:dyDescent="0.25">
      <c r="B147" s="1335" t="s">
        <v>66</v>
      </c>
      <c r="C147" s="1337" t="s">
        <v>65</v>
      </c>
      <c r="D147" s="1337" t="s">
        <v>64</v>
      </c>
      <c r="E147" s="72" t="s">
        <v>63</v>
      </c>
      <c r="F147" s="72" t="s">
        <v>128</v>
      </c>
      <c r="G147" s="1340" t="s">
        <v>1034</v>
      </c>
      <c r="H147" s="1337" t="s">
        <v>754</v>
      </c>
      <c r="I147" s="1337" t="s">
        <v>134</v>
      </c>
      <c r="J147" s="1329" t="s">
        <v>1035</v>
      </c>
      <c r="K147" s="1325" t="s">
        <v>135</v>
      </c>
      <c r="L147" s="1325" t="s">
        <v>152</v>
      </c>
    </row>
    <row r="148" spans="2:12" ht="15.75" thickBot="1" x14ac:dyDescent="0.3">
      <c r="B148" s="1336"/>
      <c r="C148" s="1338"/>
      <c r="D148" s="1338"/>
      <c r="E148" s="1080" t="s">
        <v>1036</v>
      </c>
      <c r="F148" s="1080" t="s">
        <v>63</v>
      </c>
      <c r="G148" s="1341"/>
      <c r="H148" s="1338"/>
      <c r="I148" s="1338"/>
      <c r="J148" s="1328"/>
      <c r="K148" s="1326"/>
      <c r="L148" s="1326"/>
    </row>
    <row r="149" spans="2:12" x14ac:dyDescent="0.25">
      <c r="E149" s="76"/>
      <c r="G149" s="76"/>
      <c r="H149" s="76"/>
      <c r="J149" s="76"/>
      <c r="K149" s="80"/>
    </row>
    <row r="150" spans="2:12" x14ac:dyDescent="0.25">
      <c r="B150" s="83" t="s">
        <v>143</v>
      </c>
      <c r="C150" s="83" t="str">
        <f>C60</f>
        <v>Admin</v>
      </c>
      <c r="D150" s="83"/>
      <c r="E150" s="84">
        <f>E60</f>
        <v>15660</v>
      </c>
      <c r="F150" s="84"/>
      <c r="G150" s="84">
        <f>I60</f>
        <v>32635.770000000004</v>
      </c>
      <c r="H150" s="84">
        <f>J59</f>
        <v>0</v>
      </c>
      <c r="I150" s="84"/>
      <c r="J150" s="85">
        <f>M60</f>
        <v>3.33</v>
      </c>
      <c r="K150" s="85"/>
      <c r="L150" s="85"/>
    </row>
    <row r="151" spans="2:12" x14ac:dyDescent="0.25">
      <c r="B151" s="69" t="s">
        <v>136</v>
      </c>
      <c r="C151" s="69"/>
      <c r="D151" s="69"/>
      <c r="E151" s="81"/>
      <c r="F151" s="81"/>
      <c r="G151" s="81"/>
      <c r="H151" s="81"/>
      <c r="I151" s="81"/>
      <c r="J151" s="86"/>
      <c r="K151" s="86"/>
      <c r="L151" s="86"/>
    </row>
    <row r="152" spans="2:12" x14ac:dyDescent="0.25">
      <c r="B152" s="177" t="str">
        <f t="shared" ref="B152:C158" si="20">B61</f>
        <v>Sun Rivers - Electric</v>
      </c>
      <c r="C152" s="71" t="str">
        <f t="shared" si="20"/>
        <v xml:space="preserve">Electric </v>
      </c>
      <c r="E152" s="74">
        <f t="shared" ref="E152:E158" si="21">E61</f>
        <v>1646186</v>
      </c>
      <c r="F152" s="89">
        <f>E152/$E$159</f>
        <v>0.35322453701915607</v>
      </c>
      <c r="G152" s="73">
        <f t="shared" ref="G152:H158" si="22">I61</f>
        <v>7499488.5700000003</v>
      </c>
      <c r="H152" s="73">
        <f t="shared" si="22"/>
        <v>-1616399.02</v>
      </c>
      <c r="I152" s="89">
        <f>IF(Assumptions!$B$14="Gross",'CU Can Data'!G152/'CU Can Data'!$G$159,('CU Can Data'!G152+'CU Can Data'!H152)/('CU Can Data'!$G$159+'CU Can Data'!$H$159))</f>
        <v>0.19881194224116991</v>
      </c>
      <c r="J152" s="75">
        <f>M61</f>
        <v>0</v>
      </c>
      <c r="K152" s="82">
        <v>0</v>
      </c>
      <c r="L152" s="89">
        <f>(F152*$F$125)+(I152*$I$125)+(K152*$K$125)</f>
        <v>0.27601823963016298</v>
      </c>
    </row>
    <row r="153" spans="2:12" x14ac:dyDescent="0.25">
      <c r="B153" s="177" t="str">
        <f t="shared" si="20"/>
        <v>Sun Rivers - Gas</v>
      </c>
      <c r="C153" s="71" t="str">
        <f t="shared" si="20"/>
        <v>Gas</v>
      </c>
      <c r="E153" s="74">
        <f t="shared" si="21"/>
        <v>174106</v>
      </c>
      <c r="F153" s="89">
        <f t="shared" ref="F153:F158" si="23">E153/$E$159</f>
        <v>3.7358178992080597E-2</v>
      </c>
      <c r="G153" s="73">
        <f t="shared" si="22"/>
        <v>1043443</v>
      </c>
      <c r="H153" s="73">
        <f t="shared" si="22"/>
        <v>-407370</v>
      </c>
      <c r="I153" s="89">
        <f>IF(Assumptions!$B$14="Gross",'CU Can Data'!G153/'CU Can Data'!$G$159,('CU Can Data'!G153+'CU Can Data'!H153)/('CU Can Data'!$G$159+'CU Can Data'!$H$159))</f>
        <v>2.7661743532459714E-2</v>
      </c>
      <c r="J153" s="75">
        <f t="shared" ref="J153:J158" si="24">M62</f>
        <v>0</v>
      </c>
      <c r="K153" s="82">
        <v>0</v>
      </c>
      <c r="L153" s="89">
        <f t="shared" ref="L153:L158" si="25">(F153*$F$125)+(I153*$I$125)+(K153*$K$125)</f>
        <v>3.2509961262270154E-2</v>
      </c>
    </row>
    <row r="154" spans="2:12" x14ac:dyDescent="0.25">
      <c r="B154" s="177" t="str">
        <f t="shared" si="20"/>
        <v>Sun Rivers - Domestic Water</v>
      </c>
      <c r="C154" s="71" t="str">
        <f t="shared" si="20"/>
        <v>Domestic Water</v>
      </c>
      <c r="E154" s="74">
        <f t="shared" si="21"/>
        <v>366771</v>
      </c>
      <c r="F154" s="89">
        <f t="shared" si="23"/>
        <v>7.8698589750522047E-2</v>
      </c>
      <c r="G154" s="73">
        <f t="shared" si="22"/>
        <v>3275652</v>
      </c>
      <c r="H154" s="73">
        <f t="shared" si="22"/>
        <v>-347698</v>
      </c>
      <c r="I154" s="89">
        <f>IF(Assumptions!$B$14="Gross",'CU Can Data'!G154/'CU Can Data'!$G$159,('CU Can Data'!G154+'CU Can Data'!H154)/('CU Can Data'!$G$159+'CU Can Data'!$H$159))</f>
        <v>8.6837753021093367E-2</v>
      </c>
      <c r="J154" s="75">
        <f t="shared" si="24"/>
        <v>0</v>
      </c>
      <c r="K154" s="82">
        <v>0</v>
      </c>
      <c r="L154" s="89">
        <f t="shared" si="25"/>
        <v>8.2768171385807707E-2</v>
      </c>
    </row>
    <row r="155" spans="2:12" x14ac:dyDescent="0.25">
      <c r="B155" s="71" t="str">
        <f t="shared" si="20"/>
        <v>Sun Rivers - Irrigation Water</v>
      </c>
      <c r="C155" s="71" t="str">
        <f t="shared" si="20"/>
        <v>Irrigation Water</v>
      </c>
      <c r="D155" s="71"/>
      <c r="E155" s="74">
        <f t="shared" si="21"/>
        <v>288126</v>
      </c>
      <c r="F155" s="89">
        <f t="shared" si="23"/>
        <v>6.182361710838348E-2</v>
      </c>
      <c r="G155" s="73">
        <f t="shared" si="22"/>
        <v>2940890</v>
      </c>
      <c r="H155" s="73">
        <f t="shared" si="22"/>
        <v>-361322</v>
      </c>
      <c r="I155" s="89">
        <f>IF(Assumptions!$B$14="Gross",'CU Can Data'!G155/'CU Can Data'!$G$159,('CU Can Data'!G155+'CU Can Data'!H155)/('CU Can Data'!$G$159+'CU Can Data'!$H$159))</f>
        <v>7.7963190070924282E-2</v>
      </c>
      <c r="J155" s="75">
        <f t="shared" si="24"/>
        <v>0</v>
      </c>
      <c r="K155" s="75">
        <v>0</v>
      </c>
      <c r="L155" s="89">
        <f t="shared" si="25"/>
        <v>6.9893403589653874E-2</v>
      </c>
    </row>
    <row r="156" spans="2:12" x14ac:dyDescent="0.25">
      <c r="B156" s="71" t="str">
        <f t="shared" si="20"/>
        <v>Sun Rivers - Sewer</v>
      </c>
      <c r="C156" s="71" t="str">
        <f t="shared" si="20"/>
        <v>Sewer</v>
      </c>
      <c r="D156" s="71"/>
      <c r="E156" s="74">
        <f t="shared" si="21"/>
        <v>318024</v>
      </c>
      <c r="F156" s="89">
        <f t="shared" si="23"/>
        <v>6.82388746842581E-2</v>
      </c>
      <c r="G156" s="73">
        <f t="shared" si="22"/>
        <v>2907894</v>
      </c>
      <c r="H156" s="73">
        <f t="shared" si="22"/>
        <v>-300258</v>
      </c>
      <c r="I156" s="89">
        <f>IF(Assumptions!$B$14="Gross",'CU Can Data'!G156/'CU Can Data'!$G$159,('CU Can Data'!G156+'CU Can Data'!H156)/('CU Can Data'!$G$159+'CU Can Data'!$H$159))</f>
        <v>7.7088463909938926E-2</v>
      </c>
      <c r="J156" s="75">
        <f t="shared" si="24"/>
        <v>0</v>
      </c>
      <c r="K156" s="75">
        <v>0</v>
      </c>
      <c r="L156" s="89">
        <f t="shared" si="25"/>
        <v>7.2663669297098513E-2</v>
      </c>
    </row>
    <row r="157" spans="2:12" x14ac:dyDescent="0.25">
      <c r="B157" s="71" t="str">
        <f t="shared" si="20"/>
        <v>Sun Rivers - Geothermal</v>
      </c>
      <c r="C157" s="71" t="str">
        <f t="shared" si="20"/>
        <v>Geothermal</v>
      </c>
      <c r="D157" s="71"/>
      <c r="E157" s="74">
        <f t="shared" si="21"/>
        <v>1013831</v>
      </c>
      <c r="F157" s="89">
        <f t="shared" si="23"/>
        <v>0.21753920006042332</v>
      </c>
      <c r="G157" s="73">
        <f t="shared" si="22"/>
        <v>11284260</v>
      </c>
      <c r="H157" s="73">
        <f t="shared" si="22"/>
        <v>-2200526</v>
      </c>
      <c r="I157" s="89">
        <f>IF(Assumptions!$B$14="Gross",'CU Can Data'!G157/'CU Can Data'!$G$159,('CU Can Data'!G157+'CU Can Data'!H157)/('CU Can Data'!$G$159+'CU Can Data'!$H$159))</f>
        <v>0.29914648531217691</v>
      </c>
      <c r="J157" s="75">
        <f t="shared" si="24"/>
        <v>0</v>
      </c>
      <c r="K157" s="75"/>
      <c r="L157" s="89">
        <f t="shared" si="25"/>
        <v>0.25834284268630014</v>
      </c>
    </row>
    <row r="158" spans="2:12" x14ac:dyDescent="0.25">
      <c r="B158" s="79" t="str">
        <f t="shared" si="20"/>
        <v>Sun Rivers - Municipal</v>
      </c>
      <c r="C158" s="79" t="str">
        <f t="shared" si="20"/>
        <v>Municipal</v>
      </c>
      <c r="D158" s="79"/>
      <c r="E158" s="78">
        <f t="shared" si="21"/>
        <v>853408</v>
      </c>
      <c r="F158" s="88">
        <f t="shared" si="23"/>
        <v>0.18311700238517636</v>
      </c>
      <c r="G158" s="78">
        <f t="shared" si="22"/>
        <v>8769892</v>
      </c>
      <c r="H158" s="78">
        <f t="shared" si="22"/>
        <v>-175667</v>
      </c>
      <c r="I158" s="88">
        <f>IF(Assumptions!$B$14="Gross",'CU Can Data'!G158/'CU Can Data'!$G$159,('CU Can Data'!G158+'CU Can Data'!H158)/('CU Can Data'!$G$159+'CU Can Data'!$H$159))</f>
        <v>0.23249042191223687</v>
      </c>
      <c r="J158" s="87">
        <f t="shared" si="24"/>
        <v>0</v>
      </c>
      <c r="K158" s="87"/>
      <c r="L158" s="88">
        <f t="shared" si="25"/>
        <v>0.20780371214870663</v>
      </c>
    </row>
    <row r="159" spans="2:12" x14ac:dyDescent="0.25">
      <c r="C159" s="71"/>
      <c r="D159" s="71"/>
      <c r="E159" s="76">
        <f t="shared" ref="E159:J159" si="26">SUM(E152:E158)</f>
        <v>4660452</v>
      </c>
      <c r="F159" s="80">
        <f t="shared" si="26"/>
        <v>0.99999999999999989</v>
      </c>
      <c r="G159" s="76">
        <f t="shared" si="26"/>
        <v>37721519.57</v>
      </c>
      <c r="H159" s="76">
        <f t="shared" si="26"/>
        <v>-5409240.0199999996</v>
      </c>
      <c r="I159" s="80">
        <f t="shared" si="26"/>
        <v>1</v>
      </c>
      <c r="J159" s="76">
        <f t="shared" si="26"/>
        <v>0</v>
      </c>
      <c r="K159" s="76">
        <v>0</v>
      </c>
      <c r="L159" s="77">
        <f>SUM(L152:L158)</f>
        <v>1</v>
      </c>
    </row>
    <row r="161" spans="2:12" x14ac:dyDescent="0.25">
      <c r="B161" s="177" t="s">
        <v>137</v>
      </c>
      <c r="K161" s="82"/>
      <c r="L161" s="82"/>
    </row>
    <row r="162" spans="2:12" x14ac:dyDescent="0.25">
      <c r="B162" s="71" t="str">
        <f>B152</f>
        <v>Sun Rivers - Electric</v>
      </c>
      <c r="C162" s="71" t="str">
        <f t="shared" ref="C162:C168" si="27">C152</f>
        <v xml:space="preserve">Electric </v>
      </c>
      <c r="D162" s="71"/>
      <c r="E162" s="74">
        <f>E152+(L152*$E$150)</f>
        <v>1650508.4456326084</v>
      </c>
      <c r="F162" s="89">
        <f>E162/$E$169</f>
        <v>0.35296597806737912</v>
      </c>
      <c r="G162" s="74">
        <f>G152+(L152*$G$150)</f>
        <v>7508496.6377843749</v>
      </c>
      <c r="H162" s="74">
        <f>H152+(L152*$H$150)</f>
        <v>-1616399.02</v>
      </c>
      <c r="I162" s="89">
        <f>IF(Assumptions!$B$14="Gross",'CU Can Data'!G162/'CU Can Data'!$G$169,('CU Can Data'!G162+'CU Can Data'!H162)/('CU Can Data'!$G$169+'CU Can Data'!$H$169))</f>
        <v>0.19887868156936961</v>
      </c>
      <c r="J162" s="75">
        <f>J152+(L152*$J$150)</f>
        <v>0.91914073796844276</v>
      </c>
      <c r="K162" s="90">
        <f>J162/$J$169</f>
        <v>0.27601823963016298</v>
      </c>
      <c r="L162" s="89">
        <f>(F162*$F$125)+(I162*$I$125)+(K162*$K$125)</f>
        <v>0.27592232981837439</v>
      </c>
    </row>
    <row r="163" spans="2:12" x14ac:dyDescent="0.25">
      <c r="B163" s="71" t="str">
        <f t="shared" ref="B163:B168" si="28">B153</f>
        <v>Sun Rivers - Gas</v>
      </c>
      <c r="C163" s="71" t="str">
        <f t="shared" si="27"/>
        <v>Gas</v>
      </c>
      <c r="D163" s="71"/>
      <c r="E163" s="74">
        <f t="shared" ref="E163:E168" si="29">E153+(L153*$E$150)</f>
        <v>174615.10599336715</v>
      </c>
      <c r="F163" s="89">
        <f t="shared" ref="F163:F168" si="30">E163/$E$169</f>
        <v>3.7341942620999484E-2</v>
      </c>
      <c r="G163" s="74">
        <f t="shared" ref="G163:G168" si="31">G153+(L153*$G$150)</f>
        <v>1044503.9876184644</v>
      </c>
      <c r="H163" s="74">
        <f t="shared" ref="H163:H168" si="32">H153+(L153*$H$150)</f>
        <v>-407370</v>
      </c>
      <c r="I163" s="89">
        <f>IF(Assumptions!$B$14="Gross",'CU Can Data'!G163/'CU Can Data'!$G$169,('CU Can Data'!G163+'CU Can Data'!H163)/('CU Can Data'!$G$169+'CU Can Data'!$H$169))</f>
        <v>2.7665934470313184E-2</v>
      </c>
      <c r="J163" s="75">
        <f t="shared" ref="J163:J168" si="33">J153+(L153*$J$150)</f>
        <v>0.10825817100335962</v>
      </c>
      <c r="K163" s="90">
        <f t="shared" ref="K163:K168" si="34">J163/$J$169</f>
        <v>3.2509961262270154E-2</v>
      </c>
      <c r="L163" s="89">
        <f t="shared" ref="L163:L168" si="35">(F163*$F$125)+(I163*$I$125)+(K163*$K$125)</f>
        <v>3.2503938545656336E-2</v>
      </c>
    </row>
    <row r="164" spans="2:12" x14ac:dyDescent="0.25">
      <c r="B164" s="71" t="str">
        <f t="shared" si="28"/>
        <v>Sun Rivers - Domestic Water</v>
      </c>
      <c r="C164" s="71" t="str">
        <f t="shared" si="27"/>
        <v>Domestic Water</v>
      </c>
      <c r="D164" s="71"/>
      <c r="E164" s="74">
        <f t="shared" si="29"/>
        <v>368067.14956390177</v>
      </c>
      <c r="F164" s="89">
        <f t="shared" si="30"/>
        <v>7.8712218519124813E-2</v>
      </c>
      <c r="G164" s="74">
        <f t="shared" si="31"/>
        <v>3278353.203004668</v>
      </c>
      <c r="H164" s="74">
        <f t="shared" si="32"/>
        <v>-347698</v>
      </c>
      <c r="I164" s="89">
        <f>IF(Assumptions!$B$14="Gross",'CU Can Data'!G164/'CU Can Data'!$G$169,('CU Can Data'!G164+'CU Can Data'!H164)/('CU Can Data'!$G$169+'CU Can Data'!$H$169))</f>
        <v>8.68342351585151E-2</v>
      </c>
      <c r="J164" s="75">
        <f t="shared" si="33"/>
        <v>0.27561801071473968</v>
      </c>
      <c r="K164" s="90">
        <f t="shared" si="34"/>
        <v>8.2768171385807707E-2</v>
      </c>
      <c r="L164" s="89">
        <f t="shared" si="35"/>
        <v>8.2773226838819963E-2</v>
      </c>
    </row>
    <row r="165" spans="2:12" x14ac:dyDescent="0.25">
      <c r="B165" s="71" t="str">
        <f t="shared" si="28"/>
        <v>Sun Rivers - Irrigation Water</v>
      </c>
      <c r="C165" s="71" t="str">
        <f t="shared" si="27"/>
        <v>Irrigation Water</v>
      </c>
      <c r="D165" s="71"/>
      <c r="E165" s="74">
        <f t="shared" si="29"/>
        <v>289220.53070021397</v>
      </c>
      <c r="F165" s="89">
        <f t="shared" si="30"/>
        <v>6.1850642307159018E-2</v>
      </c>
      <c r="G165" s="74">
        <f t="shared" si="31"/>
        <v>2943171.0250440692</v>
      </c>
      <c r="H165" s="74">
        <f t="shared" si="32"/>
        <v>-361322</v>
      </c>
      <c r="I165" s="89">
        <f>IF(Assumptions!$B$14="Gross",'CU Can Data'!G165/'CU Can Data'!$G$169,('CU Can Data'!G165+'CU Can Data'!H165)/('CU Can Data'!$G$169+'CU Can Data'!$H$169))</f>
        <v>7.7956214317045538E-2</v>
      </c>
      <c r="J165" s="75">
        <f t="shared" si="33"/>
        <v>0.2327450339535474</v>
      </c>
      <c r="K165" s="90">
        <f t="shared" si="34"/>
        <v>6.9893403589653874E-2</v>
      </c>
      <c r="L165" s="89">
        <f t="shared" si="35"/>
        <v>6.9903428312102278E-2</v>
      </c>
    </row>
    <row r="166" spans="2:12" x14ac:dyDescent="0.25">
      <c r="B166" s="71" t="str">
        <f t="shared" si="28"/>
        <v>Sun Rivers - Sewer</v>
      </c>
      <c r="C166" s="71" t="str">
        <f t="shared" si="27"/>
        <v>Sewer</v>
      </c>
      <c r="D166" s="71"/>
      <c r="E166" s="74">
        <f t="shared" si="29"/>
        <v>319161.91306119255</v>
      </c>
      <c r="F166" s="89">
        <f t="shared" si="30"/>
        <v>6.8253693038402966E-2</v>
      </c>
      <c r="G166" s="74">
        <f t="shared" si="31"/>
        <v>2910265.4347985364</v>
      </c>
      <c r="H166" s="74">
        <f t="shared" si="32"/>
        <v>-300258</v>
      </c>
      <c r="I166" s="89">
        <f>IF(Assumptions!$B$14="Gross",'CU Can Data'!G166/'CU Can Data'!$G$169,('CU Can Data'!G166+'CU Can Data'!H166)/('CU Can Data'!$G$169+'CU Can Data'!$H$169))</f>
        <v>7.7084638991119239E-2</v>
      </c>
      <c r="J166" s="75">
        <f t="shared" si="33"/>
        <v>0.24197001875933805</v>
      </c>
      <c r="K166" s="90">
        <f t="shared" si="34"/>
        <v>7.2663669297098513E-2</v>
      </c>
      <c r="L166" s="89">
        <f t="shared" si="35"/>
        <v>7.2669166014761102E-2</v>
      </c>
    </row>
    <row r="167" spans="2:12" x14ac:dyDescent="0.25">
      <c r="B167" s="71" t="str">
        <f t="shared" si="28"/>
        <v>Sun Rivers - Geothermal</v>
      </c>
      <c r="C167" s="71" t="str">
        <f t="shared" si="27"/>
        <v>Geothermal</v>
      </c>
      <c r="D167" s="71"/>
      <c r="E167" s="74">
        <f t="shared" si="29"/>
        <v>1017876.6489164674</v>
      </c>
      <c r="F167" s="89">
        <f t="shared" si="30"/>
        <v>0.21767584884974256</v>
      </c>
      <c r="G167" s="74">
        <f t="shared" si="31"/>
        <v>11292691.217595056</v>
      </c>
      <c r="H167" s="74">
        <f t="shared" si="32"/>
        <v>-2200526</v>
      </c>
      <c r="I167" s="89">
        <f>IF(Assumptions!$B$14="Gross",'CU Can Data'!G167/'CU Can Data'!$G$169,('CU Can Data'!G167+'CU Can Data'!H167)/('CU Can Data'!$G$169+'CU Can Data'!$H$169))</f>
        <v>0.29911121347828457</v>
      </c>
      <c r="J167" s="75">
        <f t="shared" si="33"/>
        <v>0.86028166614537949</v>
      </c>
      <c r="K167" s="90">
        <f t="shared" si="34"/>
        <v>0.25834284268630014</v>
      </c>
      <c r="L167" s="89">
        <f t="shared" si="35"/>
        <v>0.25839353116401353</v>
      </c>
    </row>
    <row r="168" spans="2:12" x14ac:dyDescent="0.25">
      <c r="B168" s="79" t="str">
        <f t="shared" si="28"/>
        <v>Sun Rivers - Municipal</v>
      </c>
      <c r="C168" s="79" t="str">
        <f t="shared" si="27"/>
        <v>Municipal</v>
      </c>
      <c r="D168" s="79"/>
      <c r="E168" s="78">
        <f t="shared" si="29"/>
        <v>856662.20613224874</v>
      </c>
      <c r="F168" s="88">
        <f t="shared" si="30"/>
        <v>0.18319967659719202</v>
      </c>
      <c r="G168" s="78">
        <f t="shared" si="31"/>
        <v>8776673.8341548312</v>
      </c>
      <c r="H168" s="78">
        <f t="shared" si="32"/>
        <v>-175667</v>
      </c>
      <c r="I168" s="88">
        <f>IF(Assumptions!$B$14="Gross",'CU Can Data'!G168/'CU Can Data'!$G$169,('CU Can Data'!G168+'CU Can Data'!H168)/('CU Can Data'!$G$169+'CU Can Data'!$H$169))</f>
        <v>0.23246908201535285</v>
      </c>
      <c r="J168" s="87">
        <f t="shared" si="33"/>
        <v>0.6919863614551931</v>
      </c>
      <c r="K168" s="91">
        <f t="shared" si="34"/>
        <v>0.20780371214870663</v>
      </c>
      <c r="L168" s="88">
        <f t="shared" si="35"/>
        <v>0.20783437930627244</v>
      </c>
    </row>
    <row r="169" spans="2:12" x14ac:dyDescent="0.25">
      <c r="E169" s="76">
        <f>SUM(E162:E168)</f>
        <v>4676112</v>
      </c>
      <c r="F169" s="80">
        <f>SUM(F162:F168)</f>
        <v>1</v>
      </c>
      <c r="G169" s="76">
        <f>SUM(G162:G168)</f>
        <v>37754155.339999996</v>
      </c>
      <c r="H169" s="76">
        <f t="shared" ref="H169:L169" si="36">SUM(H162:H168)</f>
        <v>-5409240.0199999996</v>
      </c>
      <c r="I169" s="80">
        <f t="shared" si="36"/>
        <v>1</v>
      </c>
      <c r="J169" s="108">
        <f t="shared" si="36"/>
        <v>3.33</v>
      </c>
      <c r="K169" s="80">
        <f t="shared" si="36"/>
        <v>1</v>
      </c>
      <c r="L169" s="77">
        <f t="shared" si="36"/>
        <v>1</v>
      </c>
    </row>
    <row r="171" spans="2:12" x14ac:dyDescent="0.25">
      <c r="B171" s="177" t="s">
        <v>144</v>
      </c>
      <c r="E171" s="76">
        <f>E169-E159-E150</f>
        <v>0</v>
      </c>
      <c r="F171" s="76"/>
      <c r="G171" s="76">
        <f>G169-G159-G150</f>
        <v>-4.1763996705412865E-9</v>
      </c>
      <c r="H171" s="76">
        <f>H169-H159-H150</f>
        <v>0</v>
      </c>
      <c r="J171" s="76">
        <f>J169-J159-J150</f>
        <v>0</v>
      </c>
    </row>
    <row r="172" spans="2:12" ht="15.75" thickBot="1" x14ac:dyDescent="0.3"/>
    <row r="173" spans="2:12" x14ac:dyDescent="0.25">
      <c r="B173" s="1335" t="s">
        <v>66</v>
      </c>
      <c r="C173" s="1337" t="s">
        <v>65</v>
      </c>
      <c r="D173" s="1337" t="s">
        <v>64</v>
      </c>
      <c r="E173" s="72" t="s">
        <v>63</v>
      </c>
      <c r="F173" s="72" t="s">
        <v>128</v>
      </c>
      <c r="G173" s="1340" t="s">
        <v>1034</v>
      </c>
      <c r="H173" s="1337" t="s">
        <v>754</v>
      </c>
      <c r="I173" s="1337" t="s">
        <v>134</v>
      </c>
      <c r="J173" s="1329" t="s">
        <v>1035</v>
      </c>
      <c r="K173" s="1325" t="s">
        <v>135</v>
      </c>
      <c r="L173" s="1325" t="s">
        <v>152</v>
      </c>
    </row>
    <row r="174" spans="2:12" ht="15.75" thickBot="1" x14ac:dyDescent="0.3">
      <c r="B174" s="1336"/>
      <c r="C174" s="1338"/>
      <c r="D174" s="1338"/>
      <c r="E174" s="1080" t="s">
        <v>1036</v>
      </c>
      <c r="F174" s="1080" t="s">
        <v>63</v>
      </c>
      <c r="G174" s="1341"/>
      <c r="H174" s="1338"/>
      <c r="I174" s="1338"/>
      <c r="J174" s="1328"/>
      <c r="K174" s="1326"/>
      <c r="L174" s="1326"/>
    </row>
    <row r="175" spans="2:12" x14ac:dyDescent="0.25">
      <c r="E175" s="76"/>
      <c r="G175" s="76"/>
      <c r="H175" s="76"/>
      <c r="J175" s="76"/>
      <c r="K175" s="80"/>
    </row>
    <row r="176" spans="2:12" x14ac:dyDescent="0.25">
      <c r="B176" s="83" t="s">
        <v>146</v>
      </c>
      <c r="C176" s="83" t="s">
        <v>54</v>
      </c>
      <c r="D176" s="83"/>
      <c r="E176" s="84">
        <f>E96</f>
        <v>0</v>
      </c>
      <c r="F176" s="84"/>
      <c r="G176" s="84">
        <f>I96</f>
        <v>6575</v>
      </c>
      <c r="H176" s="84">
        <f>J96</f>
        <v>0</v>
      </c>
      <c r="I176" s="84"/>
      <c r="J176" s="85">
        <f>M96</f>
        <v>9</v>
      </c>
      <c r="K176" s="85"/>
      <c r="L176" s="85"/>
    </row>
    <row r="177" spans="2:12" x14ac:dyDescent="0.25">
      <c r="B177" s="69" t="s">
        <v>136</v>
      </c>
      <c r="C177" s="69"/>
      <c r="D177" s="69"/>
      <c r="E177" s="81"/>
      <c r="F177" s="81"/>
      <c r="G177" s="81"/>
      <c r="H177" s="81"/>
      <c r="I177" s="81"/>
      <c r="J177" s="86"/>
      <c r="K177" s="86"/>
      <c r="L177" s="86"/>
    </row>
    <row r="178" spans="2:12" x14ac:dyDescent="0.25">
      <c r="B178" s="177" t="str">
        <f>B94</f>
        <v>Alberta Ops (North)</v>
      </c>
      <c r="E178" s="74">
        <f>E94</f>
        <v>2205443</v>
      </c>
      <c r="F178" s="89">
        <f>E178/$E$180</f>
        <v>0.48416888194382091</v>
      </c>
      <c r="G178" s="74">
        <f>I94</f>
        <v>198574.62999999998</v>
      </c>
      <c r="H178" s="73">
        <f>J94</f>
        <v>0</v>
      </c>
      <c r="I178" s="89">
        <f>IF(Assumptions!$B$14="Gross",'CU Can Data'!G178/'CU Can Data'!$G$180,('CU Can Data'!G178+'CU Can Data'!H178)/('CU Can Data'!$G$180+'CU Can Data'!$H$180))</f>
        <v>0.94025893948442896</v>
      </c>
      <c r="J178" s="75">
        <f>M94</f>
        <v>5</v>
      </c>
      <c r="K178" s="82">
        <f>J178/$J$180</f>
        <v>0.29411764705882354</v>
      </c>
      <c r="L178" s="89">
        <f>(F178*$F$194)+(I178*$I$194)+(K178*$K$194)</f>
        <v>0.57284848949569123</v>
      </c>
    </row>
    <row r="179" spans="2:12" x14ac:dyDescent="0.25">
      <c r="B179" s="177" t="str">
        <f>B95</f>
        <v>Alberta Ops (South)</v>
      </c>
      <c r="E179" s="78">
        <f>E95</f>
        <v>2349668</v>
      </c>
      <c r="F179" s="88">
        <f>E179/$E$180</f>
        <v>0.51583111805617909</v>
      </c>
      <c r="G179" s="78">
        <f>I95</f>
        <v>12616.8</v>
      </c>
      <c r="H179" s="78">
        <f>J95</f>
        <v>0</v>
      </c>
      <c r="I179" s="88">
        <f>IF(Assumptions!$B$14="Gross",'CU Can Data'!G179/'CU Can Data'!$G$180,('CU Can Data'!G179+'CU Can Data'!H179)/('CU Can Data'!$G$180+'CU Can Data'!$H$180))</f>
        <v>5.9741060515571119E-2</v>
      </c>
      <c r="J179" s="87">
        <f>M95</f>
        <v>12</v>
      </c>
      <c r="K179" s="87">
        <f>J179/$J$180</f>
        <v>0.70588235294117652</v>
      </c>
      <c r="L179" s="88">
        <f>(F179*$F$194)+(I179*$I$194)+(K179*$K$194)</f>
        <v>0.427151510504309</v>
      </c>
    </row>
    <row r="180" spans="2:12" x14ac:dyDescent="0.25">
      <c r="C180" s="71"/>
      <c r="D180" s="71"/>
      <c r="E180" s="76">
        <f t="shared" ref="E180:J180" si="37">SUM(E178:E179)</f>
        <v>4555111</v>
      </c>
      <c r="F180" s="80">
        <f t="shared" si="37"/>
        <v>1</v>
      </c>
      <c r="G180" s="76">
        <f t="shared" si="37"/>
        <v>211191.42999999996</v>
      </c>
      <c r="H180" s="76">
        <f t="shared" si="37"/>
        <v>0</v>
      </c>
      <c r="I180" s="80">
        <f t="shared" si="37"/>
        <v>1</v>
      </c>
      <c r="J180" s="76">
        <f t="shared" si="37"/>
        <v>17</v>
      </c>
      <c r="K180" s="76">
        <v>0</v>
      </c>
      <c r="L180" s="77">
        <f>SUM(L178:L179)</f>
        <v>1.0000000000000002</v>
      </c>
    </row>
    <row r="182" spans="2:12" x14ac:dyDescent="0.25">
      <c r="B182" s="177" t="s">
        <v>137</v>
      </c>
      <c r="K182" s="82"/>
      <c r="L182" s="82"/>
    </row>
    <row r="183" spans="2:12" x14ac:dyDescent="0.25">
      <c r="B183" s="71" t="str">
        <f>B178</f>
        <v>Alberta Ops (North)</v>
      </c>
      <c r="C183" s="71"/>
      <c r="D183" s="71"/>
      <c r="E183" s="74">
        <f>E178+(L178*$E$176)</f>
        <v>2205443</v>
      </c>
      <c r="F183" s="89">
        <f>E183/$E$185</f>
        <v>0.48416888194382091</v>
      </c>
      <c r="G183" s="74">
        <f>G178+(L178*$G$176)</f>
        <v>202341.10881843415</v>
      </c>
      <c r="H183" s="74">
        <f>H178+(L178*$H$176)</f>
        <v>0</v>
      </c>
      <c r="I183" s="89">
        <f>IF(Assumptions!$B$14="Gross",'CU Can Data'!G183/'CU Can Data'!$G$185,('CU Can Data'!G183+'CU Can Data'!H183)/('CU Can Data'!$G$185+'CU Can Data'!$H$185))</f>
        <v>0.92916575258378509</v>
      </c>
      <c r="J183" s="75">
        <f>J178+(L178*$J$176)</f>
        <v>10.155636405461221</v>
      </c>
      <c r="K183" s="90">
        <f>J183/$J$185</f>
        <v>0.39060140021004697</v>
      </c>
      <c r="L183" s="89">
        <f>(F183*$F$194)+(I183*$I$194)+(K183*$K$194)</f>
        <v>0.60131201157921765</v>
      </c>
    </row>
    <row r="184" spans="2:12" x14ac:dyDescent="0.25">
      <c r="B184" s="71" t="str">
        <f>B179</f>
        <v>Alberta Ops (South)</v>
      </c>
      <c r="C184" s="71"/>
      <c r="D184" s="71"/>
      <c r="E184" s="78">
        <f>E179+(L179*$E$176)</f>
        <v>2349668</v>
      </c>
      <c r="F184" s="88">
        <f>E184/$E$185</f>
        <v>0.51583111805617909</v>
      </c>
      <c r="G184" s="78">
        <f>G179+(L179*$G$176)</f>
        <v>15425.321181565831</v>
      </c>
      <c r="H184" s="78">
        <f>H179+(L179*$H$176)</f>
        <v>0</v>
      </c>
      <c r="I184" s="88">
        <f>IF(Assumptions!$B$14="Gross",'CU Can Data'!G184/'CU Can Data'!$G$185,('CU Can Data'!G184+'CU Can Data'!H184)/('CU Can Data'!$G$185+'CU Can Data'!$H$185))</f>
        <v>7.0834247416214843E-2</v>
      </c>
      <c r="J184" s="87">
        <f>J179+(L179*$J$176)</f>
        <v>15.84436359453878</v>
      </c>
      <c r="K184" s="91">
        <f>J184/$J$185</f>
        <v>0.60939859978995314</v>
      </c>
      <c r="L184" s="88">
        <f>(F184*$F$194)+(I184*$I$194)+(K184*$K$194)</f>
        <v>0.3986879884207824</v>
      </c>
    </row>
    <row r="185" spans="2:12" x14ac:dyDescent="0.25">
      <c r="E185" s="76">
        <f t="shared" ref="E185:L185" si="38">SUM(E183:E184)</f>
        <v>4555111</v>
      </c>
      <c r="F185" s="80">
        <f t="shared" si="38"/>
        <v>1</v>
      </c>
      <c r="G185" s="76">
        <f t="shared" si="38"/>
        <v>217766.43</v>
      </c>
      <c r="H185" s="76">
        <f t="shared" si="38"/>
        <v>0</v>
      </c>
      <c r="I185" s="80">
        <f t="shared" si="38"/>
        <v>0.99999999999999989</v>
      </c>
      <c r="J185" s="108">
        <f t="shared" si="38"/>
        <v>26</v>
      </c>
      <c r="K185" s="80">
        <f t="shared" si="38"/>
        <v>1</v>
      </c>
      <c r="L185" s="77">
        <f t="shared" si="38"/>
        <v>1</v>
      </c>
    </row>
    <row r="187" spans="2:12" x14ac:dyDescent="0.25">
      <c r="B187" s="177" t="s">
        <v>144</v>
      </c>
      <c r="E187" s="76">
        <f>E185-E180-E176</f>
        <v>0</v>
      </c>
      <c r="F187" s="76"/>
      <c r="G187" s="76">
        <f>G185-G180-G176</f>
        <v>2.9103830456733704E-11</v>
      </c>
      <c r="H187" s="76">
        <f>H185-H180-H176</f>
        <v>0</v>
      </c>
      <c r="J187" s="76">
        <f>J185-J180-J176</f>
        <v>0</v>
      </c>
    </row>
    <row r="190" spans="2:12" x14ac:dyDescent="0.25">
      <c r="B190" s="1" t="s">
        <v>151</v>
      </c>
    </row>
    <row r="191" spans="2:12" x14ac:dyDescent="0.25">
      <c r="B191" s="109" t="s">
        <v>147</v>
      </c>
      <c r="C191" s="177" t="s">
        <v>117</v>
      </c>
    </row>
    <row r="192" spans="2:12" x14ac:dyDescent="0.25">
      <c r="B192" s="109">
        <v>6139</v>
      </c>
      <c r="C192" s="177" t="s">
        <v>116</v>
      </c>
    </row>
    <row r="193" spans="2:12" x14ac:dyDescent="0.25">
      <c r="B193" s="109">
        <v>6700</v>
      </c>
      <c r="C193" s="177" t="s">
        <v>148</v>
      </c>
      <c r="F193" s="177" t="s">
        <v>97</v>
      </c>
      <c r="I193" s="177" t="s">
        <v>97</v>
      </c>
      <c r="K193" s="177" t="s">
        <v>97</v>
      </c>
    </row>
    <row r="194" spans="2:12" x14ac:dyDescent="0.25">
      <c r="B194" s="109" t="s">
        <v>9</v>
      </c>
      <c r="C194" s="177" t="s">
        <v>148</v>
      </c>
      <c r="F194" s="60">
        <v>0.33333333333333337</v>
      </c>
      <c r="I194" s="60">
        <v>0.33333333333333337</v>
      </c>
      <c r="K194" s="60">
        <v>0.33333333333333337</v>
      </c>
    </row>
    <row r="195" spans="2:12" x14ac:dyDescent="0.25">
      <c r="B195" s="109" t="s">
        <v>20</v>
      </c>
      <c r="C195" s="177" t="s">
        <v>148</v>
      </c>
    </row>
    <row r="196" spans="2:12" ht="15.75" thickBot="1" x14ac:dyDescent="0.3"/>
    <row r="197" spans="2:12" x14ac:dyDescent="0.25">
      <c r="B197" s="1335" t="s">
        <v>66</v>
      </c>
      <c r="C197" s="1337" t="s">
        <v>65</v>
      </c>
      <c r="D197" s="1337" t="s">
        <v>64</v>
      </c>
      <c r="E197" s="72" t="s">
        <v>63</v>
      </c>
      <c r="F197" s="72" t="s">
        <v>128</v>
      </c>
      <c r="G197" s="1340" t="s">
        <v>1034</v>
      </c>
      <c r="H197" s="1337" t="s">
        <v>754</v>
      </c>
      <c r="I197" s="1337" t="s">
        <v>134</v>
      </c>
      <c r="J197" s="1329" t="s">
        <v>1035</v>
      </c>
      <c r="K197" s="1325" t="s">
        <v>135</v>
      </c>
      <c r="L197" s="1325" t="s">
        <v>152</v>
      </c>
    </row>
    <row r="198" spans="2:12" ht="15.75" thickBot="1" x14ac:dyDescent="0.3">
      <c r="B198" s="1336"/>
      <c r="C198" s="1338"/>
      <c r="D198" s="1338"/>
      <c r="E198" s="1080" t="s">
        <v>1036</v>
      </c>
      <c r="F198" s="1080" t="s">
        <v>63</v>
      </c>
      <c r="G198" s="1341"/>
      <c r="H198" s="1338"/>
      <c r="I198" s="1338"/>
      <c r="J198" s="1328"/>
      <c r="K198" s="1326"/>
      <c r="L198" s="1326"/>
    </row>
    <row r="199" spans="2:12" x14ac:dyDescent="0.25">
      <c r="E199" s="76"/>
      <c r="G199" s="76"/>
      <c r="H199" s="76"/>
      <c r="J199" s="76"/>
      <c r="K199" s="80"/>
    </row>
    <row r="200" spans="2:12" x14ac:dyDescent="0.25">
      <c r="B200" s="83" t="str">
        <f>B93</f>
        <v>BC Ops</v>
      </c>
      <c r="C200" s="110" t="s">
        <v>150</v>
      </c>
      <c r="D200" s="83"/>
      <c r="E200" s="84">
        <f>E93</f>
        <v>1188</v>
      </c>
      <c r="F200" s="84"/>
      <c r="G200" s="84">
        <f>I93</f>
        <v>35138.29</v>
      </c>
      <c r="H200" s="84">
        <f>J109</f>
        <v>0</v>
      </c>
      <c r="I200" s="84"/>
      <c r="J200" s="85">
        <f>M93</f>
        <v>4</v>
      </c>
      <c r="K200" s="85"/>
      <c r="L200" s="85"/>
    </row>
    <row r="201" spans="2:12" x14ac:dyDescent="0.25">
      <c r="B201" s="69" t="s">
        <v>136</v>
      </c>
      <c r="C201" s="69"/>
      <c r="D201" s="69"/>
      <c r="E201" s="81"/>
      <c r="F201" s="81"/>
      <c r="G201" s="81"/>
      <c r="H201" s="81"/>
      <c r="I201" s="81"/>
      <c r="J201" s="86"/>
      <c r="K201" s="86"/>
      <c r="L201" s="86"/>
    </row>
    <row r="202" spans="2:12" x14ac:dyDescent="0.25">
      <c r="B202" s="177" t="str">
        <f>'CU Can Data'!B131</f>
        <v>Panorama - Wastewater Treatment Plant</v>
      </c>
      <c r="C202" s="71"/>
      <c r="E202" s="74">
        <f>E138</f>
        <v>1441469.1092279656</v>
      </c>
      <c r="F202" s="89">
        <f>E202/$E$237</f>
        <v>3.0027441675011077E-2</v>
      </c>
      <c r="G202" s="73">
        <f>G138</f>
        <v>4562453.902703031</v>
      </c>
      <c r="H202" s="73">
        <f>H138</f>
        <v>0</v>
      </c>
      <c r="I202" s="89">
        <f>IF(Assumptions!$B$14="Gross",'CU Can Data'!G202/'CU Can Data'!$G$237,('CU Can Data'!G202+'CU Can Data'!H202)/('CU Can Data'!$G$237+'CU Can Data'!$H$237))</f>
        <v>4.8824136570828923E-2</v>
      </c>
      <c r="J202" s="75">
        <f>J138</f>
        <v>1.315572961250125</v>
      </c>
      <c r="K202" s="45">
        <f>J202/SUM($J$237)</f>
        <v>1.2219700550344836E-2</v>
      </c>
      <c r="L202" s="89">
        <f>(F202*$F$194)+(I202*$I$194)+(K202*$K$194)</f>
        <v>3.0357092932061618E-2</v>
      </c>
    </row>
    <row r="203" spans="2:12" x14ac:dyDescent="0.25">
      <c r="B203" s="177" t="str">
        <f>'CU Can Data'!B132</f>
        <v>Panorama - Propane Storage Farm</v>
      </c>
      <c r="C203" s="71"/>
      <c r="E203" s="74">
        <f t="shared" ref="E203:E206" si="39">E139</f>
        <v>606254.85670534824</v>
      </c>
      <c r="F203" s="89">
        <f t="shared" ref="F203:F234" si="40">E203/$E$237</f>
        <v>1.2628978472984446E-2</v>
      </c>
      <c r="G203" s="73">
        <f t="shared" ref="G203:H206" si="41">G139</f>
        <v>602596.89482295024</v>
      </c>
      <c r="H203" s="73">
        <f t="shared" si="41"/>
        <v>0</v>
      </c>
      <c r="I203" s="89">
        <f>IF(Assumptions!$B$14="Gross",'CU Can Data'!G203/'CU Can Data'!$G$237,('CU Can Data'!G203+'CU Can Data'!H203)/('CU Can Data'!$G$237+'CU Can Data'!$H$237))</f>
        <v>6.4485633646758581E-3</v>
      </c>
      <c r="J203" s="75">
        <f t="shared" ref="J203:J206" si="42">J139</f>
        <v>0.32695449008969774</v>
      </c>
      <c r="K203" s="45">
        <f t="shared" ref="K203:K234" si="43">J203/SUM($J$237)</f>
        <v>3.0369170545206923E-3</v>
      </c>
      <c r="L203" s="89">
        <f t="shared" ref="L203:L234" si="44">(F203*$F$194)+(I203*$I$194)+(K203*$K$194)</f>
        <v>7.371486297393667E-3</v>
      </c>
    </row>
    <row r="204" spans="2:12" x14ac:dyDescent="0.25">
      <c r="B204" s="177" t="str">
        <f>'CU Can Data'!B133</f>
        <v>Panorama - Propane Distribution</v>
      </c>
      <c r="C204" s="71"/>
      <c r="E204" s="74">
        <f t="shared" si="39"/>
        <v>742176.71820565115</v>
      </c>
      <c r="F204" s="89">
        <f t="shared" si="40"/>
        <v>1.5460385502404052E-2</v>
      </c>
      <c r="G204" s="73">
        <f t="shared" si="41"/>
        <v>189015.47196349376</v>
      </c>
      <c r="H204" s="73">
        <f t="shared" si="41"/>
        <v>-153341.78</v>
      </c>
      <c r="I204" s="89">
        <f>IF(Assumptions!$B$14="Gross",'CU Can Data'!G204/'CU Can Data'!$G$237,('CU Can Data'!G204+'CU Can Data'!H204)/('CU Can Data'!$G$237+'CU Can Data'!$H$237))</f>
        <v>2.0227091416042276E-3</v>
      </c>
      <c r="J204" s="75">
        <f t="shared" si="42"/>
        <v>0.30590489645823304</v>
      </c>
      <c r="K204" s="45">
        <f t="shared" si="43"/>
        <v>2.8413978864781073E-3</v>
      </c>
      <c r="L204" s="89">
        <f t="shared" si="44"/>
        <v>6.7748308434954635E-3</v>
      </c>
    </row>
    <row r="205" spans="2:12" x14ac:dyDescent="0.25">
      <c r="B205" s="177" t="str">
        <f>'CU Can Data'!B134</f>
        <v>Panorama - Water</v>
      </c>
      <c r="C205" s="71"/>
      <c r="D205" s="71"/>
      <c r="E205" s="74">
        <f t="shared" si="39"/>
        <v>246914.14068755048</v>
      </c>
      <c r="F205" s="89">
        <f t="shared" si="40"/>
        <v>5.1435024939257019E-3</v>
      </c>
      <c r="G205" s="73">
        <f t="shared" si="41"/>
        <v>2124803.7652308685</v>
      </c>
      <c r="H205" s="73">
        <f t="shared" si="41"/>
        <v>-1034346.36</v>
      </c>
      <c r="I205" s="89">
        <f>IF(Assumptions!$B$14="Gross",'CU Can Data'!G205/'CU Can Data'!$G$237,('CU Can Data'!G205+'CU Can Data'!H205)/('CU Can Data'!$G$237+'CU Can Data'!$H$237))</f>
        <v>2.273813860527589E-2</v>
      </c>
      <c r="J205" s="75">
        <f t="shared" si="42"/>
        <v>0.45634272863242481</v>
      </c>
      <c r="K205" s="45">
        <f t="shared" si="43"/>
        <v>4.2387398163888611E-3</v>
      </c>
      <c r="L205" s="89">
        <f t="shared" si="44"/>
        <v>1.0706793638530153E-2</v>
      </c>
    </row>
    <row r="206" spans="2:12" x14ac:dyDescent="0.25">
      <c r="B206" s="177" t="str">
        <f>'CU Can Data'!B135</f>
        <v>Panorama - Sewer</v>
      </c>
      <c r="C206" s="71"/>
      <c r="D206" s="71"/>
      <c r="E206" s="74">
        <f t="shared" si="39"/>
        <v>1006565.1751734845</v>
      </c>
      <c r="F206" s="89">
        <f t="shared" si="40"/>
        <v>2.0967897887043205E-2</v>
      </c>
      <c r="G206" s="73">
        <f t="shared" si="41"/>
        <v>1305107.5552796561</v>
      </c>
      <c r="H206" s="73">
        <f t="shared" si="41"/>
        <v>-304289.15000000002</v>
      </c>
      <c r="I206" s="89">
        <f>IF(Assumptions!$B$14="Gross",'CU Can Data'!G206/'CU Can Data'!$G$237,('CU Can Data'!G206+'CU Can Data'!H206)/('CU Can Data'!$G$237+'CU Can Data'!$H$237))</f>
        <v>1.3966332784391128E-2</v>
      </c>
      <c r="J206" s="75">
        <f t="shared" si="42"/>
        <v>0.59522492356951928</v>
      </c>
      <c r="K206" s="45">
        <f t="shared" si="43"/>
        <v>5.5287472001627281E-3</v>
      </c>
      <c r="L206" s="89">
        <f t="shared" si="44"/>
        <v>1.3487659290532356E-2</v>
      </c>
    </row>
    <row r="207" spans="2:12" x14ac:dyDescent="0.25">
      <c r="B207" s="177" t="str">
        <f t="shared" ref="B207:B213" si="45">B162</f>
        <v>Sun Rivers - Electric</v>
      </c>
      <c r="C207" s="71"/>
      <c r="D207" s="71"/>
      <c r="E207" s="74">
        <f>E162</f>
        <v>1650508.4456326084</v>
      </c>
      <c r="F207" s="89">
        <f t="shared" si="40"/>
        <v>3.4381968901082034E-2</v>
      </c>
      <c r="G207" s="73">
        <f>G162</f>
        <v>7508496.6377843749</v>
      </c>
      <c r="H207" s="73">
        <f>H162</f>
        <v>-1616399.02</v>
      </c>
      <c r="I207" s="89">
        <f>IF(Assumptions!$B$14="Gross",'CU Can Data'!G207/'CU Can Data'!$G$237,('CU Can Data'!G207+'CU Can Data'!H207)/('CU Can Data'!$G$237+'CU Can Data'!$H$237))</f>
        <v>8.0350590516126419E-2</v>
      </c>
      <c r="J207" s="75">
        <f>J162</f>
        <v>0.91914073796844276</v>
      </c>
      <c r="K207" s="45">
        <f t="shared" si="43"/>
        <v>8.5374395129894365E-3</v>
      </c>
      <c r="L207" s="89">
        <f t="shared" si="44"/>
        <v>4.1089999643399301E-2</v>
      </c>
    </row>
    <row r="208" spans="2:12" x14ac:dyDescent="0.25">
      <c r="B208" s="177" t="str">
        <f t="shared" si="45"/>
        <v>Sun Rivers - Gas</v>
      </c>
      <c r="C208" s="71"/>
      <c r="D208" s="71"/>
      <c r="E208" s="74">
        <f t="shared" ref="E208:E213" si="46">E163</f>
        <v>174615.10599336715</v>
      </c>
      <c r="F208" s="89">
        <f t="shared" si="40"/>
        <v>3.6374313380880784E-3</v>
      </c>
      <c r="G208" s="73">
        <f t="shared" ref="G208:H213" si="47">G163</f>
        <v>1044503.9876184644</v>
      </c>
      <c r="H208" s="73">
        <f t="shared" si="47"/>
        <v>-407370</v>
      </c>
      <c r="I208" s="89">
        <f>IF(Assumptions!$B$14="Gross",'CU Can Data'!G208/'CU Can Data'!$G$237,('CU Can Data'!G208+'CU Can Data'!H208)/('CU Can Data'!$G$237+'CU Can Data'!$H$237))</f>
        <v>1.1177538760456534E-2</v>
      </c>
      <c r="J208" s="75">
        <f t="shared" ref="J208:J213" si="48">J163</f>
        <v>0.10825817100335962</v>
      </c>
      <c r="K208" s="45">
        <f t="shared" si="43"/>
        <v>1.0055561118647559E-3</v>
      </c>
      <c r="L208" s="89">
        <f t="shared" si="44"/>
        <v>5.2735087368031234E-3</v>
      </c>
    </row>
    <row r="209" spans="2:12" x14ac:dyDescent="0.25">
      <c r="B209" s="177" t="str">
        <f t="shared" si="45"/>
        <v>Sun Rivers - Domestic Water</v>
      </c>
      <c r="C209" s="71"/>
      <c r="D209" s="71"/>
      <c r="E209" s="74">
        <f t="shared" si="46"/>
        <v>368067.14956390177</v>
      </c>
      <c r="F209" s="89">
        <f t="shared" si="40"/>
        <v>7.6672575189190321E-3</v>
      </c>
      <c r="G209" s="73">
        <f t="shared" si="47"/>
        <v>3278353.203004668</v>
      </c>
      <c r="H209" s="73">
        <f t="shared" si="47"/>
        <v>-347698</v>
      </c>
      <c r="I209" s="89">
        <f>IF(Assumptions!$B$14="Gross",'CU Can Data'!G209/'CU Can Data'!$G$237,('CU Can Data'!G209+'CU Can Data'!H209)/('CU Can Data'!$G$237+'CU Can Data'!$H$237))</f>
        <v>3.508260421350997E-2</v>
      </c>
      <c r="J209" s="75">
        <f t="shared" si="48"/>
        <v>0.27561801071473968</v>
      </c>
      <c r="K209" s="45">
        <f t="shared" si="43"/>
        <v>2.5600781229308906E-3</v>
      </c>
      <c r="L209" s="89">
        <f t="shared" si="44"/>
        <v>1.5103313285119966E-2</v>
      </c>
    </row>
    <row r="210" spans="2:12" x14ac:dyDescent="0.25">
      <c r="B210" s="177" t="str">
        <f t="shared" si="45"/>
        <v>Sun Rivers - Irrigation Water</v>
      </c>
      <c r="C210" s="71"/>
      <c r="D210" s="71"/>
      <c r="E210" s="74">
        <f t="shared" si="46"/>
        <v>289220.53070021397</v>
      </c>
      <c r="F210" s="89">
        <f t="shared" si="40"/>
        <v>6.0247927348701718E-3</v>
      </c>
      <c r="G210" s="73">
        <f t="shared" si="47"/>
        <v>2943171.0250440692</v>
      </c>
      <c r="H210" s="73">
        <f t="shared" si="47"/>
        <v>-361322</v>
      </c>
      <c r="I210" s="89">
        <f>IF(Assumptions!$B$14="Gross",'CU Can Data'!G210/'CU Can Data'!$G$237,('CU Can Data'!G210+'CU Can Data'!H210)/('CU Can Data'!$G$237+'CU Can Data'!$H$237))</f>
        <v>3.1495722947014165E-2</v>
      </c>
      <c r="J210" s="75">
        <f t="shared" si="48"/>
        <v>0.2327450339535474</v>
      </c>
      <c r="K210" s="45">
        <f t="shared" si="43"/>
        <v>2.161852442444245E-3</v>
      </c>
      <c r="L210" s="89">
        <f t="shared" si="44"/>
        <v>1.3227456041442863E-2</v>
      </c>
    </row>
    <row r="211" spans="2:12" x14ac:dyDescent="0.25">
      <c r="B211" s="177" t="str">
        <f t="shared" si="45"/>
        <v>Sun Rivers - Sewer</v>
      </c>
      <c r="C211" s="71"/>
      <c r="D211" s="71"/>
      <c r="E211" s="74">
        <f t="shared" si="46"/>
        <v>319161.91306119255</v>
      </c>
      <c r="F211" s="89">
        <f t="shared" si="40"/>
        <v>6.6485057972992499E-3</v>
      </c>
      <c r="G211" s="73">
        <f t="shared" si="47"/>
        <v>2910265.4347985364</v>
      </c>
      <c r="H211" s="73">
        <f t="shared" si="47"/>
        <v>-300258</v>
      </c>
      <c r="I211" s="89">
        <f>IF(Assumptions!$B$14="Gross",'CU Can Data'!G211/'CU Can Data'!$G$237,('CU Can Data'!G211+'CU Can Data'!H211)/('CU Can Data'!$G$237+'CU Can Data'!$H$237))</f>
        <v>3.1143590724672193E-2</v>
      </c>
      <c r="J211" s="75">
        <f t="shared" si="48"/>
        <v>0.24197001875933805</v>
      </c>
      <c r="K211" s="45">
        <f t="shared" si="43"/>
        <v>2.2475387215245965E-3</v>
      </c>
      <c r="L211" s="89">
        <f t="shared" si="44"/>
        <v>1.3346545081165348E-2</v>
      </c>
    </row>
    <row r="212" spans="2:12" x14ac:dyDescent="0.25">
      <c r="B212" s="177" t="str">
        <f t="shared" si="45"/>
        <v>Sun Rivers - Geothermal</v>
      </c>
      <c r="C212" s="71"/>
      <c r="D212" s="71"/>
      <c r="E212" s="74">
        <f t="shared" si="46"/>
        <v>1017876.6489164674</v>
      </c>
      <c r="F212" s="89">
        <f t="shared" si="40"/>
        <v>2.1203528755510279E-2</v>
      </c>
      <c r="G212" s="73">
        <f t="shared" si="47"/>
        <v>11292691.217595056</v>
      </c>
      <c r="H212" s="73">
        <f t="shared" si="47"/>
        <v>-2200526</v>
      </c>
      <c r="I212" s="89">
        <f>IF(Assumptions!$B$14="Gross",'CU Can Data'!G212/'CU Can Data'!$G$237,('CU Can Data'!G212+'CU Can Data'!H212)/('CU Can Data'!$G$237+'CU Can Data'!$H$237))</f>
        <v>0.12084634935892941</v>
      </c>
      <c r="J212" s="75">
        <f t="shared" si="48"/>
        <v>0.86028166614537949</v>
      </c>
      <c r="K212" s="45">
        <f t="shared" si="43"/>
        <v>7.9907269751567853E-3</v>
      </c>
      <c r="L212" s="89">
        <f t="shared" si="44"/>
        <v>5.0013535029865497E-2</v>
      </c>
    </row>
    <row r="213" spans="2:12" x14ac:dyDescent="0.25">
      <c r="B213" s="177" t="str">
        <f t="shared" si="45"/>
        <v>Sun Rivers - Municipal</v>
      </c>
      <c r="C213" s="71"/>
      <c r="D213" s="71"/>
      <c r="E213" s="74">
        <f t="shared" si="46"/>
        <v>856662.20613224874</v>
      </c>
      <c r="F213" s="89">
        <f t="shared" si="40"/>
        <v>1.7845248479587301E-2</v>
      </c>
      <c r="G213" s="73">
        <f t="shared" si="47"/>
        <v>8776673.8341548312</v>
      </c>
      <c r="H213" s="73">
        <f t="shared" si="47"/>
        <v>-175667</v>
      </c>
      <c r="I213" s="89">
        <f>IF(Assumptions!$B$14="Gross",'CU Can Data'!G213/'CU Can Data'!$G$237,('CU Can Data'!G213+'CU Can Data'!H213)/('CU Can Data'!$G$237+'CU Can Data'!$H$237))</f>
        <v>9.3921720866598321E-2</v>
      </c>
      <c r="J213" s="75">
        <f t="shared" si="48"/>
        <v>0.6919863614551931</v>
      </c>
      <c r="K213" s="45">
        <f t="shared" si="43"/>
        <v>6.427515896852992E-3</v>
      </c>
      <c r="L213" s="89">
        <f t="shared" si="44"/>
        <v>3.9398161747679544E-2</v>
      </c>
    </row>
    <row r="214" spans="2:12" x14ac:dyDescent="0.25">
      <c r="B214" s="177" t="str">
        <f t="shared" ref="B214:B223" si="49">B68</f>
        <v>Foothills - Wastewater</v>
      </c>
      <c r="C214" s="71"/>
      <c r="D214" s="71"/>
      <c r="E214" s="74">
        <f t="shared" ref="E214:E223" si="50">E68</f>
        <v>907702</v>
      </c>
      <c r="F214" s="89">
        <f t="shared" si="40"/>
        <v>1.8908465459859136E-2</v>
      </c>
      <c r="G214" s="73">
        <f>I68</f>
        <v>1993219.8599999999</v>
      </c>
      <c r="H214" s="73">
        <f>J68</f>
        <v>-189353.8</v>
      </c>
      <c r="I214" s="89">
        <f>IF(Assumptions!$B$14="Gross",'CU Can Data'!G214/'CU Can Data'!$G$237,('CU Can Data'!G214+'CU Can Data'!H214)/('CU Can Data'!$G$237+'CU Can Data'!$H$237))</f>
        <v>2.133002124200593E-2</v>
      </c>
      <c r="J214" s="75">
        <f>M68</f>
        <v>2</v>
      </c>
      <c r="K214" s="45">
        <f t="shared" si="43"/>
        <v>1.857700167193015E-2</v>
      </c>
      <c r="L214" s="89">
        <f t="shared" si="44"/>
        <v>1.9605162791265073E-2</v>
      </c>
    </row>
    <row r="215" spans="2:12" x14ac:dyDescent="0.25">
      <c r="B215" s="177" t="str">
        <f t="shared" si="49"/>
        <v>Foothills - Water</v>
      </c>
      <c r="C215" s="71"/>
      <c r="D215" s="71"/>
      <c r="E215" s="74">
        <f t="shared" si="50"/>
        <v>1297814</v>
      </c>
      <c r="F215" s="89">
        <f t="shared" si="40"/>
        <v>2.7034942296394221E-2</v>
      </c>
      <c r="G215" s="73">
        <f>I69</f>
        <v>3684443.1159999999</v>
      </c>
      <c r="H215" s="73">
        <f>J69</f>
        <v>-376811.81</v>
      </c>
      <c r="I215" s="89">
        <f>IF(Assumptions!$B$14="Gross",'CU Can Data'!G215/'CU Can Data'!$G$237,('CU Can Data'!G215+'CU Can Data'!H215)/('CU Can Data'!$G$237+'CU Can Data'!$H$237))</f>
        <v>3.9428289626435145E-2</v>
      </c>
      <c r="J215" s="75">
        <f t="shared" ref="J215:J223" si="51">M69</f>
        <v>3.33</v>
      </c>
      <c r="K215" s="45">
        <f t="shared" si="43"/>
        <v>3.0930707783763702E-2</v>
      </c>
      <c r="L215" s="89">
        <f t="shared" si="44"/>
        <v>3.2464646568864358E-2</v>
      </c>
    </row>
    <row r="216" spans="2:12" x14ac:dyDescent="0.25">
      <c r="B216" s="177" t="str">
        <f t="shared" si="49"/>
        <v>Sage Meadows - Wastewater</v>
      </c>
      <c r="C216" s="71"/>
      <c r="D216" s="71"/>
      <c r="E216" s="74">
        <f t="shared" si="50"/>
        <v>47975</v>
      </c>
      <c r="F216" s="89">
        <f t="shared" si="40"/>
        <v>9.9937383682832258E-4</v>
      </c>
      <c r="G216" s="73">
        <f t="shared" ref="G216:H223" si="52">I70</f>
        <v>225385</v>
      </c>
      <c r="H216" s="73">
        <f t="shared" si="52"/>
        <v>-69338</v>
      </c>
      <c r="I216" s="89">
        <f>IF(Assumptions!$B$14="Gross",'CU Can Data'!G216/'CU Can Data'!$G$237,('CU Can Data'!G216+'CU Can Data'!H216)/('CU Can Data'!$G$237+'CU Can Data'!$H$237))</f>
        <v>2.4119099624210581E-3</v>
      </c>
      <c r="J216" s="75">
        <f t="shared" si="51"/>
        <v>0</v>
      </c>
      <c r="K216" s="45">
        <f t="shared" si="43"/>
        <v>0</v>
      </c>
      <c r="L216" s="89">
        <f t="shared" si="44"/>
        <v>1.1370945997497936E-3</v>
      </c>
    </row>
    <row r="217" spans="2:12" x14ac:dyDescent="0.25">
      <c r="B217" s="177" t="str">
        <f t="shared" si="49"/>
        <v>Sage Meadows - Water</v>
      </c>
      <c r="C217" s="71"/>
      <c r="D217" s="71"/>
      <c r="E217" s="74">
        <f t="shared" si="50"/>
        <v>48472</v>
      </c>
      <c r="F217" s="89">
        <f t="shared" si="40"/>
        <v>1.0097269123239699E-3</v>
      </c>
      <c r="G217" s="73">
        <f t="shared" si="52"/>
        <v>123274</v>
      </c>
      <c r="H217" s="73">
        <f t="shared" si="52"/>
        <v>-32800</v>
      </c>
      <c r="I217" s="89">
        <f>IF(Assumptions!$B$14="Gross",'CU Can Data'!G217/'CU Can Data'!$G$237,('CU Can Data'!G217+'CU Can Data'!H217)/('CU Can Data'!$G$237+'CU Can Data'!$H$237))</f>
        <v>1.319190668001391E-3</v>
      </c>
      <c r="J217" s="75">
        <f t="shared" si="51"/>
        <v>0</v>
      </c>
      <c r="K217" s="45">
        <f t="shared" si="43"/>
        <v>0</v>
      </c>
      <c r="L217" s="89">
        <f t="shared" si="44"/>
        <v>7.7630586010845378E-4</v>
      </c>
    </row>
    <row r="218" spans="2:12" x14ac:dyDescent="0.25">
      <c r="B218" s="177" t="str">
        <f t="shared" si="49"/>
        <v>Canadian Lakeview Estates (in Adventure Bay) - Wastewater</v>
      </c>
      <c r="C218" s="71"/>
      <c r="D218" s="71"/>
      <c r="E218" s="74">
        <f t="shared" si="50"/>
        <v>293675</v>
      </c>
      <c r="F218" s="89">
        <f t="shared" si="40"/>
        <v>6.1175843987609719E-3</v>
      </c>
      <c r="G218" s="73">
        <f t="shared" si="52"/>
        <v>291907</v>
      </c>
      <c r="H218" s="73">
        <f t="shared" si="52"/>
        <v>0</v>
      </c>
      <c r="I218" s="89">
        <f>IF(Assumptions!$B$14="Gross",'CU Can Data'!G218/'CU Can Data'!$G$237,('CU Can Data'!G218+'CU Can Data'!H218)/('CU Can Data'!$G$237+'CU Can Data'!$H$237))</f>
        <v>3.1237810919113687E-3</v>
      </c>
      <c r="J218" s="75">
        <f t="shared" si="51"/>
        <v>0</v>
      </c>
      <c r="K218" s="45">
        <f t="shared" si="43"/>
        <v>0</v>
      </c>
      <c r="L218" s="89">
        <f t="shared" si="44"/>
        <v>3.0804551635574473E-3</v>
      </c>
    </row>
    <row r="219" spans="2:12" x14ac:dyDescent="0.25">
      <c r="B219" s="177" t="str">
        <f t="shared" si="49"/>
        <v>Canadian Lakeview Estates (in Adventure Bay) - Water</v>
      </c>
      <c r="C219" s="71"/>
      <c r="D219" s="71"/>
      <c r="E219" s="74">
        <f t="shared" si="50"/>
        <v>282108</v>
      </c>
      <c r="F219" s="89">
        <f t="shared" si="40"/>
        <v>5.87663062761781E-3</v>
      </c>
      <c r="G219" s="73">
        <f t="shared" si="52"/>
        <v>196689</v>
      </c>
      <c r="H219" s="73">
        <f t="shared" si="52"/>
        <v>0</v>
      </c>
      <c r="I219" s="89">
        <f>IF(Assumptions!$B$14="Gross",'CU Can Data'!G219/'CU Can Data'!$G$237,('CU Can Data'!G219+'CU Can Data'!H219)/('CU Can Data'!$G$237+'CU Can Data'!$H$237))</f>
        <v>2.1048257807690638E-3</v>
      </c>
      <c r="J219" s="75">
        <f t="shared" si="51"/>
        <v>0</v>
      </c>
      <c r="K219" s="45">
        <f t="shared" si="43"/>
        <v>0</v>
      </c>
      <c r="L219" s="89">
        <f t="shared" si="44"/>
        <v>2.6604854694622917E-3</v>
      </c>
    </row>
    <row r="220" spans="2:12" x14ac:dyDescent="0.25">
      <c r="B220" s="177" t="str">
        <f t="shared" si="49"/>
        <v>Cultus Lake - Water</v>
      </c>
      <c r="C220" s="71"/>
      <c r="D220" s="71"/>
      <c r="E220" s="74">
        <f t="shared" si="50"/>
        <v>176729</v>
      </c>
      <c r="F220" s="89">
        <f t="shared" si="40"/>
        <v>3.6814661554733221E-3</v>
      </c>
      <c r="G220" s="73">
        <f t="shared" si="52"/>
        <v>82403.13</v>
      </c>
      <c r="H220" s="73">
        <f t="shared" si="52"/>
        <v>-33117</v>
      </c>
      <c r="I220" s="89">
        <f>IF(Assumptions!$B$14="Gross",'CU Can Data'!G220/'CU Can Data'!$G$237,('CU Can Data'!G220+'CU Can Data'!H220)/('CU Can Data'!$G$237+'CU Can Data'!$H$237))</f>
        <v>8.8181968712060504E-4</v>
      </c>
      <c r="J220" s="75">
        <f t="shared" si="51"/>
        <v>0</v>
      </c>
      <c r="K220" s="45">
        <f t="shared" si="43"/>
        <v>0</v>
      </c>
      <c r="L220" s="89">
        <f t="shared" si="44"/>
        <v>1.5210952808646424E-3</v>
      </c>
    </row>
    <row r="221" spans="2:12" x14ac:dyDescent="0.25">
      <c r="B221" s="177" t="str">
        <f t="shared" si="49"/>
        <v>Cultus Lake - Wastewater</v>
      </c>
      <c r="C221" s="71"/>
      <c r="D221" s="71"/>
      <c r="E221" s="74">
        <f t="shared" si="50"/>
        <v>135180</v>
      </c>
      <c r="F221" s="89">
        <f t="shared" si="40"/>
        <v>2.8159532102647765E-3</v>
      </c>
      <c r="G221" s="73">
        <f t="shared" si="52"/>
        <v>318032.85000000003</v>
      </c>
      <c r="H221" s="73">
        <f t="shared" si="52"/>
        <v>-37921.39</v>
      </c>
      <c r="I221" s="89">
        <f>IF(Assumptions!$B$14="Gross",'CU Can Data'!G221/'CU Can Data'!$G$237,('CU Can Data'!G221+'CU Can Data'!H221)/('CU Can Data'!$G$237+'CU Can Data'!$H$237))</f>
        <v>3.4033613563110325E-3</v>
      </c>
      <c r="J221" s="75">
        <f t="shared" si="51"/>
        <v>0</v>
      </c>
      <c r="K221" s="45">
        <f t="shared" si="43"/>
        <v>0</v>
      </c>
      <c r="L221" s="89">
        <f t="shared" si="44"/>
        <v>2.0731048555252696E-3</v>
      </c>
    </row>
    <row r="222" spans="2:12" x14ac:dyDescent="0.25">
      <c r="B222" s="177" t="str">
        <f t="shared" si="49"/>
        <v>Sonoma Pines - Electric</v>
      </c>
      <c r="C222" s="71"/>
      <c r="D222" s="71"/>
      <c r="E222" s="74">
        <f t="shared" si="50"/>
        <v>451177</v>
      </c>
      <c r="F222" s="89">
        <f t="shared" si="40"/>
        <v>9.3985302674036916E-3</v>
      </c>
      <c r="G222" s="73">
        <f t="shared" si="52"/>
        <v>3424111.87</v>
      </c>
      <c r="H222" s="73">
        <f t="shared" si="52"/>
        <v>-2162193.54</v>
      </c>
      <c r="I222" s="89">
        <f>IF(Assumptions!$B$14="Gross",'CU Can Data'!G222/'CU Can Data'!$G$237,('CU Can Data'!G222+'CU Can Data'!H222)/('CU Can Data'!$G$237+'CU Can Data'!$H$237))</f>
        <v>3.664240979522683E-2</v>
      </c>
      <c r="J222" s="75">
        <f t="shared" si="51"/>
        <v>0</v>
      </c>
      <c r="K222" s="45">
        <f t="shared" si="43"/>
        <v>0</v>
      </c>
      <c r="L222" s="89">
        <f t="shared" si="44"/>
        <v>1.5346980020876842E-2</v>
      </c>
    </row>
    <row r="223" spans="2:12" x14ac:dyDescent="0.25">
      <c r="B223" s="177" t="str">
        <f t="shared" si="49"/>
        <v>Sonoma Pines - Gas</v>
      </c>
      <c r="C223" s="71"/>
      <c r="D223" s="71"/>
      <c r="E223" s="74">
        <f t="shared" si="50"/>
        <v>245289</v>
      </c>
      <c r="F223" s="89">
        <f t="shared" si="40"/>
        <v>5.1096489642893676E-3</v>
      </c>
      <c r="G223" s="73">
        <f t="shared" si="52"/>
        <v>1043443</v>
      </c>
      <c r="H223" s="73">
        <f t="shared" si="52"/>
        <v>-407370</v>
      </c>
      <c r="I223" s="89">
        <f>IF(Assumptions!$B$14="Gross",'CU Can Data'!G223/'CU Can Data'!$G$237,('CU Can Data'!G223+'CU Can Data'!H223)/('CU Can Data'!$G$237+'CU Can Data'!$H$237))</f>
        <v>1.1166184825602929E-2</v>
      </c>
      <c r="J223" s="75">
        <f t="shared" si="51"/>
        <v>0</v>
      </c>
      <c r="K223" s="45">
        <f t="shared" si="43"/>
        <v>0</v>
      </c>
      <c r="L223" s="89">
        <f t="shared" si="44"/>
        <v>5.4252779299640997E-3</v>
      </c>
    </row>
    <row r="224" spans="2:12" x14ac:dyDescent="0.25">
      <c r="B224" s="177" t="str">
        <f>B80</f>
        <v>West Shore Environmental Services</v>
      </c>
      <c r="C224" s="71"/>
      <c r="D224" s="71"/>
      <c r="E224" s="74">
        <f>E80</f>
        <v>20557982</v>
      </c>
      <c r="F224" s="89">
        <f t="shared" si="40"/>
        <v>0.42824615630615098</v>
      </c>
      <c r="G224" s="73">
        <f>I80</f>
        <v>33794842.649999999</v>
      </c>
      <c r="H224" s="73">
        <f>J80</f>
        <v>0</v>
      </c>
      <c r="I224" s="89">
        <f>IF(Assumptions!$B$14="Gross",'CU Can Data'!G224/'CU Can Data'!$G$237,('CU Can Data'!G224+'CU Can Data'!H224)/('CU Can Data'!$G$237+'CU Can Data'!$H$237))</f>
        <v>0.36164836908395442</v>
      </c>
      <c r="J224" s="75">
        <f>M80</f>
        <v>5</v>
      </c>
      <c r="K224" s="45">
        <f t="shared" si="43"/>
        <v>4.6442504179825379E-2</v>
      </c>
      <c r="L224" s="89">
        <f t="shared" si="44"/>
        <v>0.27877900985664361</v>
      </c>
    </row>
    <row r="225" spans="2:12" x14ac:dyDescent="0.25">
      <c r="B225" s="177" t="str">
        <f>B81</f>
        <v>Rise</v>
      </c>
      <c r="C225" s="71"/>
      <c r="D225" s="71"/>
      <c r="E225" s="74">
        <f>E81</f>
        <v>66764</v>
      </c>
      <c r="F225" s="89">
        <f t="shared" si="40"/>
        <v>1.390770085294552E-3</v>
      </c>
      <c r="G225" s="73">
        <f>I81</f>
        <v>715613.25</v>
      </c>
      <c r="H225" s="73">
        <f>J81</f>
        <v>-154102</v>
      </c>
      <c r="I225" s="89">
        <f>IF(Assumptions!$B$14="Gross",'CU Can Data'!G225/'CU Can Data'!$G$237,('CU Can Data'!G225+'CU Can Data'!H225)/('CU Can Data'!$G$237+'CU Can Data'!$H$237))</f>
        <v>7.6579840136455895E-3</v>
      </c>
      <c r="J225" s="75">
        <f>M81</f>
        <v>0</v>
      </c>
      <c r="K225" s="45">
        <f t="shared" si="43"/>
        <v>0</v>
      </c>
      <c r="L225" s="89">
        <f t="shared" si="44"/>
        <v>3.0162513663133808E-3</v>
      </c>
    </row>
    <row r="226" spans="2:12" x14ac:dyDescent="0.25">
      <c r="B226" s="177" t="str">
        <f>B85</f>
        <v>Riverport</v>
      </c>
      <c r="C226" s="71"/>
      <c r="D226" s="71"/>
      <c r="E226" s="74">
        <f>E85</f>
        <v>377374</v>
      </c>
      <c r="F226" s="89">
        <f t="shared" si="40"/>
        <v>7.8611298030068031E-3</v>
      </c>
      <c r="G226" s="73">
        <f>I85</f>
        <v>418791.12</v>
      </c>
      <c r="H226" s="73">
        <f>J85</f>
        <v>-244214.99</v>
      </c>
      <c r="I226" s="89">
        <f>IF(Assumptions!$B$14="Gross",'CU Can Data'!G226/'CU Can Data'!$G$237,('CU Can Data'!G226+'CU Can Data'!H226)/('CU Can Data'!$G$237+'CU Can Data'!$H$237))</f>
        <v>4.4816046964149025E-3</v>
      </c>
      <c r="J226" s="75">
        <f>M85</f>
        <v>0</v>
      </c>
      <c r="K226" s="45">
        <f t="shared" si="43"/>
        <v>0</v>
      </c>
      <c r="L226" s="89">
        <f t="shared" si="44"/>
        <v>4.1142448331405691E-3</v>
      </c>
    </row>
    <row r="227" spans="2:12" x14ac:dyDescent="0.25">
      <c r="B227" s="177" t="str">
        <f>B89</f>
        <v>Coastal Ops</v>
      </c>
      <c r="C227" s="71"/>
      <c r="D227" s="71"/>
      <c r="E227" s="74">
        <f>E89</f>
        <v>768902</v>
      </c>
      <c r="F227" s="89">
        <f t="shared" si="40"/>
        <v>1.6017103530692463E-2</v>
      </c>
      <c r="G227" s="73">
        <f>I89</f>
        <v>18356.240000000005</v>
      </c>
      <c r="H227" s="73">
        <f>J89</f>
        <v>0</v>
      </c>
      <c r="I227" s="89">
        <f>IF(Assumptions!$B$14="Gross",'CU Can Data'!G227/'CU Can Data'!$G$237,('CU Can Data'!G227+'CU Can Data'!H227)/('CU Can Data'!$G$237+'CU Can Data'!$H$237))</f>
        <v>1.9643542440087822E-4</v>
      </c>
      <c r="J227" s="75">
        <f>M89</f>
        <v>7</v>
      </c>
      <c r="K227" s="45">
        <f t="shared" si="43"/>
        <v>6.5019505851755532E-2</v>
      </c>
      <c r="L227" s="89">
        <f t="shared" si="44"/>
        <v>2.7077681602282959E-2</v>
      </c>
    </row>
    <row r="228" spans="2:12" x14ac:dyDescent="0.25">
      <c r="B228" s="177" t="str">
        <f>B90</f>
        <v>Island Ops</v>
      </c>
      <c r="C228" s="71"/>
      <c r="D228" s="71"/>
      <c r="E228" s="74">
        <f>E90</f>
        <v>13140</v>
      </c>
      <c r="F228" s="89">
        <f t="shared" si="40"/>
        <v>2.7372115093119662E-4</v>
      </c>
      <c r="G228" s="73">
        <f t="shared" ref="G228:H230" si="53">I90</f>
        <v>0</v>
      </c>
      <c r="H228" s="73">
        <f t="shared" si="53"/>
        <v>0</v>
      </c>
      <c r="I228" s="89">
        <f>IF(Assumptions!$B$14="Gross",'CU Can Data'!G228/'CU Can Data'!$G$237,('CU Can Data'!G228+'CU Can Data'!H228)/('CU Can Data'!$G$237+'CU Can Data'!$H$237))</f>
        <v>0</v>
      </c>
      <c r="J228" s="75">
        <f t="shared" ref="J228:J230" si="54">M90</f>
        <v>0</v>
      </c>
      <c r="K228" s="45">
        <f t="shared" si="43"/>
        <v>0</v>
      </c>
      <c r="L228" s="89">
        <f t="shared" si="44"/>
        <v>9.1240383643732221E-5</v>
      </c>
    </row>
    <row r="229" spans="2:12" x14ac:dyDescent="0.25">
      <c r="B229" s="177" t="str">
        <f>B91</f>
        <v>Kamloops Ops</v>
      </c>
      <c r="C229" s="71"/>
      <c r="D229" s="71"/>
      <c r="E229" s="74">
        <f>E91</f>
        <v>1292020</v>
      </c>
      <c r="F229" s="89">
        <f t="shared" si="40"/>
        <v>2.6914246683875546E-2</v>
      </c>
      <c r="G229" s="73">
        <f t="shared" si="53"/>
        <v>41916</v>
      </c>
      <c r="H229" s="73">
        <f t="shared" si="53"/>
        <v>0</v>
      </c>
      <c r="I229" s="89">
        <f>IF(Assumptions!$B$14="Gross",'CU Can Data'!G229/'CU Can Data'!$G$237,('CU Can Data'!G229+'CU Can Data'!H229)/('CU Can Data'!$G$237+'CU Can Data'!$H$237))</f>
        <v>4.4855521878049145E-4</v>
      </c>
      <c r="J229" s="75">
        <f t="shared" si="54"/>
        <v>10</v>
      </c>
      <c r="K229" s="45">
        <f t="shared" si="43"/>
        <v>9.2885008359650759E-2</v>
      </c>
      <c r="L229" s="89">
        <f t="shared" si="44"/>
        <v>4.0082603420768935E-2</v>
      </c>
    </row>
    <row r="230" spans="2:12" x14ac:dyDescent="0.25">
      <c r="B230" s="177" t="str">
        <f>B92</f>
        <v>Kootenay Ops</v>
      </c>
      <c r="C230" s="71"/>
      <c r="D230" s="71"/>
      <c r="E230" s="74">
        <f>E92</f>
        <v>718518</v>
      </c>
      <c r="F230" s="89">
        <f t="shared" si="40"/>
        <v>1.4967547482860088E-2</v>
      </c>
      <c r="G230" s="73">
        <f t="shared" si="53"/>
        <v>2000</v>
      </c>
      <c r="H230" s="73">
        <f t="shared" si="53"/>
        <v>0</v>
      </c>
      <c r="I230" s="89">
        <f>IF(Assumptions!$B$14="Gross",'CU Can Data'!G230/'CU Can Data'!$G$237,('CU Can Data'!G230+'CU Can Data'!H230)/('CU Can Data'!$G$237+'CU Can Data'!$H$237))</f>
        <v>2.140257747783622E-5</v>
      </c>
      <c r="J230" s="75">
        <f t="shared" si="54"/>
        <v>9</v>
      </c>
      <c r="K230" s="45">
        <f t="shared" si="43"/>
        <v>8.3596507523685679E-2</v>
      </c>
      <c r="L230" s="89">
        <f t="shared" si="44"/>
        <v>3.2861819194674541E-2</v>
      </c>
    </row>
    <row r="231" spans="2:12" x14ac:dyDescent="0.25">
      <c r="B231" s="177" t="str">
        <f>B94</f>
        <v>Alberta Ops (North)</v>
      </c>
      <c r="C231" s="71"/>
      <c r="D231" s="71"/>
      <c r="E231" s="74">
        <f>E183</f>
        <v>2205443</v>
      </c>
      <c r="F231" s="89">
        <f t="shared" si="40"/>
        <v>4.5941887083192627E-2</v>
      </c>
      <c r="G231" s="73">
        <f>G183</f>
        <v>202341.10881843415</v>
      </c>
      <c r="H231" s="73">
        <f>H183</f>
        <v>0</v>
      </c>
      <c r="I231" s="89">
        <f>IF(Assumptions!$B$14="Gross",'CU Can Data'!G231/'CU Can Data'!$G$237,('CU Can Data'!G231+'CU Can Data'!H231)/('CU Can Data'!$G$237+'CU Can Data'!$H$237))</f>
        <v>2.1653106292189132E-3</v>
      </c>
      <c r="J231" s="75">
        <f>J183</f>
        <v>10.155636405461221</v>
      </c>
      <c r="K231" s="45">
        <f t="shared" si="43"/>
        <v>9.4330637241883911E-2</v>
      </c>
      <c r="L231" s="89">
        <f t="shared" si="44"/>
        <v>4.7479278318098492E-2</v>
      </c>
    </row>
    <row r="232" spans="2:12" x14ac:dyDescent="0.25">
      <c r="B232" s="177" t="str">
        <f>B95</f>
        <v>Alberta Ops (South)</v>
      </c>
      <c r="C232" s="71"/>
      <c r="D232" s="71"/>
      <c r="E232" s="74">
        <f>E184</f>
        <v>2349668</v>
      </c>
      <c r="F232" s="89">
        <f t="shared" si="40"/>
        <v>4.8946257935023059E-2</v>
      </c>
      <c r="G232" s="73">
        <f>G184</f>
        <v>15425.321181565831</v>
      </c>
      <c r="H232" s="73">
        <f>H184</f>
        <v>0</v>
      </c>
      <c r="I232" s="89">
        <f>IF(Assumptions!$B$14="Gross",'CU Can Data'!G232/'CU Can Data'!$G$237,('CU Can Data'!G232+'CU Can Data'!H232)/('CU Can Data'!$G$237+'CU Can Data'!$H$237))</f>
        <v>1.6507081585448541E-4</v>
      </c>
      <c r="J232" s="75">
        <f>J184</f>
        <v>15.84436359453878</v>
      </c>
      <c r="K232" s="45">
        <f t="shared" si="43"/>
        <v>0.14717038449320807</v>
      </c>
      <c r="L232" s="89">
        <f t="shared" si="44"/>
        <v>6.5427237748028541E-2</v>
      </c>
    </row>
    <row r="233" spans="2:12" x14ac:dyDescent="0.25">
      <c r="B233" s="177" t="str">
        <f>B98</f>
        <v>Corix Water Services Inc. (See note)</v>
      </c>
      <c r="C233" s="71"/>
      <c r="D233" s="71"/>
      <c r="E233" s="74">
        <f>E98</f>
        <v>6770885</v>
      </c>
      <c r="F233" s="89">
        <f t="shared" si="40"/>
        <v>0.14104523858620818</v>
      </c>
      <c r="G233" s="73">
        <f>I98</f>
        <v>316361.49</v>
      </c>
      <c r="H233" s="73">
        <f>J98</f>
        <v>-407370</v>
      </c>
      <c r="I233" s="89">
        <f>IF(Assumptions!$B$14="Gross",'CU Can Data'!G233/'CU Can Data'!$G$237,('CU Can Data'!G233+'CU Can Data'!H233)/('CU Can Data'!$G$237+'CU Can Data'!$H$237))</f>
        <v>3.3854756503643537E-3</v>
      </c>
      <c r="J233" s="75">
        <f>M98</f>
        <v>39</v>
      </c>
      <c r="K233" s="45">
        <f t="shared" si="43"/>
        <v>0.36225153260263793</v>
      </c>
      <c r="L233" s="89">
        <f t="shared" si="44"/>
        <v>0.16889408227973685</v>
      </c>
    </row>
    <row r="234" spans="2:12" x14ac:dyDescent="0.25">
      <c r="B234" s="177" t="str">
        <f>B99</f>
        <v>Corix Energy Inc.</v>
      </c>
      <c r="C234" s="71"/>
      <c r="D234" s="71"/>
      <c r="E234" s="74">
        <f>E99</f>
        <v>278750</v>
      </c>
      <c r="F234" s="89">
        <f t="shared" si="40"/>
        <v>5.8066796668242819E-3</v>
      </c>
      <c r="G234" s="73">
        <f>I99</f>
        <v>0</v>
      </c>
      <c r="H234" s="73">
        <f>J99</f>
        <v>0</v>
      </c>
      <c r="I234" s="89">
        <f>IF(Assumptions!$B$14="Gross",'CU Can Data'!G234/'CU Can Data'!$G$237,('CU Can Data'!G234+'CU Can Data'!H234)/('CU Can Data'!$G$237+'CU Can Data'!$H$237))</f>
        <v>0</v>
      </c>
      <c r="J234" s="75">
        <f>M99</f>
        <v>0</v>
      </c>
      <c r="K234" s="45">
        <f t="shared" si="43"/>
        <v>0</v>
      </c>
      <c r="L234" s="89">
        <f t="shared" si="44"/>
        <v>1.9355598889414275E-3</v>
      </c>
    </row>
    <row r="235" spans="2:12" x14ac:dyDescent="0.25">
      <c r="C235" s="71"/>
      <c r="D235" s="71"/>
      <c r="E235" s="71"/>
      <c r="F235" s="89"/>
      <c r="G235" s="74"/>
      <c r="H235" s="74"/>
      <c r="I235" s="89"/>
      <c r="J235" s="75"/>
      <c r="K235" s="75"/>
      <c r="L235" s="89"/>
    </row>
    <row r="236" spans="2:12" x14ac:dyDescent="0.25">
      <c r="C236" s="71"/>
      <c r="D236" s="71"/>
      <c r="E236" s="78"/>
      <c r="F236" s="88"/>
      <c r="G236" s="78"/>
      <c r="H236" s="78"/>
      <c r="I236" s="88"/>
      <c r="J236" s="87"/>
      <c r="K236" s="87"/>
      <c r="L236" s="88"/>
    </row>
    <row r="237" spans="2:12" x14ac:dyDescent="0.25">
      <c r="C237" s="71"/>
      <c r="D237" s="71"/>
      <c r="E237" s="76">
        <f t="shared" ref="E237:J237" si="55">SUM(E202:E236)</f>
        <v>48005059</v>
      </c>
      <c r="F237" s="80">
        <f t="shared" si="55"/>
        <v>0.99999999999999989</v>
      </c>
      <c r="G237" s="76">
        <f t="shared" si="55"/>
        <v>93446688.935999975</v>
      </c>
      <c r="H237" s="76">
        <f t="shared" si="55"/>
        <v>-11015809.84</v>
      </c>
      <c r="I237" s="80">
        <f t="shared" si="55"/>
        <v>1.0000000000000004</v>
      </c>
      <c r="J237" s="76">
        <f t="shared" si="55"/>
        <v>107.66</v>
      </c>
      <c r="K237" s="76">
        <v>0</v>
      </c>
      <c r="L237" s="77">
        <f>SUM(L202:L236)</f>
        <v>1.0000000000000004</v>
      </c>
    </row>
    <row r="239" spans="2:12" x14ac:dyDescent="0.25">
      <c r="B239" s="177" t="s">
        <v>137</v>
      </c>
      <c r="K239" s="82"/>
      <c r="L239" s="82"/>
    </row>
    <row r="240" spans="2:12" x14ac:dyDescent="0.25">
      <c r="B240" s="71"/>
      <c r="C240" s="71"/>
      <c r="D240" s="71"/>
    </row>
    <row r="241" spans="2:12" x14ac:dyDescent="0.25">
      <c r="B241" s="71" t="str">
        <f>B202</f>
        <v>Panorama - Wastewater Treatment Plant</v>
      </c>
      <c r="C241" s="71"/>
      <c r="D241" s="71"/>
      <c r="E241" s="74">
        <f t="shared" ref="E241:E273" si="56">E202+(L202*$E$200)</f>
        <v>1441505.173454369</v>
      </c>
      <c r="F241" s="89">
        <f t="shared" ref="F241:F273" si="57">E241/$E$274</f>
        <v>3.0027449832817989E-2</v>
      </c>
      <c r="G241" s="74">
        <f t="shared" ref="G241:G273" si="58">G202+(L202*$G$200)</f>
        <v>4563520.5990380347</v>
      </c>
      <c r="H241" s="74">
        <f t="shared" ref="H241:H273" si="59">H202+(L202*$H$200)</f>
        <v>0</v>
      </c>
      <c r="I241" s="89">
        <f>IF(Assumptions!$B$14="Gross",'CU Can Data'!G241/'CU Can Data'!$G$274,('CU Can Data'!G241+'CU Can Data'!H241)/('CU Can Data'!$G$274+'CU Can Data'!$H$274))</f>
        <v>4.8817195111145503E-2</v>
      </c>
      <c r="J241" s="75">
        <f t="shared" ref="J241:J273" si="60">J202+(L202*$J$200)</f>
        <v>1.4370013329783715</v>
      </c>
      <c r="K241" s="90">
        <f>J241/$J$274</f>
        <v>1.2869436978133366E-2</v>
      </c>
      <c r="L241" s="89">
        <f>(F241*$F$194)+(I241*$I$194)+(K241*$K$194)</f>
        <v>3.0571360640698955E-2</v>
      </c>
    </row>
    <row r="242" spans="2:12" x14ac:dyDescent="0.25">
      <c r="B242" s="71" t="str">
        <f t="shared" ref="B242:B274" si="61">B203</f>
        <v>Panorama - Propane Storage Farm</v>
      </c>
      <c r="C242" s="71"/>
      <c r="D242" s="71"/>
      <c r="E242" s="74">
        <f t="shared" si="56"/>
        <v>606263.61403106956</v>
      </c>
      <c r="F242" s="89">
        <f t="shared" si="57"/>
        <v>1.2628848366985856E-2</v>
      </c>
      <c r="G242" s="74">
        <f t="shared" si="58"/>
        <v>602855.91624619905</v>
      </c>
      <c r="H242" s="74">
        <f t="shared" si="59"/>
        <v>0</v>
      </c>
      <c r="I242" s="89">
        <f>IF(Assumptions!$B$14="Gross",'CU Can Data'!G242/'CU Can Data'!$G$274,('CU Can Data'!G242+'CU Can Data'!H242)/('CU Can Data'!$G$274+'CU Can Data'!$H$274))</f>
        <v>6.448910276312266E-3</v>
      </c>
      <c r="J242" s="75">
        <f t="shared" si="60"/>
        <v>0.35644043527927238</v>
      </c>
      <c r="K242" s="90">
        <f t="shared" ref="K242:K273" si="62">J242/$J$274</f>
        <v>3.1921944767980691E-3</v>
      </c>
      <c r="L242" s="89">
        <f t="shared" ref="L242:L273" si="63">(F242*$F$194)+(I242*$I$194)+(K242*$K$194)</f>
        <v>7.4233177066987312E-3</v>
      </c>
    </row>
    <row r="243" spans="2:12" x14ac:dyDescent="0.25">
      <c r="B243" s="71" t="str">
        <f t="shared" si="61"/>
        <v>Panorama - Propane Distribution</v>
      </c>
      <c r="C243" s="71"/>
      <c r="D243" s="71"/>
      <c r="E243" s="74">
        <f t="shared" si="56"/>
        <v>742184.7667046932</v>
      </c>
      <c r="F243" s="89">
        <f t="shared" si="57"/>
        <v>1.5460170562899727E-2</v>
      </c>
      <c r="G243" s="74">
        <f t="shared" si="58"/>
        <v>189253.52793437344</v>
      </c>
      <c r="H243" s="74">
        <f t="shared" si="59"/>
        <v>-153341.78</v>
      </c>
      <c r="I243" s="89">
        <f>IF(Assumptions!$B$14="Gross",'CU Can Data'!G243/'CU Can Data'!$G$274,('CU Can Data'!G243+'CU Can Data'!H243)/('CU Can Data'!$G$274+'CU Can Data'!$H$274))</f>
        <v>2.0244953864331033E-3</v>
      </c>
      <c r="J243" s="75">
        <f t="shared" si="60"/>
        <v>0.3330042198322149</v>
      </c>
      <c r="K243" s="90">
        <f t="shared" si="62"/>
        <v>2.9823053898640059E-3</v>
      </c>
      <c r="L243" s="89">
        <f t="shared" si="63"/>
        <v>6.8223237797322795E-3</v>
      </c>
    </row>
    <row r="244" spans="2:12" x14ac:dyDescent="0.25">
      <c r="B244" s="71" t="str">
        <f t="shared" si="61"/>
        <v>Panorama - Water</v>
      </c>
      <c r="C244" s="71"/>
      <c r="D244" s="71"/>
      <c r="E244" s="74">
        <f t="shared" si="56"/>
        <v>246926.86035839305</v>
      </c>
      <c r="F244" s="89">
        <f t="shared" si="57"/>
        <v>5.1436401674638949E-3</v>
      </c>
      <c r="G244" s="74">
        <f t="shared" si="58"/>
        <v>2125179.9836507095</v>
      </c>
      <c r="H244" s="74">
        <f t="shared" si="59"/>
        <v>-1034346.36</v>
      </c>
      <c r="I244" s="89">
        <f>IF(Assumptions!$B$14="Gross",'CU Can Data'!G244/'CU Can Data'!$G$274,('CU Can Data'!G244+'CU Can Data'!H244)/('CU Can Data'!$G$274+'CU Can Data'!$H$274))</f>
        <v>2.2733616219470256E-2</v>
      </c>
      <c r="J244" s="75">
        <f t="shared" si="60"/>
        <v>0.49916990318654542</v>
      </c>
      <c r="K244" s="90">
        <f t="shared" si="62"/>
        <v>4.4704451297380033E-3</v>
      </c>
      <c r="L244" s="89">
        <f t="shared" si="63"/>
        <v>1.0782567172224051E-2</v>
      </c>
    </row>
    <row r="245" spans="2:12" x14ac:dyDescent="0.25">
      <c r="B245" s="71" t="str">
        <f t="shared" si="61"/>
        <v>Panorama - Sewer</v>
      </c>
      <c r="C245" s="71"/>
      <c r="D245" s="71"/>
      <c r="E245" s="74">
        <f t="shared" si="56"/>
        <v>1006581.1985127217</v>
      </c>
      <c r="F245" s="89">
        <f t="shared" si="57"/>
        <v>2.0967712775229477E-2</v>
      </c>
      <c r="G245" s="74">
        <f t="shared" si="58"/>
        <v>1305581.4885632279</v>
      </c>
      <c r="H245" s="74">
        <f t="shared" si="59"/>
        <v>-304289.15000000002</v>
      </c>
      <c r="I245" s="89">
        <f>IF(Assumptions!$B$14="Gross",'CU Can Data'!G245/'CU Can Data'!$G$274,('CU Can Data'!G245+'CU Can Data'!H245)/('CU Can Data'!$G$274+'CU Can Data'!$H$274))</f>
        <v>1.3966152858853279E-2</v>
      </c>
      <c r="J245" s="75">
        <f t="shared" si="60"/>
        <v>0.64917556073164873</v>
      </c>
      <c r="K245" s="90">
        <f t="shared" si="62"/>
        <v>5.8138595802583624E-3</v>
      </c>
      <c r="L245" s="89">
        <f t="shared" si="63"/>
        <v>1.3582575071447042E-2</v>
      </c>
    </row>
    <row r="246" spans="2:12" x14ac:dyDescent="0.25">
      <c r="B246" s="71" t="str">
        <f t="shared" si="61"/>
        <v>Sun Rivers - Electric</v>
      </c>
      <c r="C246" s="71"/>
      <c r="D246" s="71"/>
      <c r="E246" s="74">
        <f t="shared" si="56"/>
        <v>1650557.2605521847</v>
      </c>
      <c r="F246" s="89">
        <f t="shared" si="57"/>
        <v>3.4382134903238423E-2</v>
      </c>
      <c r="G246" s="74">
        <f t="shared" si="58"/>
        <v>7509940.4701079447</v>
      </c>
      <c r="H246" s="74">
        <f t="shared" si="59"/>
        <v>-1616399.02</v>
      </c>
      <c r="I246" s="89">
        <f>IF(Assumptions!$B$14="Gross",'CU Can Data'!G246/'CU Can Data'!$G$274,('CU Can Data'!G246+'CU Can Data'!H246)/('CU Can Data'!$G$274+'CU Can Data'!$H$274))</f>
        <v>8.0335833102107082E-2</v>
      </c>
      <c r="J246" s="75">
        <f t="shared" si="60"/>
        <v>1.0835007365420399</v>
      </c>
      <c r="K246" s="90">
        <f t="shared" si="62"/>
        <v>9.7035709881966685E-3</v>
      </c>
      <c r="L246" s="89">
        <f t="shared" si="63"/>
        <v>4.1473846331180737E-2</v>
      </c>
    </row>
    <row r="247" spans="2:12" x14ac:dyDescent="0.25">
      <c r="B247" s="71" t="str">
        <f t="shared" si="61"/>
        <v>Sun Rivers - Gas</v>
      </c>
      <c r="C247" s="71"/>
      <c r="D247" s="71"/>
      <c r="E247" s="74">
        <f t="shared" si="56"/>
        <v>174621.37092174648</v>
      </c>
      <c r="F247" s="89">
        <f t="shared" si="57"/>
        <v>3.637471825734399E-3</v>
      </c>
      <c r="G247" s="74">
        <f t="shared" si="58"/>
        <v>1044689.2896977757</v>
      </c>
      <c r="H247" s="74">
        <f t="shared" si="59"/>
        <v>-407370</v>
      </c>
      <c r="I247" s="89">
        <f>IF(Assumptions!$B$14="Gross",'CU Can Data'!G247/'CU Can Data'!$G$274,('CU Can Data'!G247+'CU Can Data'!H247)/('CU Can Data'!$G$274+'CU Can Data'!$H$274))</f>
        <v>1.1175319532128461E-2</v>
      </c>
      <c r="J247" s="75">
        <f t="shared" si="60"/>
        <v>0.12935220595057212</v>
      </c>
      <c r="K247" s="90">
        <f t="shared" si="62"/>
        <v>1.1584471247588404E-3</v>
      </c>
      <c r="L247" s="89">
        <f t="shared" si="63"/>
        <v>5.3237461608739009E-3</v>
      </c>
    </row>
    <row r="248" spans="2:12" x14ac:dyDescent="0.25">
      <c r="B248" s="71" t="str">
        <f t="shared" si="61"/>
        <v>Sun Rivers - Domestic Water</v>
      </c>
      <c r="C248" s="71"/>
      <c r="D248" s="71"/>
      <c r="E248" s="74">
        <f t="shared" si="56"/>
        <v>368085.09230008448</v>
      </c>
      <c r="F248" s="89">
        <f t="shared" si="57"/>
        <v>7.6674415373500148E-3</v>
      </c>
      <c r="G248" s="74">
        <f t="shared" si="58"/>
        <v>3278883.9076068415</v>
      </c>
      <c r="H248" s="74">
        <f t="shared" si="59"/>
        <v>-347698</v>
      </c>
      <c r="I248" s="89">
        <f>IF(Assumptions!$B$14="Gross",'CU Can Data'!G248/'CU Can Data'!$G$274,('CU Can Data'!G248+'CU Can Data'!H248)/('CU Can Data'!$G$274+'CU Can Data'!$H$274))</f>
        <v>3.5075094324802519E-2</v>
      </c>
      <c r="J248" s="75">
        <f t="shared" si="60"/>
        <v>0.33603126385521953</v>
      </c>
      <c r="K248" s="90">
        <f t="shared" si="62"/>
        <v>3.0094148652625788E-3</v>
      </c>
      <c r="L248" s="89">
        <f t="shared" si="63"/>
        <v>1.5250650242471705E-2</v>
      </c>
    </row>
    <row r="249" spans="2:12" x14ac:dyDescent="0.25">
      <c r="B249" s="71" t="str">
        <f t="shared" si="61"/>
        <v>Sun Rivers - Irrigation Water</v>
      </c>
      <c r="C249" s="71"/>
      <c r="D249" s="71"/>
      <c r="E249" s="74">
        <f t="shared" si="56"/>
        <v>289236.24491799122</v>
      </c>
      <c r="F249" s="89">
        <f t="shared" si="57"/>
        <v>6.0249709775894635E-3</v>
      </c>
      <c r="G249" s="74">
        <f t="shared" si="58"/>
        <v>2943635.8152304157</v>
      </c>
      <c r="H249" s="74">
        <f t="shared" si="59"/>
        <v>-361322</v>
      </c>
      <c r="I249" s="89">
        <f>IF(Assumptions!$B$14="Gross",'CU Can Data'!G249/'CU Can Data'!$G$274,('CU Can Data'!G249+'CU Can Data'!H249)/('CU Can Data'!$G$274+'CU Can Data'!$H$274))</f>
        <v>3.1488856204253846E-2</v>
      </c>
      <c r="J249" s="75">
        <f t="shared" si="60"/>
        <v>0.28565485811931884</v>
      </c>
      <c r="K249" s="90">
        <f t="shared" si="62"/>
        <v>2.5582559387365114E-3</v>
      </c>
      <c r="L249" s="89">
        <f t="shared" si="63"/>
        <v>1.3357361040193276E-2</v>
      </c>
    </row>
    <row r="250" spans="2:12" x14ac:dyDescent="0.25">
      <c r="B250" s="71" t="str">
        <f t="shared" si="61"/>
        <v>Sun Rivers - Sewer</v>
      </c>
      <c r="C250" s="71"/>
      <c r="D250" s="71"/>
      <c r="E250" s="74">
        <f t="shared" si="56"/>
        <v>319177.76875674899</v>
      </c>
      <c r="F250" s="89">
        <f t="shared" si="57"/>
        <v>6.6486715521992179E-3</v>
      </c>
      <c r="G250" s="74">
        <f t="shared" si="58"/>
        <v>2910734.4095700965</v>
      </c>
      <c r="H250" s="74">
        <f t="shared" si="59"/>
        <v>-300258</v>
      </c>
      <c r="I250" s="89">
        <f>IF(Assumptions!$B$14="Gross",'CU Can Data'!G250/'CU Can Data'!$G$274,('CU Can Data'!G250+'CU Can Data'!H250)/('CU Can Data'!$G$274+'CU Can Data'!$H$274))</f>
        <v>3.1136901106277665E-2</v>
      </c>
      <c r="J250" s="75">
        <f t="shared" si="60"/>
        <v>0.29535619908399946</v>
      </c>
      <c r="K250" s="90">
        <f t="shared" si="62"/>
        <v>2.6451388060540881E-3</v>
      </c>
      <c r="L250" s="89">
        <f t="shared" si="63"/>
        <v>1.3476903821510323E-2</v>
      </c>
    </row>
    <row r="251" spans="2:12" x14ac:dyDescent="0.25">
      <c r="B251" s="71" t="str">
        <f t="shared" si="61"/>
        <v>Sun Rivers - Geothermal</v>
      </c>
      <c r="C251" s="71"/>
      <c r="D251" s="71"/>
      <c r="E251" s="74">
        <f t="shared" si="56"/>
        <v>1017936.0649960829</v>
      </c>
      <c r="F251" s="89">
        <f t="shared" si="57"/>
        <v>2.1204241710377464E-2</v>
      </c>
      <c r="G251" s="74">
        <f t="shared" si="58"/>
        <v>11294448.60769286</v>
      </c>
      <c r="H251" s="74">
        <f t="shared" si="59"/>
        <v>-2200526</v>
      </c>
      <c r="I251" s="89">
        <f>IF(Assumptions!$B$14="Gross",'CU Can Data'!G251/'CU Can Data'!$G$274,('CU Can Data'!G251+'CU Can Data'!H251)/('CU Can Data'!$G$274+'CU Can Data'!$H$274))</f>
        <v>0.12081972446246268</v>
      </c>
      <c r="J251" s="75">
        <f t="shared" si="60"/>
        <v>1.0603358062648414</v>
      </c>
      <c r="K251" s="90">
        <f t="shared" si="62"/>
        <v>9.4961114657428035E-3</v>
      </c>
      <c r="L251" s="89">
        <f t="shared" si="63"/>
        <v>5.0506692546194325E-2</v>
      </c>
    </row>
    <row r="252" spans="2:12" x14ac:dyDescent="0.25">
      <c r="B252" s="71" t="str">
        <f t="shared" si="61"/>
        <v>Sun Rivers - Municipal</v>
      </c>
      <c r="C252" s="71"/>
      <c r="D252" s="71"/>
      <c r="E252" s="74">
        <f t="shared" si="56"/>
        <v>856709.01114840503</v>
      </c>
      <c r="F252" s="89">
        <f t="shared" si="57"/>
        <v>1.7845781844775435E-2</v>
      </c>
      <c r="G252" s="74">
        <f t="shared" si="58"/>
        <v>8778058.2181877885</v>
      </c>
      <c r="H252" s="74">
        <f t="shared" si="59"/>
        <v>-175667</v>
      </c>
      <c r="I252" s="89">
        <f>IF(Assumptions!$B$14="Gross",'CU Can Data'!G252/'CU Can Data'!$G$274,('CU Can Data'!G252+'CU Can Data'!H252)/('CU Can Data'!$G$274+'CU Can Data'!$H$274))</f>
        <v>9.3901226352434392E-2</v>
      </c>
      <c r="J252" s="75">
        <f t="shared" si="60"/>
        <v>0.84957900844591128</v>
      </c>
      <c r="K252" s="90">
        <f t="shared" si="62"/>
        <v>7.6086244711258402E-3</v>
      </c>
      <c r="L252" s="89">
        <f t="shared" si="63"/>
        <v>3.9785210889445227E-2</v>
      </c>
    </row>
    <row r="253" spans="2:12" x14ac:dyDescent="0.25">
      <c r="B253" s="71" t="str">
        <f t="shared" si="61"/>
        <v>Foothills - Wastewater</v>
      </c>
      <c r="C253" s="71"/>
      <c r="D253" s="71"/>
      <c r="E253" s="74">
        <f t="shared" si="56"/>
        <v>907725.29093339597</v>
      </c>
      <c r="F253" s="89">
        <f t="shared" si="57"/>
        <v>1.8908482700874245E-2</v>
      </c>
      <c r="G253" s="74">
        <f t="shared" si="58"/>
        <v>1993908.7518956566</v>
      </c>
      <c r="H253" s="74">
        <f t="shared" si="59"/>
        <v>-189353.8</v>
      </c>
      <c r="I253" s="89">
        <f>IF(Assumptions!$B$14="Gross",'CU Can Data'!G253/'CU Can Data'!$G$274,('CU Can Data'!G253+'CU Can Data'!H253)/('CU Can Data'!$G$274+'CU Can Data'!$H$274))</f>
        <v>2.1329372895923598E-2</v>
      </c>
      <c r="J253" s="75">
        <f t="shared" si="60"/>
        <v>2.0784206511650605</v>
      </c>
      <c r="K253" s="90">
        <f t="shared" si="62"/>
        <v>1.8613833522882504E-2</v>
      </c>
      <c r="L253" s="89">
        <f t="shared" si="63"/>
        <v>1.9617229706560119E-2</v>
      </c>
    </row>
    <row r="254" spans="2:12" x14ac:dyDescent="0.25">
      <c r="B254" s="71" t="str">
        <f t="shared" si="61"/>
        <v>Foothills - Water</v>
      </c>
      <c r="C254" s="71"/>
      <c r="D254" s="71"/>
      <c r="E254" s="74">
        <f t="shared" si="56"/>
        <v>1297852.5680001238</v>
      </c>
      <c r="F254" s="89">
        <f t="shared" si="57"/>
        <v>2.7035076664087571E-2</v>
      </c>
      <c r="G254" s="74">
        <f t="shared" si="58"/>
        <v>3685583.8681658842</v>
      </c>
      <c r="H254" s="74">
        <f t="shared" si="59"/>
        <v>-376811.81</v>
      </c>
      <c r="I254" s="89">
        <f>IF(Assumptions!$B$14="Gross",'CU Can Data'!G254/'CU Can Data'!$G$274,('CU Can Data'!G254+'CU Can Data'!H254)/('CU Can Data'!$G$274+'CU Can Data'!$H$274))</f>
        <v>3.9425672106897132E-2</v>
      </c>
      <c r="J254" s="75">
        <f t="shared" si="60"/>
        <v>3.4598585862754576</v>
      </c>
      <c r="K254" s="90">
        <f t="shared" si="62"/>
        <v>3.0985658125339939E-2</v>
      </c>
      <c r="L254" s="89">
        <f t="shared" si="63"/>
        <v>3.2482135632108215E-2</v>
      </c>
    </row>
    <row r="255" spans="2:12" x14ac:dyDescent="0.25">
      <c r="B255" s="71" t="str">
        <f t="shared" si="61"/>
        <v>Sage Meadows - Wastewater</v>
      </c>
      <c r="C255" s="71"/>
      <c r="D255" s="71"/>
      <c r="E255" s="74">
        <f t="shared" si="56"/>
        <v>47976.350868384499</v>
      </c>
      <c r="F255" s="89">
        <f t="shared" si="57"/>
        <v>9.9937724497364908E-4</v>
      </c>
      <c r="G255" s="74">
        <f t="shared" si="58"/>
        <v>225424.95555980343</v>
      </c>
      <c r="H255" s="74">
        <f t="shared" si="59"/>
        <v>-69338</v>
      </c>
      <c r="I255" s="89">
        <f>IF(Assumptions!$B$14="Gross",'CU Can Data'!G255/'CU Can Data'!$G$274,('CU Can Data'!G255+'CU Can Data'!H255)/('CU Can Data'!$G$274+'CU Can Data'!$H$274))</f>
        <v>2.4114307801752755E-3</v>
      </c>
      <c r="J255" s="75">
        <f t="shared" si="60"/>
        <v>4.5483783989991745E-3</v>
      </c>
      <c r="K255" s="90">
        <f t="shared" si="62"/>
        <v>4.073417874797756E-5</v>
      </c>
      <c r="L255" s="89">
        <f t="shared" si="63"/>
        <v>1.150514067965634E-3</v>
      </c>
    </row>
    <row r="256" spans="2:12" x14ac:dyDescent="0.25">
      <c r="B256" s="71" t="str">
        <f t="shared" si="61"/>
        <v>Sage Meadows - Water</v>
      </c>
      <c r="C256" s="71"/>
      <c r="D256" s="71"/>
      <c r="E256" s="74">
        <f t="shared" si="56"/>
        <v>48472.922251361808</v>
      </c>
      <c r="F256" s="89">
        <f t="shared" si="57"/>
        <v>1.0097211359047045E-3</v>
      </c>
      <c r="G256" s="74">
        <f t="shared" si="58"/>
        <v>123301.2780604412</v>
      </c>
      <c r="H256" s="74">
        <f t="shared" si="59"/>
        <v>-32800</v>
      </c>
      <c r="I256" s="89">
        <f>IF(Assumptions!$B$14="Gross",'CU Can Data'!G256/'CU Can Data'!$G$274,('CU Can Data'!G256+'CU Can Data'!H256)/('CU Can Data'!$G$274+'CU Can Data'!$H$274))</f>
        <v>1.3189866064807468E-3</v>
      </c>
      <c r="J256" s="75">
        <f t="shared" si="60"/>
        <v>3.1052234404338151E-3</v>
      </c>
      <c r="K256" s="90">
        <f t="shared" si="62"/>
        <v>2.7809631384863115E-5</v>
      </c>
      <c r="L256" s="89">
        <f t="shared" si="63"/>
        <v>7.8550579125677151E-4</v>
      </c>
    </row>
    <row r="257" spans="2:12" x14ac:dyDescent="0.25">
      <c r="B257" s="71" t="str">
        <f t="shared" si="61"/>
        <v>Canadian Lakeview Estates (in Adventure Bay) - Wastewater</v>
      </c>
      <c r="C257" s="71"/>
      <c r="D257" s="71"/>
      <c r="E257" s="74">
        <f t="shared" si="56"/>
        <v>293678.65958073433</v>
      </c>
      <c r="F257" s="89">
        <f t="shared" si="57"/>
        <v>6.1175092395940548E-3</v>
      </c>
      <c r="G257" s="74">
        <f t="shared" si="58"/>
        <v>292015.24192686909</v>
      </c>
      <c r="H257" s="74">
        <f t="shared" si="59"/>
        <v>0</v>
      </c>
      <c r="I257" s="89">
        <f>IF(Assumptions!$B$14="Gross",'CU Can Data'!G257/'CU Can Data'!$G$274,('CU Can Data'!G257+'CU Can Data'!H257)/('CU Can Data'!$G$274+'CU Can Data'!$H$274))</f>
        <v>3.1237648064034768E-3</v>
      </c>
      <c r="J257" s="75">
        <f t="shared" si="60"/>
        <v>1.2321820654229789E-2</v>
      </c>
      <c r="K257" s="90">
        <f t="shared" si="62"/>
        <v>1.1035125070956287E-4</v>
      </c>
      <c r="L257" s="89">
        <f t="shared" si="63"/>
        <v>3.1172084322356984E-3</v>
      </c>
    </row>
    <row r="258" spans="2:12" x14ac:dyDescent="0.25">
      <c r="B258" s="71" t="str">
        <f t="shared" si="61"/>
        <v>Canadian Lakeview Estates (in Adventure Bay) - Water</v>
      </c>
      <c r="C258" s="71"/>
      <c r="D258" s="71"/>
      <c r="E258" s="74">
        <f t="shared" si="56"/>
        <v>282111.16065673775</v>
      </c>
      <c r="F258" s="89">
        <f t="shared" si="57"/>
        <v>5.8765510383833545E-3</v>
      </c>
      <c r="G258" s="74">
        <f t="shared" si="58"/>
        <v>196782.48490996676</v>
      </c>
      <c r="H258" s="74">
        <f t="shared" si="59"/>
        <v>0</v>
      </c>
      <c r="I258" s="89">
        <f>IF(Assumptions!$B$14="Gross",'CU Can Data'!G258/'CU Can Data'!$G$274,('CU Can Data'!G258+'CU Can Data'!H258)/('CU Can Data'!$G$274+'CU Can Data'!$H$274))</f>
        <v>2.1050346441584735E-3</v>
      </c>
      <c r="J258" s="75">
        <f t="shared" si="60"/>
        <v>1.0641941877849167E-2</v>
      </c>
      <c r="K258" s="90">
        <f t="shared" si="62"/>
        <v>9.5306661990409876E-5</v>
      </c>
      <c r="L258" s="89">
        <f t="shared" si="63"/>
        <v>2.6922974481774129E-3</v>
      </c>
    </row>
    <row r="259" spans="2:12" x14ac:dyDescent="0.25">
      <c r="B259" s="71" t="str">
        <f t="shared" si="61"/>
        <v>Cultus Lake - Water</v>
      </c>
      <c r="C259" s="71"/>
      <c r="D259" s="71"/>
      <c r="E259" s="74">
        <f t="shared" si="56"/>
        <v>176730.80706119366</v>
      </c>
      <c r="F259" s="89">
        <f t="shared" si="57"/>
        <v>3.681412693252061E-3</v>
      </c>
      <c r="G259" s="74">
        <f t="shared" si="58"/>
        <v>82456.578687096655</v>
      </c>
      <c r="H259" s="74">
        <f t="shared" si="59"/>
        <v>-33117</v>
      </c>
      <c r="I259" s="89">
        <f>IF(Assumptions!$B$14="Gross",'CU Can Data'!G259/'CU Can Data'!$G$274,('CU Can Data'!G259+'CU Can Data'!H259)/('CU Can Data'!$G$274+'CU Can Data'!$H$274))</f>
        <v>8.820599803612216E-4</v>
      </c>
      <c r="J259" s="75">
        <f t="shared" si="60"/>
        <v>6.0843811234585696E-3</v>
      </c>
      <c r="K259" s="90">
        <f t="shared" si="62"/>
        <v>5.44902482846012E-5</v>
      </c>
      <c r="L259" s="89">
        <f t="shared" si="63"/>
        <v>1.5393209739659613E-3</v>
      </c>
    </row>
    <row r="260" spans="2:12" x14ac:dyDescent="0.25">
      <c r="B260" s="71" t="str">
        <f t="shared" si="61"/>
        <v>Cultus Lake - Wastewater</v>
      </c>
      <c r="C260" s="71"/>
      <c r="D260" s="71"/>
      <c r="E260" s="74">
        <f t="shared" si="56"/>
        <v>135182.46284856836</v>
      </c>
      <c r="F260" s="89">
        <f t="shared" si="57"/>
        <v>2.8159348271604816E-3</v>
      </c>
      <c r="G260" s="74">
        <f t="shared" si="58"/>
        <v>318105.69535961386</v>
      </c>
      <c r="H260" s="74">
        <f t="shared" si="59"/>
        <v>-37921.39</v>
      </c>
      <c r="I260" s="89">
        <f>IF(Assumptions!$B$14="Gross",'CU Can Data'!G260/'CU Can Data'!$G$274,('CU Can Data'!G260+'CU Can Data'!H260)/('CU Can Data'!$G$274+'CU Can Data'!$H$274))</f>
        <v>3.4028613346481478E-3</v>
      </c>
      <c r="J260" s="75">
        <f t="shared" si="60"/>
        <v>8.2924194221010786E-3</v>
      </c>
      <c r="K260" s="90">
        <f t="shared" si="62"/>
        <v>7.4264906162467117E-5</v>
      </c>
      <c r="L260" s="89">
        <f t="shared" si="63"/>
        <v>2.0976870226570325E-3</v>
      </c>
    </row>
    <row r="261" spans="2:12" x14ac:dyDescent="0.25">
      <c r="B261" s="71" t="str">
        <f t="shared" si="61"/>
        <v>Sonoma Pines - Electric</v>
      </c>
      <c r="C261" s="71"/>
      <c r="D261" s="71"/>
      <c r="E261" s="74">
        <f t="shared" si="56"/>
        <v>451195.23221226479</v>
      </c>
      <c r="F261" s="89">
        <f t="shared" si="57"/>
        <v>9.3986774723769772E-3</v>
      </c>
      <c r="G261" s="74">
        <f t="shared" si="58"/>
        <v>3424651.136634598</v>
      </c>
      <c r="H261" s="74">
        <f t="shared" si="59"/>
        <v>-2162193.54</v>
      </c>
      <c r="I261" s="89">
        <f>IF(Assumptions!$B$14="Gross",'CU Can Data'!G261/'CU Can Data'!$G$274,('CU Can Data'!G261+'CU Can Data'!H261)/('CU Can Data'!$G$274+'CU Can Data'!$H$274))</f>
        <v>3.6634405191452057E-2</v>
      </c>
      <c r="J261" s="75">
        <f t="shared" si="60"/>
        <v>6.1387920083507366E-2</v>
      </c>
      <c r="K261" s="90">
        <f t="shared" si="62"/>
        <v>5.4977539032336886E-4</v>
      </c>
      <c r="L261" s="89">
        <f t="shared" si="63"/>
        <v>1.5527619351384135E-2</v>
      </c>
    </row>
    <row r="262" spans="2:12" x14ac:dyDescent="0.25">
      <c r="B262" s="71" t="str">
        <f t="shared" si="61"/>
        <v>Sonoma Pines - Gas</v>
      </c>
      <c r="C262" s="71"/>
      <c r="D262" s="71"/>
      <c r="E262" s="74">
        <f t="shared" si="56"/>
        <v>245295.44523018081</v>
      </c>
      <c r="F262" s="89">
        <f t="shared" si="57"/>
        <v>5.1096567750897265E-3</v>
      </c>
      <c r="G262" s="74">
        <f t="shared" si="58"/>
        <v>1043633.6349892337</v>
      </c>
      <c r="H262" s="74">
        <f t="shared" si="59"/>
        <v>-407370</v>
      </c>
      <c r="I262" s="89">
        <f>IF(Assumptions!$B$14="Gross",'CU Can Data'!G262/'CU Can Data'!$G$274,('CU Can Data'!G262+'CU Can Data'!H262)/('CU Can Data'!$G$274+'CU Can Data'!$H$274))</f>
        <v>1.116402691259087E-2</v>
      </c>
      <c r="J262" s="75">
        <f t="shared" si="60"/>
        <v>2.1701111719856399E-2</v>
      </c>
      <c r="K262" s="90">
        <f t="shared" si="62"/>
        <v>1.9434991688927457E-4</v>
      </c>
      <c r="L262" s="89">
        <f t="shared" si="63"/>
        <v>5.4893445348566244E-3</v>
      </c>
    </row>
    <row r="263" spans="2:12" x14ac:dyDescent="0.25">
      <c r="B263" s="71" t="str">
        <f t="shared" si="61"/>
        <v>West Shore Environmental Services</v>
      </c>
      <c r="C263" s="71"/>
      <c r="D263" s="71"/>
      <c r="E263" s="74">
        <f t="shared" si="56"/>
        <v>20558313.189463709</v>
      </c>
      <c r="F263" s="89">
        <f t="shared" si="57"/>
        <v>0.42824245747566375</v>
      </c>
      <c r="G263" s="74">
        <f t="shared" si="58"/>
        <v>33804638.467694253</v>
      </c>
      <c r="H263" s="74">
        <f t="shared" si="59"/>
        <v>0</v>
      </c>
      <c r="I263" s="89">
        <f>IF(Assumptions!$B$14="Gross",'CU Can Data'!G263/'CU Can Data'!$G$274,('CU Can Data'!G263+'CU Can Data'!H263)/('CU Can Data'!$G$274+'CU Can Data'!$H$274))</f>
        <v>0.36161721984711281</v>
      </c>
      <c r="J263" s="75">
        <f t="shared" si="60"/>
        <v>6.1151160394265744</v>
      </c>
      <c r="K263" s="90">
        <f t="shared" si="62"/>
        <v>5.4765502771149693E-2</v>
      </c>
      <c r="L263" s="89">
        <f t="shared" si="63"/>
        <v>0.2815417266979755</v>
      </c>
    </row>
    <row r="264" spans="2:12" x14ac:dyDescent="0.25">
      <c r="B264" s="71" t="str">
        <f t="shared" si="61"/>
        <v>Rise</v>
      </c>
      <c r="C264" s="71"/>
      <c r="D264" s="71"/>
      <c r="E264" s="74">
        <f t="shared" si="56"/>
        <v>66767.583306623186</v>
      </c>
      <c r="F264" s="89">
        <f t="shared" si="57"/>
        <v>1.3908103107210859E-3</v>
      </c>
      <c r="G264" s="74">
        <f t="shared" si="58"/>
        <v>715719.23591522244</v>
      </c>
      <c r="H264" s="74">
        <f t="shared" si="59"/>
        <v>-154102</v>
      </c>
      <c r="I264" s="89">
        <f>IF(Assumptions!$B$14="Gross",'CU Can Data'!G264/'CU Can Data'!$G$274,('CU Can Data'!G264+'CU Can Data'!H264)/('CU Can Data'!$G$274+'CU Can Data'!$H$274))</f>
        <v>7.656239262256957E-3</v>
      </c>
      <c r="J264" s="75">
        <f t="shared" si="60"/>
        <v>1.2065005465253523E-2</v>
      </c>
      <c r="K264" s="90">
        <f t="shared" si="62"/>
        <v>1.0805127588441271E-4</v>
      </c>
      <c r="L264" s="89">
        <f t="shared" si="63"/>
        <v>3.0517002829541519E-3</v>
      </c>
    </row>
    <row r="265" spans="2:12" x14ac:dyDescent="0.25">
      <c r="B265" s="71" t="str">
        <f t="shared" si="61"/>
        <v>Riverport</v>
      </c>
      <c r="C265" s="71"/>
      <c r="D265" s="71"/>
      <c r="E265" s="74">
        <f t="shared" si="56"/>
        <v>377378.88772286178</v>
      </c>
      <c r="F265" s="89">
        <f t="shared" si="57"/>
        <v>7.8610370796713576E-3</v>
      </c>
      <c r="G265" s="74">
        <f t="shared" si="58"/>
        <v>418935.68752807786</v>
      </c>
      <c r="H265" s="74">
        <f t="shared" si="59"/>
        <v>-244214.99</v>
      </c>
      <c r="I265" s="89">
        <f>IF(Assumptions!$B$14="Gross",'CU Can Data'!G265/'CU Can Data'!$G$274,('CU Can Data'!G265+'CU Can Data'!H265)/('CU Can Data'!$G$274+'CU Can Data'!$H$274))</f>
        <v>4.4814666118503065E-3</v>
      </c>
      <c r="J265" s="75">
        <f t="shared" si="60"/>
        <v>1.6456979332562276E-2</v>
      </c>
      <c r="K265" s="90">
        <f t="shared" si="62"/>
        <v>1.4738473341001501E-4</v>
      </c>
      <c r="L265" s="89">
        <f t="shared" si="63"/>
        <v>4.1632961416438932E-3</v>
      </c>
    </row>
    <row r="266" spans="2:12" x14ac:dyDescent="0.25">
      <c r="B266" s="71" t="str">
        <f t="shared" si="61"/>
        <v>Coastal Ops</v>
      </c>
      <c r="C266" s="71"/>
      <c r="D266" s="71"/>
      <c r="E266" s="74">
        <f t="shared" si="56"/>
        <v>768934.16828574357</v>
      </c>
      <c r="F266" s="89">
        <f t="shared" si="57"/>
        <v>1.6017377244377042E-2</v>
      </c>
      <c r="G266" s="74">
        <f t="shared" si="58"/>
        <v>19307.70342866869</v>
      </c>
      <c r="H266" s="74">
        <f t="shared" si="59"/>
        <v>0</v>
      </c>
      <c r="I266" s="89">
        <f>IF(Assumptions!$B$14="Gross",'CU Can Data'!G266/'CU Can Data'!$G$274,('CU Can Data'!G266+'CU Can Data'!H266)/('CU Can Data'!$G$274+'CU Can Data'!$H$274))</f>
        <v>2.0653964520816152E-4</v>
      </c>
      <c r="J266" s="75">
        <f t="shared" si="60"/>
        <v>7.1083107264091314</v>
      </c>
      <c r="K266" s="90">
        <f t="shared" si="62"/>
        <v>6.3660314583639008E-2</v>
      </c>
      <c r="L266" s="89">
        <f t="shared" si="63"/>
        <v>2.6628077157741407E-2</v>
      </c>
    </row>
    <row r="267" spans="2:12" x14ac:dyDescent="0.25">
      <c r="B267" s="71" t="str">
        <f t="shared" si="61"/>
        <v>Island Ops</v>
      </c>
      <c r="C267" s="71"/>
      <c r="D267" s="71"/>
      <c r="E267" s="74">
        <f t="shared" si="56"/>
        <v>13140.108393575769</v>
      </c>
      <c r="F267" s="89">
        <f t="shared" si="57"/>
        <v>2.7371663511992033E-4</v>
      </c>
      <c r="G267" s="74">
        <f t="shared" si="58"/>
        <v>3.2060310601847197</v>
      </c>
      <c r="H267" s="74">
        <f t="shared" si="59"/>
        <v>0</v>
      </c>
      <c r="I267" s="89">
        <f>IF(Assumptions!$B$14="Gross",'CU Can Data'!G267/'CU Can Data'!$G$274,('CU Can Data'!G267+'CU Can Data'!H267)/('CU Can Data'!$G$274+'CU Can Data'!$H$274))</f>
        <v>3.4295768015251527E-8</v>
      </c>
      <c r="J267" s="75">
        <f t="shared" si="60"/>
        <v>3.6496153457492888E-4</v>
      </c>
      <c r="K267" s="90">
        <f t="shared" si="62"/>
        <v>3.2685073846939718E-6</v>
      </c>
      <c r="L267" s="89">
        <f t="shared" si="63"/>
        <v>9.2339812757543191E-5</v>
      </c>
    </row>
    <row r="268" spans="2:12" x14ac:dyDescent="0.25">
      <c r="B268" s="71" t="str">
        <f t="shared" si="61"/>
        <v>Kamloops Ops</v>
      </c>
      <c r="C268" s="71"/>
      <c r="D268" s="71"/>
      <c r="E268" s="74">
        <f t="shared" si="56"/>
        <v>1292067.6181328639</v>
      </c>
      <c r="F268" s="89">
        <f t="shared" si="57"/>
        <v>2.6914572558293593E-2</v>
      </c>
      <c r="G268" s="74">
        <f t="shared" si="58"/>
        <v>43324.434142953971</v>
      </c>
      <c r="H268" s="74">
        <f t="shared" si="59"/>
        <v>0</v>
      </c>
      <c r="I268" s="89">
        <f>IF(Assumptions!$B$14="Gross",'CU Can Data'!G268/'CU Can Data'!$G$274,('CU Can Data'!G268+'CU Can Data'!H268)/('CU Can Data'!$G$274+'CU Can Data'!$H$274))</f>
        <v>4.6345300930215666E-4</v>
      </c>
      <c r="J268" s="75">
        <f t="shared" si="60"/>
        <v>10.160330413683075</v>
      </c>
      <c r="K268" s="90">
        <f t="shared" si="62"/>
        <v>9.0993466001102238E-2</v>
      </c>
      <c r="L268" s="89">
        <f t="shared" si="63"/>
        <v>3.9457163856232672E-2</v>
      </c>
    </row>
    <row r="269" spans="2:12" x14ac:dyDescent="0.25">
      <c r="B269" s="71" t="str">
        <f t="shared" si="61"/>
        <v>Kootenay Ops</v>
      </c>
      <c r="C269" s="71"/>
      <c r="D269" s="71"/>
      <c r="E269" s="74">
        <f t="shared" si="56"/>
        <v>718557.03984120325</v>
      </c>
      <c r="F269" s="89">
        <f t="shared" si="57"/>
        <v>1.4967990308453052E-2</v>
      </c>
      <c r="G269" s="74">
        <f t="shared" si="58"/>
        <v>3154.7081327900405</v>
      </c>
      <c r="H269" s="74">
        <f t="shared" si="59"/>
        <v>0</v>
      </c>
      <c r="I269" s="89">
        <f>IF(Assumptions!$B$14="Gross",'CU Can Data'!G269/'CU Can Data'!$G$274,('CU Can Data'!G269+'CU Can Data'!H269)/('CU Can Data'!$G$274+'CU Can Data'!$H$274))</f>
        <v>3.3746752993640942E-5</v>
      </c>
      <c r="J269" s="75">
        <f t="shared" si="60"/>
        <v>9.1314472767786974</v>
      </c>
      <c r="K269" s="90">
        <f t="shared" si="62"/>
        <v>8.1779037047991207E-2</v>
      </c>
      <c r="L269" s="89">
        <f t="shared" si="63"/>
        <v>3.2260258036479306E-2</v>
      </c>
    </row>
    <row r="270" spans="2:12" x14ac:dyDescent="0.25">
      <c r="B270" s="71" t="str">
        <f t="shared" si="61"/>
        <v>Alberta Ops (North)</v>
      </c>
      <c r="C270" s="71"/>
      <c r="D270" s="71"/>
      <c r="E270" s="74">
        <f t="shared" si="56"/>
        <v>2205499.4053826421</v>
      </c>
      <c r="F270" s="89">
        <f t="shared" si="57"/>
        <v>4.5941925128674239E-2</v>
      </c>
      <c r="G270" s="74">
        <f t="shared" si="58"/>
        <v>204009.4494689662</v>
      </c>
      <c r="H270" s="74">
        <f t="shared" si="59"/>
        <v>0</v>
      </c>
      <c r="I270" s="89">
        <f>IF(Assumptions!$B$14="Gross",'CU Can Data'!G270/'CU Can Data'!$G$274,('CU Can Data'!G270+'CU Can Data'!H270)/('CU Can Data'!$G$274+'CU Can Data'!$H$274))</f>
        <v>2.1823434085831103E-3</v>
      </c>
      <c r="J270" s="75">
        <f t="shared" si="60"/>
        <v>10.345553518733615</v>
      </c>
      <c r="K270" s="90">
        <f t="shared" si="62"/>
        <v>9.2652279408325405E-2</v>
      </c>
      <c r="L270" s="89">
        <f t="shared" si="63"/>
        <v>4.6925515981860927E-2</v>
      </c>
    </row>
    <row r="271" spans="2:12" x14ac:dyDescent="0.25">
      <c r="B271" s="71" t="str">
        <f t="shared" si="61"/>
        <v>Alberta Ops (South)</v>
      </c>
      <c r="C271" s="71"/>
      <c r="D271" s="71"/>
      <c r="E271" s="74">
        <f t="shared" si="56"/>
        <v>2349745.7275584447</v>
      </c>
      <c r="F271" s="89">
        <f t="shared" si="57"/>
        <v>4.8946665786193305E-2</v>
      </c>
      <c r="G271" s="74">
        <f t="shared" si="58"/>
        <v>17724.322435455004</v>
      </c>
      <c r="H271" s="74">
        <f t="shared" si="59"/>
        <v>0</v>
      </c>
      <c r="I271" s="89">
        <f>IF(Assumptions!$B$14="Gross",'CU Can Data'!G271/'CU Can Data'!$G$274,('CU Can Data'!G271+'CU Can Data'!H271)/('CU Can Data'!$G$274+'CU Can Data'!$H$274))</f>
        <v>1.8960179707019421E-4</v>
      </c>
      <c r="J271" s="75">
        <f t="shared" si="60"/>
        <v>16.106072545530896</v>
      </c>
      <c r="K271" s="90">
        <f t="shared" si="62"/>
        <v>0.14424209695084092</v>
      </c>
      <c r="L271" s="89">
        <f t="shared" si="63"/>
        <v>6.4459454844701489E-2</v>
      </c>
    </row>
    <row r="272" spans="2:12" x14ac:dyDescent="0.25">
      <c r="B272" s="71" t="str">
        <f t="shared" si="61"/>
        <v>Corix Water Services Inc. (See note)</v>
      </c>
      <c r="C272" s="71"/>
      <c r="D272" s="71"/>
      <c r="E272" s="74">
        <f t="shared" si="56"/>
        <v>6771085.6461697482</v>
      </c>
      <c r="F272" s="89">
        <f t="shared" si="57"/>
        <v>0.14104592775539712</v>
      </c>
      <c r="G272" s="74">
        <f t="shared" si="58"/>
        <v>322296.13924242923</v>
      </c>
      <c r="H272" s="74">
        <f t="shared" si="59"/>
        <v>-407370</v>
      </c>
      <c r="I272" s="89">
        <f>IF(Assumptions!$B$14="Gross",'CU Can Data'!G272/'CU Can Data'!$G$274,('CU Can Data'!G272+'CU Can Data'!H272)/('CU Can Data'!$G$274+'CU Can Data'!$H$274))</f>
        <v>3.4476876287757178E-3</v>
      </c>
      <c r="J272" s="75">
        <f t="shared" si="60"/>
        <v>39.675576329118947</v>
      </c>
      <c r="K272" s="90">
        <f t="shared" si="62"/>
        <v>0.35532488204476936</v>
      </c>
      <c r="L272" s="89">
        <f t="shared" si="63"/>
        <v>0.16660616580964743</v>
      </c>
    </row>
    <row r="273" spans="2:12" x14ac:dyDescent="0.25">
      <c r="B273" s="71" t="str">
        <f t="shared" si="61"/>
        <v>Corix Energy Inc.</v>
      </c>
      <c r="C273" s="71"/>
      <c r="D273" s="71"/>
      <c r="E273" s="78">
        <f t="shared" si="56"/>
        <v>278752.29944514803</v>
      </c>
      <c r="F273" s="88">
        <f t="shared" si="57"/>
        <v>5.8065838690774573E-3</v>
      </c>
      <c r="G273" s="78">
        <f t="shared" si="58"/>
        <v>68.012264689991682</v>
      </c>
      <c r="H273" s="78">
        <f t="shared" si="59"/>
        <v>0</v>
      </c>
      <c r="I273" s="88">
        <f>IF(Assumptions!$B$14="Gross",'CU Can Data'!G273/'CU Can Data'!$G$274,('CU Can Data'!G273+'CU Can Data'!H273)/('CU Can Data'!$G$274+'CU Can Data'!$H$274))</f>
        <v>7.2754530702065177E-7</v>
      </c>
      <c r="J273" s="87">
        <f t="shared" si="60"/>
        <v>7.7422395557657101E-3</v>
      </c>
      <c r="K273" s="91">
        <f t="shared" si="62"/>
        <v>6.9337628118983614E-5</v>
      </c>
      <c r="L273" s="88">
        <f t="shared" si="63"/>
        <v>1.9588830141678208E-3</v>
      </c>
    </row>
    <row r="274" spans="2:12" x14ac:dyDescent="0.25">
      <c r="B274" s="71">
        <f t="shared" si="61"/>
        <v>0</v>
      </c>
      <c r="E274" s="76">
        <f t="shared" ref="E274:L274" si="64">SUM(E241:E273)</f>
        <v>48006246.999999993</v>
      </c>
      <c r="F274" s="80">
        <f t="shared" si="64"/>
        <v>1.0000000000000002</v>
      </c>
      <c r="G274" s="76">
        <f t="shared" si="64"/>
        <v>93481827.225999981</v>
      </c>
      <c r="H274" s="76">
        <f t="shared" si="64"/>
        <v>-11015809.84</v>
      </c>
      <c r="I274" s="80">
        <f t="shared" si="64"/>
        <v>1.0000000000000002</v>
      </c>
      <c r="J274" s="108">
        <f t="shared" si="64"/>
        <v>111.66</v>
      </c>
      <c r="K274" s="80">
        <f t="shared" si="64"/>
        <v>1</v>
      </c>
      <c r="L274" s="77">
        <f t="shared" si="64"/>
        <v>1.0000000000000002</v>
      </c>
    </row>
    <row r="276" spans="2:12" x14ac:dyDescent="0.25">
      <c r="B276" s="177" t="s">
        <v>144</v>
      </c>
      <c r="E276" s="76">
        <f>E274-E237-E200</f>
        <v>-7.4505805969238281E-9</v>
      </c>
      <c r="F276" s="76"/>
      <c r="G276" s="76">
        <f>G274-G237-G200</f>
        <v>6.5556378103792667E-9</v>
      </c>
      <c r="H276" s="76">
        <f>H274-H237-H200</f>
        <v>0</v>
      </c>
      <c r="J276" s="76">
        <f>J274-J237-J200</f>
        <v>0</v>
      </c>
    </row>
    <row r="277" spans="2:12" ht="15.75" thickBot="1" x14ac:dyDescent="0.3"/>
    <row r="278" spans="2:12" x14ac:dyDescent="0.25">
      <c r="B278" s="1335" t="s">
        <v>66</v>
      </c>
      <c r="C278" s="1337" t="s">
        <v>65</v>
      </c>
      <c r="D278" s="1337" t="s">
        <v>64</v>
      </c>
      <c r="E278" s="72" t="s">
        <v>63</v>
      </c>
      <c r="F278" s="72" t="s">
        <v>128</v>
      </c>
      <c r="G278" s="1340" t="s">
        <v>1034</v>
      </c>
      <c r="H278" s="1337" t="s">
        <v>754</v>
      </c>
      <c r="I278" s="1337" t="s">
        <v>134</v>
      </c>
      <c r="J278" s="1329" t="s">
        <v>1035</v>
      </c>
      <c r="K278" s="1325" t="s">
        <v>135</v>
      </c>
      <c r="L278" s="1325" t="s">
        <v>152</v>
      </c>
    </row>
    <row r="279" spans="2:12" ht="15.75" thickBot="1" x14ac:dyDescent="0.3">
      <c r="B279" s="1336"/>
      <c r="C279" s="1338"/>
      <c r="D279" s="1338"/>
      <c r="E279" s="1080" t="s">
        <v>1036</v>
      </c>
      <c r="F279" s="1080" t="s">
        <v>63</v>
      </c>
      <c r="G279" s="1341"/>
      <c r="H279" s="1338"/>
      <c r="I279" s="1338"/>
      <c r="J279" s="1328"/>
      <c r="K279" s="1326"/>
      <c r="L279" s="1326"/>
    </row>
    <row r="280" spans="2:12" x14ac:dyDescent="0.25">
      <c r="E280" s="76"/>
      <c r="G280" s="76"/>
      <c r="H280" s="76"/>
      <c r="J280" s="76"/>
      <c r="K280" s="80"/>
    </row>
    <row r="281" spans="2:12" x14ac:dyDescent="0.25">
      <c r="B281" s="83">
        <v>6139</v>
      </c>
      <c r="C281" s="110" t="s">
        <v>153</v>
      </c>
      <c r="D281" s="83"/>
      <c r="E281" s="84">
        <f>E101</f>
        <v>203947</v>
      </c>
      <c r="F281" s="84"/>
      <c r="G281" s="84">
        <f>I101</f>
        <v>43883.049999999996</v>
      </c>
      <c r="H281" s="84">
        <f>J101</f>
        <v>0</v>
      </c>
      <c r="I281" s="84"/>
      <c r="J281" s="85">
        <f>M101</f>
        <v>15</v>
      </c>
      <c r="K281" s="85"/>
      <c r="L281" s="85"/>
    </row>
    <row r="282" spans="2:12" x14ac:dyDescent="0.25">
      <c r="B282" s="69" t="s">
        <v>136</v>
      </c>
      <c r="C282" s="69"/>
      <c r="D282" s="69"/>
      <c r="E282" s="81"/>
      <c r="F282" s="81"/>
      <c r="G282" s="81"/>
      <c r="H282" s="81"/>
      <c r="I282" s="81"/>
      <c r="J282" s="86"/>
      <c r="K282" s="86"/>
      <c r="L282" s="86"/>
    </row>
    <row r="283" spans="2:12" x14ac:dyDescent="0.25">
      <c r="B283" s="177" t="str">
        <f>B78</f>
        <v>Dockside Green - Energy</v>
      </c>
      <c r="C283" s="71"/>
      <c r="E283" s="74">
        <f>E78</f>
        <v>523751</v>
      </c>
      <c r="F283" s="89">
        <f>E283/$E$292</f>
        <v>0.10478698106865095</v>
      </c>
      <c r="G283" s="73">
        <f>I78</f>
        <v>1394403</v>
      </c>
      <c r="H283" s="73">
        <f>J78</f>
        <v>0</v>
      </c>
      <c r="I283" s="89">
        <f>IF(Assumptions!$B$14="Gross",'CU Can Data'!G283/'CU Can Data'!$G$292,('CU Can Data'!G283+'CU Can Data'!H283)/('CU Can Data'!$G$292+'CU Can Data'!$H$292))</f>
        <v>4.5379846959353383E-2</v>
      </c>
      <c r="J283" s="75">
        <f>M78</f>
        <v>0</v>
      </c>
      <c r="K283" s="45">
        <f>J283/SUM($J$292)</f>
        <v>0</v>
      </c>
      <c r="L283" s="89">
        <f>(F283*$F$194)+(I283*$I$194)+(K283*$K$194)</f>
        <v>5.0055609342668117E-2</v>
      </c>
    </row>
    <row r="284" spans="2:12" x14ac:dyDescent="0.25">
      <c r="B284" s="177" t="str">
        <f>B79</f>
        <v>Dockside Green  - Wastewater and Admin</v>
      </c>
      <c r="C284" s="71"/>
      <c r="E284" s="74">
        <f>E79</f>
        <v>343874</v>
      </c>
      <c r="F284" s="89">
        <f t="shared" ref="F284:F290" si="65">E284/$E$292</f>
        <v>6.8798948981484087E-2</v>
      </c>
      <c r="G284" s="73">
        <f>I79</f>
        <v>43181.189999999995</v>
      </c>
      <c r="H284" s="73">
        <f>J79</f>
        <v>0</v>
      </c>
      <c r="I284" s="89">
        <f>IF(Assumptions!$B$14="Gross",'CU Can Data'!G284/'CU Can Data'!$G$292,('CU Can Data'!G284+'CU Can Data'!H284)/('CU Can Data'!$G$292+'CU Can Data'!$H$292))</f>
        <v>1.4053009020511002E-3</v>
      </c>
      <c r="J284" s="75">
        <f>M79</f>
        <v>1</v>
      </c>
      <c r="K284" s="45">
        <f t="shared" ref="K284:K290" si="66">J284/SUM($J$292)</f>
        <v>1</v>
      </c>
      <c r="L284" s="89">
        <f t="shared" ref="L284:L290" si="67">(F284*$F$194)+(I284*$I$194)+(K284*$K$194)</f>
        <v>0.35673474996117843</v>
      </c>
    </row>
    <row r="285" spans="2:12" x14ac:dyDescent="0.25">
      <c r="B285" s="177" t="str">
        <f>B82</f>
        <v>UBC</v>
      </c>
      <c r="C285" s="71"/>
      <c r="E285" s="74">
        <f>E82</f>
        <v>968684</v>
      </c>
      <c r="F285" s="89">
        <f t="shared" si="65"/>
        <v>0.19380482704473131</v>
      </c>
      <c r="G285" s="73">
        <f>I82</f>
        <v>10728058.1</v>
      </c>
      <c r="H285" s="73">
        <f>J82</f>
        <v>0</v>
      </c>
      <c r="I285" s="89">
        <f>IF(Assumptions!$B$14="Gross",'CU Can Data'!G285/'CU Can Data'!$G$292,('CU Can Data'!G285+'CU Can Data'!H285)/('CU Can Data'!$G$292+'CU Can Data'!$H$292))</f>
        <v>0.34913696739683675</v>
      </c>
      <c r="J285" s="75">
        <f>M82</f>
        <v>0</v>
      </c>
      <c r="K285" s="45">
        <f t="shared" si="66"/>
        <v>0</v>
      </c>
      <c r="L285" s="89">
        <f t="shared" si="67"/>
        <v>0.18098059814718936</v>
      </c>
    </row>
    <row r="286" spans="2:12" x14ac:dyDescent="0.25">
      <c r="B286" s="177" t="str">
        <f t="shared" ref="B286:B287" si="68">B83</f>
        <v>SFU UniverCity</v>
      </c>
      <c r="C286" s="71"/>
      <c r="D286" s="71"/>
      <c r="E286" s="74">
        <f t="shared" ref="E286:E287" si="69">E83</f>
        <v>1139637</v>
      </c>
      <c r="F286" s="89">
        <f t="shared" si="65"/>
        <v>0.22800743243284338</v>
      </c>
      <c r="G286" s="73">
        <f t="shared" ref="G286:H287" si="70">I83</f>
        <v>7528562.8099999996</v>
      </c>
      <c r="H286" s="73">
        <f t="shared" si="70"/>
        <v>-1352028.74</v>
      </c>
      <c r="I286" s="89">
        <f>IF(Assumptions!$B$14="Gross",'CU Can Data'!G286/'CU Can Data'!$G$292,('CU Can Data'!G286+'CU Can Data'!H286)/('CU Can Data'!$G$292+'CU Can Data'!$H$292))</f>
        <v>0.24501168467199183</v>
      </c>
      <c r="J286" s="75">
        <f t="shared" ref="J286:J287" si="71">M83</f>
        <v>0</v>
      </c>
      <c r="K286" s="45">
        <f t="shared" si="66"/>
        <v>0</v>
      </c>
      <c r="L286" s="89">
        <f t="shared" si="67"/>
        <v>0.15767303903494509</v>
      </c>
    </row>
    <row r="287" spans="2:12" x14ac:dyDescent="0.25">
      <c r="B287" s="177" t="str">
        <f t="shared" si="68"/>
        <v>SFU Biomass</v>
      </c>
      <c r="C287" s="71"/>
      <c r="D287" s="71"/>
      <c r="E287" s="74">
        <f t="shared" si="69"/>
        <v>0</v>
      </c>
      <c r="F287" s="89">
        <f t="shared" si="65"/>
        <v>0</v>
      </c>
      <c r="G287" s="73">
        <f t="shared" si="70"/>
        <v>0</v>
      </c>
      <c r="H287" s="73">
        <f t="shared" si="70"/>
        <v>0</v>
      </c>
      <c r="I287" s="89">
        <f>IF(Assumptions!$B$14="Gross",'CU Can Data'!G287/'CU Can Data'!$G$292,('CU Can Data'!G287+'CU Can Data'!H287)/('CU Can Data'!$G$292+'CU Can Data'!$H$292))</f>
        <v>0</v>
      </c>
      <c r="J287" s="75">
        <f t="shared" si="71"/>
        <v>0</v>
      </c>
      <c r="K287" s="45">
        <f t="shared" si="66"/>
        <v>0</v>
      </c>
      <c r="L287" s="89">
        <f t="shared" si="67"/>
        <v>0</v>
      </c>
    </row>
    <row r="288" spans="2:12" x14ac:dyDescent="0.25">
      <c r="B288" s="177" t="str">
        <f>B86</f>
        <v>RG GAAP - Related to LIEC</v>
      </c>
      <c r="C288" s="71"/>
      <c r="D288" s="71"/>
      <c r="E288" s="74">
        <f>E86</f>
        <v>515871</v>
      </c>
      <c r="F288" s="89">
        <f t="shared" si="65"/>
        <v>0.10321042768580113</v>
      </c>
      <c r="G288" s="73">
        <f>I86</f>
        <v>0</v>
      </c>
      <c r="H288" s="73">
        <f>J86</f>
        <v>0</v>
      </c>
      <c r="I288" s="89">
        <f>IF(Assumptions!$B$14="Gross",'CU Can Data'!G288/'CU Can Data'!$G$292,('CU Can Data'!G288+'CU Can Data'!H288)/('CU Can Data'!$G$292+'CU Can Data'!$H$292))</f>
        <v>0</v>
      </c>
      <c r="J288" s="75">
        <f>M86</f>
        <v>0</v>
      </c>
      <c r="K288" s="45">
        <f t="shared" si="66"/>
        <v>0</v>
      </c>
      <c r="L288" s="89">
        <f t="shared" si="67"/>
        <v>3.4403475895267051E-2</v>
      </c>
    </row>
    <row r="289" spans="2:12" x14ac:dyDescent="0.25">
      <c r="B289" s="177" t="str">
        <f t="shared" ref="B289:B290" si="72">B87</f>
        <v>LIEC</v>
      </c>
      <c r="C289" s="71"/>
      <c r="D289" s="71"/>
      <c r="E289" s="74">
        <f t="shared" ref="E289:E290" si="73">E87</f>
        <v>1259737</v>
      </c>
      <c r="F289" s="89">
        <f t="shared" si="65"/>
        <v>0.25203586660546545</v>
      </c>
      <c r="G289" s="73">
        <f t="shared" ref="G289:H290" si="74">I87</f>
        <v>9850333.2300000004</v>
      </c>
      <c r="H289" s="73">
        <f t="shared" si="74"/>
        <v>-2764014.91</v>
      </c>
      <c r="I289" s="89">
        <f>IF(Assumptions!$B$14="Gross",'CU Can Data'!G289/'CU Can Data'!$G$292,('CU Can Data'!G289+'CU Can Data'!H289)/('CU Can Data'!$G$292+'CU Can Data'!$H$292))</f>
        <v>0.32057204013189378</v>
      </c>
      <c r="J289" s="75">
        <f t="shared" ref="J289:J290" si="75">M87</f>
        <v>0</v>
      </c>
      <c r="K289" s="45">
        <f t="shared" si="66"/>
        <v>0</v>
      </c>
      <c r="L289" s="89">
        <f t="shared" si="67"/>
        <v>0.19086930224578641</v>
      </c>
    </row>
    <row r="290" spans="2:12" x14ac:dyDescent="0.25">
      <c r="B290" s="177" t="str">
        <f t="shared" si="72"/>
        <v>Beaver Barracks</v>
      </c>
      <c r="C290" s="71"/>
      <c r="D290" s="71"/>
      <c r="E290" s="74">
        <f t="shared" si="73"/>
        <v>246690.96</v>
      </c>
      <c r="F290" s="89">
        <f t="shared" si="65"/>
        <v>4.935551618102367E-2</v>
      </c>
      <c r="G290" s="73">
        <f t="shared" si="74"/>
        <v>1182824</v>
      </c>
      <c r="H290" s="73">
        <f t="shared" si="74"/>
        <v>0</v>
      </c>
      <c r="I290" s="89">
        <f>IF(Assumptions!$B$14="Gross",'CU Can Data'!G290/'CU Can Data'!$G$292,('CU Can Data'!G290+'CU Can Data'!H290)/('CU Can Data'!$G$292+'CU Can Data'!$H$292))</f>
        <v>3.8494159937873196E-2</v>
      </c>
      <c r="J290" s="75">
        <f t="shared" si="75"/>
        <v>0</v>
      </c>
      <c r="K290" s="45">
        <f t="shared" si="66"/>
        <v>0</v>
      </c>
      <c r="L290" s="89">
        <f t="shared" si="67"/>
        <v>2.9283225372965627E-2</v>
      </c>
    </row>
    <row r="291" spans="2:12" x14ac:dyDescent="0.25">
      <c r="C291" s="71"/>
      <c r="D291" s="71"/>
      <c r="E291" s="78"/>
      <c r="F291" s="88"/>
      <c r="G291" s="78"/>
      <c r="H291" s="78"/>
      <c r="I291" s="88"/>
      <c r="J291" s="87"/>
      <c r="K291" s="88"/>
      <c r="L291" s="88"/>
    </row>
    <row r="292" spans="2:12" x14ac:dyDescent="0.25">
      <c r="E292" s="76">
        <f>SUM(E283:E290)</f>
        <v>4998244.96</v>
      </c>
      <c r="F292" s="65">
        <f>SUM(F283:F290)</f>
        <v>0.99999999999999989</v>
      </c>
      <c r="G292" s="76">
        <f>SUM(G283:G290)</f>
        <v>30727362.329999998</v>
      </c>
      <c r="H292" s="76">
        <f>SUM(H283:H291)</f>
        <v>-4116043.6500000004</v>
      </c>
      <c r="I292" s="80">
        <f>SUM(I283:I291)</f>
        <v>1</v>
      </c>
      <c r="J292" s="76">
        <f>SUM(J283:J291)</f>
        <v>1</v>
      </c>
      <c r="K292" s="80">
        <f>SUM(K283:K291)</f>
        <v>1</v>
      </c>
      <c r="L292" s="45">
        <f>SUM(L283:L291)</f>
        <v>1</v>
      </c>
    </row>
    <row r="294" spans="2:12" x14ac:dyDescent="0.25">
      <c r="B294" s="177" t="s">
        <v>137</v>
      </c>
      <c r="K294" s="82"/>
      <c r="L294" s="82"/>
    </row>
    <row r="295" spans="2:12" x14ac:dyDescent="0.25">
      <c r="B295" s="71"/>
      <c r="C295" s="71"/>
      <c r="D295" s="71"/>
    </row>
    <row r="296" spans="2:12" x14ac:dyDescent="0.25">
      <c r="B296" s="71" t="str">
        <f>B283</f>
        <v>Dockside Green - Energy</v>
      </c>
      <c r="C296" s="71"/>
      <c r="D296" s="71"/>
      <c r="E296" s="74">
        <f t="shared" ref="E296:E303" si="76">E283+(L283*$E$281)</f>
        <v>533959.69135860913</v>
      </c>
      <c r="F296" s="89">
        <f>E296/$E$304</f>
        <v>0.102641289568755</v>
      </c>
      <c r="G296" s="74">
        <f t="shared" ref="G296:G303" si="77">G283+(L283*$G$281)</f>
        <v>1396599.5928075649</v>
      </c>
      <c r="H296" s="74">
        <f t="shared" ref="H296:H303" si="78">H283+(L283*$H$281)</f>
        <v>0</v>
      </c>
      <c r="I296" s="89">
        <f>IF(Assumptions!$B$14="Gross",'CU Can Data'!G296/'CU Can Data'!$G$304,('CU Can Data'!G296+'CU Can Data'!H296)/('CU Can Data'!$G$304+'CU Can Data'!$H$304))</f>
        <v>4.5386515090978255E-2</v>
      </c>
      <c r="J296" s="75">
        <f t="shared" ref="J296:J303" si="79">J283+(L283*$J$281)</f>
        <v>0.75083414014002181</v>
      </c>
      <c r="K296" s="90">
        <f>J296/$J$304</f>
        <v>4.6927133758751363E-2</v>
      </c>
      <c r="L296" s="89">
        <f>(F296*$F$194)+(I296*$I$194)+(K296*$K$194)</f>
        <v>6.4984979472828219E-2</v>
      </c>
    </row>
    <row r="297" spans="2:12" x14ac:dyDescent="0.25">
      <c r="B297" s="71" t="str">
        <f t="shared" ref="B297:B303" si="80">B284</f>
        <v>Dockside Green  - Wastewater and Admin</v>
      </c>
      <c r="C297" s="71"/>
      <c r="D297" s="71"/>
      <c r="E297" s="74">
        <f t="shared" si="76"/>
        <v>416628.98205033247</v>
      </c>
      <c r="F297" s="89">
        <f t="shared" ref="F297:F303" si="81">E297/$E$304</f>
        <v>8.0087198868058013E-2</v>
      </c>
      <c r="G297" s="74">
        <f t="shared" si="77"/>
        <v>58835.798869283884</v>
      </c>
      <c r="H297" s="74">
        <f t="shared" si="78"/>
        <v>0</v>
      </c>
      <c r="I297" s="89">
        <f>IF(Assumptions!$B$14="Gross",'CU Can Data'!G297/'CU Can Data'!$G$304,('CU Can Data'!G297+'CU Can Data'!H297)/('CU Can Data'!$G$304+'CU Can Data'!$H$304))</f>
        <v>1.9120382728326183E-3</v>
      </c>
      <c r="J297" s="75">
        <f t="shared" si="79"/>
        <v>6.3510212494176761</v>
      </c>
      <c r="K297" s="90">
        <f t="shared" ref="K297:K303" si="82">J297/$J$304</f>
        <v>0.39693882808860476</v>
      </c>
      <c r="L297" s="89">
        <f t="shared" ref="L297:L303" si="83">(F297*$F$194)+(I297*$I$194)+(K297*$K$194)</f>
        <v>0.15964602174316517</v>
      </c>
    </row>
    <row r="298" spans="2:12" x14ac:dyDescent="0.25">
      <c r="B298" s="71" t="str">
        <f t="shared" si="80"/>
        <v>UBC</v>
      </c>
      <c r="C298" s="71"/>
      <c r="D298" s="71"/>
      <c r="E298" s="74">
        <f t="shared" si="76"/>
        <v>1005594.4500503248</v>
      </c>
      <c r="F298" s="89">
        <f t="shared" si="81"/>
        <v>0.1933020653183134</v>
      </c>
      <c r="G298" s="74">
        <f t="shared" si="77"/>
        <v>10736000.080637522</v>
      </c>
      <c r="H298" s="74">
        <f t="shared" si="78"/>
        <v>0</v>
      </c>
      <c r="I298" s="89">
        <f>IF(Assumptions!$B$14="Gross",'CU Can Data'!G298/'CU Can Data'!$G$304,('CU Can Data'!G298+'CU Can Data'!H298)/('CU Can Data'!$G$304+'CU Can Data'!$H$304))</f>
        <v>0.34889715863159265</v>
      </c>
      <c r="J298" s="75">
        <f t="shared" si="79"/>
        <v>2.7147089722078404</v>
      </c>
      <c r="K298" s="90">
        <f t="shared" si="82"/>
        <v>0.16966931076299002</v>
      </c>
      <c r="L298" s="89">
        <f t="shared" si="83"/>
        <v>0.23728951157096539</v>
      </c>
    </row>
    <row r="299" spans="2:12" x14ac:dyDescent="0.25">
      <c r="B299" s="71" t="str">
        <f t="shared" si="80"/>
        <v>SFU UniverCity</v>
      </c>
      <c r="C299" s="71"/>
      <c r="D299" s="71"/>
      <c r="E299" s="74">
        <f t="shared" si="76"/>
        <v>1171793.9432920599</v>
      </c>
      <c r="F299" s="89">
        <f t="shared" si="81"/>
        <v>0.22525003927230319</v>
      </c>
      <c r="G299" s="74">
        <f t="shared" si="77"/>
        <v>7535481.9838556219</v>
      </c>
      <c r="H299" s="74">
        <f t="shared" si="78"/>
        <v>-1352028.74</v>
      </c>
      <c r="I299" s="89">
        <f>IF(Assumptions!$B$14="Gross",'CU Can Data'!G299/'CU Can Data'!$G$304,('CU Can Data'!G299+'CU Can Data'!H299)/('CU Can Data'!$G$304+'CU Can Data'!$H$304))</f>
        <v>0.24488713052716951</v>
      </c>
      <c r="J299" s="75">
        <f t="shared" si="79"/>
        <v>2.3650955855241764</v>
      </c>
      <c r="K299" s="90">
        <f t="shared" si="82"/>
        <v>0.14781847409526103</v>
      </c>
      <c r="L299" s="89">
        <f t="shared" si="83"/>
        <v>0.20598521463157793</v>
      </c>
    </row>
    <row r="300" spans="2:12" x14ac:dyDescent="0.25">
      <c r="B300" s="71" t="str">
        <f t="shared" si="80"/>
        <v>SFU Biomass</v>
      </c>
      <c r="C300" s="71"/>
      <c r="D300" s="71"/>
      <c r="E300" s="74">
        <f t="shared" si="76"/>
        <v>0</v>
      </c>
      <c r="F300" s="89">
        <f t="shared" si="81"/>
        <v>0</v>
      </c>
      <c r="G300" s="74">
        <f t="shared" si="77"/>
        <v>0</v>
      </c>
      <c r="H300" s="74">
        <f t="shared" si="78"/>
        <v>0</v>
      </c>
      <c r="I300" s="89">
        <f>IF(Assumptions!$B$14="Gross",'CU Can Data'!G300/'CU Can Data'!$G$304,('CU Can Data'!G300+'CU Can Data'!H300)/('CU Can Data'!$G$304+'CU Can Data'!$H$304))</f>
        <v>0</v>
      </c>
      <c r="J300" s="75">
        <f t="shared" si="79"/>
        <v>0</v>
      </c>
      <c r="K300" s="90">
        <f t="shared" si="82"/>
        <v>0</v>
      </c>
      <c r="L300" s="89">
        <f t="shared" si="83"/>
        <v>0</v>
      </c>
    </row>
    <row r="301" spans="2:12" x14ac:dyDescent="0.25">
      <c r="B301" s="71" t="str">
        <f t="shared" si="80"/>
        <v>RG GAAP - Related to LIEC</v>
      </c>
      <c r="E301" s="74">
        <f t="shared" si="76"/>
        <v>522887.48569841206</v>
      </c>
      <c r="F301" s="89">
        <f t="shared" si="81"/>
        <v>0.10051291642425514</v>
      </c>
      <c r="G301" s="74">
        <f t="shared" si="77"/>
        <v>1509.7294528857985</v>
      </c>
      <c r="H301" s="74">
        <f t="shared" si="78"/>
        <v>0</v>
      </c>
      <c r="I301" s="89">
        <f>IF(Assumptions!$B$14="Gross",'CU Can Data'!G301/'CU Can Data'!$G$304,('CU Can Data'!G301+'CU Can Data'!H301)/('CU Can Data'!$G$304+'CU Can Data'!$H$304))</f>
        <v>4.9062994826561636E-5</v>
      </c>
      <c r="J301" s="75">
        <f t="shared" si="79"/>
        <v>0.51605213842900577</v>
      </c>
      <c r="K301" s="90">
        <f t="shared" si="82"/>
        <v>3.2253258651812861E-2</v>
      </c>
      <c r="L301" s="89">
        <f t="shared" si="83"/>
        <v>4.4271746023631528E-2</v>
      </c>
    </row>
    <row r="302" spans="2:12" x14ac:dyDescent="0.25">
      <c r="B302" s="71" t="str">
        <f t="shared" si="80"/>
        <v>LIEC</v>
      </c>
      <c r="E302" s="74">
        <f t="shared" si="76"/>
        <v>1298664.2215851215</v>
      </c>
      <c r="F302" s="89">
        <f t="shared" si="81"/>
        <v>0.24963788948401694</v>
      </c>
      <c r="G302" s="74">
        <f t="shared" si="77"/>
        <v>9858709.1571339183</v>
      </c>
      <c r="H302" s="74">
        <f t="shared" si="78"/>
        <v>-2764014.91</v>
      </c>
      <c r="I302" s="89">
        <f>IF(Assumptions!$B$14="Gross",'CU Can Data'!G302/'CU Can Data'!$G$304,('CU Can Data'!G302+'CU Can Data'!H302)/('CU Can Data'!$G$304+'CU Can Data'!$H$304))</f>
        <v>0.32038707031148178</v>
      </c>
      <c r="J302" s="75">
        <f t="shared" si="79"/>
        <v>2.8630395336867962</v>
      </c>
      <c r="K302" s="90">
        <f t="shared" si="82"/>
        <v>0.17893997085542476</v>
      </c>
      <c r="L302" s="89">
        <f t="shared" si="83"/>
        <v>0.24965497688364119</v>
      </c>
    </row>
    <row r="303" spans="2:12" x14ac:dyDescent="0.25">
      <c r="B303" s="71" t="str">
        <f t="shared" si="80"/>
        <v>Beaver Barracks</v>
      </c>
      <c r="E303" s="78">
        <f t="shared" si="76"/>
        <v>252663.1859651402</v>
      </c>
      <c r="F303" s="88">
        <f t="shared" si="81"/>
        <v>4.8568601064298327E-2</v>
      </c>
      <c r="G303" s="78">
        <f t="shared" si="77"/>
        <v>1184109.037243203</v>
      </c>
      <c r="H303" s="78">
        <f t="shared" si="78"/>
        <v>0</v>
      </c>
      <c r="I303" s="88">
        <f>IF(Assumptions!$B$14="Gross",'CU Can Data'!G303/'CU Can Data'!$G$304,('CU Can Data'!G303+'CU Can Data'!H303)/('CU Can Data'!$G$304+'CU Can Data'!$H$304))</f>
        <v>3.848102417111865E-2</v>
      </c>
      <c r="J303" s="87">
        <f t="shared" si="79"/>
        <v>0.4392483805944844</v>
      </c>
      <c r="K303" s="91">
        <f t="shared" si="82"/>
        <v>2.7453023787155275E-2</v>
      </c>
      <c r="L303" s="88">
        <f t="shared" si="83"/>
        <v>3.8167549674190754E-2</v>
      </c>
    </row>
    <row r="304" spans="2:12" x14ac:dyDescent="0.25">
      <c r="E304" s="76">
        <f t="shared" ref="E304:L304" si="84">SUM(E296:E303)</f>
        <v>5202191.96</v>
      </c>
      <c r="F304" s="65">
        <f t="shared" si="84"/>
        <v>1</v>
      </c>
      <c r="G304" s="76">
        <f t="shared" si="84"/>
        <v>30771245.379999999</v>
      </c>
      <c r="H304" s="76">
        <f t="shared" si="84"/>
        <v>-4116043.6500000004</v>
      </c>
      <c r="I304" s="80">
        <f t="shared" si="84"/>
        <v>1</v>
      </c>
      <c r="J304" s="76">
        <f t="shared" si="84"/>
        <v>16</v>
      </c>
      <c r="K304" s="80">
        <f t="shared" si="84"/>
        <v>1</v>
      </c>
      <c r="L304" s="45">
        <f t="shared" si="84"/>
        <v>1</v>
      </c>
    </row>
    <row r="306" spans="2:12" x14ac:dyDescent="0.25">
      <c r="B306" s="177" t="s">
        <v>144</v>
      </c>
      <c r="E306" s="76">
        <f>E304-E292-E281</f>
        <v>0</v>
      </c>
      <c r="F306" s="76"/>
      <c r="G306" s="76">
        <f>G304-G292-G281</f>
        <v>7.4942363426089287E-10</v>
      </c>
      <c r="H306" s="76">
        <f>H304-H292-H281</f>
        <v>0</v>
      </c>
      <c r="J306" s="76">
        <f>J304-J292-J281</f>
        <v>0</v>
      </c>
    </row>
    <row r="308" spans="2:12" ht="15.75" thickBot="1" x14ac:dyDescent="0.3"/>
    <row r="309" spans="2:12" x14ac:dyDescent="0.25">
      <c r="B309" s="1335" t="s">
        <v>66</v>
      </c>
      <c r="C309" s="1337" t="s">
        <v>65</v>
      </c>
      <c r="D309" s="1337" t="s">
        <v>64</v>
      </c>
      <c r="E309" s="72" t="s">
        <v>63</v>
      </c>
      <c r="F309" s="72" t="s">
        <v>128</v>
      </c>
      <c r="G309" s="1340" t="s">
        <v>1034</v>
      </c>
      <c r="H309" s="1337" t="s">
        <v>754</v>
      </c>
      <c r="I309" s="1337" t="s">
        <v>134</v>
      </c>
      <c r="J309" s="1329" t="s">
        <v>1035</v>
      </c>
      <c r="K309" s="1325" t="s">
        <v>135</v>
      </c>
      <c r="L309" s="1325" t="s">
        <v>152</v>
      </c>
    </row>
    <row r="310" spans="2:12" ht="15.75" thickBot="1" x14ac:dyDescent="0.3">
      <c r="B310" s="1336"/>
      <c r="C310" s="1338"/>
      <c r="D310" s="1338"/>
      <c r="E310" s="1080" t="s">
        <v>1036</v>
      </c>
      <c r="F310" s="1080" t="s">
        <v>63</v>
      </c>
      <c r="G310" s="1341"/>
      <c r="H310" s="1338"/>
      <c r="I310" s="1338"/>
      <c r="J310" s="1328"/>
      <c r="K310" s="1326"/>
      <c r="L310" s="1326"/>
    </row>
    <row r="311" spans="2:12" x14ac:dyDescent="0.25">
      <c r="E311" s="76"/>
      <c r="G311" s="76"/>
      <c r="H311" s="76"/>
      <c r="J311" s="76"/>
      <c r="K311" s="80"/>
    </row>
    <row r="312" spans="2:12" x14ac:dyDescent="0.25">
      <c r="B312" s="83" t="str">
        <f>B100</f>
        <v>Dept 6700 - Combine with Langley Gateway</v>
      </c>
      <c r="C312" s="110" t="s">
        <v>148</v>
      </c>
      <c r="D312" s="83"/>
      <c r="E312" s="111">
        <f>E100</f>
        <v>-396016</v>
      </c>
      <c r="F312" s="111"/>
      <c r="G312" s="111">
        <f>I100</f>
        <v>1548398.8299999998</v>
      </c>
      <c r="H312" s="111">
        <f>J100</f>
        <v>0</v>
      </c>
      <c r="I312" s="111"/>
      <c r="J312" s="112">
        <f>M100</f>
        <v>22</v>
      </c>
      <c r="K312" s="112"/>
      <c r="L312" s="112"/>
    </row>
    <row r="313" spans="2:12" x14ac:dyDescent="0.25">
      <c r="B313" s="83" t="str">
        <f>B102</f>
        <v>CMUS_Admin</v>
      </c>
      <c r="C313" s="110" t="s">
        <v>148</v>
      </c>
      <c r="D313" s="83"/>
      <c r="E313" s="111">
        <f>E102</f>
        <v>1593</v>
      </c>
      <c r="F313" s="111"/>
      <c r="G313" s="111">
        <f>I102</f>
        <v>0</v>
      </c>
      <c r="H313" s="111">
        <f>J102</f>
        <v>0</v>
      </c>
      <c r="I313" s="113"/>
      <c r="J313" s="112">
        <f>M102</f>
        <v>0</v>
      </c>
      <c r="K313" s="113"/>
      <c r="L313" s="113"/>
    </row>
    <row r="314" spans="2:12" x14ac:dyDescent="0.25">
      <c r="B314" s="83" t="str">
        <f>B97</f>
        <v>Special Project</v>
      </c>
      <c r="C314" s="110" t="s">
        <v>148</v>
      </c>
      <c r="D314" s="83"/>
      <c r="E314" s="64">
        <f>E97</f>
        <v>74679</v>
      </c>
      <c r="F314" s="64"/>
      <c r="G314" s="64">
        <f>I97</f>
        <v>0</v>
      </c>
      <c r="H314" s="64">
        <f>J97</f>
        <v>0</v>
      </c>
      <c r="I314" s="114"/>
      <c r="J314" s="115">
        <f>M97</f>
        <v>2</v>
      </c>
      <c r="K314" s="114"/>
      <c r="L314" s="114"/>
    </row>
    <row r="315" spans="2:12" x14ac:dyDescent="0.25">
      <c r="B315" s="83"/>
      <c r="C315" s="83"/>
      <c r="D315" s="83"/>
      <c r="E315" s="63">
        <f>SUM(E312:E314)</f>
        <v>-319744</v>
      </c>
      <c r="F315" s="83"/>
      <c r="G315" s="63">
        <f>SUM(G312:G314)</f>
        <v>1548398.8299999998</v>
      </c>
      <c r="H315" s="63">
        <f>SUM(H312:H314)</f>
        <v>0</v>
      </c>
      <c r="I315" s="83"/>
      <c r="J315" s="116">
        <f>SUM(J312:J314)</f>
        <v>24</v>
      </c>
      <c r="K315" s="83"/>
      <c r="L315" s="83"/>
    </row>
    <row r="317" spans="2:12" x14ac:dyDescent="0.25">
      <c r="B317" s="69" t="s">
        <v>136</v>
      </c>
    </row>
    <row r="318" spans="2:12" x14ac:dyDescent="0.25">
      <c r="B318" s="177" t="str">
        <f>B54</f>
        <v>Panorama - Wastewater Treatment Plant</v>
      </c>
      <c r="E318" s="76">
        <f t="shared" ref="E318:E339" si="85">E241</f>
        <v>1441505.173454369</v>
      </c>
      <c r="F318" s="45">
        <f>E318/$E$360</f>
        <v>2.7091664435749289E-2</v>
      </c>
      <c r="G318" s="76">
        <f>G241</f>
        <v>4563520.5990380347</v>
      </c>
      <c r="H318" s="76">
        <f>H241</f>
        <v>0</v>
      </c>
      <c r="I318" s="89">
        <f>IF(Assumptions!$B$14="Gross",'CU Can Data'!G318/'CU Can Data'!$G$360,('CU Can Data'!G318+'CU Can Data'!H318)/('CU Can Data'!$G$360+'CU Can Data'!$H$360))</f>
        <v>3.6727627762644717E-2</v>
      </c>
      <c r="J318" s="75">
        <f>J241</f>
        <v>1.4370013329783715</v>
      </c>
      <c r="K318" s="45">
        <f>J318/$J$360</f>
        <v>1.125647292008751E-2</v>
      </c>
      <c r="L318" s="89">
        <f>(F318*$F$194)+(I318*$I$194)+(K318*$K$194)</f>
        <v>2.5025255039493842E-2</v>
      </c>
    </row>
    <row r="319" spans="2:12" x14ac:dyDescent="0.25">
      <c r="B319" s="177" t="str">
        <f t="shared" ref="B319:B322" si="86">B55</f>
        <v>Panorama - Propane Storage Farm</v>
      </c>
      <c r="E319" s="76">
        <f t="shared" si="85"/>
        <v>606263.61403106956</v>
      </c>
      <c r="F319" s="45">
        <f t="shared" ref="F319:F358" si="87">E319/$E$360</f>
        <v>1.139412517790335E-2</v>
      </c>
      <c r="G319" s="76">
        <f t="shared" ref="G319:H334" si="88">G242</f>
        <v>602855.91624619905</v>
      </c>
      <c r="H319" s="76">
        <f t="shared" si="88"/>
        <v>0</v>
      </c>
      <c r="I319" s="89">
        <f>IF(Assumptions!$B$14="Gross",'CU Can Data'!G319/'CU Can Data'!$G$360,('CU Can Data'!G319+'CU Can Data'!H319)/('CU Can Data'!$G$360+'CU Can Data'!$H$360))</f>
        <v>4.851839102263682E-3</v>
      </c>
      <c r="J319" s="75">
        <f t="shared" ref="J319:J339" si="89">J242</f>
        <v>0.35644043527927238</v>
      </c>
      <c r="K319" s="45">
        <f t="shared" ref="K319:K358" si="90">J319/$J$360</f>
        <v>2.7921074359961804E-3</v>
      </c>
      <c r="L319" s="89">
        <f t="shared" ref="L319:L358" si="91">(F319*$F$194)+(I319*$I$194)+(K319*$K$194)</f>
        <v>6.346023905387738E-3</v>
      </c>
    </row>
    <row r="320" spans="2:12" x14ac:dyDescent="0.25">
      <c r="B320" s="177" t="str">
        <f t="shared" si="86"/>
        <v>Panorama - Propane Distribution</v>
      </c>
      <c r="E320" s="76">
        <f t="shared" si="85"/>
        <v>742184.7667046932</v>
      </c>
      <c r="F320" s="45">
        <f t="shared" si="87"/>
        <v>1.3948628849319153E-2</v>
      </c>
      <c r="G320" s="76">
        <f t="shared" si="88"/>
        <v>189253.52793437344</v>
      </c>
      <c r="H320" s="76">
        <f t="shared" si="88"/>
        <v>-153341.78</v>
      </c>
      <c r="I320" s="89">
        <f>IF(Assumptions!$B$14="Gross",'CU Can Data'!G320/'CU Can Data'!$G$360,('CU Can Data'!G320+'CU Can Data'!H320)/('CU Can Data'!$G$360+'CU Can Data'!$H$360))</f>
        <v>1.5231295610249132E-3</v>
      </c>
      <c r="J320" s="75">
        <f t="shared" si="89"/>
        <v>0.3330042198322149</v>
      </c>
      <c r="K320" s="45">
        <f t="shared" si="90"/>
        <v>2.6085243602711494E-3</v>
      </c>
      <c r="L320" s="89">
        <f t="shared" si="91"/>
        <v>6.0267609235384063E-3</v>
      </c>
    </row>
    <row r="321" spans="2:12" x14ac:dyDescent="0.25">
      <c r="B321" s="177" t="str">
        <f t="shared" si="86"/>
        <v>Panorama - Water</v>
      </c>
      <c r="E321" s="76">
        <f t="shared" si="85"/>
        <v>246926.86035839305</v>
      </c>
      <c r="F321" s="45">
        <f t="shared" si="87"/>
        <v>4.6407461896039257E-3</v>
      </c>
      <c r="G321" s="76">
        <f t="shared" si="88"/>
        <v>2125179.9836507095</v>
      </c>
      <c r="H321" s="76">
        <f t="shared" si="88"/>
        <v>-1034346.36</v>
      </c>
      <c r="I321" s="89">
        <f>IF(Assumptions!$B$14="Gross",'CU Can Data'!G321/'CU Can Data'!$G$360,('CU Can Data'!G321+'CU Can Data'!H321)/('CU Can Data'!$G$360+'CU Can Data'!$H$360))</f>
        <v>1.710364129496857E-2</v>
      </c>
      <c r="J321" s="75">
        <f t="shared" si="89"/>
        <v>0.49916990318654542</v>
      </c>
      <c r="K321" s="45">
        <f t="shared" si="90"/>
        <v>3.9101512077905796E-3</v>
      </c>
      <c r="L321" s="89">
        <f t="shared" si="91"/>
        <v>8.5515128974543598E-3</v>
      </c>
    </row>
    <row r="322" spans="2:12" x14ac:dyDescent="0.25">
      <c r="B322" s="177" t="str">
        <f t="shared" si="86"/>
        <v>Panorama - Sewer</v>
      </c>
      <c r="E322" s="76">
        <f t="shared" si="85"/>
        <v>1006581.1985127217</v>
      </c>
      <c r="F322" s="45">
        <f t="shared" si="87"/>
        <v>1.8917698361145863E-2</v>
      </c>
      <c r="G322" s="76">
        <f t="shared" si="88"/>
        <v>1305581.4885632279</v>
      </c>
      <c r="H322" s="76">
        <f t="shared" si="88"/>
        <v>-304289.15000000002</v>
      </c>
      <c r="I322" s="89">
        <f>IF(Assumptions!$B$14="Gross",'CU Can Data'!G322/'CU Can Data'!$G$360,('CU Can Data'!G322+'CU Can Data'!H322)/('CU Can Data'!$G$360+'CU Can Data'!$H$360))</f>
        <v>1.0507438256300983E-2</v>
      </c>
      <c r="J322" s="75">
        <f t="shared" si="89"/>
        <v>0.64917556073164873</v>
      </c>
      <c r="K322" s="45">
        <f t="shared" si="90"/>
        <v>5.0851916084258871E-3</v>
      </c>
      <c r="L322" s="89">
        <f t="shared" si="91"/>
        <v>1.150344274195758E-2</v>
      </c>
    </row>
    <row r="323" spans="2:12" x14ac:dyDescent="0.25">
      <c r="B323" s="177" t="str">
        <f t="shared" ref="B323:B354" si="92">B61</f>
        <v>Sun Rivers - Electric</v>
      </c>
      <c r="E323" s="76">
        <f t="shared" si="85"/>
        <v>1650557.2605521847</v>
      </c>
      <c r="F323" s="45">
        <f t="shared" si="87"/>
        <v>3.1020591710893986E-2</v>
      </c>
      <c r="G323" s="76">
        <f t="shared" si="88"/>
        <v>7509940.4701079447</v>
      </c>
      <c r="H323" s="76">
        <f t="shared" si="88"/>
        <v>-1616399.02</v>
      </c>
      <c r="I323" s="89">
        <f>IF(Assumptions!$B$14="Gross",'CU Can Data'!G323/'CU Can Data'!$G$360,('CU Can Data'!G323+'CU Can Data'!H323)/('CU Can Data'!$G$360+'CU Can Data'!$H$360))</f>
        <v>6.0440682170666102E-2</v>
      </c>
      <c r="J323" s="75">
        <f t="shared" si="89"/>
        <v>1.0835007365420399</v>
      </c>
      <c r="K323" s="45">
        <f t="shared" si="90"/>
        <v>8.487394144932164E-3</v>
      </c>
      <c r="L323" s="89">
        <f t="shared" si="91"/>
        <v>3.3316222675497421E-2</v>
      </c>
    </row>
    <row r="324" spans="2:12" x14ac:dyDescent="0.25">
      <c r="B324" s="177" t="str">
        <f t="shared" si="92"/>
        <v>Sun Rivers - Gas</v>
      </c>
      <c r="E324" s="76">
        <f t="shared" si="85"/>
        <v>174621.37092174648</v>
      </c>
      <c r="F324" s="45">
        <f t="shared" si="87"/>
        <v>3.2818360082508703E-3</v>
      </c>
      <c r="G324" s="76">
        <f t="shared" si="88"/>
        <v>1044689.2896977757</v>
      </c>
      <c r="H324" s="76">
        <f t="shared" si="88"/>
        <v>-407370</v>
      </c>
      <c r="I324" s="89">
        <f>IF(Assumptions!$B$14="Gross",'CU Can Data'!G324/'CU Can Data'!$G$360,('CU Can Data'!G324+'CU Can Data'!H324)/('CU Can Data'!$G$360+'CU Can Data'!$H$360))</f>
        <v>8.4077541728922144E-3</v>
      </c>
      <c r="J324" s="75">
        <f t="shared" si="89"/>
        <v>0.12935220595057212</v>
      </c>
      <c r="K324" s="45">
        <f t="shared" si="90"/>
        <v>1.0132555690942513E-3</v>
      </c>
      <c r="L324" s="89">
        <f t="shared" si="91"/>
        <v>4.2342819167457794E-3</v>
      </c>
    </row>
    <row r="325" spans="2:12" x14ac:dyDescent="0.25">
      <c r="B325" s="177" t="str">
        <f t="shared" si="92"/>
        <v>Sun Rivers - Domestic Water</v>
      </c>
      <c r="E325" s="76">
        <f t="shared" si="85"/>
        <v>368085.09230008448</v>
      </c>
      <c r="F325" s="45">
        <f t="shared" si="87"/>
        <v>6.9177953628144643E-3</v>
      </c>
      <c r="G325" s="76">
        <f t="shared" si="88"/>
        <v>3278883.9076068415</v>
      </c>
      <c r="H325" s="76">
        <f t="shared" si="88"/>
        <v>-347698</v>
      </c>
      <c r="I325" s="89">
        <f>IF(Assumptions!$B$14="Gross",'CU Can Data'!G325/'CU Can Data'!$G$360,('CU Can Data'!G325+'CU Can Data'!H325)/('CU Can Data'!$G$360+'CU Can Data'!$H$360))</f>
        <v>2.6388755133677951E-2</v>
      </c>
      <c r="J325" s="75">
        <f t="shared" si="89"/>
        <v>0.33603126385521953</v>
      </c>
      <c r="K325" s="45">
        <f t="shared" si="90"/>
        <v>2.6322361260787993E-3</v>
      </c>
      <c r="L325" s="89">
        <f t="shared" si="91"/>
        <v>1.1979595540857074E-2</v>
      </c>
    </row>
    <row r="326" spans="2:12" x14ac:dyDescent="0.25">
      <c r="B326" s="177" t="str">
        <f t="shared" si="92"/>
        <v>Sun Rivers - Irrigation Water</v>
      </c>
      <c r="E326" s="76">
        <f t="shared" si="85"/>
        <v>289236.24491799122</v>
      </c>
      <c r="F326" s="45">
        <f t="shared" si="87"/>
        <v>5.4359092386722261E-3</v>
      </c>
      <c r="G326" s="76">
        <f t="shared" si="88"/>
        <v>2943635.8152304157</v>
      </c>
      <c r="H326" s="76">
        <f t="shared" si="88"/>
        <v>-361322</v>
      </c>
      <c r="I326" s="89">
        <f>IF(Assumptions!$B$14="Gross",'CU Can Data'!G326/'CU Can Data'!$G$360,('CU Can Data'!G326+'CU Can Data'!H326)/('CU Can Data'!$G$360+'CU Can Data'!$H$360))</f>
        <v>2.3690648074068406E-2</v>
      </c>
      <c r="J326" s="75">
        <f t="shared" si="89"/>
        <v>0.28565485811931884</v>
      </c>
      <c r="K326" s="45">
        <f t="shared" si="90"/>
        <v>2.237622263193787E-3</v>
      </c>
      <c r="L326" s="89">
        <f t="shared" si="91"/>
        <v>1.0454726525311474E-2</v>
      </c>
    </row>
    <row r="327" spans="2:12" x14ac:dyDescent="0.25">
      <c r="B327" s="177" t="str">
        <f t="shared" si="92"/>
        <v>Sun Rivers - Sewer</v>
      </c>
      <c r="E327" s="76">
        <f t="shared" si="85"/>
        <v>319177.76875674899</v>
      </c>
      <c r="F327" s="45">
        <f t="shared" si="87"/>
        <v>5.9986305743097296E-3</v>
      </c>
      <c r="G327" s="76">
        <f t="shared" si="88"/>
        <v>2910734.4095700965</v>
      </c>
      <c r="H327" s="76">
        <f t="shared" si="88"/>
        <v>-300258</v>
      </c>
      <c r="I327" s="89">
        <f>IF(Assumptions!$B$14="Gross",'CU Can Data'!G327/'CU Can Data'!$G$360,('CU Can Data'!G327+'CU Can Data'!H327)/('CU Can Data'!$G$360+'CU Can Data'!$H$360))</f>
        <v>2.3425854576650057E-2</v>
      </c>
      <c r="J327" s="75">
        <f t="shared" si="89"/>
        <v>0.29535619908399946</v>
      </c>
      <c r="K327" s="45">
        <f t="shared" si="90"/>
        <v>2.3136158474385046E-3</v>
      </c>
      <c r="L327" s="89">
        <f t="shared" si="91"/>
        <v>1.05793669994661E-2</v>
      </c>
    </row>
    <row r="328" spans="2:12" x14ac:dyDescent="0.25">
      <c r="B328" s="177" t="str">
        <f t="shared" si="92"/>
        <v>Sun Rivers - Geothermal</v>
      </c>
      <c r="E328" s="76">
        <f t="shared" si="85"/>
        <v>1017936.0649960829</v>
      </c>
      <c r="F328" s="45">
        <f t="shared" si="87"/>
        <v>1.9131101849489081E-2</v>
      </c>
      <c r="G328" s="76">
        <f t="shared" si="88"/>
        <v>11294448.60769286</v>
      </c>
      <c r="H328" s="76">
        <f t="shared" si="88"/>
        <v>-2200526</v>
      </c>
      <c r="I328" s="89">
        <f>IF(Assumptions!$B$14="Gross",'CU Can Data'!G328/'CU Can Data'!$G$360,('CU Can Data'!G328+'CU Can Data'!H328)/('CU Can Data'!$G$360+'CU Can Data'!$H$360))</f>
        <v>9.0898746975110772E-2</v>
      </c>
      <c r="J328" s="75">
        <f t="shared" si="89"/>
        <v>1.0603358062648414</v>
      </c>
      <c r="K328" s="45">
        <f t="shared" si="90"/>
        <v>8.3059361292874938E-3</v>
      </c>
      <c r="L328" s="89">
        <f t="shared" si="91"/>
        <v>3.9445261651295783E-2</v>
      </c>
    </row>
    <row r="329" spans="2:12" x14ac:dyDescent="0.25">
      <c r="B329" s="177" t="str">
        <f t="shared" si="92"/>
        <v>Sun Rivers - Municipal</v>
      </c>
      <c r="E329" s="76">
        <f t="shared" si="85"/>
        <v>856709.01114840503</v>
      </c>
      <c r="F329" s="45">
        <f t="shared" si="87"/>
        <v>1.6100998786911319E-2</v>
      </c>
      <c r="G329" s="76">
        <f t="shared" si="88"/>
        <v>8778058.2181877885</v>
      </c>
      <c r="H329" s="76">
        <f t="shared" si="88"/>
        <v>-175667</v>
      </c>
      <c r="I329" s="89">
        <f>IF(Assumptions!$B$14="Gross",'CU Can Data'!G329/'CU Can Data'!$G$360,('CU Can Data'!G329+'CU Can Data'!H329)/('CU Can Data'!$G$360+'CU Can Data'!$H$360))</f>
        <v>7.0646608845018694E-2</v>
      </c>
      <c r="J329" s="75">
        <f t="shared" si="89"/>
        <v>0.84957900844591128</v>
      </c>
      <c r="K329" s="45">
        <f t="shared" si="90"/>
        <v>6.6550133827816957E-3</v>
      </c>
      <c r="L329" s="89">
        <f t="shared" si="91"/>
        <v>3.1134207004903904E-2</v>
      </c>
    </row>
    <row r="330" spans="2:12" x14ac:dyDescent="0.25">
      <c r="B330" s="177" t="str">
        <f t="shared" si="92"/>
        <v>Foothills - Wastewater</v>
      </c>
      <c r="E330" s="76">
        <f t="shared" si="85"/>
        <v>907725.29093339597</v>
      </c>
      <c r="F330" s="45">
        <f t="shared" si="87"/>
        <v>1.7059799322731266E-2</v>
      </c>
      <c r="G330" s="76">
        <f t="shared" si="88"/>
        <v>1993908.7518956566</v>
      </c>
      <c r="H330" s="76">
        <f t="shared" si="88"/>
        <v>-189353.8</v>
      </c>
      <c r="I330" s="89">
        <f>IF(Assumptions!$B$14="Gross",'CU Can Data'!G330/'CU Can Data'!$G$360,('CU Can Data'!G330+'CU Can Data'!H330)/('CU Can Data'!$G$360+'CU Can Data'!$H$360))</f>
        <v>1.6047158513481895E-2</v>
      </c>
      <c r="J330" s="75">
        <f t="shared" si="89"/>
        <v>2.0784206511650605</v>
      </c>
      <c r="K330" s="45">
        <f t="shared" si="90"/>
        <v>1.628090749776798E-2</v>
      </c>
      <c r="L330" s="89">
        <f t="shared" si="91"/>
        <v>1.6462621777993715E-2</v>
      </c>
    </row>
    <row r="331" spans="2:12" x14ac:dyDescent="0.25">
      <c r="B331" s="177" t="str">
        <f t="shared" si="92"/>
        <v>Foothills - Water</v>
      </c>
      <c r="E331" s="76">
        <f t="shared" si="85"/>
        <v>1297852.5680001238</v>
      </c>
      <c r="F331" s="45">
        <f t="shared" si="87"/>
        <v>2.43918557538551E-2</v>
      </c>
      <c r="G331" s="76">
        <f t="shared" si="88"/>
        <v>3685583.8681658842</v>
      </c>
      <c r="H331" s="76">
        <f t="shared" si="88"/>
        <v>-376811.81</v>
      </c>
      <c r="I331" s="89">
        <f>IF(Assumptions!$B$14="Gross",'CU Can Data'!G331/'CU Can Data'!$G$360,('CU Can Data'!G331+'CU Can Data'!H331)/('CU Can Data'!$G$360+'CU Can Data'!$H$360))</f>
        <v>2.9661913310205842E-2</v>
      </c>
      <c r="J331" s="75">
        <f t="shared" si="89"/>
        <v>3.4598585862754576</v>
      </c>
      <c r="K331" s="45">
        <f t="shared" si="90"/>
        <v>2.7102135252040246E-2</v>
      </c>
      <c r="L331" s="89">
        <f t="shared" si="91"/>
        <v>2.7051968105367065E-2</v>
      </c>
    </row>
    <row r="332" spans="2:12" x14ac:dyDescent="0.25">
      <c r="B332" s="177" t="str">
        <f t="shared" si="92"/>
        <v>Sage Meadows - Wastewater</v>
      </c>
      <c r="E332" s="76">
        <f t="shared" si="85"/>
        <v>47976.350868384499</v>
      </c>
      <c r="F332" s="45">
        <f t="shared" si="87"/>
        <v>9.0166807758542257E-4</v>
      </c>
      <c r="G332" s="76">
        <f t="shared" si="88"/>
        <v>225424.95555980343</v>
      </c>
      <c r="H332" s="76">
        <f t="shared" si="88"/>
        <v>-69338</v>
      </c>
      <c r="I332" s="89">
        <f>IF(Assumptions!$B$14="Gross",'CU Can Data'!G332/'CU Can Data'!$G$360,('CU Can Data'!G332+'CU Can Data'!H332)/('CU Can Data'!$G$360+'CU Can Data'!$H$360))</f>
        <v>1.8142404918598206E-3</v>
      </c>
      <c r="J332" s="75">
        <f t="shared" si="89"/>
        <v>4.5483783989991745E-3</v>
      </c>
      <c r="K332" s="45">
        <f t="shared" si="90"/>
        <v>3.5628845362675659E-5</v>
      </c>
      <c r="L332" s="89">
        <f t="shared" si="91"/>
        <v>9.1717913826930644E-4</v>
      </c>
    </row>
    <row r="333" spans="2:12" x14ac:dyDescent="0.25">
      <c r="B333" s="177" t="str">
        <f t="shared" si="92"/>
        <v>Sage Meadows - Water</v>
      </c>
      <c r="E333" s="76">
        <f t="shared" si="85"/>
        <v>48472.922251361808</v>
      </c>
      <c r="F333" s="45">
        <f t="shared" si="87"/>
        <v>9.1100064573970739E-4</v>
      </c>
      <c r="G333" s="76">
        <f t="shared" si="88"/>
        <v>123301.2780604412</v>
      </c>
      <c r="H333" s="76">
        <f t="shared" si="88"/>
        <v>-32800</v>
      </c>
      <c r="I333" s="89">
        <f>IF(Assumptions!$B$14="Gross",'CU Can Data'!G333/'CU Can Data'!$G$360,('CU Can Data'!G333+'CU Can Data'!H333)/('CU Can Data'!$G$360+'CU Can Data'!$H$360))</f>
        <v>9.9233987115492192E-4</v>
      </c>
      <c r="J333" s="75">
        <f t="shared" si="89"/>
        <v>3.1052234404338151E-3</v>
      </c>
      <c r="K333" s="45">
        <f t="shared" si="90"/>
        <v>2.4324169202834211E-5</v>
      </c>
      <c r="L333" s="89">
        <f t="shared" si="91"/>
        <v>6.4255489536582124E-4</v>
      </c>
    </row>
    <row r="334" spans="2:12" x14ac:dyDescent="0.25">
      <c r="B334" s="177" t="str">
        <f t="shared" si="92"/>
        <v>Canadian Lakeview Estates (in Adventure Bay) - Wastewater</v>
      </c>
      <c r="E334" s="76">
        <f t="shared" si="85"/>
        <v>293678.65958073433</v>
      </c>
      <c r="F334" s="45">
        <f t="shared" si="87"/>
        <v>5.5194000297868221E-3</v>
      </c>
      <c r="G334" s="76">
        <f t="shared" si="88"/>
        <v>292015.24192686909</v>
      </c>
      <c r="H334" s="76">
        <f t="shared" si="88"/>
        <v>0</v>
      </c>
      <c r="I334" s="89">
        <f>IF(Assumptions!$B$14="Gross",'CU Can Data'!G334/'CU Can Data'!$G$360,('CU Can Data'!G334+'CU Can Data'!H334)/('CU Can Data'!$G$360+'CU Can Data'!$H$360))</f>
        <v>2.3501651573062839E-3</v>
      </c>
      <c r="J334" s="75">
        <f t="shared" si="89"/>
        <v>1.2321820654229789E-2</v>
      </c>
      <c r="K334" s="45">
        <f t="shared" si="90"/>
        <v>9.6520606722777614E-5</v>
      </c>
      <c r="L334" s="89">
        <f t="shared" si="91"/>
        <v>2.6553619312719616E-3</v>
      </c>
    </row>
    <row r="335" spans="2:12" x14ac:dyDescent="0.25">
      <c r="B335" s="177" t="str">
        <f t="shared" si="92"/>
        <v>Canadian Lakeview Estates (in Adventure Bay) - Water</v>
      </c>
      <c r="E335" s="76">
        <f t="shared" si="85"/>
        <v>282111.16065673775</v>
      </c>
      <c r="F335" s="45">
        <f t="shared" si="87"/>
        <v>5.3020003249638226E-3</v>
      </c>
      <c r="G335" s="76">
        <f t="shared" ref="G335:H339" si="93">G258</f>
        <v>196782.48490996676</v>
      </c>
      <c r="H335" s="76">
        <f t="shared" si="93"/>
        <v>0</v>
      </c>
      <c r="I335" s="89">
        <f>IF(Assumptions!$B$14="Gross",'CU Can Data'!G335/'CU Can Data'!$G$360,('CU Can Data'!G335+'CU Can Data'!H335)/('CU Can Data'!$G$360+'CU Can Data'!$H$360))</f>
        <v>1.5837232897568155E-3</v>
      </c>
      <c r="J335" s="75">
        <f t="shared" si="89"/>
        <v>1.0641941877849167E-2</v>
      </c>
      <c r="K335" s="45">
        <f t="shared" si="90"/>
        <v>8.3361600171151238E-5</v>
      </c>
      <c r="L335" s="89">
        <f t="shared" si="91"/>
        <v>2.32302840496393E-3</v>
      </c>
    </row>
    <row r="336" spans="2:12" x14ac:dyDescent="0.25">
      <c r="B336" s="177" t="str">
        <f t="shared" si="92"/>
        <v>Cultus Lake - Water</v>
      </c>
      <c r="E336" s="76">
        <f t="shared" si="85"/>
        <v>176730.80706119366</v>
      </c>
      <c r="F336" s="45">
        <f t="shared" si="87"/>
        <v>3.3214807747705753E-3</v>
      </c>
      <c r="G336" s="76">
        <f t="shared" si="93"/>
        <v>82456.578687096655</v>
      </c>
      <c r="H336" s="76">
        <f t="shared" si="93"/>
        <v>-33117</v>
      </c>
      <c r="I336" s="89">
        <f>IF(Assumptions!$B$14="Gross",'CU Can Data'!G336/'CU Can Data'!$G$360,('CU Can Data'!G336+'CU Can Data'!H336)/('CU Can Data'!$G$360+'CU Can Data'!$H$360))</f>
        <v>6.6361802535509253E-4</v>
      </c>
      <c r="J336" s="75">
        <f t="shared" si="89"/>
        <v>6.0843811234585696E-3</v>
      </c>
      <c r="K336" s="45">
        <f t="shared" si="90"/>
        <v>4.7660826597670134E-5</v>
      </c>
      <c r="L336" s="89">
        <f t="shared" si="91"/>
        <v>1.3442532089077796E-3</v>
      </c>
    </row>
    <row r="337" spans="2:12" x14ac:dyDescent="0.25">
      <c r="B337" s="177" t="str">
        <f t="shared" si="92"/>
        <v>Cultus Lake - Wastewater</v>
      </c>
      <c r="E337" s="76">
        <f t="shared" si="85"/>
        <v>135182.46284856836</v>
      </c>
      <c r="F337" s="45">
        <f t="shared" si="87"/>
        <v>2.5406207265391339E-3</v>
      </c>
      <c r="G337" s="76">
        <f t="shared" si="93"/>
        <v>318105.69535961386</v>
      </c>
      <c r="H337" s="76">
        <f t="shared" si="93"/>
        <v>-37921.39</v>
      </c>
      <c r="I337" s="89">
        <f>IF(Assumptions!$B$14="Gross",'CU Can Data'!G337/'CU Can Data'!$G$360,('CU Can Data'!G337+'CU Can Data'!H337)/('CU Can Data'!$G$360+'CU Can Data'!$H$360))</f>
        <v>2.5601434933388762E-3</v>
      </c>
      <c r="J337" s="75">
        <f t="shared" si="89"/>
        <v>8.2924194221010786E-3</v>
      </c>
      <c r="K337" s="45">
        <f t="shared" si="90"/>
        <v>6.4957068949561956E-5</v>
      </c>
      <c r="L337" s="89">
        <f t="shared" si="91"/>
        <v>1.7219070962758575E-3</v>
      </c>
    </row>
    <row r="338" spans="2:12" x14ac:dyDescent="0.25">
      <c r="B338" s="177" t="str">
        <f t="shared" si="92"/>
        <v>Sonoma Pines - Electric</v>
      </c>
      <c r="E338" s="76">
        <f t="shared" si="85"/>
        <v>451195.23221226479</v>
      </c>
      <c r="F338" s="45">
        <f t="shared" si="87"/>
        <v>8.4797682666739298E-3</v>
      </c>
      <c r="G338" s="76">
        <f t="shared" si="93"/>
        <v>3424651.136634598</v>
      </c>
      <c r="H338" s="76">
        <f t="shared" si="93"/>
        <v>-2162193.54</v>
      </c>
      <c r="I338" s="89">
        <f>IF(Assumptions!$B$14="Gross",'CU Can Data'!G338/'CU Can Data'!$G$360,('CU Can Data'!G338+'CU Can Data'!H338)/('CU Can Data'!$G$360+'CU Can Data'!$H$360))</f>
        <v>2.7561903016225506E-2</v>
      </c>
      <c r="J338" s="75">
        <f t="shared" si="89"/>
        <v>6.1387920083507366E-2</v>
      </c>
      <c r="K338" s="45">
        <f t="shared" si="90"/>
        <v>4.8087043775268186E-4</v>
      </c>
      <c r="L338" s="89">
        <f t="shared" si="91"/>
        <v>1.2174180573550708E-2</v>
      </c>
    </row>
    <row r="339" spans="2:12" x14ac:dyDescent="0.25">
      <c r="B339" s="177" t="str">
        <f t="shared" si="92"/>
        <v>Sonoma Pines - Gas</v>
      </c>
      <c r="E339" s="76">
        <f t="shared" si="85"/>
        <v>245295.44523018081</v>
      </c>
      <c r="F339" s="45">
        <f t="shared" si="87"/>
        <v>4.6100853553434299E-3</v>
      </c>
      <c r="G339" s="76">
        <f t="shared" si="93"/>
        <v>1043633.6349892337</v>
      </c>
      <c r="H339" s="76">
        <f t="shared" si="93"/>
        <v>-407370</v>
      </c>
      <c r="I339" s="89">
        <f>IF(Assumptions!$B$14="Gross",'CU Can Data'!G339/'CU Can Data'!$G$360,('CU Can Data'!G339+'CU Can Data'!H339)/('CU Can Data'!$G$360+'CU Can Data'!$H$360))</f>
        <v>8.3992581680337308E-3</v>
      </c>
      <c r="J339" s="75">
        <f t="shared" si="89"/>
        <v>2.1701111719856399E-2</v>
      </c>
      <c r="K339" s="45">
        <f t="shared" si="90"/>
        <v>1.6999147516729124E-4</v>
      </c>
      <c r="L339" s="89">
        <f t="shared" si="91"/>
        <v>4.393111666181484E-3</v>
      </c>
    </row>
    <row r="340" spans="2:12" x14ac:dyDescent="0.25">
      <c r="B340" s="177" t="str">
        <f t="shared" si="92"/>
        <v>Dockside Green - Energy</v>
      </c>
      <c r="E340" s="76">
        <f>E296</f>
        <v>533959.69135860913</v>
      </c>
      <c r="F340" s="45">
        <f t="shared" si="87"/>
        <v>1.0035244442334024E-2</v>
      </c>
      <c r="G340" s="76">
        <f>G296</f>
        <v>1396599.5928075649</v>
      </c>
      <c r="H340" s="76">
        <f>H296</f>
        <v>0</v>
      </c>
      <c r="I340" s="89">
        <f>IF(Assumptions!$B$14="Gross",'CU Can Data'!G340/'CU Can Data'!$G$360,('CU Can Data'!G340+'CU Can Data'!H340)/('CU Can Data'!$G$360+'CU Can Data'!$H$360))</f>
        <v>1.1239960216002941E-2</v>
      </c>
      <c r="J340" s="108">
        <f>J296</f>
        <v>0.75083414014002181</v>
      </c>
      <c r="K340" s="45">
        <f t="shared" si="90"/>
        <v>5.881514492715195E-3</v>
      </c>
      <c r="L340" s="89">
        <f t="shared" si="91"/>
        <v>9.0522397170173883E-3</v>
      </c>
    </row>
    <row r="341" spans="2:12" x14ac:dyDescent="0.25">
      <c r="B341" s="177" t="str">
        <f t="shared" si="92"/>
        <v>Dockside Green  - Wastewater and Admin</v>
      </c>
      <c r="E341" s="76">
        <f>E297</f>
        <v>416628.98205033247</v>
      </c>
      <c r="F341" s="45">
        <f t="shared" si="87"/>
        <v>7.8301297725260777E-3</v>
      </c>
      <c r="G341" s="76">
        <f>G297</f>
        <v>58835.798869283884</v>
      </c>
      <c r="H341" s="76">
        <f>H297</f>
        <v>0</v>
      </c>
      <c r="I341" s="89">
        <f>IF(Assumptions!$B$14="Gross",'CU Can Data'!G341/'CU Can Data'!$G$360,('CU Can Data'!G341+'CU Can Data'!H341)/('CU Can Data'!$G$360+'CU Can Data'!$H$360))</f>
        <v>4.7351584661289728E-4</v>
      </c>
      <c r="J341" s="108">
        <f>J297</f>
        <v>6.3510212494176761</v>
      </c>
      <c r="K341" s="45">
        <f t="shared" si="90"/>
        <v>4.9749500622103059E-2</v>
      </c>
      <c r="L341" s="89">
        <f t="shared" si="91"/>
        <v>1.9351048747080681E-2</v>
      </c>
    </row>
    <row r="342" spans="2:12" x14ac:dyDescent="0.25">
      <c r="B342" s="177" t="str">
        <f t="shared" si="92"/>
        <v>West Shore Environmental Services</v>
      </c>
      <c r="E342" s="76">
        <f>E263</f>
        <v>20558313.189463709</v>
      </c>
      <c r="F342" s="45">
        <f t="shared" si="87"/>
        <v>0.3863731692057088</v>
      </c>
      <c r="G342" s="76">
        <f>G263</f>
        <v>33804638.467694253</v>
      </c>
      <c r="H342" s="76">
        <f>H263</f>
        <v>0</v>
      </c>
      <c r="I342" s="89">
        <f>IF(Assumptions!$B$14="Gross",'CU Can Data'!G342/'CU Can Data'!$G$360,('CU Can Data'!G342+'CU Can Data'!H342)/('CU Can Data'!$G$360+'CU Can Data'!$H$360))</f>
        <v>0.27206279698923019</v>
      </c>
      <c r="J342" s="108">
        <f>J263</f>
        <v>6.1151160394265744</v>
      </c>
      <c r="K342" s="45">
        <f t="shared" si="90"/>
        <v>4.7901582636899379E-2</v>
      </c>
      <c r="L342" s="89">
        <f t="shared" si="91"/>
        <v>0.23544584961061282</v>
      </c>
    </row>
    <row r="343" spans="2:12" x14ac:dyDescent="0.25">
      <c r="B343" s="177" t="str">
        <f t="shared" si="92"/>
        <v>Rise</v>
      </c>
      <c r="E343" s="76">
        <f>E264</f>
        <v>66767.583306623186</v>
      </c>
      <c r="F343" s="45">
        <f t="shared" si="87"/>
        <v>1.2548307112865387E-3</v>
      </c>
      <c r="G343" s="76">
        <f>G264</f>
        <v>715719.23591522244</v>
      </c>
      <c r="H343" s="76">
        <f>H264</f>
        <v>-154102</v>
      </c>
      <c r="I343" s="89">
        <f>IF(Assumptions!$B$14="Gross",'CU Can Data'!G343/'CU Can Data'!$G$360,('CU Can Data'!G343+'CU Can Data'!H343)/('CU Can Data'!$G$360+'CU Can Data'!$H$360))</f>
        <v>5.7601733374009253E-3</v>
      </c>
      <c r="J343" s="108">
        <f>J264</f>
        <v>1.2065005465253523E-2</v>
      </c>
      <c r="K343" s="45">
        <f t="shared" si="90"/>
        <v>9.4508894448171112E-5</v>
      </c>
      <c r="L343" s="89">
        <f t="shared" si="91"/>
        <v>2.3698376477118786E-3</v>
      </c>
    </row>
    <row r="344" spans="2:12" x14ac:dyDescent="0.25">
      <c r="B344" s="177" t="str">
        <f t="shared" si="92"/>
        <v>UBC</v>
      </c>
      <c r="E344" s="76">
        <f>E298</f>
        <v>1005594.4500503248</v>
      </c>
      <c r="F344" s="45">
        <f t="shared" si="87"/>
        <v>1.8899153399450242E-2</v>
      </c>
      <c r="G344" s="76">
        <f>G298</f>
        <v>10736000.080637522</v>
      </c>
      <c r="H344" s="76">
        <f>H298</f>
        <v>0</v>
      </c>
      <c r="I344" s="89">
        <f>IF(Assumptions!$B$14="Gross",'CU Can Data'!G344/'CU Can Data'!$G$360,('CU Can Data'!G344+'CU Can Data'!H344)/('CU Can Data'!$G$360+'CU Can Data'!$H$360))</f>
        <v>8.6404302569489111E-2</v>
      </c>
      <c r="J344" s="108">
        <f>J298</f>
        <v>2.7147089722078404</v>
      </c>
      <c r="K344" s="45">
        <f t="shared" si="90"/>
        <v>2.1265149398463423E-2</v>
      </c>
      <c r="L344" s="89">
        <f t="shared" si="91"/>
        <v>4.2189535122467599E-2</v>
      </c>
    </row>
    <row r="345" spans="2:12" x14ac:dyDescent="0.25">
      <c r="B345" s="177" t="str">
        <f t="shared" si="92"/>
        <v>SFU UniverCity</v>
      </c>
      <c r="E345" s="76">
        <f t="shared" ref="E345:E346" si="94">E299</f>
        <v>1171793.9432920599</v>
      </c>
      <c r="F345" s="45">
        <f t="shared" si="87"/>
        <v>2.202270854390162E-2</v>
      </c>
      <c r="G345" s="76">
        <f t="shared" ref="G345:H346" si="95">G299</f>
        <v>7535481.9838556219</v>
      </c>
      <c r="H345" s="76">
        <f t="shared" si="95"/>
        <v>-1352028.74</v>
      </c>
      <c r="I345" s="89">
        <f>IF(Assumptions!$B$14="Gross",'CU Can Data'!G345/'CU Can Data'!$G$360,('CU Can Data'!G345+'CU Can Data'!H345)/('CU Can Data'!$G$360+'CU Can Data'!$H$360))</f>
        <v>6.0646242590315994E-2</v>
      </c>
      <c r="J345" s="108">
        <f t="shared" ref="J345:J346" si="96">J299</f>
        <v>2.3650955855241764</v>
      </c>
      <c r="K345" s="45">
        <f t="shared" si="90"/>
        <v>1.8526520331538277E-2</v>
      </c>
      <c r="L345" s="89">
        <f t="shared" si="91"/>
        <v>3.3731823821918631E-2</v>
      </c>
    </row>
    <row r="346" spans="2:12" x14ac:dyDescent="0.25">
      <c r="B346" s="177" t="str">
        <f t="shared" si="92"/>
        <v>SFU Biomass</v>
      </c>
      <c r="E346" s="76">
        <f t="shared" si="94"/>
        <v>0</v>
      </c>
      <c r="F346" s="45">
        <f t="shared" si="87"/>
        <v>0</v>
      </c>
      <c r="G346" s="76">
        <f t="shared" si="95"/>
        <v>0</v>
      </c>
      <c r="H346" s="76">
        <f t="shared" si="95"/>
        <v>0</v>
      </c>
      <c r="I346" s="89">
        <f>IF(Assumptions!$B$14="Gross",'CU Can Data'!G346/'CU Can Data'!$G$360,('CU Can Data'!G346+'CU Can Data'!H346)/('CU Can Data'!$G$360+'CU Can Data'!$H$360))</f>
        <v>0</v>
      </c>
      <c r="J346" s="108">
        <f t="shared" si="96"/>
        <v>0</v>
      </c>
      <c r="K346" s="45">
        <f t="shared" si="90"/>
        <v>0</v>
      </c>
      <c r="L346" s="89">
        <f t="shared" si="91"/>
        <v>0</v>
      </c>
    </row>
    <row r="347" spans="2:12" x14ac:dyDescent="0.25">
      <c r="B347" s="177" t="str">
        <f t="shared" si="92"/>
        <v>Riverport</v>
      </c>
      <c r="E347" s="76">
        <f>E265</f>
        <v>377378.88772286178</v>
      </c>
      <c r="F347" s="45">
        <f t="shared" si="87"/>
        <v>7.0924630584738692E-3</v>
      </c>
      <c r="G347" s="76">
        <f>G265</f>
        <v>418935.68752807786</v>
      </c>
      <c r="H347" s="76">
        <f>H265</f>
        <v>-244214.99</v>
      </c>
      <c r="I347" s="89">
        <f>IF(Assumptions!$B$14="Gross",'CU Can Data'!G347/'CU Can Data'!$G$360,('CU Can Data'!G347+'CU Can Data'!H347)/('CU Can Data'!$G$360+'CU Can Data'!$H$360))</f>
        <v>3.3716324171435266E-3</v>
      </c>
      <c r="J347" s="108">
        <f>J265</f>
        <v>1.6456979332562276E-2</v>
      </c>
      <c r="K347" s="45">
        <f t="shared" si="90"/>
        <v>1.2891257506315428E-4</v>
      </c>
      <c r="L347" s="89">
        <f t="shared" si="91"/>
        <v>3.5310026835601842E-3</v>
      </c>
    </row>
    <row r="348" spans="2:12" x14ac:dyDescent="0.25">
      <c r="B348" s="177" t="str">
        <f t="shared" si="92"/>
        <v>RG GAAP - Related to LIEC</v>
      </c>
      <c r="E348" s="76">
        <f>E301</f>
        <v>522887.48569841206</v>
      </c>
      <c r="F348" s="45">
        <f t="shared" si="87"/>
        <v>9.8271532846791118E-3</v>
      </c>
      <c r="G348" s="76">
        <f>G301</f>
        <v>1509.7294528857985</v>
      </c>
      <c r="H348" s="76">
        <f>H301</f>
        <v>0</v>
      </c>
      <c r="I348" s="89">
        <f>IF(Assumptions!$B$14="Gross",'CU Can Data'!G348/'CU Can Data'!$G$360,('CU Can Data'!G348+'CU Can Data'!H348)/('CU Can Data'!$G$360+'CU Can Data'!$H$360))</f>
        <v>1.215043959253283E-5</v>
      </c>
      <c r="J348" s="108">
        <f>J301</f>
        <v>0.51605213842900577</v>
      </c>
      <c r="K348" s="45">
        <f t="shared" si="90"/>
        <v>4.0423949430440686E-3</v>
      </c>
      <c r="L348" s="89">
        <f t="shared" si="91"/>
        <v>4.6272328891052376E-3</v>
      </c>
    </row>
    <row r="349" spans="2:12" x14ac:dyDescent="0.25">
      <c r="B349" s="177" t="str">
        <f t="shared" si="92"/>
        <v>LIEC</v>
      </c>
      <c r="E349" s="76">
        <f t="shared" ref="E349:E350" si="97">E302</f>
        <v>1298664.2215851215</v>
      </c>
      <c r="F349" s="45">
        <f t="shared" si="87"/>
        <v>2.4407109980456407E-2</v>
      </c>
      <c r="G349" s="76">
        <f t="shared" ref="G349:H350" si="98">G302</f>
        <v>9858709.1571339183</v>
      </c>
      <c r="H349" s="76">
        <f t="shared" si="98"/>
        <v>-2764014.91</v>
      </c>
      <c r="I349" s="89">
        <f>IF(Assumptions!$B$14="Gross",'CU Can Data'!G349/'CU Can Data'!$G$360,('CU Can Data'!G349+'CU Can Data'!H349)/('CU Can Data'!$G$360+'CU Can Data'!$H$360))</f>
        <v>7.934378563333698E-2</v>
      </c>
      <c r="J349" s="108">
        <f t="shared" ref="J349:J350" si="99">J302</f>
        <v>2.8630395336867962</v>
      </c>
      <c r="K349" s="45">
        <f t="shared" si="90"/>
        <v>2.2427068256985715E-2</v>
      </c>
      <c r="L349" s="89">
        <f t="shared" si="91"/>
        <v>4.2059321290259709E-2</v>
      </c>
    </row>
    <row r="350" spans="2:12" x14ac:dyDescent="0.25">
      <c r="B350" s="177" t="str">
        <f t="shared" si="92"/>
        <v>Beaver Barracks</v>
      </c>
      <c r="E350" s="76">
        <f t="shared" si="97"/>
        <v>252663.1859651402</v>
      </c>
      <c r="F350" s="45">
        <f t="shared" si="87"/>
        <v>4.7485547575466811E-3</v>
      </c>
      <c r="G350" s="76">
        <f t="shared" si="98"/>
        <v>1184109.037243203</v>
      </c>
      <c r="H350" s="76">
        <f t="shared" si="98"/>
        <v>0</v>
      </c>
      <c r="I350" s="89">
        <f>IF(Assumptions!$B$14="Gross",'CU Can Data'!G350/'CU Can Data'!$G$360,('CU Can Data'!G350+'CU Can Data'!H350)/('CU Can Data'!$G$360+'CU Can Data'!$H$360))</f>
        <v>9.5298169486556766E-3</v>
      </c>
      <c r="J350" s="108">
        <f t="shared" si="99"/>
        <v>0.4392483805944844</v>
      </c>
      <c r="K350" s="45">
        <f t="shared" si="90"/>
        <v>3.4407675120984209E-3</v>
      </c>
      <c r="L350" s="89">
        <f t="shared" si="91"/>
        <v>5.906379739433594E-3</v>
      </c>
    </row>
    <row r="351" spans="2:12" x14ac:dyDescent="0.25">
      <c r="B351" s="177" t="str">
        <f t="shared" si="92"/>
        <v>Coastal Ops</v>
      </c>
      <c r="E351" s="76">
        <f>E266</f>
        <v>768934.16828574357</v>
      </c>
      <c r="F351" s="45">
        <f t="shared" si="87"/>
        <v>1.4451357403358475E-2</v>
      </c>
      <c r="G351" s="76">
        <f>G266</f>
        <v>19307.70342866869</v>
      </c>
      <c r="H351" s="76">
        <f>H266</f>
        <v>0</v>
      </c>
      <c r="I351" s="89">
        <f>IF(Assumptions!$B$14="Gross",'CU Can Data'!G351/'CU Can Data'!$G$360,('CU Can Data'!G351+'CU Can Data'!H351)/('CU Can Data'!$G$360+'CU Can Data'!$H$360))</f>
        <v>1.5539014869992319E-4</v>
      </c>
      <c r="J351" s="108">
        <f>J266</f>
        <v>7.1083107264091314</v>
      </c>
      <c r="K351" s="45">
        <f t="shared" si="90"/>
        <v>5.5681581751599027E-2</v>
      </c>
      <c r="L351" s="89">
        <f t="shared" si="91"/>
        <v>2.3429443101219145E-2</v>
      </c>
    </row>
    <row r="352" spans="2:12" x14ac:dyDescent="0.25">
      <c r="B352" s="177" t="str">
        <f t="shared" si="92"/>
        <v>Island Ops</v>
      </c>
      <c r="E352" s="76">
        <f t="shared" ref="E352:E358" si="100">E267</f>
        <v>13140.108393575769</v>
      </c>
      <c r="F352" s="45">
        <f t="shared" si="87"/>
        <v>2.4695534487403366E-4</v>
      </c>
      <c r="G352" s="76">
        <f t="shared" ref="G352:H358" si="101">G267</f>
        <v>3.2060310601847197</v>
      </c>
      <c r="H352" s="76">
        <f t="shared" si="101"/>
        <v>0</v>
      </c>
      <c r="I352" s="89">
        <f>IF(Assumptions!$B$14="Gross",'CU Can Data'!G352/'CU Can Data'!$G$360,('CU Can Data'!G352+'CU Can Data'!H352)/('CU Can Data'!$G$360+'CU Can Data'!$H$360))</f>
        <v>2.5802428808749678E-8</v>
      </c>
      <c r="J352" s="108">
        <f t="shared" ref="J352:J358" si="102">J267</f>
        <v>3.6496153457492888E-4</v>
      </c>
      <c r="K352" s="45">
        <f t="shared" si="90"/>
        <v>2.8588558246508607E-6</v>
      </c>
      <c r="L352" s="89">
        <f t="shared" si="91"/>
        <v>8.3280001042497769E-5</v>
      </c>
    </row>
    <row r="353" spans="2:12" x14ac:dyDescent="0.25">
      <c r="B353" s="177" t="str">
        <f t="shared" si="92"/>
        <v>Kamloops Ops</v>
      </c>
      <c r="E353" s="76">
        <f t="shared" si="100"/>
        <v>1292067.6181328639</v>
      </c>
      <c r="F353" s="45">
        <f t="shared" si="87"/>
        <v>2.4283133341013615E-2</v>
      </c>
      <c r="G353" s="76">
        <f t="shared" si="101"/>
        <v>43324.434142953971</v>
      </c>
      <c r="H353" s="76">
        <f t="shared" si="101"/>
        <v>0</v>
      </c>
      <c r="I353" s="89">
        <f>IF(Assumptions!$B$14="Gross",'CU Can Data'!G353/'CU Can Data'!$G$360,('CU Can Data'!G353+'CU Can Data'!H353)/('CU Can Data'!$G$360+'CU Can Data'!$H$360))</f>
        <v>3.4867897617577227E-4</v>
      </c>
      <c r="J353" s="108">
        <f t="shared" si="102"/>
        <v>10.160330413683075</v>
      </c>
      <c r="K353" s="45">
        <f t="shared" si="90"/>
        <v>7.9588989610552052E-2</v>
      </c>
      <c r="L353" s="89">
        <f t="shared" si="91"/>
        <v>3.4740267309247147E-2</v>
      </c>
    </row>
    <row r="354" spans="2:12" x14ac:dyDescent="0.25">
      <c r="B354" s="177" t="str">
        <f t="shared" si="92"/>
        <v>Kootenay Ops</v>
      </c>
      <c r="E354" s="76">
        <f t="shared" si="100"/>
        <v>718557.03984120325</v>
      </c>
      <c r="F354" s="45">
        <f t="shared" si="87"/>
        <v>1.3504569085016495E-2</v>
      </c>
      <c r="G354" s="76">
        <f t="shared" si="101"/>
        <v>3154.7081327900405</v>
      </c>
      <c r="H354" s="76">
        <f t="shared" si="101"/>
        <v>0</v>
      </c>
      <c r="I354" s="89">
        <f>IF(Assumptions!$B$14="Gross",'CU Can Data'!G354/'CU Can Data'!$G$360,('CU Can Data'!G354+'CU Can Data'!H354)/('CU Can Data'!$G$360+'CU Can Data'!$H$360))</f>
        <v>2.5389377233297524E-5</v>
      </c>
      <c r="J354" s="108">
        <f t="shared" si="102"/>
        <v>9.1314472767786974</v>
      </c>
      <c r="K354" s="45">
        <f t="shared" si="90"/>
        <v>7.1529431903326793E-2</v>
      </c>
      <c r="L354" s="89">
        <f t="shared" si="91"/>
        <v>2.8353130121858864E-2</v>
      </c>
    </row>
    <row r="355" spans="2:12" x14ac:dyDescent="0.25">
      <c r="B355" s="177" t="str">
        <f>B94</f>
        <v>Alberta Ops (North)</v>
      </c>
      <c r="E355" s="76">
        <f t="shared" si="100"/>
        <v>2205499.4053826421</v>
      </c>
      <c r="F355" s="45">
        <f t="shared" si="87"/>
        <v>4.1450180619669173E-2</v>
      </c>
      <c r="G355" s="76">
        <f t="shared" si="101"/>
        <v>204009.4494689662</v>
      </c>
      <c r="H355" s="76">
        <f t="shared" si="101"/>
        <v>0</v>
      </c>
      <c r="I355" s="89">
        <f>IF(Assumptions!$B$14="Gross",'CU Can Data'!G355/'CU Can Data'!$G$360,('CU Can Data'!G355+'CU Can Data'!H355)/('CU Can Data'!$G$360+'CU Can Data'!$H$360))</f>
        <v>1.6418865561246079E-3</v>
      </c>
      <c r="J355" s="108">
        <f t="shared" si="102"/>
        <v>10.345553518733615</v>
      </c>
      <c r="K355" s="45">
        <f t="shared" si="90"/>
        <v>8.1039899097082993E-2</v>
      </c>
      <c r="L355" s="89">
        <f t="shared" si="91"/>
        <v>4.1377322090958929E-2</v>
      </c>
    </row>
    <row r="356" spans="2:12" x14ac:dyDescent="0.25">
      <c r="B356" s="177" t="str">
        <f>B95</f>
        <v>Alberta Ops (South)</v>
      </c>
      <c r="E356" s="76">
        <f t="shared" si="100"/>
        <v>2349745.7275584447</v>
      </c>
      <c r="F356" s="45">
        <f t="shared" si="87"/>
        <v>4.4161147620303064E-2</v>
      </c>
      <c r="G356" s="76">
        <f t="shared" si="101"/>
        <v>17724.322435455004</v>
      </c>
      <c r="H356" s="76">
        <f t="shared" si="101"/>
        <v>0</v>
      </c>
      <c r="I356" s="89">
        <f>IF(Assumptions!$B$14="Gross",'CU Can Data'!G356/'CU Can Data'!$G$360,('CU Can Data'!G356+'CU Can Data'!H356)/('CU Can Data'!$G$360+'CU Can Data'!$H$360))</f>
        <v>1.4264695482950273E-4</v>
      </c>
      <c r="J356" s="108">
        <f t="shared" si="102"/>
        <v>16.106072545530896</v>
      </c>
      <c r="K356" s="45">
        <f t="shared" si="90"/>
        <v>0.12616381439394406</v>
      </c>
      <c r="L356" s="89">
        <f t="shared" si="91"/>
        <v>5.6822536323025551E-2</v>
      </c>
    </row>
    <row r="357" spans="2:12" x14ac:dyDescent="0.25">
      <c r="B357" s="177" t="str">
        <f>B98</f>
        <v>Corix Water Services Inc. (See note)</v>
      </c>
      <c r="E357" s="76">
        <f t="shared" si="100"/>
        <v>6771085.6461697482</v>
      </c>
      <c r="F357" s="45">
        <f t="shared" si="87"/>
        <v>0.12725585975675743</v>
      </c>
      <c r="G357" s="76">
        <f t="shared" si="101"/>
        <v>322296.13924242923</v>
      </c>
      <c r="H357" s="76">
        <f t="shared" si="101"/>
        <v>-407370</v>
      </c>
      <c r="I357" s="89">
        <f>IF(Assumptions!$B$14="Gross",'CU Can Data'!G357/'CU Can Data'!$G$360,('CU Can Data'!G357+'CU Can Data'!H357)/('CU Can Data'!$G$360+'CU Can Data'!$H$360))</f>
        <v>2.5938685658455584E-3</v>
      </c>
      <c r="J357" s="108">
        <f t="shared" si="102"/>
        <v>39.675576329118947</v>
      </c>
      <c r="K357" s="45">
        <f t="shared" si="90"/>
        <v>0.31079097860816973</v>
      </c>
      <c r="L357" s="89">
        <f t="shared" si="91"/>
        <v>0.14688023564359093</v>
      </c>
    </row>
    <row r="358" spans="2:12" x14ac:dyDescent="0.25">
      <c r="B358" s="177" t="str">
        <f>B99</f>
        <v>Corix Energy Inc.</v>
      </c>
      <c r="E358" s="76">
        <f t="shared" si="100"/>
        <v>278752.29944514803</v>
      </c>
      <c r="F358" s="45">
        <f t="shared" si="87"/>
        <v>5.2388738495918472E-3</v>
      </c>
      <c r="G358" s="76">
        <f t="shared" si="101"/>
        <v>68.012264689991682</v>
      </c>
      <c r="H358" s="76">
        <f t="shared" si="101"/>
        <v>0</v>
      </c>
      <c r="I358" s="89">
        <f>IF(Assumptions!$B$14="Gross",'CU Can Data'!G358/'CU Can Data'!$G$360,('CU Can Data'!G358+'CU Can Data'!H358)/('CU Can Data'!$G$360+'CU Can Data'!$H$360))</f>
        <v>5.4736887598470122E-7</v>
      </c>
      <c r="J358" s="108">
        <f t="shared" si="102"/>
        <v>7.7422395557657101E-3</v>
      </c>
      <c r="K358" s="45">
        <f t="shared" si="90"/>
        <v>6.0647341029027965E-5</v>
      </c>
      <c r="L358" s="89">
        <f t="shared" si="91"/>
        <v>1.7666895198322867E-3</v>
      </c>
    </row>
    <row r="359" spans="2:12" x14ac:dyDescent="0.25">
      <c r="E359" s="79"/>
      <c r="F359" s="79"/>
      <c r="G359" s="79"/>
      <c r="H359" s="79"/>
      <c r="I359" s="79"/>
      <c r="J359" s="79"/>
      <c r="K359" s="79"/>
      <c r="L359" s="79"/>
    </row>
    <row r="360" spans="2:12" x14ac:dyDescent="0.25">
      <c r="E360" s="76">
        <f t="shared" ref="E360:L360" si="103">SUM(E318:E359)</f>
        <v>53208438.960000001</v>
      </c>
      <c r="F360" s="65">
        <f t="shared" si="103"/>
        <v>1</v>
      </c>
      <c r="G360" s="76">
        <f t="shared" si="103"/>
        <v>124253072.60599999</v>
      </c>
      <c r="H360" s="76">
        <f t="shared" si="103"/>
        <v>-15131853.49</v>
      </c>
      <c r="I360" s="80">
        <f t="shared" si="103"/>
        <v>1</v>
      </c>
      <c r="J360" s="76">
        <f t="shared" si="103"/>
        <v>127.66</v>
      </c>
      <c r="K360" s="80">
        <f t="shared" si="103"/>
        <v>1</v>
      </c>
      <c r="L360" s="45">
        <f t="shared" si="103"/>
        <v>1.0000000000000004</v>
      </c>
    </row>
    <row r="363" spans="2:12" x14ac:dyDescent="0.25">
      <c r="B363" s="69" t="s">
        <v>137</v>
      </c>
    </row>
    <row r="364" spans="2:12" x14ac:dyDescent="0.25">
      <c r="B364" s="177" t="str">
        <f>B318</f>
        <v>Panorama - Wastewater Treatment Plant</v>
      </c>
      <c r="C364" s="76"/>
      <c r="E364" s="74">
        <f>E318+(L318*$E$315)</f>
        <v>1433503.4983070211</v>
      </c>
      <c r="F364" s="45">
        <f>E364/$E$406</f>
        <v>2.7104157124527031E-2</v>
      </c>
      <c r="G364" s="74">
        <f>G318+(L318*$G$315)</f>
        <v>4602269.6746616382</v>
      </c>
      <c r="H364" s="74">
        <f>H318+(L318*$H$315)</f>
        <v>0</v>
      </c>
      <c r="I364" s="89">
        <f>IF(Assumptions!$B$14="Gross",'CU Can Data'!G364/'CU Can Data'!$G$406,('CU Can Data'!G364+'CU Can Data'!H364)/('CU Can Data'!$G$406+'CU Can Data'!$H$406))</f>
        <v>3.658359176667491E-2</v>
      </c>
      <c r="J364" s="75">
        <f>J318+(L318*$J$315)</f>
        <v>2.0376074539262237</v>
      </c>
      <c r="K364" s="45">
        <f>J364/$J$406</f>
        <v>1.3435364986985521E-2</v>
      </c>
      <c r="L364" s="89">
        <f t="shared" ref="L364:L404" si="104">(F364*$F$194)+(I364*$I$194)+(K364*$K$194)</f>
        <v>2.5707704626062488E-2</v>
      </c>
    </row>
    <row r="365" spans="2:12" x14ac:dyDescent="0.25">
      <c r="B365" s="177" t="str">
        <f t="shared" ref="B365:B404" si="105">B319</f>
        <v>Panorama - Propane Storage Farm</v>
      </c>
      <c r="C365" s="76"/>
      <c r="E365" s="74">
        <f t="shared" ref="E365:E404" si="106">E319+(L319*$E$315)</f>
        <v>604234.51096346532</v>
      </c>
      <c r="F365" s="45">
        <f t="shared" ref="F365:F404" si="107">E365/$E$406</f>
        <v>1.1424643989050041E-2</v>
      </c>
      <c r="G365" s="74">
        <f t="shared" ref="G365:G404" si="108">G319+(L319*$G$315)</f>
        <v>612682.09223645343</v>
      </c>
      <c r="H365" s="74">
        <f t="shared" ref="H365:H404" si="109">H319+(L319*$H$315)</f>
        <v>0</v>
      </c>
      <c r="I365" s="89">
        <f>IF(Assumptions!$B$14="Gross",'CU Can Data'!G365/'CU Can Data'!$G$406,('CU Can Data'!G365+'CU Can Data'!H365)/('CU Can Data'!$G$406+'CU Can Data'!$H$406))</f>
        <v>4.8702299364451248E-3</v>
      </c>
      <c r="J365" s="75">
        <f t="shared" ref="J365:J404" si="110">J319+(L319*$J$315)</f>
        <v>0.50874500900857811</v>
      </c>
      <c r="K365" s="45">
        <f t="shared" ref="K365:K404" si="111">J365/$J$406</f>
        <v>3.354510147755362E-3</v>
      </c>
      <c r="L365" s="89">
        <f t="shared" si="104"/>
        <v>6.5497946910835101E-3</v>
      </c>
    </row>
    <row r="366" spans="2:12" x14ac:dyDescent="0.25">
      <c r="B366" s="177" t="str">
        <f t="shared" si="105"/>
        <v>Panorama - Propane Distribution</v>
      </c>
      <c r="C366" s="76"/>
      <c r="E366" s="74">
        <f t="shared" si="106"/>
        <v>740257.74605995731</v>
      </c>
      <c r="F366" s="45">
        <f t="shared" si="107"/>
        <v>1.3996521309890857E-2</v>
      </c>
      <c r="G366" s="74">
        <f t="shared" si="108"/>
        <v>198585.35749707004</v>
      </c>
      <c r="H366" s="74">
        <f t="shared" si="109"/>
        <v>-153341.78</v>
      </c>
      <c r="I366" s="89">
        <f>IF(Assumptions!$B$14="Gross",'CU Can Data'!G366/'CU Can Data'!$G$406,('CU Can Data'!G366+'CU Can Data'!H366)/('CU Can Data'!$G$406+'CU Can Data'!$H$406))</f>
        <v>1.5785614844584547E-3</v>
      </c>
      <c r="J366" s="75">
        <f t="shared" si="110"/>
        <v>0.47764648199713666</v>
      </c>
      <c r="K366" s="45">
        <f t="shared" si="111"/>
        <v>3.1494559013394222E-3</v>
      </c>
      <c r="L366" s="89">
        <f t="shared" si="104"/>
        <v>6.2415128985629119E-3</v>
      </c>
    </row>
    <row r="367" spans="2:12" x14ac:dyDescent="0.25">
      <c r="B367" s="177" t="str">
        <f t="shared" si="105"/>
        <v>Panorama - Water</v>
      </c>
      <c r="C367" s="76"/>
      <c r="E367" s="74">
        <f t="shared" si="106"/>
        <v>244192.56541850942</v>
      </c>
      <c r="F367" s="45">
        <f t="shared" si="107"/>
        <v>4.6171032505754493E-3</v>
      </c>
      <c r="G367" s="74">
        <f t="shared" si="108"/>
        <v>2138421.1362158577</v>
      </c>
      <c r="H367" s="74">
        <f t="shared" si="109"/>
        <v>-1034346.36</v>
      </c>
      <c r="I367" s="89">
        <f>IF(Assumptions!$B$14="Gross",'CU Can Data'!G367/'CU Can Data'!$G$406,('CU Can Data'!G367+'CU Can Data'!H367)/('CU Can Data'!$G$406+'CU Can Data'!$H$406))</f>
        <v>1.69983793655685E-2</v>
      </c>
      <c r="J367" s="75">
        <f t="shared" si="110"/>
        <v>0.70440621272545001</v>
      </c>
      <c r="K367" s="45">
        <f t="shared" si="111"/>
        <v>4.6446407274525264E-3</v>
      </c>
      <c r="L367" s="89">
        <f t="shared" si="104"/>
        <v>8.7533744478654925E-3</v>
      </c>
    </row>
    <row r="368" spans="2:12" x14ac:dyDescent="0.25">
      <c r="B368" s="177" t="str">
        <f t="shared" si="105"/>
        <v>Panorama - Sewer</v>
      </c>
      <c r="C368" s="76"/>
      <c r="E368" s="74">
        <f t="shared" si="106"/>
        <v>1002903.0417166372</v>
      </c>
      <c r="F368" s="45">
        <f t="shared" si="107"/>
        <v>1.8962521999741872E-2</v>
      </c>
      <c r="G368" s="74">
        <f t="shared" si="108"/>
        <v>1323393.405845847</v>
      </c>
      <c r="H368" s="74">
        <f t="shared" si="109"/>
        <v>-304289.15000000002</v>
      </c>
      <c r="I368" s="89">
        <f>IF(Assumptions!$B$14="Gross",'CU Can Data'!G368/'CU Can Data'!$G$406,('CU Can Data'!G368+'CU Can Data'!H368)/('CU Can Data'!$G$406+'CU Can Data'!$H$406))</f>
        <v>1.0519697351227784E-2</v>
      </c>
      <c r="J368" s="75">
        <f t="shared" si="110"/>
        <v>0.92525818653863068</v>
      </c>
      <c r="K368" s="45">
        <f t="shared" si="111"/>
        <v>6.1008715979073641E-3</v>
      </c>
      <c r="L368" s="89">
        <f t="shared" si="104"/>
        <v>1.1861030316292341E-2</v>
      </c>
    </row>
    <row r="369" spans="2:12" x14ac:dyDescent="0.25">
      <c r="B369" s="177" t="str">
        <f t="shared" si="105"/>
        <v>Sun Rivers - Electric</v>
      </c>
      <c r="C369" s="76"/>
      <c r="E369" s="74">
        <f t="shared" si="106"/>
        <v>1639904.5982490303</v>
      </c>
      <c r="F369" s="45">
        <f t="shared" si="107"/>
        <v>3.1006713239744309E-2</v>
      </c>
      <c r="G369" s="74">
        <f t="shared" si="108"/>
        <v>7561527.2703187047</v>
      </c>
      <c r="H369" s="74">
        <f t="shared" si="109"/>
        <v>-1616399.02</v>
      </c>
      <c r="I369" s="89">
        <f>IF(Assumptions!$B$14="Gross",'CU Can Data'!G369/'CU Can Data'!$G$406,('CU Can Data'!G369+'CU Can Data'!H369)/('CU Can Data'!$G$406+'CU Can Data'!$H$406))</f>
        <v>6.0106826923447723E-2</v>
      </c>
      <c r="J369" s="75">
        <f t="shared" si="110"/>
        <v>1.8830900807539781</v>
      </c>
      <c r="K369" s="45">
        <f t="shared" si="111"/>
        <v>1.2416524335711318E-2</v>
      </c>
      <c r="L369" s="89">
        <f t="shared" si="104"/>
        <v>3.4510021499634454E-2</v>
      </c>
    </row>
    <row r="370" spans="2:12" x14ac:dyDescent="0.25">
      <c r="B370" s="177" t="str">
        <f t="shared" si="105"/>
        <v>Sun Rivers - Gas</v>
      </c>
      <c r="C370" s="76"/>
      <c r="E370" s="74">
        <f t="shared" si="106"/>
        <v>173267.48468455853</v>
      </c>
      <c r="F370" s="45">
        <f t="shared" si="107"/>
        <v>3.2760778993620775E-3</v>
      </c>
      <c r="G370" s="74">
        <f t="shared" si="108"/>
        <v>1051245.6468635551</v>
      </c>
      <c r="H370" s="74">
        <f t="shared" si="109"/>
        <v>-407370</v>
      </c>
      <c r="I370" s="89">
        <f>IF(Assumptions!$B$14="Gross",'CU Can Data'!G370/'CU Can Data'!$G$406,('CU Can Data'!G370+'CU Can Data'!H370)/('CU Can Data'!$G$406+'CU Can Data'!$H$406))</f>
        <v>8.3563859378096676E-3</v>
      </c>
      <c r="J370" s="75">
        <f t="shared" si="110"/>
        <v>0.23097497195247083</v>
      </c>
      <c r="K370" s="45">
        <f t="shared" si="111"/>
        <v>1.522978847108472E-3</v>
      </c>
      <c r="L370" s="89">
        <f t="shared" si="104"/>
        <v>4.38514756142674E-3</v>
      </c>
    </row>
    <row r="371" spans="2:12" x14ac:dyDescent="0.25">
      <c r="B371" s="177" t="str">
        <f t="shared" si="105"/>
        <v>Sun Rivers - Domestic Water</v>
      </c>
      <c r="C371" s="76"/>
      <c r="E371" s="74">
        <f t="shared" si="106"/>
        <v>364254.6885034687</v>
      </c>
      <c r="F371" s="45">
        <f t="shared" si="107"/>
        <v>6.8871937335371275E-3</v>
      </c>
      <c r="G371" s="74">
        <f t="shared" si="108"/>
        <v>3297433.099326178</v>
      </c>
      <c r="H371" s="74">
        <f t="shared" si="109"/>
        <v>-347698</v>
      </c>
      <c r="I371" s="89">
        <f>IF(Assumptions!$B$14="Gross",'CU Can Data'!G371/'CU Can Data'!$G$406,('CU Can Data'!G371+'CU Can Data'!H371)/('CU Can Data'!$G$406+'CU Can Data'!$H$406))</f>
        <v>2.6211403266484905E-2</v>
      </c>
      <c r="J371" s="75">
        <f t="shared" si="110"/>
        <v>0.62354155683578927</v>
      </c>
      <c r="K371" s="45">
        <f t="shared" si="111"/>
        <v>4.11144373490564E-3</v>
      </c>
      <c r="L371" s="89">
        <f t="shared" si="104"/>
        <v>1.2403346911642559E-2</v>
      </c>
    </row>
    <row r="372" spans="2:12" x14ac:dyDescent="0.25">
      <c r="B372" s="177" t="str">
        <f t="shared" si="105"/>
        <v>Sun Rivers - Irrigation Water</v>
      </c>
      <c r="C372" s="76"/>
      <c r="E372" s="74">
        <f t="shared" si="106"/>
        <v>285893.408839882</v>
      </c>
      <c r="F372" s="45">
        <f t="shared" si="107"/>
        <v>5.4055674668491002E-3</v>
      </c>
      <c r="G372" s="74">
        <f t="shared" si="108"/>
        <v>2959823.901550178</v>
      </c>
      <c r="H372" s="74">
        <f t="shared" si="109"/>
        <v>-361322</v>
      </c>
      <c r="I372" s="89">
        <f>IF(Assumptions!$B$14="Gross",'CU Can Data'!G372/'CU Can Data'!$G$406,('CU Can Data'!G372+'CU Can Data'!H372)/('CU Can Data'!$G$406+'CU Can Data'!$H$406))</f>
        <v>2.3527736740789659E-2</v>
      </c>
      <c r="J372" s="75">
        <f t="shared" si="110"/>
        <v>0.53656829472679424</v>
      </c>
      <c r="K372" s="45">
        <f t="shared" si="111"/>
        <v>3.5379684473611653E-3</v>
      </c>
      <c r="L372" s="89">
        <f t="shared" si="104"/>
        <v>1.0823757551666643E-2</v>
      </c>
    </row>
    <row r="373" spans="2:12" x14ac:dyDescent="0.25">
      <c r="B373" s="177" t="str">
        <f t="shared" si="105"/>
        <v>Sun Rivers - Sewer</v>
      </c>
      <c r="C373" s="76"/>
      <c r="E373" s="74">
        <f t="shared" si="106"/>
        <v>315795.07963487168</v>
      </c>
      <c r="F373" s="45">
        <f t="shared" si="107"/>
        <v>5.9709372650187179E-3</v>
      </c>
      <c r="G373" s="74">
        <f t="shared" si="108"/>
        <v>2927115.4890542105</v>
      </c>
      <c r="H373" s="74">
        <f t="shared" si="109"/>
        <v>-300258</v>
      </c>
      <c r="I373" s="89">
        <f>IF(Assumptions!$B$14="Gross",'CU Can Data'!G373/'CU Can Data'!$G$406,('CU Can Data'!G373+'CU Can Data'!H373)/('CU Can Data'!$G$406+'CU Can Data'!$H$406))</f>
        <v>2.3267736502933876E-2</v>
      </c>
      <c r="J373" s="75">
        <f t="shared" si="110"/>
        <v>0.54926100707118586</v>
      </c>
      <c r="K373" s="45">
        <f t="shared" si="111"/>
        <v>3.6216603393853749E-3</v>
      </c>
      <c r="L373" s="89">
        <f t="shared" si="104"/>
        <v>1.095344470244599E-2</v>
      </c>
    </row>
    <row r="374" spans="2:12" x14ac:dyDescent="0.25">
      <c r="B374" s="177" t="str">
        <f t="shared" si="105"/>
        <v>Sun Rivers - Geothermal</v>
      </c>
      <c r="C374" s="76"/>
      <c r="E374" s="74">
        <f t="shared" si="106"/>
        <v>1005323.679254651</v>
      </c>
      <c r="F374" s="45">
        <f t="shared" si="107"/>
        <v>1.9008290524373545E-2</v>
      </c>
      <c r="G374" s="74">
        <f t="shared" si="108"/>
        <v>11355525.60468277</v>
      </c>
      <c r="H374" s="74">
        <f t="shared" si="109"/>
        <v>-2200526</v>
      </c>
      <c r="I374" s="89">
        <f>IF(Assumptions!$B$14="Gross",'CU Can Data'!G374/'CU Can Data'!$G$406,('CU Can Data'!G374+'CU Can Data'!H374)/('CU Can Data'!$G$406+'CU Can Data'!$H$406))</f>
        <v>9.0265443440856394E-2</v>
      </c>
      <c r="J374" s="75">
        <f t="shared" si="110"/>
        <v>2.0070220858959402</v>
      </c>
      <c r="K374" s="45">
        <f t="shared" si="111"/>
        <v>1.3233694355109724E-2</v>
      </c>
      <c r="L374" s="89">
        <f t="shared" si="104"/>
        <v>4.0835809440113224E-2</v>
      </c>
    </row>
    <row r="375" spans="2:12" x14ac:dyDescent="0.25">
      <c r="B375" s="177" t="str">
        <f t="shared" si="105"/>
        <v>Sun Rivers - Municipal</v>
      </c>
      <c r="C375" s="76"/>
      <c r="E375" s="74">
        <f t="shared" si="106"/>
        <v>846754.03526382905</v>
      </c>
      <c r="F375" s="45">
        <f t="shared" si="107"/>
        <v>1.6010113993250041E-2</v>
      </c>
      <c r="G375" s="74">
        <f t="shared" si="108"/>
        <v>8826266.3878871594</v>
      </c>
      <c r="H375" s="74">
        <f t="shared" si="109"/>
        <v>-175667</v>
      </c>
      <c r="I375" s="89">
        <f>IF(Assumptions!$B$14="Gross",'CU Can Data'!G375/'CU Can Data'!$G$406,('CU Can Data'!G375+'CU Can Data'!H375)/('CU Can Data'!$G$406+'CU Can Data'!$H$406))</f>
        <v>7.0160279423897021E-2</v>
      </c>
      <c r="J375" s="75">
        <f t="shared" si="110"/>
        <v>1.596799976563605</v>
      </c>
      <c r="K375" s="45">
        <f t="shared" si="111"/>
        <v>1.0528814298850095E-2</v>
      </c>
      <c r="L375" s="89">
        <f t="shared" si="104"/>
        <v>3.2233069238665722E-2</v>
      </c>
    </row>
    <row r="376" spans="2:12" x14ac:dyDescent="0.25">
      <c r="B376" s="177" t="str">
        <f t="shared" si="105"/>
        <v>Foothills - Wastewater</v>
      </c>
      <c r="C376" s="76"/>
      <c r="E376" s="74">
        <f t="shared" si="106"/>
        <v>902461.46639561316</v>
      </c>
      <c r="F376" s="45">
        <f t="shared" si="107"/>
        <v>1.7063409620489772E-2</v>
      </c>
      <c r="G376" s="74">
        <f t="shared" si="108"/>
        <v>2019399.4561954346</v>
      </c>
      <c r="H376" s="74">
        <f t="shared" si="109"/>
        <v>-189353.8</v>
      </c>
      <c r="I376" s="89">
        <f>IF(Assumptions!$B$14="Gross",'CU Can Data'!G376/'CU Can Data'!$G$406,('CU Can Data'!G376+'CU Can Data'!H376)/('CU Can Data'!$G$406+'CU Can Data'!$H$406))</f>
        <v>1.6052272148682933E-2</v>
      </c>
      <c r="J376" s="75">
        <f t="shared" si="110"/>
        <v>2.4735235738369097</v>
      </c>
      <c r="K376" s="45">
        <f t="shared" si="111"/>
        <v>1.6309663548970791E-2</v>
      </c>
      <c r="L376" s="89">
        <f t="shared" si="104"/>
        <v>1.6475115106047836E-2</v>
      </c>
    </row>
    <row r="377" spans="2:12" x14ac:dyDescent="0.25">
      <c r="B377" s="177" t="str">
        <f t="shared" si="105"/>
        <v>Foothills - Water</v>
      </c>
      <c r="C377" s="76"/>
      <c r="E377" s="74">
        <f t="shared" si="106"/>
        <v>1289202.8635102413</v>
      </c>
      <c r="F377" s="45">
        <f t="shared" si="107"/>
        <v>2.4375773773303955E-2</v>
      </c>
      <c r="G377" s="74">
        <f t="shared" si="108"/>
        <v>3727471.1039294316</v>
      </c>
      <c r="H377" s="74">
        <f t="shared" si="109"/>
        <v>-376811.81</v>
      </c>
      <c r="I377" s="89">
        <f>IF(Assumptions!$B$14="Gross",'CU Can Data'!G377/'CU Can Data'!$G$406,('CU Can Data'!G377+'CU Can Data'!H377)/('CU Can Data'!$G$406+'CU Can Data'!$H$406))</f>
        <v>2.9629789392612453E-2</v>
      </c>
      <c r="J377" s="75">
        <f t="shared" si="110"/>
        <v>4.1091058208042668</v>
      </c>
      <c r="K377" s="45">
        <f t="shared" si="111"/>
        <v>2.7094196365582669E-2</v>
      </c>
      <c r="L377" s="89">
        <f t="shared" si="104"/>
        <v>2.7033253177166365E-2</v>
      </c>
    </row>
    <row r="378" spans="2:12" x14ac:dyDescent="0.25">
      <c r="B378" s="177" t="str">
        <f t="shared" si="105"/>
        <v>Sage Meadows - Wastewater</v>
      </c>
      <c r="C378" s="76"/>
      <c r="E378" s="74">
        <f t="shared" si="106"/>
        <v>47683.088341997718</v>
      </c>
      <c r="F378" s="45">
        <f t="shared" si="107"/>
        <v>9.0157430388593783E-4</v>
      </c>
      <c r="G378" s="74">
        <f t="shared" si="108"/>
        <v>226845.11466440003</v>
      </c>
      <c r="H378" s="74">
        <f t="shared" si="109"/>
        <v>-69338</v>
      </c>
      <c r="I378" s="89">
        <f>IF(Assumptions!$B$14="Gross",'CU Can Data'!G378/'CU Can Data'!$G$406,('CU Can Data'!G378+'CU Can Data'!H378)/('CU Can Data'!$G$406+'CU Can Data'!$H$406))</f>
        <v>1.8031992159949E-3</v>
      </c>
      <c r="J378" s="75">
        <f t="shared" si="110"/>
        <v>2.6560677717462532E-2</v>
      </c>
      <c r="K378" s="45">
        <f t="shared" si="111"/>
        <v>1.7513304574352193E-4</v>
      </c>
      <c r="L378" s="89">
        <f t="shared" si="104"/>
        <v>9.599688552081201E-4</v>
      </c>
    </row>
    <row r="379" spans="2:12" x14ac:dyDescent="0.25">
      <c r="B379" s="177" t="str">
        <f t="shared" si="105"/>
        <v>Sage Meadows - Water</v>
      </c>
      <c r="C379" s="76"/>
      <c r="E379" s="74">
        <f t="shared" si="106"/>
        <v>48267.469178897962</v>
      </c>
      <c r="F379" s="45">
        <f t="shared" si="107"/>
        <v>9.1262356190491929E-4</v>
      </c>
      <c r="G379" s="74">
        <f t="shared" si="108"/>
        <v>124296.2093086364</v>
      </c>
      <c r="H379" s="74">
        <f t="shared" si="109"/>
        <v>-32800</v>
      </c>
      <c r="I379" s="89">
        <f>IF(Assumptions!$B$14="Gross",'CU Can Data'!G379/'CU Can Data'!$G$406,('CU Can Data'!G379+'CU Can Data'!H379)/('CU Can Data'!$G$406+'CU Can Data'!$H$406))</f>
        <v>9.8803462224899825E-4</v>
      </c>
      <c r="J379" s="75">
        <f t="shared" si="110"/>
        <v>1.8526540929213527E-2</v>
      </c>
      <c r="K379" s="45">
        <f t="shared" si="111"/>
        <v>1.2215838671510965E-4</v>
      </c>
      <c r="L379" s="89">
        <f t="shared" si="104"/>
        <v>6.742721902896759E-4</v>
      </c>
    </row>
    <row r="380" spans="2:12" x14ac:dyDescent="0.25">
      <c r="B380" s="177" t="str">
        <f t="shared" si="105"/>
        <v>Canadian Lakeview Estates (in Adventure Bay) - Wastewater</v>
      </c>
      <c r="C380" s="76"/>
      <c r="E380" s="74">
        <f t="shared" si="106"/>
        <v>292829.62353538169</v>
      </c>
      <c r="F380" s="45">
        <f t="shared" si="107"/>
        <v>5.5367148642417865E-3</v>
      </c>
      <c r="G380" s="74">
        <f t="shared" si="108"/>
        <v>296126.80123447714</v>
      </c>
      <c r="H380" s="74">
        <f t="shared" si="109"/>
        <v>0</v>
      </c>
      <c r="I380" s="89">
        <f>IF(Assumptions!$B$14="Gross",'CU Can Data'!G380/'CU Can Data'!$G$406,('CU Can Data'!G380+'CU Can Data'!H380)/('CU Can Data'!$G$406+'CU Can Data'!$H$406))</f>
        <v>2.3539216024601756E-3</v>
      </c>
      <c r="J380" s="75">
        <f t="shared" si="110"/>
        <v>7.6050507004756879E-2</v>
      </c>
      <c r="K380" s="45">
        <f t="shared" si="111"/>
        <v>5.014539562492212E-4</v>
      </c>
      <c r="L380" s="89">
        <f t="shared" si="104"/>
        <v>2.7973634743170615E-3</v>
      </c>
    </row>
    <row r="381" spans="2:12" x14ac:dyDescent="0.25">
      <c r="B381" s="177" t="str">
        <f t="shared" si="105"/>
        <v>Canadian Lakeview Estates (in Adventure Bay) - Water</v>
      </c>
      <c r="C381" s="76"/>
      <c r="E381" s="74">
        <f t="shared" si="106"/>
        <v>281368.38626242097</v>
      </c>
      <c r="F381" s="45">
        <f t="shared" si="107"/>
        <v>5.3200100035597653E-3</v>
      </c>
      <c r="G381" s="74">
        <f t="shared" si="108"/>
        <v>200379.45937426967</v>
      </c>
      <c r="H381" s="74">
        <f t="shared" si="109"/>
        <v>0</v>
      </c>
      <c r="I381" s="89">
        <f>IF(Assumptions!$B$14="Gross",'CU Can Data'!G381/'CU Can Data'!$G$406,('CU Can Data'!G381+'CU Can Data'!H381)/('CU Can Data'!$G$406+'CU Can Data'!$H$406))</f>
        <v>1.5928228588026519E-3</v>
      </c>
      <c r="J381" s="75">
        <f t="shared" si="110"/>
        <v>6.639462359698349E-2</v>
      </c>
      <c r="K381" s="45">
        <f t="shared" si="111"/>
        <v>4.3778599233142227E-4</v>
      </c>
      <c r="L381" s="89">
        <f t="shared" si="104"/>
        <v>2.4502062848979467E-3</v>
      </c>
    </row>
    <row r="382" spans="2:12" x14ac:dyDescent="0.25">
      <c r="B382" s="177" t="str">
        <f t="shared" si="105"/>
        <v>Cultus Lake - Water</v>
      </c>
      <c r="C382" s="76"/>
      <c r="E382" s="74">
        <f t="shared" si="106"/>
        <v>176300.99016316465</v>
      </c>
      <c r="F382" s="45">
        <f t="shared" si="107"/>
        <v>3.3334343056961794E-3</v>
      </c>
      <c r="G382" s="74">
        <f t="shared" si="108"/>
        <v>84538.018782993211</v>
      </c>
      <c r="H382" s="74">
        <f t="shared" si="109"/>
        <v>-33117</v>
      </c>
      <c r="I382" s="89">
        <f>IF(Assumptions!$B$14="Gross",'CU Can Data'!G382/'CU Can Data'!$G$406,('CU Can Data'!G382+'CU Can Data'!H382)/('CU Can Data'!$G$406+'CU Can Data'!$H$406))</f>
        <v>6.7199546887653785E-4</v>
      </c>
      <c r="J382" s="75">
        <f t="shared" si="110"/>
        <v>3.8346458137245278E-2</v>
      </c>
      <c r="K382" s="45">
        <f t="shared" si="111"/>
        <v>2.5284490397761629E-4</v>
      </c>
      <c r="L382" s="89">
        <f t="shared" si="104"/>
        <v>1.4194248928501114E-3</v>
      </c>
    </row>
    <row r="383" spans="2:12" x14ac:dyDescent="0.25">
      <c r="B383" s="177" t="str">
        <f t="shared" si="105"/>
        <v>Cultus Lake - Wastewater</v>
      </c>
      <c r="C383" s="76"/>
      <c r="E383" s="74">
        <f t="shared" si="106"/>
        <v>134631.89338597673</v>
      </c>
      <c r="F383" s="45">
        <f t="shared" si="107"/>
        <v>2.5455703432992536E-3</v>
      </c>
      <c r="G383" s="74">
        <f t="shared" si="108"/>
        <v>320771.8942928561</v>
      </c>
      <c r="H383" s="74">
        <f t="shared" si="109"/>
        <v>-37921.39</v>
      </c>
      <c r="I383" s="89">
        <f>IF(Assumptions!$B$14="Gross",'CU Can Data'!G383/'CU Can Data'!$G$406,('CU Can Data'!G383+'CU Can Data'!H383)/('CU Can Data'!$G$406+'CU Can Data'!$H$406))</f>
        <v>2.5498262510867766E-3</v>
      </c>
      <c r="J383" s="75">
        <f t="shared" si="110"/>
        <v>4.9618189732721661E-2</v>
      </c>
      <c r="K383" s="45">
        <f t="shared" si="111"/>
        <v>3.2716728031598094E-4</v>
      </c>
      <c r="L383" s="89">
        <f t="shared" si="104"/>
        <v>1.8075212915673374E-3</v>
      </c>
    </row>
    <row r="384" spans="2:12" x14ac:dyDescent="0.25">
      <c r="B384" s="177" t="str">
        <f t="shared" si="105"/>
        <v>Sonoma Pines - Electric</v>
      </c>
      <c r="C384" s="76"/>
      <c r="E384" s="74">
        <f t="shared" si="106"/>
        <v>447302.61101895542</v>
      </c>
      <c r="F384" s="45">
        <f t="shared" si="107"/>
        <v>8.457433320244576E-3</v>
      </c>
      <c r="G384" s="74">
        <f t="shared" si="108"/>
        <v>3443501.6235908926</v>
      </c>
      <c r="H384" s="74">
        <f t="shared" si="109"/>
        <v>-2162193.54</v>
      </c>
      <c r="I384" s="89">
        <f>IF(Assumptions!$B$14="Gross",'CU Can Data'!G384/'CU Can Data'!$G$406,('CU Can Data'!G384+'CU Can Data'!H384)/('CU Can Data'!$G$406+'CU Can Data'!$H$406))</f>
        <v>2.7372506730517322E-2</v>
      </c>
      <c r="J384" s="75">
        <f t="shared" si="110"/>
        <v>0.35356825384872437</v>
      </c>
      <c r="K384" s="45">
        <f t="shared" si="111"/>
        <v>2.3313217318259557E-3</v>
      </c>
      <c r="L384" s="89">
        <f t="shared" si="104"/>
        <v>1.2720420594195953E-2</v>
      </c>
    </row>
    <row r="385" spans="2:12" x14ac:dyDescent="0.25">
      <c r="B385" s="177" t="str">
        <f t="shared" si="105"/>
        <v>Sonoma Pines - Gas</v>
      </c>
      <c r="C385" s="76"/>
      <c r="E385" s="74">
        <f t="shared" si="106"/>
        <v>243890.77413358926</v>
      </c>
      <c r="F385" s="45">
        <f t="shared" si="107"/>
        <v>4.6113970919124609E-3</v>
      </c>
      <c r="G385" s="74">
        <f t="shared" si="108"/>
        <v>1050435.9239532084</v>
      </c>
      <c r="H385" s="74">
        <f t="shared" si="109"/>
        <v>-407370</v>
      </c>
      <c r="I385" s="89">
        <f>IF(Assumptions!$B$14="Gross",'CU Can Data'!G385/'CU Can Data'!$G$406,('CU Can Data'!G385+'CU Can Data'!H385)/('CU Can Data'!$G$406+'CU Can Data'!$H$406))</f>
        <v>8.3499494239827315E-3</v>
      </c>
      <c r="J385" s="75">
        <f t="shared" si="110"/>
        <v>0.12713579170821201</v>
      </c>
      <c r="K385" s="45">
        <f t="shared" si="111"/>
        <v>8.3829481543064776E-4</v>
      </c>
      <c r="L385" s="89">
        <f t="shared" si="104"/>
        <v>4.5998804437752802E-3</v>
      </c>
    </row>
    <row r="386" spans="2:12" x14ac:dyDescent="0.25">
      <c r="B386" s="177" t="str">
        <f t="shared" si="105"/>
        <v>Dockside Green - Energy</v>
      </c>
      <c r="E386" s="74">
        <f t="shared" si="106"/>
        <v>531065.29202253115</v>
      </c>
      <c r="F386" s="45">
        <f t="shared" si="107"/>
        <v>1.0041187297666895E-2</v>
      </c>
      <c r="G386" s="74">
        <f t="shared" si="108"/>
        <v>1410616.0701942742</v>
      </c>
      <c r="H386" s="74">
        <f t="shared" si="109"/>
        <v>0</v>
      </c>
      <c r="I386" s="89">
        <f>IF(Assumptions!$B$14="Gross",'CU Can Data'!G386/'CU Can Data'!$G$406,('CU Can Data'!G386+'CU Can Data'!H386)/('CU Can Data'!$G$406+'CU Can Data'!$H$406))</f>
        <v>1.1213033155275201E-2</v>
      </c>
      <c r="J386" s="75">
        <f t="shared" si="110"/>
        <v>0.96808789334843914</v>
      </c>
      <c r="K386" s="45">
        <f t="shared" si="111"/>
        <v>6.3832776826351009E-3</v>
      </c>
      <c r="L386" s="89">
        <f t="shared" si="104"/>
        <v>9.2124993785257341E-3</v>
      </c>
    </row>
    <row r="387" spans="2:12" x14ac:dyDescent="0.25">
      <c r="B387" s="177" t="str">
        <f t="shared" si="105"/>
        <v>Dockside Green  - Wastewater and Admin</v>
      </c>
      <c r="E387" s="74">
        <f t="shared" si="106"/>
        <v>410441.60031974589</v>
      </c>
      <c r="F387" s="45">
        <f t="shared" si="107"/>
        <v>7.7604788817376754E-3</v>
      </c>
      <c r="G387" s="74">
        <f t="shared" si="108"/>
        <v>88798.940108536568</v>
      </c>
      <c r="H387" s="74">
        <f t="shared" si="109"/>
        <v>0</v>
      </c>
      <c r="I387" s="89">
        <f>IF(Assumptions!$B$14="Gross",'CU Can Data'!G387/'CU Can Data'!$G$406,('CU Can Data'!G387+'CU Can Data'!H387)/('CU Can Data'!$G$406+'CU Can Data'!$H$406))</f>
        <v>7.0586567148152931E-4</v>
      </c>
      <c r="J387" s="75">
        <f t="shared" si="110"/>
        <v>6.8154464193476123</v>
      </c>
      <c r="K387" s="45">
        <f t="shared" si="111"/>
        <v>4.4938984698322651E-2</v>
      </c>
      <c r="L387" s="89">
        <f t="shared" si="104"/>
        <v>1.7801776417180622E-2</v>
      </c>
    </row>
    <row r="388" spans="2:12" x14ac:dyDescent="0.25">
      <c r="B388" s="177" t="str">
        <f t="shared" si="105"/>
        <v>West Shore Environmental Services</v>
      </c>
      <c r="E388" s="74">
        <f t="shared" si="106"/>
        <v>20483030.791725814</v>
      </c>
      <c r="F388" s="45">
        <f t="shared" si="107"/>
        <v>0.38728561571082887</v>
      </c>
      <c r="G388" s="74">
        <f>G342+(L342*$G$315)</f>
        <v>34169202.545759678</v>
      </c>
      <c r="H388" s="74">
        <f t="shared" si="109"/>
        <v>0</v>
      </c>
      <c r="I388" s="89">
        <f>IF(Assumptions!$B$14="Gross",'CU Can Data'!G388/'CU Can Data'!$G$406,('CU Can Data'!G388+'CU Can Data'!H388)/('CU Can Data'!$G$406+'CU Can Data'!$H$406))</f>
        <v>0.27161210561152183</v>
      </c>
      <c r="J388" s="75">
        <f t="shared" si="110"/>
        <v>11.765816430081282</v>
      </c>
      <c r="K388" s="45">
        <f t="shared" si="111"/>
        <v>7.7580221746546774E-2</v>
      </c>
      <c r="L388" s="89">
        <f t="shared" si="104"/>
        <v>0.24549264768963253</v>
      </c>
    </row>
    <row r="389" spans="2:12" x14ac:dyDescent="0.25">
      <c r="B389" s="177" t="str">
        <f t="shared" si="105"/>
        <v>Rise</v>
      </c>
      <c r="E389" s="74">
        <f t="shared" si="106"/>
        <v>66009.8419377932</v>
      </c>
      <c r="F389" s="45">
        <f t="shared" si="107"/>
        <v>1.2480898231222528E-3</v>
      </c>
      <c r="G389" s="74">
        <f t="shared" si="108"/>
        <v>719388.68975622952</v>
      </c>
      <c r="H389" s="74">
        <f t="shared" si="109"/>
        <v>-154102</v>
      </c>
      <c r="I389" s="89">
        <f>IF(Assumptions!$B$14="Gross",'CU Can Data'!G389/'CU Can Data'!$G$406,('CU Can Data'!G389+'CU Can Data'!H389)/('CU Can Data'!$G$406+'CU Can Data'!$H$406))</f>
        <v>5.7184441608237463E-3</v>
      </c>
      <c r="J389" s="75">
        <f t="shared" si="110"/>
        <v>6.8941109010338605E-2</v>
      </c>
      <c r="K389" s="45">
        <f t="shared" si="111"/>
        <v>4.5457674410087444E-4</v>
      </c>
      <c r="L389" s="89">
        <f t="shared" si="104"/>
        <v>2.4737035760156248E-3</v>
      </c>
    </row>
    <row r="390" spans="2:12" x14ac:dyDescent="0.25">
      <c r="B390" s="177" t="str">
        <f t="shared" si="105"/>
        <v>UBC</v>
      </c>
      <c r="E390" s="74">
        <f t="shared" si="106"/>
        <v>992104.59933212656</v>
      </c>
      <c r="F390" s="45">
        <f t="shared" si="107"/>
        <v>1.8758349021136943E-2</v>
      </c>
      <c r="G390" s="74">
        <f t="shared" si="108"/>
        <v>10801326.307459395</v>
      </c>
      <c r="H390" s="74">
        <f t="shared" si="109"/>
        <v>0</v>
      </c>
      <c r="I390" s="89">
        <f>IF(Assumptions!$B$14="Gross",'CU Can Data'!G390/'CU Can Data'!$G$406,('CU Can Data'!G390+'CU Can Data'!H390)/('CU Can Data'!$G$406+'CU Can Data'!$H$406))</f>
        <v>8.5860095149637744E-2</v>
      </c>
      <c r="J390" s="75">
        <f t="shared" si="110"/>
        <v>3.7272578151470626</v>
      </c>
      <c r="K390" s="45">
        <f t="shared" si="111"/>
        <v>2.4576406535322851E-2</v>
      </c>
      <c r="L390" s="89">
        <f t="shared" si="104"/>
        <v>4.3064950235365849E-2</v>
      </c>
    </row>
    <row r="391" spans="2:12" x14ac:dyDescent="0.25">
      <c r="B391" s="177" t="str">
        <f t="shared" si="105"/>
        <v>SFU UniverCity</v>
      </c>
      <c r="E391" s="74">
        <f t="shared" si="106"/>
        <v>1161008.3950159445</v>
      </c>
      <c r="F391" s="45">
        <f t="shared" si="107"/>
        <v>2.1951919893164713E-2</v>
      </c>
      <c r="G391" s="74">
        <f t="shared" si="108"/>
        <v>7587712.3003952466</v>
      </c>
      <c r="H391" s="74">
        <f t="shared" si="109"/>
        <v>-1352028.74</v>
      </c>
      <c r="I391" s="89">
        <f>IF(Assumptions!$B$14="Gross",'CU Can Data'!G391/'CU Can Data'!$G$406,('CU Can Data'!G391+'CU Can Data'!H391)/('CU Can Data'!$G$406+'CU Can Data'!$H$406))</f>
        <v>6.0314972581663358E-2</v>
      </c>
      <c r="J391" s="75">
        <f t="shared" si="110"/>
        <v>3.1746593572502233</v>
      </c>
      <c r="K391" s="45">
        <f t="shared" si="111"/>
        <v>2.093274005835569E-2</v>
      </c>
      <c r="L391" s="89">
        <f t="shared" si="104"/>
        <v>3.4399877511061258E-2</v>
      </c>
    </row>
    <row r="392" spans="2:12" x14ac:dyDescent="0.25">
      <c r="B392" s="177" t="str">
        <f t="shared" si="105"/>
        <v>SFU Biomass</v>
      </c>
      <c r="E392" s="74">
        <f t="shared" si="106"/>
        <v>0</v>
      </c>
      <c r="F392" s="45">
        <f t="shared" si="107"/>
        <v>0</v>
      </c>
      <c r="G392" s="74">
        <f t="shared" si="108"/>
        <v>0</v>
      </c>
      <c r="H392" s="74">
        <f t="shared" si="109"/>
        <v>0</v>
      </c>
      <c r="I392" s="89">
        <f>IF(Assumptions!$B$14="Gross",'CU Can Data'!G392/'CU Can Data'!$G$406,('CU Can Data'!G392+'CU Can Data'!H392)/('CU Can Data'!$G$406+'CU Can Data'!$H$406))</f>
        <v>0</v>
      </c>
      <c r="J392" s="75">
        <f t="shared" si="110"/>
        <v>0</v>
      </c>
      <c r="K392" s="45">
        <f t="shared" si="111"/>
        <v>0</v>
      </c>
      <c r="L392" s="89">
        <f t="shared" si="104"/>
        <v>0</v>
      </c>
    </row>
    <row r="393" spans="2:12" x14ac:dyDescent="0.25">
      <c r="B393" s="177" t="str">
        <f t="shared" si="105"/>
        <v>Riverport</v>
      </c>
      <c r="E393" s="74">
        <f t="shared" si="106"/>
        <v>376249.87080080953</v>
      </c>
      <c r="F393" s="45">
        <f t="shared" si="107"/>
        <v>7.1139942304375113E-3</v>
      </c>
      <c r="G393" s="74">
        <f t="shared" si="108"/>
        <v>424403.08795202931</v>
      </c>
      <c r="H393" s="74">
        <f t="shared" si="109"/>
        <v>-244214.99</v>
      </c>
      <c r="I393" s="89">
        <f>IF(Assumptions!$B$14="Gross",'CU Can Data'!G393/'CU Can Data'!$G$406,('CU Can Data'!G393+'CU Can Data'!H393)/('CU Can Data'!$G$406+'CU Can Data'!$H$406))</f>
        <v>3.373593989859962E-3</v>
      </c>
      <c r="J393" s="75">
        <f t="shared" si="110"/>
        <v>0.1012010437380067</v>
      </c>
      <c r="K393" s="45">
        <f t="shared" si="111"/>
        <v>6.6728896042467841E-4</v>
      </c>
      <c r="L393" s="89">
        <f t="shared" si="104"/>
        <v>3.7182923935740507E-3</v>
      </c>
    </row>
    <row r="394" spans="2:12" x14ac:dyDescent="0.25">
      <c r="B394" s="177" t="str">
        <f t="shared" si="105"/>
        <v>RG GAAP - Related to LIEC</v>
      </c>
      <c r="E394" s="74">
        <f t="shared" si="106"/>
        <v>521407.95574551797</v>
      </c>
      <c r="F394" s="45">
        <f t="shared" si="107"/>
        <v>9.8585899338197221E-3</v>
      </c>
      <c r="G394" s="74">
        <f t="shared" si="108"/>
        <v>8674.5314445138683</v>
      </c>
      <c r="H394" s="74">
        <f t="shared" si="109"/>
        <v>0</v>
      </c>
      <c r="I394" s="89">
        <f>IF(Assumptions!$B$14="Gross",'CU Can Data'!G394/'CU Can Data'!$G$406,('CU Can Data'!G394+'CU Can Data'!H394)/('CU Can Data'!$G$406+'CU Can Data'!$H$406))</f>
        <v>6.8954133409535932E-5</v>
      </c>
      <c r="J394" s="75">
        <f t="shared" si="110"/>
        <v>0.62710572776753148</v>
      </c>
      <c r="K394" s="45">
        <f t="shared" si="111"/>
        <v>4.1349447960406941E-3</v>
      </c>
      <c r="L394" s="89">
        <f t="shared" si="104"/>
        <v>4.6874962877566512E-3</v>
      </c>
    </row>
    <row r="395" spans="2:12" x14ac:dyDescent="0.25">
      <c r="B395" s="177" t="str">
        <f t="shared" si="105"/>
        <v>LIEC</v>
      </c>
      <c r="E395" s="74">
        <f t="shared" si="106"/>
        <v>1285216.0059584887</v>
      </c>
      <c r="F395" s="45">
        <f t="shared" si="107"/>
        <v>2.4300391736466632E-2</v>
      </c>
      <c r="G395" s="74">
        <f t="shared" si="108"/>
        <v>9923833.7610103507</v>
      </c>
      <c r="H395" s="74">
        <f t="shared" si="109"/>
        <v>-2764014.91</v>
      </c>
      <c r="I395" s="89">
        <f>IF(Assumptions!$B$14="Gross",'CU Can Data'!G395/'CU Can Data'!$G$406,('CU Can Data'!G395+'CU Can Data'!H395)/('CU Can Data'!$G$406+'CU Can Data'!$H$406))</f>
        <v>7.8884878274726566E-2</v>
      </c>
      <c r="J395" s="75">
        <f t="shared" si="110"/>
        <v>3.8724632446530292</v>
      </c>
      <c r="K395" s="45">
        <f t="shared" si="111"/>
        <v>2.5533847056923579E-2</v>
      </c>
      <c r="L395" s="89">
        <f t="shared" si="104"/>
        <v>4.2906372356038926E-2</v>
      </c>
    </row>
    <row r="396" spans="2:12" x14ac:dyDescent="0.25">
      <c r="B396" s="177" t="str">
        <f t="shared" si="105"/>
        <v>Beaver Barracks</v>
      </c>
      <c r="E396" s="74">
        <f t="shared" si="106"/>
        <v>250774.65648173474</v>
      </c>
      <c r="F396" s="45">
        <f t="shared" si="107"/>
        <v>4.7415550085211384E-3</v>
      </c>
      <c r="G396" s="74">
        <f t="shared" si="108"/>
        <v>1193254.4687212778</v>
      </c>
      <c r="H396" s="74">
        <f t="shared" si="109"/>
        <v>0</v>
      </c>
      <c r="I396" s="89">
        <f>IF(Assumptions!$B$14="Gross",'CU Can Data'!G396/'CU Can Data'!$G$406,('CU Can Data'!G396+'CU Can Data'!H396)/('CU Can Data'!$G$406+'CU Can Data'!$H$406))</f>
        <v>9.4852186949842768E-3</v>
      </c>
      <c r="J396" s="75">
        <f t="shared" si="110"/>
        <v>0.58100149434089066</v>
      </c>
      <c r="K396" s="45">
        <f t="shared" si="111"/>
        <v>3.830947476861999E-3</v>
      </c>
      <c r="L396" s="89">
        <f t="shared" si="104"/>
        <v>6.0192403934558047E-3</v>
      </c>
    </row>
    <row r="397" spans="2:12" x14ac:dyDescent="0.25">
      <c r="B397" s="177" t="str">
        <f t="shared" si="105"/>
        <v>Coastal Ops</v>
      </c>
      <c r="E397" s="74">
        <f t="shared" si="106"/>
        <v>761442.7444307874</v>
      </c>
      <c r="F397" s="45">
        <f t="shared" si="107"/>
        <v>1.4397079470511996E-2</v>
      </c>
      <c r="G397" s="74">
        <f t="shared" si="108"/>
        <v>55585.825714147984</v>
      </c>
      <c r="H397" s="74">
        <f t="shared" si="109"/>
        <v>0</v>
      </c>
      <c r="I397" s="89">
        <f>IF(Assumptions!$B$14="Gross",'CU Can Data'!G397/'CU Can Data'!$G$406,('CU Can Data'!G397+'CU Can Data'!H397)/('CU Can Data'!$G$406+'CU Can Data'!$H$406))</f>
        <v>4.4185354177217722E-4</v>
      </c>
      <c r="J397" s="75">
        <f t="shared" si="110"/>
        <v>7.6706173608383912</v>
      </c>
      <c r="K397" s="45">
        <f t="shared" si="111"/>
        <v>5.0577722279034634E-2</v>
      </c>
      <c r="L397" s="89">
        <f t="shared" si="104"/>
        <v>2.180555176377294E-2</v>
      </c>
    </row>
    <row r="398" spans="2:12" x14ac:dyDescent="0.25">
      <c r="B398" s="177" t="str">
        <f t="shared" si="105"/>
        <v>Island Ops</v>
      </c>
      <c r="E398" s="74">
        <f t="shared" si="106"/>
        <v>13113.480112922436</v>
      </c>
      <c r="F398" s="45">
        <f t="shared" si="107"/>
        <v>2.4794486085996691E-4</v>
      </c>
      <c r="G398" s="74">
        <f t="shared" si="108"/>
        <v>132.15668723678704</v>
      </c>
      <c r="H398" s="74">
        <f t="shared" si="109"/>
        <v>0</v>
      </c>
      <c r="I398" s="89">
        <f>IF(Assumptions!$B$14="Gross",'CU Can Data'!G398/'CU Can Data'!$G$406,('CU Can Data'!G398+'CU Can Data'!H398)/('CU Can Data'!$G$406+'CU Can Data'!$H$406))</f>
        <v>1.0505178177031115E-6</v>
      </c>
      <c r="J398" s="75">
        <f t="shared" si="110"/>
        <v>2.3636815595948755E-3</v>
      </c>
      <c r="K398" s="45">
        <f t="shared" si="111"/>
        <v>1.5585398652214664E-5</v>
      </c>
      <c r="L398" s="89">
        <f t="shared" si="104"/>
        <v>8.8193592443294903E-5</v>
      </c>
    </row>
    <row r="399" spans="2:12" x14ac:dyDescent="0.25">
      <c r="B399" s="177" t="str">
        <f t="shared" si="105"/>
        <v>Kamloops Ops</v>
      </c>
      <c r="E399" s="74">
        <f t="shared" si="106"/>
        <v>1280959.626102336</v>
      </c>
      <c r="F399" s="45">
        <f t="shared" si="107"/>
        <v>2.4219913670986443E-2</v>
      </c>
      <c r="G399" s="74">
        <f t="shared" si="108"/>
        <v>97116.223398479488</v>
      </c>
      <c r="H399" s="74">
        <f t="shared" si="109"/>
        <v>0</v>
      </c>
      <c r="I399" s="89">
        <f>IF(Assumptions!$B$14="Gross",'CU Can Data'!G399/'CU Can Data'!$G$406,('CU Can Data'!G399+'CU Can Data'!H399)/('CU Can Data'!$G$406+'CU Can Data'!$H$406))</f>
        <v>7.7198002765719795E-4</v>
      </c>
      <c r="J399" s="75">
        <f t="shared" si="110"/>
        <v>10.994096829105008</v>
      </c>
      <c r="K399" s="45">
        <f t="shared" si="111"/>
        <v>7.249173697154826E-2</v>
      </c>
      <c r="L399" s="89">
        <f t="shared" si="104"/>
        <v>3.2494543556730635E-2</v>
      </c>
    </row>
    <row r="400" spans="2:12" x14ac:dyDescent="0.25">
      <c r="B400" s="177" t="str">
        <f t="shared" si="105"/>
        <v>Kootenay Ops</v>
      </c>
      <c r="E400" s="74">
        <f t="shared" si="106"/>
        <v>709491.29660351959</v>
      </c>
      <c r="F400" s="45">
        <f t="shared" si="107"/>
        <v>1.3414800594722776E-2</v>
      </c>
      <c r="G400" s="74">
        <f t="shared" si="108"/>
        <v>47056.661640314058</v>
      </c>
      <c r="H400" s="74">
        <f t="shared" si="109"/>
        <v>0</v>
      </c>
      <c r="I400" s="89">
        <f>IF(Assumptions!$B$14="Gross",'CU Can Data'!G400/'CU Can Data'!$G$406,('CU Can Data'!G400+'CU Can Data'!H400)/('CU Can Data'!$G$406+'CU Can Data'!$H$406))</f>
        <v>3.7405493833395716E-4</v>
      </c>
      <c r="J400" s="75">
        <f t="shared" si="110"/>
        <v>9.8119223997033096</v>
      </c>
      <c r="K400" s="45">
        <f t="shared" si="111"/>
        <v>6.4696837661237711E-2</v>
      </c>
      <c r="L400" s="89">
        <f t="shared" si="104"/>
        <v>2.6161897731431481E-2</v>
      </c>
    </row>
    <row r="401" spans="2:12" x14ac:dyDescent="0.25">
      <c r="B401" s="177" t="str">
        <f t="shared" si="105"/>
        <v>Alberta Ops (North)</v>
      </c>
      <c r="E401" s="74">
        <f t="shared" si="106"/>
        <v>2192269.2549079903</v>
      </c>
      <c r="F401" s="45">
        <f t="shared" si="107"/>
        <v>4.1450621093336013E-2</v>
      </c>
      <c r="G401" s="74">
        <f t="shared" si="108"/>
        <v>268078.04658314015</v>
      </c>
      <c r="H401" s="74">
        <f t="shared" si="109"/>
        <v>0</v>
      </c>
      <c r="I401" s="89">
        <f>IF(Assumptions!$B$14="Gross",'CU Can Data'!G401/'CU Can Data'!$G$406,('CU Can Data'!G401+'CU Can Data'!H401)/('CU Can Data'!$G$406+'CU Can Data'!$H$406))</f>
        <v>2.1309611368061118E-3</v>
      </c>
      <c r="J401" s="75">
        <f t="shared" si="110"/>
        <v>11.338609248916629</v>
      </c>
      <c r="K401" s="45">
        <f t="shared" si="111"/>
        <v>7.4763347282847364E-2</v>
      </c>
      <c r="L401" s="89">
        <f t="shared" si="104"/>
        <v>3.9448309837663169E-2</v>
      </c>
    </row>
    <row r="402" spans="2:12" x14ac:dyDescent="0.25">
      <c r="B402" s="177" t="str">
        <f t="shared" si="105"/>
        <v>Alberta Ops (South)</v>
      </c>
      <c r="E402" s="74">
        <f t="shared" si="106"/>
        <v>2331577.0625043754</v>
      </c>
      <c r="F402" s="45">
        <f t="shared" si="107"/>
        <v>4.4084601903445701E-2</v>
      </c>
      <c r="G402" s="74">
        <f t="shared" si="108"/>
        <v>105708.27119566026</v>
      </c>
      <c r="H402" s="74">
        <f t="shared" si="109"/>
        <v>0</v>
      </c>
      <c r="I402" s="89">
        <f>IF(Assumptions!$B$14="Gross",'CU Can Data'!G402/'CU Can Data'!$G$406,('CU Can Data'!G402+'CU Can Data'!H402)/('CU Can Data'!$G$406+'CU Can Data'!$H$406))</f>
        <v>8.402784958635248E-4</v>
      </c>
      <c r="J402" s="75">
        <f t="shared" si="110"/>
        <v>17.469813417283511</v>
      </c>
      <c r="K402" s="45">
        <f t="shared" si="111"/>
        <v>0.11519064629621202</v>
      </c>
      <c r="L402" s="89">
        <f t="shared" si="104"/>
        <v>5.3371842231840425E-2</v>
      </c>
    </row>
    <row r="403" spans="2:12" x14ac:dyDescent="0.25">
      <c r="B403" s="177" t="str">
        <f t="shared" si="105"/>
        <v>Corix Water Services Inc. (See note)</v>
      </c>
      <c r="E403" s="74">
        <f t="shared" si="106"/>
        <v>6724121.5721041234</v>
      </c>
      <c r="F403" s="45">
        <f t="shared" si="107"/>
        <v>0.12713721859065744</v>
      </c>
      <c r="G403" s="74">
        <f t="shared" si="108"/>
        <v>549725.32426308969</v>
      </c>
      <c r="H403" s="74">
        <f t="shared" si="109"/>
        <v>-407370</v>
      </c>
      <c r="I403" s="89">
        <f>IF(Assumptions!$B$14="Gross",'CU Can Data'!G403/'CU Can Data'!$G$406,('CU Can Data'!G403+'CU Can Data'!H403)/('CU Can Data'!$G$406+'CU Can Data'!$H$406))</f>
        <v>4.3697845342195053E-3</v>
      </c>
      <c r="J403" s="75">
        <f t="shared" si="110"/>
        <v>43.200701984565129</v>
      </c>
      <c r="K403" s="45">
        <f t="shared" si="111"/>
        <v>0.28485231428567281</v>
      </c>
      <c r="L403" s="89">
        <f t="shared" si="104"/>
        <v>0.13878643913684993</v>
      </c>
    </row>
    <row r="404" spans="2:12" x14ac:dyDescent="0.25">
      <c r="B404" s="177" t="str">
        <f t="shared" si="105"/>
        <v>Corix Energy Inc.</v>
      </c>
      <c r="E404" s="74">
        <f t="shared" si="106"/>
        <v>278187.41107131878</v>
      </c>
      <c r="F404" s="45">
        <f t="shared" si="107"/>
        <v>5.2598652941183996E-3</v>
      </c>
      <c r="G404" s="74">
        <f t="shared" si="108"/>
        <v>2803.5522501715659</v>
      </c>
      <c r="H404" s="74">
        <f t="shared" si="109"/>
        <v>0</v>
      </c>
      <c r="I404" s="89">
        <f>IF(Assumptions!$B$14="Gross",'CU Can Data'!G404/'CU Can Data'!$G$406,('CU Can Data'!G404+'CU Can Data'!H404)/('CU Can Data'!$G$406+'CU Can Data'!$H$406))</f>
        <v>2.2285528286510065E-5</v>
      </c>
      <c r="J404" s="75">
        <f t="shared" si="110"/>
        <v>5.014278803174059E-2</v>
      </c>
      <c r="K404" s="45">
        <f t="shared" si="111"/>
        <v>3.3062632224542136E-4</v>
      </c>
      <c r="L404" s="89">
        <f t="shared" si="104"/>
        <v>1.870925714883444E-3</v>
      </c>
    </row>
    <row r="405" spans="2:12" x14ac:dyDescent="0.25">
      <c r="E405" s="79"/>
      <c r="F405" s="79"/>
      <c r="G405" s="79"/>
      <c r="H405" s="79"/>
      <c r="I405" s="79"/>
      <c r="J405" s="79"/>
      <c r="K405" s="79"/>
      <c r="L405" s="88"/>
    </row>
    <row r="406" spans="2:12" x14ac:dyDescent="0.25">
      <c r="E406" s="76">
        <f t="shared" ref="E406:L406" si="112">SUM(E364:E405)</f>
        <v>52888694.960000008</v>
      </c>
      <c r="F406" s="65">
        <f t="shared" si="112"/>
        <v>0.99999999999999967</v>
      </c>
      <c r="G406" s="76">
        <f t="shared" si="112"/>
        <v>125801471.436</v>
      </c>
      <c r="H406" s="76">
        <f t="shared" si="112"/>
        <v>-15131853.49</v>
      </c>
      <c r="I406" s="80">
        <f t="shared" si="112"/>
        <v>1.0000000000000002</v>
      </c>
      <c r="J406" s="76">
        <f t="shared" si="112"/>
        <v>151.65999999999997</v>
      </c>
      <c r="K406" s="80">
        <f t="shared" si="112"/>
        <v>1.0000000000000002</v>
      </c>
      <c r="L406" s="45">
        <f t="shared" si="112"/>
        <v>1.0000000000000002</v>
      </c>
    </row>
    <row r="408" spans="2:12" x14ac:dyDescent="0.25">
      <c r="B408" s="177" t="s">
        <v>96</v>
      </c>
      <c r="E408" s="76">
        <f>E406-E360-E315</f>
        <v>7.4505805969238281E-9</v>
      </c>
      <c r="G408" s="76">
        <f>G406-G360-G315</f>
        <v>1.3271346688270569E-8</v>
      </c>
      <c r="J408" s="76">
        <f>J406-J360-J315</f>
        <v>-2.8421709430404007E-14</v>
      </c>
    </row>
    <row r="409" spans="2:12" x14ac:dyDescent="0.25">
      <c r="B409" s="177" t="s">
        <v>154</v>
      </c>
      <c r="E409" s="76">
        <f>E406-E104</f>
        <v>0</v>
      </c>
      <c r="G409" s="76">
        <f>G406-I104</f>
        <v>0</v>
      </c>
      <c r="H409" s="76">
        <f>H406-J104</f>
        <v>0</v>
      </c>
      <c r="J409" s="76">
        <f>J406-M104</f>
        <v>0</v>
      </c>
    </row>
  </sheetData>
  <mergeCells count="72">
    <mergeCell ref="B1:C1"/>
    <mergeCell ref="B4:B5"/>
    <mergeCell ref="C4:C5"/>
    <mergeCell ref="D4:D5"/>
    <mergeCell ref="I4:I5"/>
    <mergeCell ref="K4:K5"/>
    <mergeCell ref="L4:L5"/>
    <mergeCell ref="M4:M5"/>
    <mergeCell ref="B52:B53"/>
    <mergeCell ref="C52:C53"/>
    <mergeCell ref="D52:D53"/>
    <mergeCell ref="I52:I53"/>
    <mergeCell ref="J52:J53"/>
    <mergeCell ref="K52:K53"/>
    <mergeCell ref="L52:L53"/>
    <mergeCell ref="J4:J5"/>
    <mergeCell ref="M52:M53"/>
    <mergeCell ref="N52:N53"/>
    <mergeCell ref="B126:B127"/>
    <mergeCell ref="C126:C127"/>
    <mergeCell ref="D126:D127"/>
    <mergeCell ref="G126:G127"/>
    <mergeCell ref="H126:H127"/>
    <mergeCell ref="I126:I127"/>
    <mergeCell ref="J126:J127"/>
    <mergeCell ref="K126:K127"/>
    <mergeCell ref="L126:L127"/>
    <mergeCell ref="B147:B148"/>
    <mergeCell ref="C147:C148"/>
    <mergeCell ref="D147:D148"/>
    <mergeCell ref="G147:G148"/>
    <mergeCell ref="H147:H148"/>
    <mergeCell ref="I147:I148"/>
    <mergeCell ref="J147:J148"/>
    <mergeCell ref="K147:K148"/>
    <mergeCell ref="L147:L148"/>
    <mergeCell ref="J173:J174"/>
    <mergeCell ref="K173:K174"/>
    <mergeCell ref="L173:L174"/>
    <mergeCell ref="I173:I174"/>
    <mergeCell ref="B197:B198"/>
    <mergeCell ref="C197:C198"/>
    <mergeCell ref="D197:D198"/>
    <mergeCell ref="G197:G198"/>
    <mergeCell ref="H197:H198"/>
    <mergeCell ref="B173:B174"/>
    <mergeCell ref="C173:C174"/>
    <mergeCell ref="D173:D174"/>
    <mergeCell ref="G173:G174"/>
    <mergeCell ref="H173:H174"/>
    <mergeCell ref="K197:K198"/>
    <mergeCell ref="L197:L198"/>
    <mergeCell ref="B278:B279"/>
    <mergeCell ref="C278:C279"/>
    <mergeCell ref="D278:D279"/>
    <mergeCell ref="G278:G279"/>
    <mergeCell ref="H278:H279"/>
    <mergeCell ref="I278:I279"/>
    <mergeCell ref="J278:J279"/>
    <mergeCell ref="K278:K279"/>
    <mergeCell ref="L278:L279"/>
    <mergeCell ref="I197:I198"/>
    <mergeCell ref="J197:J198"/>
    <mergeCell ref="I309:I310"/>
    <mergeCell ref="J309:J310"/>
    <mergeCell ref="K309:K310"/>
    <mergeCell ref="L309:L310"/>
    <mergeCell ref="B309:B310"/>
    <mergeCell ref="C309:C310"/>
    <mergeCell ref="D309:D310"/>
    <mergeCell ref="G309:G310"/>
    <mergeCell ref="H309:H310"/>
  </mergeCells>
  <pageMargins left="0.7" right="0.7" top="0.75" bottom="0.75" header="0.3" footer="0.3"/>
  <pageSetup scale="33" fitToHeight="4" orientation="landscape" horizontalDpi="90" verticalDpi="90"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sheetPr>
  <dimension ref="A1"/>
  <sheetViews>
    <sheetView workbookViewId="0">
      <selection activeCell="M24" sqref="M24"/>
    </sheetView>
  </sheetViews>
  <sheetFormatPr defaultRowHeight="15" x14ac:dyDescent="0.25"/>
  <cols>
    <col min="1" max="16384" width="9.140625" style="177"/>
  </cols>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K26"/>
  <sheetViews>
    <sheetView workbookViewId="0">
      <selection activeCell="N36" sqref="N36"/>
    </sheetView>
  </sheetViews>
  <sheetFormatPr defaultRowHeight="15" x14ac:dyDescent="0.25"/>
  <cols>
    <col min="1" max="1" width="21.5703125" customWidth="1"/>
    <col min="2" max="2" width="11.140625" customWidth="1"/>
    <col min="4" max="4" width="11.5703125" customWidth="1"/>
  </cols>
  <sheetData>
    <row r="1" spans="1:11" s="68" customFormat="1" x14ac:dyDescent="0.25">
      <c r="A1" s="1" t="s">
        <v>155</v>
      </c>
      <c r="B1" s="130">
        <v>43921</v>
      </c>
    </row>
    <row r="2" spans="1:11" x14ac:dyDescent="0.25">
      <c r="A2" s="1" t="s">
        <v>138</v>
      </c>
    </row>
    <row r="4" spans="1:11" x14ac:dyDescent="0.25">
      <c r="A4" t="s">
        <v>68</v>
      </c>
      <c r="B4" s="250">
        <v>1.3442000000000001</v>
      </c>
      <c r="C4" t="s">
        <v>119</v>
      </c>
      <c r="F4" s="217" t="s">
        <v>395</v>
      </c>
    </row>
    <row r="5" spans="1:11" x14ac:dyDescent="0.25">
      <c r="B5" s="250">
        <v>1.4187000000000001</v>
      </c>
      <c r="C5" t="s">
        <v>115</v>
      </c>
      <c r="F5" s="217" t="s">
        <v>395</v>
      </c>
      <c r="K5" s="177" t="s">
        <v>216</v>
      </c>
    </row>
    <row r="7" spans="1:11" x14ac:dyDescent="0.25">
      <c r="A7" t="s">
        <v>101</v>
      </c>
    </row>
    <row r="9" spans="1:11" x14ac:dyDescent="0.25">
      <c r="A9" t="s">
        <v>63</v>
      </c>
      <c r="B9" s="36">
        <v>0.33333333333333337</v>
      </c>
    </row>
    <row r="10" spans="1:11" x14ac:dyDescent="0.25">
      <c r="A10" t="s">
        <v>70</v>
      </c>
      <c r="B10" s="36">
        <v>0.33333333333333337</v>
      </c>
    </row>
    <row r="11" spans="1:11" x14ac:dyDescent="0.25">
      <c r="A11" t="s">
        <v>69</v>
      </c>
      <c r="B11" s="40">
        <v>0.33333333333333337</v>
      </c>
    </row>
    <row r="12" spans="1:11" x14ac:dyDescent="0.25">
      <c r="B12" s="42">
        <f>SUM(B9:B11)</f>
        <v>1</v>
      </c>
    </row>
    <row r="13" spans="1:11" x14ac:dyDescent="0.25">
      <c r="B13" s="41"/>
    </row>
    <row r="14" spans="1:11" x14ac:dyDescent="0.25">
      <c r="A14" t="s">
        <v>102</v>
      </c>
      <c r="B14" s="300" t="s">
        <v>103</v>
      </c>
      <c r="C14" s="43" t="s">
        <v>159</v>
      </c>
      <c r="E14" t="s">
        <v>212</v>
      </c>
    </row>
    <row r="15" spans="1:11" x14ac:dyDescent="0.25">
      <c r="B15" s="301"/>
    </row>
    <row r="16" spans="1:11" x14ac:dyDescent="0.25">
      <c r="A16" t="s">
        <v>111</v>
      </c>
      <c r="B16" s="300" t="s">
        <v>112</v>
      </c>
      <c r="C16" s="43" t="s">
        <v>105</v>
      </c>
    </row>
    <row r="17" spans="1:3" x14ac:dyDescent="0.25">
      <c r="B17" s="301"/>
    </row>
    <row r="18" spans="1:3" x14ac:dyDescent="0.25">
      <c r="A18" t="s">
        <v>130</v>
      </c>
      <c r="B18" s="36">
        <v>0.02</v>
      </c>
      <c r="C18" t="s">
        <v>131</v>
      </c>
    </row>
    <row r="19" spans="1:3" x14ac:dyDescent="0.25">
      <c r="B19" s="36"/>
    </row>
    <row r="20" spans="1:3" ht="13.35" customHeight="1" x14ac:dyDescent="0.25">
      <c r="A20" t="s">
        <v>160</v>
      </c>
      <c r="B20" s="36">
        <v>0.06</v>
      </c>
      <c r="C20" t="s">
        <v>163</v>
      </c>
    </row>
    <row r="22" spans="1:3" x14ac:dyDescent="0.25">
      <c r="A22" t="s">
        <v>103</v>
      </c>
    </row>
    <row r="23" spans="1:3" x14ac:dyDescent="0.25">
      <c r="A23" t="s">
        <v>104</v>
      </c>
    </row>
    <row r="25" spans="1:3" x14ac:dyDescent="0.25">
      <c r="A25" t="s">
        <v>112</v>
      </c>
    </row>
    <row r="26" spans="1:3" x14ac:dyDescent="0.25">
      <c r="A26" t="s">
        <v>113</v>
      </c>
    </row>
  </sheetData>
  <dataValidations count="2">
    <dataValidation type="list" allowBlank="1" showInputMessage="1" showErrorMessage="1" sqref="B14" xr:uid="{00000000-0002-0000-0300-000000000000}">
      <formula1>$A$22:$A$23</formula1>
    </dataValidation>
    <dataValidation type="list" allowBlank="1" showInputMessage="1" showErrorMessage="1" sqref="B16" xr:uid="{00000000-0002-0000-0300-000001000000}">
      <formula1>$A$25:$A$26</formula1>
    </dataValidation>
  </dataValidations>
  <pageMargins left="0.7" right="0.7" top="0.75" bottom="0.75" header="0.3" footer="0.3"/>
  <pageSetup scale="86"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E61"/>
  <sheetViews>
    <sheetView workbookViewId="0">
      <selection activeCell="F9" sqref="F9"/>
    </sheetView>
  </sheetViews>
  <sheetFormatPr defaultRowHeight="15" x14ac:dyDescent="0.25"/>
  <cols>
    <col min="1" max="1" width="21.7109375" style="177" customWidth="1"/>
    <col min="2" max="2" width="12.5703125" style="177" bestFit="1" customWidth="1"/>
    <col min="3" max="3" width="9.140625" style="177"/>
    <col min="4" max="4" width="11.5703125" style="177" customWidth="1"/>
    <col min="5" max="16384" width="9.140625" style="177"/>
  </cols>
  <sheetData>
    <row r="1" spans="1:5" x14ac:dyDescent="0.25">
      <c r="A1" s="1" t="s">
        <v>155</v>
      </c>
      <c r="B1" s="130"/>
    </row>
    <row r="2" spans="1:5" x14ac:dyDescent="0.25">
      <c r="A2" s="1" t="s">
        <v>138</v>
      </c>
    </row>
    <row r="4" spans="1:5" x14ac:dyDescent="0.25">
      <c r="A4" s="177" t="s">
        <v>68</v>
      </c>
      <c r="B4" s="587">
        <v>1.3291999999999999</v>
      </c>
      <c r="C4" s="177" t="s">
        <v>1039</v>
      </c>
    </row>
    <row r="5" spans="1:5" x14ac:dyDescent="0.25">
      <c r="B5" s="587">
        <v>1.27</v>
      </c>
      <c r="C5" s="177" t="s">
        <v>115</v>
      </c>
      <c r="E5" s="139" t="s">
        <v>803</v>
      </c>
    </row>
    <row r="7" spans="1:5" x14ac:dyDescent="0.25">
      <c r="A7" s="177" t="s">
        <v>101</v>
      </c>
    </row>
    <row r="9" spans="1:5" x14ac:dyDescent="0.25">
      <c r="A9" s="177" t="s">
        <v>63</v>
      </c>
      <c r="B9" s="36">
        <v>0.33333333333333337</v>
      </c>
    </row>
    <row r="10" spans="1:5" x14ac:dyDescent="0.25">
      <c r="A10" s="177" t="s">
        <v>70</v>
      </c>
      <c r="B10" s="36">
        <v>0.33333333333333337</v>
      </c>
    </row>
    <row r="11" spans="1:5" x14ac:dyDescent="0.25">
      <c r="A11" s="177" t="s">
        <v>69</v>
      </c>
      <c r="B11" s="40">
        <v>0.33333333333333337</v>
      </c>
    </row>
    <row r="12" spans="1:5" x14ac:dyDescent="0.25">
      <c r="B12" s="42">
        <f>SUM(B9:B11)</f>
        <v>1</v>
      </c>
    </row>
    <row r="13" spans="1:5" x14ac:dyDescent="0.25">
      <c r="B13" s="41"/>
    </row>
    <row r="14" spans="1:5" x14ac:dyDescent="0.25">
      <c r="A14" s="177" t="s">
        <v>102</v>
      </c>
      <c r="B14" s="588" t="s">
        <v>103</v>
      </c>
      <c r="C14" s="43" t="s">
        <v>159</v>
      </c>
    </row>
    <row r="15" spans="1:5" x14ac:dyDescent="0.25">
      <c r="B15" s="41"/>
    </row>
    <row r="16" spans="1:5" x14ac:dyDescent="0.25">
      <c r="A16" s="177" t="s">
        <v>111</v>
      </c>
      <c r="B16" s="588" t="s">
        <v>112</v>
      </c>
      <c r="C16" s="43" t="s">
        <v>105</v>
      </c>
    </row>
    <row r="17" spans="1:3" x14ac:dyDescent="0.25">
      <c r="B17" s="41"/>
    </row>
    <row r="18" spans="1:3" x14ac:dyDescent="0.25">
      <c r="A18" s="177" t="s">
        <v>130</v>
      </c>
      <c r="B18" s="36">
        <v>0.02</v>
      </c>
      <c r="C18" s="177" t="s">
        <v>131</v>
      </c>
    </row>
    <row r="19" spans="1:3" x14ac:dyDescent="0.25">
      <c r="B19" s="36"/>
    </row>
    <row r="20" spans="1:3" ht="13.15" customHeight="1" x14ac:dyDescent="0.25">
      <c r="A20" s="177" t="s">
        <v>160</v>
      </c>
      <c r="B20" s="36">
        <v>0.06</v>
      </c>
      <c r="C20" s="177" t="s">
        <v>163</v>
      </c>
    </row>
    <row r="21" spans="1:3" ht="13.15" customHeight="1" x14ac:dyDescent="0.25">
      <c r="B21" s="36"/>
    </row>
    <row r="22" spans="1:3" ht="13.15" customHeight="1" x14ac:dyDescent="0.25">
      <c r="A22" s="177" t="s">
        <v>804</v>
      </c>
    </row>
    <row r="23" spans="1:3" x14ac:dyDescent="0.25">
      <c r="A23" s="177" t="s">
        <v>805</v>
      </c>
    </row>
    <row r="24" spans="1:3" ht="3" customHeight="1" x14ac:dyDescent="0.25"/>
    <row r="25" spans="1:3" x14ac:dyDescent="0.25">
      <c r="A25" s="177" t="s">
        <v>806</v>
      </c>
    </row>
    <row r="26" spans="1:3" x14ac:dyDescent="0.25">
      <c r="A26" s="177" t="s">
        <v>807</v>
      </c>
    </row>
    <row r="57" spans="1:1" x14ac:dyDescent="0.25">
      <c r="A57" s="177" t="s">
        <v>103</v>
      </c>
    </row>
    <row r="58" spans="1:1" x14ac:dyDescent="0.25">
      <c r="A58" s="177" t="s">
        <v>104</v>
      </c>
    </row>
    <row r="60" spans="1:1" x14ac:dyDescent="0.25">
      <c r="A60" s="177" t="s">
        <v>112</v>
      </c>
    </row>
    <row r="61" spans="1:1" x14ac:dyDescent="0.25">
      <c r="A61" s="177" t="s">
        <v>113</v>
      </c>
    </row>
  </sheetData>
  <dataValidations count="2">
    <dataValidation type="list" allowBlank="1" showInputMessage="1" showErrorMessage="1" sqref="B16" xr:uid="{00000000-0002-0000-2700-000000000000}">
      <formula1>$A$60:$A$61</formula1>
    </dataValidation>
    <dataValidation type="list" allowBlank="1" showInputMessage="1" showErrorMessage="1" sqref="B14" xr:uid="{00000000-0002-0000-2700-000001000000}">
      <formula1>$A$57:$A$58</formula1>
    </dataValidation>
  </dataValidations>
  <pageMargins left="0.7" right="0.7" top="0.75" bottom="0.75" header="0.3" footer="0.3"/>
  <pageSetup scale="86"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69"/>
  <sheetViews>
    <sheetView zoomScale="85" zoomScaleNormal="85" workbookViewId="0">
      <pane xSplit="2" ySplit="4" topLeftCell="D5" activePane="bottomRight" state="frozen"/>
      <selection activeCell="E27" sqref="E27"/>
      <selection pane="topRight" activeCell="E27" sqref="E27"/>
      <selection pane="bottomLeft" activeCell="E27" sqref="E27"/>
      <selection pane="bottomRight" activeCell="V36" sqref="V36"/>
    </sheetView>
  </sheetViews>
  <sheetFormatPr defaultRowHeight="15" outlineLevelRow="1" outlineLevelCol="1" x14ac:dyDescent="0.25"/>
  <cols>
    <col min="1" max="1" width="4.7109375" style="446" customWidth="1"/>
    <col min="2" max="2" width="42.28515625" style="446" customWidth="1"/>
    <col min="3" max="4" width="16.7109375" style="446" customWidth="1" outlineLevel="1"/>
    <col min="5" max="5" width="16.85546875" style="446" customWidth="1" outlineLevel="1"/>
    <col min="6" max="6" width="16.7109375" style="448" customWidth="1" outlineLevel="1"/>
    <col min="7" max="7" width="15.85546875" style="446" customWidth="1" outlineLevel="1"/>
    <col min="8" max="9" width="16.7109375" style="446" customWidth="1" outlineLevel="1"/>
    <col min="10" max="16" width="10.28515625" style="446" customWidth="1" outlineLevel="1"/>
    <col min="17" max="18" width="9.140625" style="446" customWidth="1" outlineLevel="1"/>
    <col min="19" max="19" width="13.7109375" style="449" bestFit="1" customWidth="1"/>
    <col min="20" max="20" width="10.5703125" style="446" bestFit="1" customWidth="1"/>
    <col min="21" max="21" width="9.140625" style="446"/>
    <col min="22" max="22" width="14.85546875" style="1265" bestFit="1" customWidth="1"/>
    <col min="23" max="23" width="12.28515625" style="1265" bestFit="1" customWidth="1"/>
    <col min="24" max="16384" width="9.140625" style="446"/>
  </cols>
  <sheetData>
    <row r="1" spans="1:23" x14ac:dyDescent="0.25">
      <c r="A1" s="446" t="s">
        <v>441</v>
      </c>
      <c r="B1" s="447"/>
    </row>
    <row r="2" spans="1:23" ht="19.5" thickBot="1" x14ac:dyDescent="0.35">
      <c r="B2" s="450" t="s">
        <v>410</v>
      </c>
    </row>
    <row r="3" spans="1:23" ht="16.5" thickBot="1" x14ac:dyDescent="0.3">
      <c r="B3" s="451"/>
      <c r="C3" s="452"/>
      <c r="D3" s="452"/>
      <c r="E3" s="452"/>
      <c r="F3" s="453"/>
      <c r="G3" s="452"/>
      <c r="J3" s="1344" t="s">
        <v>443</v>
      </c>
      <c r="K3" s="1345"/>
      <c r="L3" s="1345"/>
      <c r="M3" s="1345"/>
      <c r="N3" s="1345"/>
      <c r="O3" s="1345"/>
      <c r="P3" s="1345"/>
      <c r="Q3" s="1345"/>
      <c r="R3" s="1345"/>
      <c r="S3" s="454" t="s">
        <v>0</v>
      </c>
    </row>
    <row r="4" spans="1:23" ht="15.75" thickBot="1" x14ac:dyDescent="0.3">
      <c r="B4" s="447" t="s">
        <v>461</v>
      </c>
      <c r="C4" s="455" t="s">
        <v>444</v>
      </c>
      <c r="D4" s="455" t="s">
        <v>462</v>
      </c>
      <c r="E4" s="455" t="s">
        <v>446</v>
      </c>
      <c r="F4" s="456" t="s">
        <v>447</v>
      </c>
      <c r="G4" s="457"/>
      <c r="H4" s="457" t="s">
        <v>463</v>
      </c>
      <c r="J4" s="458" t="s">
        <v>449</v>
      </c>
      <c r="K4" s="459" t="s">
        <v>450</v>
      </c>
      <c r="L4" s="459" t="s">
        <v>464</v>
      </c>
      <c r="M4" s="459" t="s">
        <v>465</v>
      </c>
      <c r="N4" s="459" t="s">
        <v>466</v>
      </c>
      <c r="O4" s="459" t="s">
        <v>467</v>
      </c>
      <c r="P4" s="459" t="s">
        <v>468</v>
      </c>
      <c r="Q4" s="460"/>
      <c r="R4" s="461"/>
      <c r="S4" s="462" t="s">
        <v>447</v>
      </c>
      <c r="V4" s="73" t="s">
        <v>1136</v>
      </c>
      <c r="W4" s="73" t="s">
        <v>1140</v>
      </c>
    </row>
    <row r="5" spans="1:23" x14ac:dyDescent="0.25">
      <c r="B5" s="463" t="s">
        <v>469</v>
      </c>
      <c r="C5" s="464">
        <f>-'CII (3)'!C219-'CII (3)'!C210</f>
        <v>300285.67999999993</v>
      </c>
      <c r="D5" s="465">
        <f>'CII (3)'!C234</f>
        <v>1176.24</v>
      </c>
      <c r="E5" s="465"/>
      <c r="F5" s="466">
        <f t="shared" ref="F5:F17" si="0">SUM(C5:E5)</f>
        <v>301461.91999999993</v>
      </c>
      <c r="H5" s="467"/>
      <c r="J5" s="468">
        <v>-301461.92</v>
      </c>
      <c r="K5" s="468"/>
      <c r="L5" s="468"/>
      <c r="M5" s="468"/>
      <c r="N5" s="468"/>
      <c r="O5" s="468"/>
      <c r="P5" s="443"/>
      <c r="S5" s="469">
        <f t="shared" ref="S5:S17" si="1">F5+SUM(J5:P5)</f>
        <v>0</v>
      </c>
      <c r="V5" s="1265">
        <f>F5/'Assumptions (3)'!$B$4</f>
        <v>226799.51850737282</v>
      </c>
      <c r="W5" s="1265">
        <f>SUM(J5:P5)/'Assumptions (3)'!$B$4</f>
        <v>-226799.51850737285</v>
      </c>
    </row>
    <row r="6" spans="1:23" x14ac:dyDescent="0.25">
      <c r="B6" s="444" t="s">
        <v>470</v>
      </c>
      <c r="C6" s="465">
        <f>-'CII (3)'!E219-'CII (3)'!E210</f>
        <v>79978.540000000023</v>
      </c>
      <c r="D6" s="465">
        <f>'CII (3)'!E234</f>
        <v>1221.78</v>
      </c>
      <c r="E6" s="465"/>
      <c r="F6" s="466">
        <f t="shared" si="0"/>
        <v>81200.320000000022</v>
      </c>
      <c r="J6" s="468"/>
      <c r="K6" s="468">
        <f>-'CII (3)'!E76</f>
        <v>-7967.46</v>
      </c>
      <c r="L6" s="468"/>
      <c r="M6" s="468"/>
      <c r="N6" s="468"/>
      <c r="O6" s="468"/>
      <c r="P6" s="443">
        <f>-'CII (3)'!E122</f>
        <v>-6096.8</v>
      </c>
      <c r="S6" s="469">
        <f t="shared" si="1"/>
        <v>67136.060000000027</v>
      </c>
      <c r="V6" s="1265">
        <f>F6/'Assumptions (3)'!$B$4</f>
        <v>61089.617815227226</v>
      </c>
      <c r="W6" s="1265">
        <f>SUM(J6:P6)/'Assumptions (3)'!$B$4</f>
        <v>-10580.996087872405</v>
      </c>
    </row>
    <row r="7" spans="1:23" x14ac:dyDescent="0.25">
      <c r="B7" s="444" t="s">
        <v>471</v>
      </c>
      <c r="C7" s="465">
        <f>-'CII (3)'!F219-'CII (3)'!F210-C8</f>
        <v>819190.91</v>
      </c>
      <c r="D7" s="465">
        <f>'CII (3)'!F234</f>
        <v>61810.369999999995</v>
      </c>
      <c r="E7" s="470">
        <f>-8472.3-8472.31-8472.3-3011.45-3011.46-3011.45</f>
        <v>-34451.269999999997</v>
      </c>
      <c r="F7" s="466">
        <f t="shared" si="0"/>
        <v>846550.01</v>
      </c>
      <c r="J7" s="468"/>
      <c r="K7" s="468">
        <f>-'CII (3)'!F76</f>
        <v>-100</v>
      </c>
      <c r="L7" s="468">
        <f>-'CII (3)'!F159-'CII (3)'!F160</f>
        <v>-2200</v>
      </c>
      <c r="M7" s="468">
        <f>-N53</f>
        <v>-10176</v>
      </c>
      <c r="N7" s="468"/>
      <c r="O7" s="468"/>
      <c r="P7" s="443">
        <f>-'CII (3)'!F161-'CII (3)'!F163</f>
        <v>-16600.55</v>
      </c>
      <c r="S7" s="469">
        <f t="shared" si="1"/>
        <v>817473.46</v>
      </c>
      <c r="V7" s="1265">
        <f>F7/'Assumptions (3)'!$B$4</f>
        <v>636886.8567559435</v>
      </c>
      <c r="W7" s="1265">
        <f>SUM(J7:P7)/'Assumptions (3)'!$B$4</f>
        <v>-21875.225699668976</v>
      </c>
    </row>
    <row r="8" spans="1:23" x14ac:dyDescent="0.25">
      <c r="B8" s="444" t="s">
        <v>472</v>
      </c>
      <c r="C8" s="465">
        <f>'CII (3)'!F137</f>
        <v>145066.17000000001</v>
      </c>
      <c r="D8" s="465"/>
      <c r="E8" s="465">
        <v>-45131.644444444442</v>
      </c>
      <c r="F8" s="471">
        <f t="shared" si="0"/>
        <v>99934.525555555563</v>
      </c>
      <c r="J8" s="468"/>
      <c r="K8" s="468"/>
      <c r="L8" s="468"/>
      <c r="M8" s="468"/>
      <c r="N8" s="468"/>
      <c r="O8" s="468">
        <f>-T62</f>
        <v>-5333</v>
      </c>
      <c r="P8" s="443"/>
      <c r="S8" s="469">
        <f t="shared" si="1"/>
        <v>94601.525555555563</v>
      </c>
      <c r="V8" s="1265">
        <f>F8/'Assumptions (3)'!$B$4</f>
        <v>75183.964456481772</v>
      </c>
      <c r="W8" s="1265">
        <f>SUM(J8:P8)/'Assumptions (3)'!$B$4</f>
        <v>-4012.1877821245862</v>
      </c>
    </row>
    <row r="9" spans="1:23" x14ac:dyDescent="0.25">
      <c r="B9" s="444" t="s">
        <v>473</v>
      </c>
      <c r="C9" s="465">
        <f>-'CII (3)'!H219-'CII (3)'!H210</f>
        <v>931046.36</v>
      </c>
      <c r="D9" s="465">
        <f>'CII (3)'!H234</f>
        <v>6141.57</v>
      </c>
      <c r="E9" s="465"/>
      <c r="F9" s="466">
        <f t="shared" si="0"/>
        <v>937187.92999999993</v>
      </c>
      <c r="J9" s="468"/>
      <c r="K9" s="468">
        <f>-'CII (3)'!H74</f>
        <v>-5.34</v>
      </c>
      <c r="L9" s="468"/>
      <c r="M9" s="468">
        <f>-N54-N55</f>
        <v>-7874</v>
      </c>
      <c r="N9" s="468"/>
      <c r="O9" s="468">
        <f>-S62</f>
        <v>-53715</v>
      </c>
      <c r="P9" s="443"/>
      <c r="S9" s="469">
        <f t="shared" si="1"/>
        <v>875593.59</v>
      </c>
      <c r="V9" s="1265">
        <f>F9/'Assumptions (3)'!$B$4</f>
        <v>705076.68522419501</v>
      </c>
      <c r="W9" s="1265">
        <f>SUM(J9:P9)/'Assumptions (3)'!$B$4</f>
        <v>-46339.407162202828</v>
      </c>
    </row>
    <row r="10" spans="1:23" x14ac:dyDescent="0.25">
      <c r="B10" s="444" t="s">
        <v>474</v>
      </c>
      <c r="C10" s="465">
        <f>-'CII (3)'!J219-'CII (3)'!J210</f>
        <v>148925.12999999998</v>
      </c>
      <c r="D10" s="465">
        <f>'CII (3)'!J234</f>
        <v>2229.65</v>
      </c>
      <c r="E10" s="465"/>
      <c r="F10" s="466">
        <f t="shared" si="0"/>
        <v>151154.77999999997</v>
      </c>
      <c r="J10" s="468"/>
      <c r="K10" s="468"/>
      <c r="L10" s="468"/>
      <c r="M10" s="468"/>
      <c r="N10" s="468"/>
      <c r="P10" s="443"/>
      <c r="S10" s="469">
        <f t="shared" si="1"/>
        <v>151154.77999999997</v>
      </c>
      <c r="V10" s="1265">
        <f>F10/'Assumptions (3)'!$B$4</f>
        <v>113718.61269936802</v>
      </c>
      <c r="W10" s="1265">
        <f>SUM(J10:P10)/'Assumptions (3)'!$B$4</f>
        <v>0</v>
      </c>
    </row>
    <row r="11" spans="1:23" x14ac:dyDescent="0.25">
      <c r="B11" s="444" t="s">
        <v>475</v>
      </c>
      <c r="C11" s="465">
        <f>-'CII (3)'!O219-'CII (3)'!O210</f>
        <v>279659.57</v>
      </c>
      <c r="D11" s="465">
        <f>'CII (3)'!O234</f>
        <v>606.33000000000004</v>
      </c>
      <c r="E11" s="465"/>
      <c r="F11" s="466">
        <f t="shared" si="0"/>
        <v>280265.90000000002</v>
      </c>
      <c r="J11" s="468"/>
      <c r="K11" s="468"/>
      <c r="L11" s="468"/>
      <c r="M11" s="468"/>
      <c r="N11" s="468">
        <f>-S60</f>
        <v>-11404.5</v>
      </c>
      <c r="O11" s="468"/>
      <c r="P11" s="443">
        <f>-'CII (3)'!O154-'CII (3)'!O158+(1551.06)</f>
        <v>-34797.89</v>
      </c>
      <c r="S11" s="469">
        <f t="shared" si="1"/>
        <v>234063.51</v>
      </c>
      <c r="V11" s="1265">
        <f>F11/'Assumptions (3)'!$B$4</f>
        <v>210853.06951549806</v>
      </c>
      <c r="W11" s="1265">
        <f>SUM(J11:P11)/'Assumptions (3)'!$B$4</f>
        <v>-34759.547095997594</v>
      </c>
    </row>
    <row r="12" spans="1:23" x14ac:dyDescent="0.25">
      <c r="B12" s="463" t="s">
        <v>476</v>
      </c>
      <c r="C12" s="472">
        <f>-'CII (3)'!R219-'CII (3)'!R210</f>
        <v>209592.38</v>
      </c>
      <c r="D12" s="465">
        <f>'CII (3)'!R234</f>
        <v>396.72</v>
      </c>
      <c r="E12" s="465"/>
      <c r="F12" s="466">
        <f t="shared" si="0"/>
        <v>209989.1</v>
      </c>
      <c r="J12" s="468"/>
      <c r="K12" s="468"/>
      <c r="L12" s="468"/>
      <c r="M12" s="468">
        <f>-N56-N57</f>
        <v>-5772.5</v>
      </c>
      <c r="N12" s="468"/>
      <c r="O12" s="468"/>
      <c r="P12" s="443"/>
      <c r="S12" s="469">
        <f t="shared" si="1"/>
        <v>204216.6</v>
      </c>
      <c r="V12" s="1265">
        <f>F12/'Assumptions (3)'!$B$4</f>
        <v>157981.56786036715</v>
      </c>
      <c r="W12" s="1265">
        <f>SUM(J12:P12)/'Assumptions (3)'!$B$4</f>
        <v>-4342.8377971712307</v>
      </c>
    </row>
    <row r="13" spans="1:23" x14ac:dyDescent="0.25">
      <c r="B13" s="463" t="s">
        <v>477</v>
      </c>
      <c r="C13" s="465">
        <f>-'CII (3)'!S219-'CII (3)'!S210</f>
        <v>46796.380000000005</v>
      </c>
      <c r="D13" s="465">
        <f>'CII (3)'!S234</f>
        <v>362.89</v>
      </c>
      <c r="E13" s="465"/>
      <c r="F13" s="466">
        <f t="shared" si="0"/>
        <v>47159.270000000004</v>
      </c>
      <c r="H13" s="446" t="s">
        <v>478</v>
      </c>
      <c r="J13" s="468"/>
      <c r="K13" s="468"/>
      <c r="L13" s="468"/>
      <c r="M13" s="468"/>
      <c r="N13" s="468"/>
      <c r="O13" s="468"/>
      <c r="P13" s="443"/>
      <c r="S13" s="469">
        <f t="shared" si="1"/>
        <v>47159.270000000004</v>
      </c>
      <c r="V13" s="1265">
        <f>F13/'Assumptions (3)'!$B$4</f>
        <v>35479.438760156489</v>
      </c>
      <c r="W13" s="1265">
        <f>SUM(J13:P13)/'Assumptions (3)'!$B$4</f>
        <v>0</v>
      </c>
    </row>
    <row r="14" spans="1:23" x14ac:dyDescent="0.25">
      <c r="B14" s="463" t="s">
        <v>479</v>
      </c>
      <c r="C14" s="465">
        <f>-'CII (3)'!T219-'CII (3)'!T210</f>
        <v>18700.78</v>
      </c>
      <c r="D14" s="465">
        <f>'CII (3)'!T234</f>
        <v>708.63</v>
      </c>
      <c r="E14" s="465"/>
      <c r="F14" s="466">
        <f t="shared" si="0"/>
        <v>19409.41</v>
      </c>
      <c r="J14" s="468"/>
      <c r="K14" s="468"/>
      <c r="L14" s="468"/>
      <c r="M14" s="468"/>
      <c r="N14" s="468"/>
      <c r="O14" s="468"/>
      <c r="P14" s="443"/>
      <c r="S14" s="469">
        <f t="shared" si="1"/>
        <v>19409.41</v>
      </c>
      <c r="V14" s="1265">
        <f>F14/'Assumptions (3)'!$B$4</f>
        <v>14602.324706590431</v>
      </c>
      <c r="W14" s="1265">
        <f>SUM(J14:P14)/'Assumptions (3)'!$B$4</f>
        <v>0</v>
      </c>
    </row>
    <row r="15" spans="1:23" x14ac:dyDescent="0.25">
      <c r="B15" s="463" t="s">
        <v>480</v>
      </c>
      <c r="C15" s="465">
        <f>-'CII (3)'!V219-'CII (3)'!V210</f>
        <v>44090.5</v>
      </c>
      <c r="D15" s="465">
        <f>'CII (3)'!V234</f>
        <v>0</v>
      </c>
      <c r="E15" s="465"/>
      <c r="F15" s="466">
        <f t="shared" si="0"/>
        <v>44090.5</v>
      </c>
      <c r="H15" s="473"/>
      <c r="J15" s="468">
        <v>-44090.5</v>
      </c>
      <c r="K15" s="468"/>
      <c r="L15" s="468"/>
      <c r="M15" s="468"/>
      <c r="N15" s="468"/>
      <c r="O15" s="468"/>
      <c r="P15" s="443"/>
      <c r="S15" s="469">
        <f t="shared" si="1"/>
        <v>0</v>
      </c>
      <c r="V15" s="1265">
        <f>F15/'Assumptions (3)'!$B$4</f>
        <v>33170.704182967202</v>
      </c>
      <c r="W15" s="1265">
        <f>SUM(J15:P15)/'Assumptions (3)'!$B$4</f>
        <v>-33170.704182967202</v>
      </c>
    </row>
    <row r="16" spans="1:23" x14ac:dyDescent="0.25">
      <c r="B16" s="463" t="s">
        <v>481</v>
      </c>
      <c r="C16" s="465">
        <f>-'CII (3)'!W219-'CII (3)'!W210</f>
        <v>343331.16000000003</v>
      </c>
      <c r="D16" s="465">
        <f>'CII (3)'!W234</f>
        <v>684.47</v>
      </c>
      <c r="E16" s="465"/>
      <c r="F16" s="466">
        <f t="shared" si="0"/>
        <v>344015.63</v>
      </c>
      <c r="J16" s="468">
        <v>-344015.63</v>
      </c>
      <c r="K16" s="468"/>
      <c r="L16" s="468"/>
      <c r="M16" s="468"/>
      <c r="N16" s="468"/>
      <c r="O16" s="468"/>
      <c r="P16" s="443"/>
      <c r="S16" s="469">
        <f t="shared" si="1"/>
        <v>0</v>
      </c>
      <c r="V16" s="1265">
        <f>F16/'Assumptions (3)'!$B$4</f>
        <v>258814.04604273249</v>
      </c>
      <c r="W16" s="1265">
        <f>SUM(J16:P16)/'Assumptions (3)'!$B$4</f>
        <v>-258814.04604273249</v>
      </c>
    </row>
    <row r="17" spans="2:23" x14ac:dyDescent="0.25">
      <c r="B17" s="463" t="s">
        <v>482</v>
      </c>
      <c r="C17" s="465"/>
      <c r="D17" s="465"/>
      <c r="E17" s="465"/>
      <c r="F17" s="466">
        <f t="shared" si="0"/>
        <v>0</v>
      </c>
      <c r="J17" s="468"/>
      <c r="K17" s="468"/>
      <c r="L17" s="468"/>
      <c r="M17" s="468"/>
      <c r="N17" s="468"/>
      <c r="O17" s="468"/>
      <c r="P17" s="443"/>
      <c r="S17" s="469">
        <f t="shared" si="1"/>
        <v>0</v>
      </c>
      <c r="V17" s="1265">
        <f>F17/'Assumptions (3)'!$B$4</f>
        <v>0</v>
      </c>
      <c r="W17" s="1265">
        <f>SUM(J17:P17)/'Assumptions (3)'!$B$4</f>
        <v>0</v>
      </c>
    </row>
    <row r="18" spans="2:23" ht="15.75" thickBot="1" x14ac:dyDescent="0.3">
      <c r="B18" s="474" t="s">
        <v>483</v>
      </c>
      <c r="C18" s="475">
        <f>SUM(C5:C17)</f>
        <v>3366663.5599999991</v>
      </c>
      <c r="D18" s="475">
        <f>SUM(D5:D17)</f>
        <v>75338.649999999994</v>
      </c>
      <c r="E18" s="475">
        <f>SUM(E5:E17)</f>
        <v>-79582.914444444439</v>
      </c>
      <c r="F18" s="476">
        <f>SUM(F5:F17)</f>
        <v>3362419.2955555553</v>
      </c>
      <c r="H18" s="477"/>
      <c r="J18" s="468"/>
      <c r="K18" s="468"/>
      <c r="L18" s="468"/>
      <c r="M18" s="468"/>
      <c r="N18" s="468"/>
      <c r="O18" s="468"/>
      <c r="P18" s="443"/>
    </row>
    <row r="19" spans="2:23" x14ac:dyDescent="0.25">
      <c r="B19" s="478"/>
      <c r="C19" s="479"/>
      <c r="D19" s="480"/>
      <c r="F19" s="481" t="s">
        <v>484</v>
      </c>
      <c r="J19" s="468"/>
      <c r="K19" s="468"/>
      <c r="L19" s="468"/>
      <c r="M19" s="468"/>
      <c r="N19" s="468"/>
      <c r="O19" s="468"/>
      <c r="P19" s="443"/>
      <c r="S19" s="482"/>
    </row>
    <row r="20" spans="2:23" x14ac:dyDescent="0.25">
      <c r="B20" s="483" t="s">
        <v>485</v>
      </c>
      <c r="C20" s="484"/>
      <c r="G20" s="477"/>
      <c r="J20" s="468"/>
      <c r="K20" s="468"/>
      <c r="L20" s="468"/>
      <c r="M20" s="468"/>
      <c r="N20" s="468"/>
      <c r="O20" s="468"/>
      <c r="P20" s="443"/>
    </row>
    <row r="21" spans="2:23" x14ac:dyDescent="0.25">
      <c r="B21" s="446" t="s">
        <v>421</v>
      </c>
      <c r="C21" s="485"/>
      <c r="F21" s="466">
        <f>SUM(C21:E21)</f>
        <v>0</v>
      </c>
      <c r="G21" s="486" t="s">
        <v>166</v>
      </c>
      <c r="J21" s="468"/>
      <c r="K21" s="468"/>
      <c r="L21" s="468"/>
      <c r="M21" s="468"/>
      <c r="N21" s="468"/>
      <c r="O21" s="468"/>
      <c r="P21" s="443"/>
      <c r="S21" s="469">
        <f>F21+SUM(J21:P21)</f>
        <v>0</v>
      </c>
      <c r="V21" s="1265">
        <f>F21</f>
        <v>0</v>
      </c>
      <c r="W21" s="1265">
        <f>SUM(J21:P21)</f>
        <v>0</v>
      </c>
    </row>
    <row r="22" spans="2:23" x14ac:dyDescent="0.25">
      <c r="B22" s="446" t="s">
        <v>315</v>
      </c>
      <c r="C22" s="485">
        <v>-25625</v>
      </c>
      <c r="F22" s="466">
        <f>SUM(C22:E22)</f>
        <v>-25625</v>
      </c>
      <c r="G22" s="486" t="s">
        <v>166</v>
      </c>
      <c r="J22" s="468"/>
      <c r="K22" s="468"/>
      <c r="L22" s="468"/>
      <c r="M22" s="468"/>
      <c r="N22" s="468"/>
      <c r="O22" s="468"/>
      <c r="P22" s="443"/>
      <c r="S22" s="469">
        <f>F22+SUM(J22:P22)</f>
        <v>-25625</v>
      </c>
      <c r="V22" s="1265">
        <f>F22</f>
        <v>-25625</v>
      </c>
      <c r="W22" s="1265">
        <f>SUM(J22:P22)</f>
        <v>0</v>
      </c>
    </row>
    <row r="23" spans="2:23" ht="15.75" thickBot="1" x14ac:dyDescent="0.3">
      <c r="C23" s="487">
        <f>SUM(C21:C22)</f>
        <v>-25625</v>
      </c>
      <c r="D23" s="487">
        <f>SUM(D21:D22)</f>
        <v>0</v>
      </c>
      <c r="E23" s="487">
        <f>SUM(E21:E22)</f>
        <v>0</v>
      </c>
      <c r="F23" s="488">
        <f>SUM(F21:F22)</f>
        <v>-25625</v>
      </c>
      <c r="J23" s="468"/>
      <c r="K23" s="468"/>
      <c r="L23" s="468"/>
      <c r="M23" s="468"/>
      <c r="N23" s="468"/>
      <c r="O23" s="468"/>
      <c r="P23" s="443"/>
      <c r="S23" s="489"/>
    </row>
    <row r="24" spans="2:23" x14ac:dyDescent="0.25">
      <c r="B24" s="490"/>
      <c r="C24" s="491"/>
      <c r="D24" s="491"/>
      <c r="G24" s="477"/>
      <c r="J24" s="468"/>
      <c r="K24" s="468"/>
      <c r="L24" s="468"/>
      <c r="M24" s="468"/>
      <c r="N24" s="468"/>
      <c r="O24" s="468"/>
      <c r="P24" s="443"/>
    </row>
    <row r="25" spans="2:23" ht="15.75" thickBot="1" x14ac:dyDescent="0.3">
      <c r="B25" s="492" t="s">
        <v>486</v>
      </c>
      <c r="C25" s="493">
        <f>+C18+C23</f>
        <v>3341038.5599999991</v>
      </c>
      <c r="D25" s="493">
        <f>+D18+D23</f>
        <v>75338.649999999994</v>
      </c>
      <c r="E25" s="493">
        <f>+E18+E23</f>
        <v>-79582.914444444439</v>
      </c>
      <c r="F25" s="493">
        <f>+F18+F23</f>
        <v>3336794.2955555553</v>
      </c>
      <c r="G25" s="477"/>
      <c r="J25" s="494">
        <f t="shared" ref="J25:P25" si="2">SUM(J5:J24)</f>
        <v>-689568.05</v>
      </c>
      <c r="K25" s="494">
        <f t="shared" si="2"/>
        <v>-8072.8</v>
      </c>
      <c r="L25" s="494">
        <f t="shared" si="2"/>
        <v>-2200</v>
      </c>
      <c r="M25" s="494">
        <f t="shared" si="2"/>
        <v>-23822.5</v>
      </c>
      <c r="N25" s="494">
        <f t="shared" si="2"/>
        <v>-11404.5</v>
      </c>
      <c r="O25" s="494">
        <f t="shared" si="2"/>
        <v>-59048</v>
      </c>
      <c r="P25" s="494">
        <f t="shared" si="2"/>
        <v>-57495.24</v>
      </c>
      <c r="S25" s="495">
        <f>SUM(S5:S24)</f>
        <v>2485183.2055555559</v>
      </c>
      <c r="T25" s="477">
        <f>S25-SUM(J25:P25)-F25</f>
        <v>0</v>
      </c>
    </row>
    <row r="26" spans="2:23" x14ac:dyDescent="0.25">
      <c r="B26" s="490"/>
      <c r="C26" s="491"/>
      <c r="D26" s="491"/>
      <c r="G26" s="477"/>
      <c r="P26" s="442"/>
    </row>
    <row r="27" spans="2:23" x14ac:dyDescent="0.25">
      <c r="B27" s="490"/>
      <c r="C27" s="491"/>
      <c r="D27" s="491"/>
      <c r="F27" s="496"/>
      <c r="G27" s="477"/>
      <c r="P27" s="442"/>
    </row>
    <row r="28" spans="2:23" x14ac:dyDescent="0.25">
      <c r="B28" s="490"/>
      <c r="C28" s="491"/>
      <c r="D28" s="497"/>
      <c r="F28" s="496"/>
      <c r="G28" s="480"/>
      <c r="P28" s="442"/>
    </row>
    <row r="29" spans="2:23" x14ac:dyDescent="0.25">
      <c r="B29" s="490"/>
      <c r="C29" s="498"/>
      <c r="D29" s="498"/>
      <c r="F29" s="496"/>
      <c r="G29" s="477"/>
      <c r="P29" s="442"/>
    </row>
    <row r="30" spans="2:23" x14ac:dyDescent="0.25">
      <c r="B30" s="490"/>
      <c r="C30" s="484"/>
      <c r="F30" s="496"/>
      <c r="G30" s="477"/>
      <c r="P30" s="442"/>
    </row>
    <row r="31" spans="2:23" x14ac:dyDescent="0.25">
      <c r="B31" s="490"/>
      <c r="C31" s="484"/>
      <c r="G31" s="477"/>
      <c r="P31" s="442"/>
    </row>
    <row r="32" spans="2:23" x14ac:dyDescent="0.25">
      <c r="B32" s="490"/>
      <c r="C32" s="484"/>
      <c r="G32" s="477"/>
      <c r="P32" s="442"/>
    </row>
    <row r="33" spans="2:23" ht="46.5" customHeight="1" outlineLevel="1" x14ac:dyDescent="0.25">
      <c r="B33" s="447" t="s">
        <v>487</v>
      </c>
      <c r="C33" s="455" t="s">
        <v>444</v>
      </c>
      <c r="D33" s="455" t="s">
        <v>462</v>
      </c>
      <c r="E33" s="455" t="s">
        <v>446</v>
      </c>
      <c r="F33" s="456" t="s">
        <v>447</v>
      </c>
      <c r="H33" s="449"/>
      <c r="P33" s="442"/>
    </row>
    <row r="34" spans="2:23" outlineLevel="1" x14ac:dyDescent="0.25">
      <c r="B34" s="463" t="s">
        <v>469</v>
      </c>
      <c r="C34" s="499">
        <f>-'CISUS (3)'!C274-D34</f>
        <v>114644.16</v>
      </c>
      <c r="D34" s="499">
        <f>'CISUS (3)'!C234</f>
        <v>134.42999999999998</v>
      </c>
      <c r="E34" s="499"/>
      <c r="F34" s="466">
        <f>SUM(C34:E34)</f>
        <v>114778.59</v>
      </c>
      <c r="H34" s="449"/>
      <c r="J34" s="468">
        <v>-114778.59</v>
      </c>
      <c r="K34" s="468"/>
      <c r="L34" s="468"/>
      <c r="M34" s="468"/>
      <c r="N34" s="468"/>
      <c r="O34" s="468"/>
      <c r="P34" s="443"/>
      <c r="S34" s="500">
        <f>F34+SUM(J34:P34)</f>
        <v>0</v>
      </c>
      <c r="V34" s="1265">
        <f t="shared" ref="V34:V38" si="3">F34</f>
        <v>114778.59</v>
      </c>
      <c r="W34" s="1265">
        <f t="shared" ref="W34:W38" si="4">SUM(J34:P34)</f>
        <v>-114778.59</v>
      </c>
    </row>
    <row r="35" spans="2:23" outlineLevel="1" x14ac:dyDescent="0.25">
      <c r="B35" s="444" t="s">
        <v>471</v>
      </c>
      <c r="C35" s="499">
        <f>-'CISUS (3)'!E274-D35</f>
        <v>19801.300000000003</v>
      </c>
      <c r="D35" s="499">
        <f>'CISUS (3)'!E234</f>
        <v>1944.83</v>
      </c>
      <c r="E35" s="499"/>
      <c r="F35" s="466">
        <f>SUM(C35:E35)</f>
        <v>21746.130000000005</v>
      </c>
      <c r="H35" s="449"/>
      <c r="J35" s="468"/>
      <c r="K35" s="468"/>
      <c r="L35" s="468"/>
      <c r="M35" s="468"/>
      <c r="N35" s="468"/>
      <c r="O35" s="468"/>
      <c r="P35" s="443"/>
      <c r="S35" s="500">
        <f>F35+SUM(J35:P35)</f>
        <v>21746.130000000005</v>
      </c>
      <c r="V35" s="1265">
        <f t="shared" si="3"/>
        <v>21746.130000000005</v>
      </c>
      <c r="W35" s="1265">
        <f t="shared" si="4"/>
        <v>0</v>
      </c>
    </row>
    <row r="36" spans="2:23" outlineLevel="1" x14ac:dyDescent="0.25">
      <c r="B36" s="444" t="s">
        <v>475</v>
      </c>
      <c r="C36" s="499">
        <f>-'CISUS (3)'!H274-D36</f>
        <v>16781.250000000004</v>
      </c>
      <c r="D36" s="499">
        <f>'CISUS (3)'!H234</f>
        <v>140.01</v>
      </c>
      <c r="E36" s="499"/>
      <c r="F36" s="466">
        <f>SUM(C36:E36)</f>
        <v>16921.260000000002</v>
      </c>
      <c r="H36" s="449"/>
      <c r="J36" s="468"/>
      <c r="K36" s="468"/>
      <c r="L36" s="468"/>
      <c r="M36" s="468"/>
      <c r="N36" s="468"/>
      <c r="O36" s="468"/>
      <c r="P36" s="443"/>
      <c r="S36" s="500">
        <f>F36+SUM(J36:P36)</f>
        <v>16921.260000000002</v>
      </c>
      <c r="V36" s="1265">
        <f t="shared" si="3"/>
        <v>16921.260000000002</v>
      </c>
      <c r="W36" s="1265">
        <f t="shared" si="4"/>
        <v>0</v>
      </c>
    </row>
    <row r="37" spans="2:23" outlineLevel="1" x14ac:dyDescent="0.25">
      <c r="B37" s="463" t="s">
        <v>479</v>
      </c>
      <c r="C37" s="499">
        <f>-'CISUS (3)'!I274-D37</f>
        <v>74027.789999999994</v>
      </c>
      <c r="D37" s="499">
        <f>'CISUS (3)'!I234</f>
        <v>0</v>
      </c>
      <c r="E37" s="499"/>
      <c r="F37" s="466">
        <f>SUM(C37:E37)</f>
        <v>74027.789999999994</v>
      </c>
      <c r="H37" s="449"/>
      <c r="J37" s="468"/>
      <c r="K37" s="468"/>
      <c r="L37" s="468"/>
      <c r="M37" s="468"/>
      <c r="N37" s="468"/>
      <c r="O37" s="468"/>
      <c r="P37" s="443"/>
      <c r="S37" s="500">
        <f>F37+SUM(J37:P37)</f>
        <v>74027.789999999994</v>
      </c>
      <c r="V37" s="1265">
        <f t="shared" si="3"/>
        <v>74027.789999999994</v>
      </c>
      <c r="W37" s="1265">
        <f t="shared" si="4"/>
        <v>0</v>
      </c>
    </row>
    <row r="38" spans="2:23" outlineLevel="1" x14ac:dyDescent="0.25">
      <c r="B38" s="463" t="s">
        <v>482</v>
      </c>
      <c r="C38" s="499"/>
      <c r="D38" s="499"/>
      <c r="E38" s="499"/>
      <c r="F38" s="466">
        <f>SUM(C38:E38)</f>
        <v>0</v>
      </c>
      <c r="H38" s="449"/>
      <c r="J38" s="468"/>
      <c r="K38" s="468"/>
      <c r="L38" s="468"/>
      <c r="M38" s="468"/>
      <c r="N38" s="468"/>
      <c r="O38" s="468"/>
      <c r="P38" s="443"/>
      <c r="S38" s="501"/>
      <c r="V38" s="1265">
        <f t="shared" si="3"/>
        <v>0</v>
      </c>
      <c r="W38" s="1265">
        <f t="shared" si="4"/>
        <v>0</v>
      </c>
    </row>
    <row r="39" spans="2:23" ht="15.75" outlineLevel="1" thickBot="1" x14ac:dyDescent="0.3">
      <c r="B39" s="492" t="s">
        <v>488</v>
      </c>
      <c r="C39" s="493">
        <f>SUM(C34:C38)</f>
        <v>225254.5</v>
      </c>
      <c r="D39" s="493">
        <f>SUM(D34:D38)</f>
        <v>2219.2699999999995</v>
      </c>
      <c r="E39" s="493">
        <f>SUM(E34:E38)</f>
        <v>0</v>
      </c>
      <c r="F39" s="502">
        <f>SUM(F34:F38)</f>
        <v>227473.77000000002</v>
      </c>
      <c r="H39" s="449"/>
      <c r="J39" s="494">
        <f>SUM(J34:J38)</f>
        <v>-114778.59</v>
      </c>
      <c r="K39" s="494">
        <f>SUM(K34:K38)</f>
        <v>0</v>
      </c>
      <c r="L39" s="494">
        <f>SUM(L34:L38)</f>
        <v>0</v>
      </c>
      <c r="M39" s="494">
        <f>SUM(M34:M38)</f>
        <v>0</v>
      </c>
      <c r="N39" s="494">
        <f>SUM(N34:N38)</f>
        <v>0</v>
      </c>
      <c r="O39" s="494"/>
      <c r="P39" s="494">
        <f>SUM(P34:P38)</f>
        <v>0</v>
      </c>
      <c r="S39" s="495">
        <f>SUM(S34:S38)</f>
        <v>112695.18</v>
      </c>
      <c r="T39" s="477">
        <f>S39-SUM(J39:P39)-F39</f>
        <v>0</v>
      </c>
      <c r="V39" s="1266">
        <f>SUM(V5:V38)</f>
        <v>2731505.176526899</v>
      </c>
      <c r="W39" s="1266">
        <f>SUM(W5:W38)</f>
        <v>-755473.06035811</v>
      </c>
    </row>
    <row r="40" spans="2:23" outlineLevel="1" x14ac:dyDescent="0.25">
      <c r="H40" s="449"/>
      <c r="P40" s="442"/>
    </row>
    <row r="41" spans="2:23" outlineLevel="1" x14ac:dyDescent="0.25">
      <c r="H41" s="449"/>
      <c r="P41" s="442"/>
    </row>
    <row r="42" spans="2:23" outlineLevel="1" x14ac:dyDescent="0.25">
      <c r="F42" s="448">
        <f>F34+F35+F36+F37</f>
        <v>227473.77000000002</v>
      </c>
      <c r="I42" s="1242">
        <f>SUM(J25:P25)/'Assumptions (3)'!B4</f>
        <v>-640694.47035811027</v>
      </c>
      <c r="P42" s="442"/>
      <c r="S42" s="1244">
        <f>(SUM(S5:S17)/'Assumptions (3)'!B4)+SUM(S21:S22,S34:S38)</f>
        <v>1976032.1161687903</v>
      </c>
    </row>
    <row r="43" spans="2:23" x14ac:dyDescent="0.25">
      <c r="P43" s="442"/>
    </row>
    <row r="44" spans="2:23" x14ac:dyDescent="0.25">
      <c r="J44" s="452" t="s">
        <v>449</v>
      </c>
      <c r="K44" s="503" t="s">
        <v>489</v>
      </c>
      <c r="P44" s="442"/>
    </row>
    <row r="45" spans="2:23" x14ac:dyDescent="0.25">
      <c r="B45" s="486"/>
      <c r="C45" s="486"/>
      <c r="P45" s="442"/>
    </row>
    <row r="46" spans="2:23" x14ac:dyDescent="0.25">
      <c r="J46" s="452" t="s">
        <v>450</v>
      </c>
      <c r="K46" s="503" t="s">
        <v>490</v>
      </c>
      <c r="P46" s="442"/>
    </row>
    <row r="47" spans="2:23" x14ac:dyDescent="0.25">
      <c r="P47" s="442"/>
    </row>
    <row r="48" spans="2:23" x14ac:dyDescent="0.25">
      <c r="J48" s="452" t="s">
        <v>464</v>
      </c>
      <c r="K48" s="503" t="s">
        <v>460</v>
      </c>
      <c r="P48" s="442"/>
    </row>
    <row r="49" spans="10:20" x14ac:dyDescent="0.25">
      <c r="P49" s="442"/>
    </row>
    <row r="50" spans="10:20" x14ac:dyDescent="0.25">
      <c r="J50" s="452" t="s">
        <v>465</v>
      </c>
      <c r="K50" s="503" t="s">
        <v>491</v>
      </c>
      <c r="P50" s="442"/>
    </row>
    <row r="51" spans="10:20" x14ac:dyDescent="0.25">
      <c r="P51" s="442"/>
    </row>
    <row r="52" spans="10:20" ht="44.25" customHeight="1" x14ac:dyDescent="0.25">
      <c r="K52" s="504" t="s">
        <v>492</v>
      </c>
      <c r="L52" s="504" t="s">
        <v>493</v>
      </c>
      <c r="M52" s="505" t="s">
        <v>494</v>
      </c>
      <c r="N52" s="504" t="s">
        <v>3</v>
      </c>
      <c r="O52" s="506" t="s">
        <v>495</v>
      </c>
      <c r="P52" s="442"/>
    </row>
    <row r="53" spans="10:20" x14ac:dyDescent="0.25">
      <c r="K53" s="503" t="s">
        <v>496</v>
      </c>
      <c r="L53" s="446">
        <v>24</v>
      </c>
      <c r="M53" s="446">
        <v>424</v>
      </c>
      <c r="N53" s="468">
        <f>L53*M53</f>
        <v>10176</v>
      </c>
      <c r="O53" s="444" t="s">
        <v>471</v>
      </c>
      <c r="P53" s="442"/>
    </row>
    <row r="54" spans="10:20" x14ac:dyDescent="0.25">
      <c r="K54" s="503" t="s">
        <v>497</v>
      </c>
      <c r="L54" s="446">
        <v>31</v>
      </c>
      <c r="M54" s="446">
        <v>208</v>
      </c>
      <c r="N54" s="468">
        <f>L54*M54</f>
        <v>6448</v>
      </c>
      <c r="O54" s="444" t="s">
        <v>473</v>
      </c>
      <c r="P54" s="442"/>
    </row>
    <row r="55" spans="10:20" x14ac:dyDescent="0.25">
      <c r="K55" s="503" t="s">
        <v>498</v>
      </c>
      <c r="L55" s="446">
        <v>31</v>
      </c>
      <c r="M55" s="446">
        <v>46</v>
      </c>
      <c r="N55" s="468">
        <f>L55*M55</f>
        <v>1426</v>
      </c>
      <c r="O55" s="444" t="s">
        <v>473</v>
      </c>
      <c r="P55" s="442"/>
    </row>
    <row r="56" spans="10:20" x14ac:dyDescent="0.25">
      <c r="K56" s="503" t="s">
        <v>499</v>
      </c>
      <c r="L56" s="446">
        <v>32</v>
      </c>
      <c r="M56" s="446">
        <v>163</v>
      </c>
      <c r="N56" s="468">
        <f>L56*M56</f>
        <v>5216</v>
      </c>
      <c r="O56" s="463" t="s">
        <v>476</v>
      </c>
      <c r="P56" s="442"/>
    </row>
    <row r="57" spans="10:20" x14ac:dyDescent="0.25">
      <c r="K57" s="503" t="s">
        <v>500</v>
      </c>
      <c r="L57" s="446">
        <v>13.25</v>
      </c>
      <c r="M57" s="446">
        <v>42</v>
      </c>
      <c r="N57" s="468">
        <f>L57*M57</f>
        <v>556.5</v>
      </c>
      <c r="O57" s="463" t="s">
        <v>476</v>
      </c>
      <c r="P57" s="442"/>
    </row>
    <row r="58" spans="10:20" x14ac:dyDescent="0.25">
      <c r="P58" s="442"/>
    </row>
    <row r="59" spans="10:20" x14ac:dyDescent="0.25">
      <c r="P59" s="442"/>
    </row>
    <row r="60" spans="10:20" x14ac:dyDescent="0.25">
      <c r="J60" s="452" t="s">
        <v>466</v>
      </c>
      <c r="K60" s="503" t="s">
        <v>501</v>
      </c>
      <c r="P60" s="442"/>
      <c r="S60" s="1240">
        <f>22809/2</f>
        <v>11404.5</v>
      </c>
    </row>
    <row r="61" spans="10:20" x14ac:dyDescent="0.25">
      <c r="P61" s="442"/>
      <c r="S61" s="446"/>
    </row>
    <row r="62" spans="10:20" x14ac:dyDescent="0.25">
      <c r="J62" s="452" t="s">
        <v>467</v>
      </c>
      <c r="K62" s="503" t="s">
        <v>502</v>
      </c>
      <c r="S62" s="1240">
        <f>53715</f>
        <v>53715</v>
      </c>
      <c r="T62" s="1240">
        <v>5333</v>
      </c>
    </row>
    <row r="63" spans="10:20" x14ac:dyDescent="0.25">
      <c r="J63" s="452"/>
      <c r="K63" s="503"/>
    </row>
    <row r="64" spans="10:20" x14ac:dyDescent="0.25">
      <c r="J64" s="422" t="s">
        <v>503</v>
      </c>
      <c r="K64" s="438" t="s">
        <v>504</v>
      </c>
      <c r="L64" s="442"/>
      <c r="M64" s="442"/>
      <c r="N64" s="442"/>
      <c r="O64" s="442"/>
      <c r="P64" s="442"/>
      <c r="Q64" s="442"/>
      <c r="R64" s="442"/>
      <c r="S64" s="507"/>
      <c r="T64" s="442"/>
    </row>
    <row r="65" spans="10:20" x14ac:dyDescent="0.25">
      <c r="J65" s="442"/>
      <c r="K65" s="508" t="s">
        <v>505</v>
      </c>
      <c r="L65" s="442"/>
      <c r="M65" s="442"/>
      <c r="N65" s="442"/>
      <c r="O65" s="442"/>
      <c r="P65" s="442"/>
      <c r="Q65" s="442"/>
      <c r="R65" s="442"/>
      <c r="S65" s="507"/>
      <c r="T65" s="442"/>
    </row>
    <row r="66" spans="10:20" x14ac:dyDescent="0.25">
      <c r="S66" s="446"/>
    </row>
    <row r="67" spans="10:20" x14ac:dyDescent="0.25">
      <c r="K67" s="509" t="s">
        <v>506</v>
      </c>
      <c r="L67" s="503" t="s">
        <v>507</v>
      </c>
    </row>
    <row r="68" spans="10:20" x14ac:dyDescent="0.25">
      <c r="K68" s="509" t="s">
        <v>508</v>
      </c>
      <c r="L68" s="503" t="s">
        <v>509</v>
      </c>
    </row>
    <row r="69" spans="10:20" x14ac:dyDescent="0.25">
      <c r="K69" s="509" t="s">
        <v>510</v>
      </c>
      <c r="L69" s="503" t="s">
        <v>511</v>
      </c>
    </row>
  </sheetData>
  <mergeCells count="1">
    <mergeCell ref="J3:R3"/>
  </mergeCells>
  <pageMargins left="0.7" right="0.7" top="0.75" bottom="0.75" header="0.3" footer="0.3"/>
  <pageSetup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A289"/>
  <sheetViews>
    <sheetView zoomScaleNormal="100" workbookViewId="0">
      <pane xSplit="2" ySplit="8" topLeftCell="C243" activePane="bottomRight" state="frozen"/>
      <selection activeCell="O37" sqref="O37"/>
      <selection pane="topRight" activeCell="O37" sqref="O37"/>
      <selection pane="bottomLeft" activeCell="O37" sqref="O37"/>
      <selection pane="bottomRight" activeCell="C3" sqref="C3"/>
    </sheetView>
  </sheetViews>
  <sheetFormatPr defaultRowHeight="15" x14ac:dyDescent="0.25"/>
  <cols>
    <col min="1" max="1" width="13" style="513" customWidth="1"/>
    <col min="2" max="2" width="40.5703125" style="413" customWidth="1"/>
    <col min="3" max="3" width="15.5703125" style="414" customWidth="1"/>
    <col min="4" max="4" width="13.7109375" style="414" customWidth="1"/>
    <col min="5" max="5" width="16.140625" style="414" customWidth="1"/>
    <col min="6" max="6" width="17.85546875" style="414" customWidth="1"/>
    <col min="7" max="10" width="13.7109375" style="414" customWidth="1"/>
    <col min="11" max="12" width="13.7109375" style="414" hidden="1" customWidth="1"/>
    <col min="13" max="19" width="13.7109375" style="414" customWidth="1"/>
    <col min="20" max="20" width="14.5703125" style="414" customWidth="1"/>
    <col min="21" max="26" width="13.7109375" style="414" customWidth="1"/>
    <col min="27" max="27" width="13.140625" style="413" bestFit="1" customWidth="1"/>
    <col min="28" max="16384" width="9.140625" style="413"/>
  </cols>
  <sheetData>
    <row r="1" spans="1:26" s="511" customFormat="1" ht="12.75" x14ac:dyDescent="0.2">
      <c r="A1" s="510" t="s">
        <v>441</v>
      </c>
      <c r="C1" s="512"/>
      <c r="D1" s="512" t="s">
        <v>512</v>
      </c>
      <c r="E1" s="512"/>
      <c r="F1" s="512"/>
      <c r="G1" s="512" t="s">
        <v>512</v>
      </c>
      <c r="H1" s="512"/>
      <c r="I1" s="512"/>
      <c r="J1" s="512"/>
      <c r="K1" s="512" t="s">
        <v>512</v>
      </c>
      <c r="L1" s="512" t="s">
        <v>512</v>
      </c>
      <c r="M1" s="512"/>
      <c r="N1" s="512"/>
      <c r="O1" s="512"/>
      <c r="P1" s="512"/>
      <c r="Q1" s="512" t="s">
        <v>512</v>
      </c>
      <c r="R1" s="512"/>
      <c r="S1" s="512"/>
      <c r="T1" s="512"/>
      <c r="U1" s="512" t="s">
        <v>512</v>
      </c>
      <c r="V1" s="512"/>
      <c r="W1" s="512"/>
      <c r="X1" s="512"/>
      <c r="Y1" s="512"/>
      <c r="Z1" s="512"/>
    </row>
    <row r="2" spans="1:26" x14ac:dyDescent="0.25">
      <c r="A2" s="513" t="s">
        <v>512</v>
      </c>
      <c r="B2" s="514" t="s">
        <v>513</v>
      </c>
    </row>
    <row r="3" spans="1:26" s="415" customFormat="1" ht="12.75" x14ac:dyDescent="0.2">
      <c r="A3" s="515"/>
      <c r="B3" s="516" t="s">
        <v>514</v>
      </c>
      <c r="C3" s="517" t="s">
        <v>1155</v>
      </c>
      <c r="D3" s="518"/>
      <c r="E3" s="518"/>
      <c r="F3" s="518"/>
      <c r="G3" s="518"/>
      <c r="H3" s="518"/>
      <c r="I3" s="518"/>
      <c r="J3" s="518"/>
      <c r="K3" s="518"/>
      <c r="L3" s="518"/>
      <c r="M3" s="518"/>
      <c r="N3" s="518"/>
      <c r="O3" s="518"/>
      <c r="P3" s="518"/>
      <c r="Q3" s="518"/>
      <c r="R3" s="518"/>
      <c r="S3" s="518"/>
      <c r="T3" s="518"/>
      <c r="U3" s="519"/>
      <c r="V3" s="519"/>
      <c r="W3" s="519"/>
      <c r="X3" s="519"/>
      <c r="Y3" s="519"/>
      <c r="Z3" s="519"/>
    </row>
    <row r="4" spans="1:26" s="415" customFormat="1" ht="12.75" x14ac:dyDescent="0.2">
      <c r="A4" s="515"/>
      <c r="B4" s="516" t="s">
        <v>515</v>
      </c>
      <c r="C4" s="520" t="s">
        <v>516</v>
      </c>
      <c r="D4" s="518"/>
      <c r="E4" s="518"/>
      <c r="F4" s="518"/>
      <c r="G4" s="518"/>
      <c r="H4" s="518"/>
      <c r="I4" s="518"/>
      <c r="J4" s="518"/>
      <c r="K4" s="518"/>
      <c r="L4" s="518"/>
      <c r="M4" s="518"/>
      <c r="N4" s="518"/>
      <c r="O4" s="518"/>
      <c r="P4" s="518"/>
      <c r="Q4" s="518"/>
      <c r="R4" s="518"/>
      <c r="S4" s="518"/>
      <c r="T4" s="518"/>
      <c r="U4" s="518"/>
      <c r="V4" s="518"/>
      <c r="W4" s="518"/>
      <c r="X4" s="518"/>
      <c r="Y4" s="518"/>
      <c r="Z4" s="518"/>
    </row>
    <row r="5" spans="1:26" s="415" customFormat="1" ht="12.75" x14ac:dyDescent="0.2">
      <c r="A5" s="515"/>
      <c r="B5" s="521"/>
      <c r="C5" s="518"/>
      <c r="D5" s="518"/>
      <c r="E5" s="518"/>
      <c r="F5" s="518"/>
      <c r="G5" s="518"/>
      <c r="H5" s="518"/>
      <c r="I5" s="518"/>
      <c r="J5" s="518"/>
      <c r="K5" s="518"/>
      <c r="L5" s="518"/>
      <c r="M5" s="518"/>
      <c r="N5" s="518"/>
      <c r="O5" s="518"/>
      <c r="P5" s="518"/>
      <c r="Q5" s="518"/>
      <c r="R5" s="518"/>
      <c r="S5" s="518"/>
      <c r="T5" s="518"/>
      <c r="U5" s="518"/>
      <c r="V5" s="518"/>
      <c r="W5" s="518"/>
      <c r="X5" s="518"/>
      <c r="Y5" s="518"/>
      <c r="Z5" s="518"/>
    </row>
    <row r="6" spans="1:26" s="415" customFormat="1" ht="12.75" x14ac:dyDescent="0.2">
      <c r="A6" s="515"/>
      <c r="B6" s="516" t="s">
        <v>179</v>
      </c>
      <c r="C6" s="522" t="s">
        <v>517</v>
      </c>
      <c r="D6" s="518"/>
      <c r="E6" s="518"/>
      <c r="F6" s="518"/>
      <c r="G6" s="518"/>
      <c r="H6" s="518"/>
      <c r="I6" s="518"/>
      <c r="J6" s="518"/>
      <c r="K6" s="518"/>
      <c r="L6" s="518"/>
      <c r="M6" s="518"/>
      <c r="N6" s="518"/>
      <c r="O6" s="518"/>
      <c r="P6" s="518"/>
      <c r="Q6" s="518"/>
      <c r="R6" s="518"/>
      <c r="S6" s="518"/>
      <c r="T6" s="518"/>
      <c r="U6" s="518"/>
      <c r="V6" s="518"/>
      <c r="W6" s="518"/>
      <c r="X6" s="518"/>
      <c r="Y6" s="518"/>
      <c r="Z6" s="518"/>
    </row>
    <row r="7" spans="1:26" s="527" customFormat="1" ht="12.75" x14ac:dyDescent="0.2">
      <c r="A7" s="523"/>
      <c r="B7" s="516" t="s">
        <v>518</v>
      </c>
      <c r="C7" s="524" t="s">
        <v>519</v>
      </c>
      <c r="D7" s="524" t="s">
        <v>520</v>
      </c>
      <c r="E7" s="524" t="s">
        <v>521</v>
      </c>
      <c r="F7" s="524" t="s">
        <v>522</v>
      </c>
      <c r="G7" s="524" t="s">
        <v>523</v>
      </c>
      <c r="H7" s="524" t="s">
        <v>524</v>
      </c>
      <c r="I7" s="524" t="s">
        <v>525</v>
      </c>
      <c r="J7" s="524" t="s">
        <v>526</v>
      </c>
      <c r="K7" s="524" t="s">
        <v>527</v>
      </c>
      <c r="L7" s="524" t="s">
        <v>528</v>
      </c>
      <c r="M7" s="524" t="s">
        <v>529</v>
      </c>
      <c r="N7" s="524" t="s">
        <v>530</v>
      </c>
      <c r="O7" s="524" t="s">
        <v>531</v>
      </c>
      <c r="P7" s="524" t="s">
        <v>532</v>
      </c>
      <c r="Q7" s="524" t="s">
        <v>533</v>
      </c>
      <c r="R7" s="524" t="s">
        <v>534</v>
      </c>
      <c r="S7" s="524" t="s">
        <v>535</v>
      </c>
      <c r="T7" s="524" t="s">
        <v>536</v>
      </c>
      <c r="U7" s="524" t="s">
        <v>537</v>
      </c>
      <c r="V7" s="524" t="s">
        <v>538</v>
      </c>
      <c r="W7" s="524" t="s">
        <v>539</v>
      </c>
      <c r="X7" s="524" t="s">
        <v>540</v>
      </c>
      <c r="Y7" s="525"/>
      <c r="Z7" s="526"/>
    </row>
    <row r="8" spans="1:26" s="527" customFormat="1" ht="12.75" x14ac:dyDescent="0.2">
      <c r="A8" s="523"/>
      <c r="B8" s="516" t="s">
        <v>541</v>
      </c>
      <c r="C8" s="524"/>
      <c r="D8" s="524"/>
      <c r="E8" s="524"/>
      <c r="F8" s="524"/>
      <c r="G8" s="524"/>
      <c r="H8" s="524"/>
      <c r="I8" s="524"/>
      <c r="J8" s="524"/>
      <c r="K8" s="524"/>
      <c r="L8" s="524"/>
      <c r="M8" s="524"/>
      <c r="N8" s="524"/>
      <c r="O8" s="524"/>
      <c r="P8" s="524"/>
      <c r="Q8" s="524"/>
      <c r="R8" s="524"/>
      <c r="S8" s="524"/>
      <c r="T8" s="524"/>
      <c r="U8" s="524"/>
      <c r="V8" s="524"/>
      <c r="W8" s="524"/>
      <c r="X8" s="524" t="s">
        <v>542</v>
      </c>
      <c r="Y8" s="525"/>
    </row>
    <row r="9" spans="1:26" ht="12.75" x14ac:dyDescent="0.2">
      <c r="B9" s="516" t="s">
        <v>543</v>
      </c>
      <c r="C9" s="522"/>
      <c r="D9" s="522"/>
      <c r="E9" s="522"/>
      <c r="F9" s="522"/>
      <c r="G9" s="522"/>
      <c r="H9" s="522"/>
      <c r="I9" s="522"/>
      <c r="J9" s="522"/>
      <c r="K9" s="522"/>
      <c r="L9" s="522"/>
      <c r="M9" s="522"/>
      <c r="N9" s="522"/>
      <c r="O9" s="522"/>
      <c r="P9" s="522"/>
      <c r="Q9" s="522"/>
      <c r="R9" s="522"/>
      <c r="S9" s="522"/>
      <c r="T9" s="522"/>
      <c r="U9" s="522"/>
      <c r="V9" s="522"/>
      <c r="W9" s="522"/>
      <c r="X9" s="522"/>
      <c r="Y9" s="522"/>
      <c r="Z9" s="413"/>
    </row>
    <row r="10" spans="1:26" s="428" customFormat="1" ht="12.75" x14ac:dyDescent="0.2">
      <c r="A10" s="513"/>
      <c r="B10" s="516" t="s">
        <v>544</v>
      </c>
      <c r="C10" s="528"/>
      <c r="D10" s="528"/>
      <c r="E10" s="528"/>
      <c r="F10" s="528"/>
      <c r="G10" s="528"/>
      <c r="H10" s="528"/>
      <c r="I10" s="528"/>
      <c r="J10" s="528"/>
      <c r="K10" s="528"/>
      <c r="L10" s="528"/>
      <c r="M10" s="528"/>
      <c r="N10" s="528"/>
      <c r="O10" s="528"/>
      <c r="P10" s="528"/>
      <c r="Q10" s="528"/>
      <c r="R10" s="528"/>
      <c r="S10" s="528"/>
      <c r="T10" s="528"/>
      <c r="U10" s="528"/>
      <c r="V10" s="528"/>
      <c r="W10" s="528"/>
      <c r="X10" s="528"/>
      <c r="Y10" s="528"/>
    </row>
    <row r="11" spans="1:26" s="428" customFormat="1" ht="12.75" x14ac:dyDescent="0.2">
      <c r="A11" s="513">
        <v>42000</v>
      </c>
      <c r="B11" s="529" t="s">
        <v>545</v>
      </c>
      <c r="C11" s="530">
        <v>0</v>
      </c>
      <c r="D11" s="530">
        <v>0</v>
      </c>
      <c r="E11" s="530">
        <v>0</v>
      </c>
      <c r="F11" s="530">
        <v>0</v>
      </c>
      <c r="G11" s="530">
        <v>0</v>
      </c>
      <c r="H11" s="530">
        <v>0</v>
      </c>
      <c r="I11" s="530">
        <v>0</v>
      </c>
      <c r="J11" s="530">
        <v>0</v>
      </c>
      <c r="K11" s="530">
        <v>0</v>
      </c>
      <c r="L11" s="530" t="e">
        <v>#NAME?</v>
      </c>
      <c r="M11" s="530">
        <v>0</v>
      </c>
      <c r="N11" s="530">
        <v>0</v>
      </c>
      <c r="O11" s="530">
        <v>0</v>
      </c>
      <c r="P11" s="530">
        <v>0</v>
      </c>
      <c r="Q11" s="530">
        <v>0</v>
      </c>
      <c r="R11" s="530">
        <v>0</v>
      </c>
      <c r="S11" s="530">
        <v>0</v>
      </c>
      <c r="T11" s="530">
        <v>0</v>
      </c>
      <c r="U11" s="530">
        <v>0</v>
      </c>
      <c r="V11" s="530">
        <v>0</v>
      </c>
      <c r="W11" s="530">
        <v>0</v>
      </c>
      <c r="X11" s="530">
        <v>0</v>
      </c>
      <c r="Y11" s="530" t="e">
        <f>SUM(C11:X11)</f>
        <v>#NAME?</v>
      </c>
    </row>
    <row r="12" spans="1:26" s="428" customFormat="1" ht="12.75" x14ac:dyDescent="0.2">
      <c r="A12" s="513">
        <v>42099</v>
      </c>
      <c r="B12" s="514" t="s">
        <v>546</v>
      </c>
      <c r="C12" s="531">
        <v>0</v>
      </c>
      <c r="D12" s="531">
        <v>0</v>
      </c>
      <c r="E12" s="531">
        <v>0</v>
      </c>
      <c r="F12" s="531">
        <v>0</v>
      </c>
      <c r="G12" s="531">
        <v>0</v>
      </c>
      <c r="H12" s="531">
        <v>0</v>
      </c>
      <c r="I12" s="531">
        <v>0</v>
      </c>
      <c r="J12" s="531">
        <v>0</v>
      </c>
      <c r="K12" s="531">
        <v>0</v>
      </c>
      <c r="L12" s="531" t="e">
        <v>#NAME?</v>
      </c>
      <c r="M12" s="531">
        <v>0</v>
      </c>
      <c r="N12" s="531">
        <v>0</v>
      </c>
      <c r="O12" s="531">
        <v>0</v>
      </c>
      <c r="P12" s="531">
        <v>0</v>
      </c>
      <c r="Q12" s="531">
        <v>0</v>
      </c>
      <c r="R12" s="531">
        <v>0</v>
      </c>
      <c r="S12" s="531">
        <v>0</v>
      </c>
      <c r="T12" s="531">
        <v>0</v>
      </c>
      <c r="U12" s="531">
        <v>0</v>
      </c>
      <c r="V12" s="531">
        <v>0</v>
      </c>
      <c r="W12" s="531">
        <v>0</v>
      </c>
      <c r="X12" s="531">
        <v>0</v>
      </c>
      <c r="Y12" s="531" t="e">
        <f>SUM(C12:X12)</f>
        <v>#NAME?</v>
      </c>
    </row>
    <row r="13" spans="1:26" s="521" customFormat="1" ht="12.75" x14ac:dyDescent="0.2">
      <c r="A13" s="513">
        <v>42999</v>
      </c>
      <c r="B13" s="532" t="s">
        <v>547</v>
      </c>
      <c r="C13" s="533">
        <f t="shared" ref="C13:Y13" si="0">SUM(C11:C12)</f>
        <v>0</v>
      </c>
      <c r="D13" s="533">
        <f t="shared" si="0"/>
        <v>0</v>
      </c>
      <c r="E13" s="533">
        <f t="shared" si="0"/>
        <v>0</v>
      </c>
      <c r="F13" s="533">
        <f t="shared" si="0"/>
        <v>0</v>
      </c>
      <c r="G13" s="533">
        <f t="shared" si="0"/>
        <v>0</v>
      </c>
      <c r="H13" s="533">
        <f t="shared" si="0"/>
        <v>0</v>
      </c>
      <c r="I13" s="533">
        <f t="shared" si="0"/>
        <v>0</v>
      </c>
      <c r="J13" s="533">
        <f t="shared" si="0"/>
        <v>0</v>
      </c>
      <c r="K13" s="533">
        <f t="shared" si="0"/>
        <v>0</v>
      </c>
      <c r="L13" s="533" t="e">
        <f t="shared" si="0"/>
        <v>#NAME?</v>
      </c>
      <c r="M13" s="533">
        <f t="shared" si="0"/>
        <v>0</v>
      </c>
      <c r="N13" s="533">
        <f t="shared" si="0"/>
        <v>0</v>
      </c>
      <c r="O13" s="533">
        <f t="shared" si="0"/>
        <v>0</v>
      </c>
      <c r="P13" s="533">
        <f t="shared" si="0"/>
        <v>0</v>
      </c>
      <c r="Q13" s="533">
        <f t="shared" si="0"/>
        <v>0</v>
      </c>
      <c r="R13" s="533">
        <f t="shared" si="0"/>
        <v>0</v>
      </c>
      <c r="S13" s="533">
        <f t="shared" si="0"/>
        <v>0</v>
      </c>
      <c r="T13" s="533">
        <f t="shared" si="0"/>
        <v>0</v>
      </c>
      <c r="U13" s="533">
        <f t="shared" si="0"/>
        <v>0</v>
      </c>
      <c r="V13" s="533">
        <f t="shared" si="0"/>
        <v>0</v>
      </c>
      <c r="W13" s="533">
        <f t="shared" si="0"/>
        <v>0</v>
      </c>
      <c r="X13" s="533">
        <f t="shared" si="0"/>
        <v>0</v>
      </c>
      <c r="Y13" s="533" t="e">
        <f t="shared" si="0"/>
        <v>#NAME?</v>
      </c>
    </row>
    <row r="14" spans="1:26" s="428" customFormat="1" ht="12.75" x14ac:dyDescent="0.2">
      <c r="A14" s="513"/>
      <c r="B14" s="516"/>
      <c r="C14" s="528"/>
      <c r="D14" s="528"/>
      <c r="E14" s="528"/>
      <c r="F14" s="528"/>
      <c r="G14" s="528"/>
      <c r="H14" s="528"/>
      <c r="I14" s="528"/>
      <c r="J14" s="528"/>
      <c r="K14" s="528"/>
      <c r="L14" s="528"/>
      <c r="M14" s="528"/>
      <c r="N14" s="528"/>
      <c r="O14" s="528"/>
      <c r="P14" s="528"/>
      <c r="Q14" s="528"/>
      <c r="R14" s="528"/>
      <c r="S14" s="528"/>
      <c r="T14" s="528"/>
      <c r="U14" s="528"/>
      <c r="V14" s="528"/>
      <c r="W14" s="528"/>
      <c r="X14" s="528"/>
      <c r="Y14" s="528"/>
    </row>
    <row r="15" spans="1:26" s="428" customFormat="1" ht="12.75" x14ac:dyDescent="0.2">
      <c r="A15" s="513"/>
      <c r="B15" s="516" t="s">
        <v>548</v>
      </c>
      <c r="C15" s="528"/>
      <c r="D15" s="528"/>
      <c r="E15" s="528"/>
      <c r="F15" s="528"/>
      <c r="G15" s="528"/>
      <c r="H15" s="528"/>
      <c r="I15" s="528"/>
      <c r="J15" s="528"/>
      <c r="K15" s="528"/>
      <c r="L15" s="528"/>
      <c r="M15" s="528"/>
      <c r="N15" s="528"/>
      <c r="O15" s="528"/>
      <c r="P15" s="528"/>
      <c r="Q15" s="528"/>
      <c r="R15" s="528"/>
      <c r="S15" s="528"/>
      <c r="T15" s="528"/>
      <c r="U15" s="528"/>
      <c r="V15" s="528"/>
      <c r="W15" s="528"/>
      <c r="X15" s="528"/>
      <c r="Y15" s="528"/>
    </row>
    <row r="16" spans="1:26" s="428" customFormat="1" ht="12.75" x14ac:dyDescent="0.2">
      <c r="A16" s="513">
        <v>48100</v>
      </c>
      <c r="B16" s="529" t="s">
        <v>549</v>
      </c>
      <c r="C16" s="530">
        <v>0</v>
      </c>
      <c r="D16" s="530">
        <v>0</v>
      </c>
      <c r="E16" s="530">
        <v>0</v>
      </c>
      <c r="F16" s="530">
        <v>43.82</v>
      </c>
      <c r="G16" s="530">
        <v>0</v>
      </c>
      <c r="H16" s="530">
        <v>0</v>
      </c>
      <c r="I16" s="530">
        <v>0</v>
      </c>
      <c r="J16" s="530">
        <v>0</v>
      </c>
      <c r="K16" s="530">
        <v>0</v>
      </c>
      <c r="L16" s="530" t="e">
        <v>#NAME?</v>
      </c>
      <c r="M16" s="530">
        <v>0</v>
      </c>
      <c r="N16" s="530">
        <v>0</v>
      </c>
      <c r="O16" s="530">
        <v>0</v>
      </c>
      <c r="P16" s="530">
        <v>0</v>
      </c>
      <c r="Q16" s="530">
        <v>0</v>
      </c>
      <c r="R16" s="530">
        <v>0</v>
      </c>
      <c r="S16" s="530">
        <v>0</v>
      </c>
      <c r="T16" s="530">
        <v>0</v>
      </c>
      <c r="U16" s="530">
        <v>0</v>
      </c>
      <c r="V16" s="530">
        <v>0</v>
      </c>
      <c r="W16" s="530">
        <v>0</v>
      </c>
      <c r="X16" s="530">
        <v>0</v>
      </c>
      <c r="Y16" s="530" t="e">
        <f>SUM(C16:X16)</f>
        <v>#NAME?</v>
      </c>
    </row>
    <row r="17" spans="1:25" s="428" customFormat="1" ht="12.75" x14ac:dyDescent="0.2">
      <c r="A17" s="513">
        <v>48095</v>
      </c>
      <c r="B17" s="534" t="s">
        <v>550</v>
      </c>
      <c r="C17" s="530">
        <v>0</v>
      </c>
      <c r="D17" s="530">
        <v>0</v>
      </c>
      <c r="E17" s="530">
        <v>0</v>
      </c>
      <c r="F17" s="530">
        <v>0</v>
      </c>
      <c r="G17" s="530">
        <v>0</v>
      </c>
      <c r="H17" s="530">
        <v>0</v>
      </c>
      <c r="I17" s="530">
        <v>0</v>
      </c>
      <c r="J17" s="530">
        <v>0</v>
      </c>
      <c r="K17" s="530">
        <v>0</v>
      </c>
      <c r="L17" s="530" t="e">
        <v>#NAME?</v>
      </c>
      <c r="M17" s="530">
        <v>156000</v>
      </c>
      <c r="N17" s="530">
        <v>0</v>
      </c>
      <c r="O17" s="530">
        <v>0</v>
      </c>
      <c r="P17" s="530">
        <v>0</v>
      </c>
      <c r="Q17" s="530">
        <v>0</v>
      </c>
      <c r="R17" s="530">
        <v>0</v>
      </c>
      <c r="S17" s="530">
        <v>6054.45</v>
      </c>
      <c r="T17" s="530">
        <v>0</v>
      </c>
      <c r="U17" s="530">
        <v>0</v>
      </c>
      <c r="V17" s="530">
        <v>70.97999999999999</v>
      </c>
      <c r="W17" s="530">
        <v>0</v>
      </c>
      <c r="X17" s="530">
        <v>0</v>
      </c>
      <c r="Y17" s="530" t="e">
        <f>SUM(C17:X17)</f>
        <v>#NAME?</v>
      </c>
    </row>
    <row r="18" spans="1:25" s="428" customFormat="1" ht="12.75" x14ac:dyDescent="0.2">
      <c r="A18" s="513" t="s">
        <v>551</v>
      </c>
      <c r="B18" s="534" t="s">
        <v>552</v>
      </c>
      <c r="C18" s="530">
        <v>0</v>
      </c>
      <c r="D18" s="530">
        <v>0</v>
      </c>
      <c r="E18" s="530">
        <v>0</v>
      </c>
      <c r="F18" s="530">
        <v>0</v>
      </c>
      <c r="G18" s="530">
        <v>0</v>
      </c>
      <c r="H18" s="530">
        <v>0</v>
      </c>
      <c r="I18" s="530">
        <v>0</v>
      </c>
      <c r="J18" s="530">
        <v>0</v>
      </c>
      <c r="K18" s="530">
        <v>0</v>
      </c>
      <c r="L18" s="530" t="e">
        <v>#NAME?</v>
      </c>
      <c r="M18" s="530">
        <v>0</v>
      </c>
      <c r="N18" s="530">
        <v>0</v>
      </c>
      <c r="O18" s="530">
        <v>0</v>
      </c>
      <c r="P18" s="530">
        <v>0</v>
      </c>
      <c r="Q18" s="530">
        <v>0</v>
      </c>
      <c r="R18" s="530">
        <v>0</v>
      </c>
      <c r="S18" s="530">
        <v>0</v>
      </c>
      <c r="T18" s="530">
        <v>0</v>
      </c>
      <c r="U18" s="530">
        <v>0</v>
      </c>
      <c r="V18" s="530">
        <v>-19721.86</v>
      </c>
      <c r="W18" s="530">
        <v>0</v>
      </c>
      <c r="X18" s="530">
        <v>0</v>
      </c>
      <c r="Y18" s="530" t="e">
        <f>SUM(C18:X18)</f>
        <v>#NAME?</v>
      </c>
    </row>
    <row r="19" spans="1:25" s="428" customFormat="1" ht="12.75" x14ac:dyDescent="0.2">
      <c r="A19" s="513">
        <v>48070</v>
      </c>
      <c r="B19" s="535" t="s">
        <v>553</v>
      </c>
      <c r="C19" s="530">
        <v>0</v>
      </c>
      <c r="D19" s="530">
        <v>0</v>
      </c>
      <c r="E19" s="530">
        <v>0</v>
      </c>
      <c r="F19" s="530">
        <v>0</v>
      </c>
      <c r="G19" s="530">
        <v>0</v>
      </c>
      <c r="H19" s="530">
        <v>0</v>
      </c>
      <c r="I19" s="530">
        <v>0</v>
      </c>
      <c r="J19" s="530">
        <v>0</v>
      </c>
      <c r="K19" s="530">
        <v>0</v>
      </c>
      <c r="L19" s="530" t="e">
        <v>#NAME?</v>
      </c>
      <c r="M19" s="530">
        <v>0</v>
      </c>
      <c r="N19" s="530">
        <v>0</v>
      </c>
      <c r="O19" s="530">
        <v>0</v>
      </c>
      <c r="P19" s="530">
        <v>0</v>
      </c>
      <c r="Q19" s="530">
        <v>0</v>
      </c>
      <c r="R19" s="530">
        <v>0</v>
      </c>
      <c r="S19" s="530">
        <v>0</v>
      </c>
      <c r="T19" s="530">
        <v>0</v>
      </c>
      <c r="U19" s="530">
        <v>0</v>
      </c>
      <c r="V19" s="530">
        <v>0</v>
      </c>
      <c r="W19" s="530">
        <v>0</v>
      </c>
      <c r="X19" s="530">
        <v>0</v>
      </c>
      <c r="Y19" s="530" t="e">
        <f>SUM(C19:X19)</f>
        <v>#NAME?</v>
      </c>
    </row>
    <row r="20" spans="1:25" s="428" customFormat="1" ht="12.75" x14ac:dyDescent="0.2">
      <c r="A20" s="513">
        <v>48300</v>
      </c>
      <c r="B20" s="514" t="s">
        <v>554</v>
      </c>
      <c r="C20" s="531">
        <v>0</v>
      </c>
      <c r="D20" s="531">
        <v>0</v>
      </c>
      <c r="E20" s="531">
        <v>0</v>
      </c>
      <c r="F20" s="531">
        <v>0</v>
      </c>
      <c r="G20" s="531">
        <v>0</v>
      </c>
      <c r="H20" s="531">
        <v>0</v>
      </c>
      <c r="I20" s="531">
        <v>0</v>
      </c>
      <c r="J20" s="531">
        <v>0</v>
      </c>
      <c r="K20" s="531">
        <v>0</v>
      </c>
      <c r="L20" s="531" t="e">
        <v>#NAME?</v>
      </c>
      <c r="M20" s="531">
        <v>0</v>
      </c>
      <c r="N20" s="531">
        <v>0</v>
      </c>
      <c r="O20" s="531">
        <v>0</v>
      </c>
      <c r="P20" s="531">
        <v>0</v>
      </c>
      <c r="Q20" s="531">
        <v>0</v>
      </c>
      <c r="R20" s="531">
        <v>0</v>
      </c>
      <c r="S20" s="531">
        <v>0</v>
      </c>
      <c r="T20" s="531">
        <v>0</v>
      </c>
      <c r="U20" s="531">
        <v>0</v>
      </c>
      <c r="V20" s="531">
        <v>0</v>
      </c>
      <c r="W20" s="531">
        <v>0</v>
      </c>
      <c r="X20" s="531">
        <v>0</v>
      </c>
      <c r="Y20" s="531" t="e">
        <f>SUM(C20:X20)</f>
        <v>#NAME?</v>
      </c>
    </row>
    <row r="21" spans="1:25" s="521" customFormat="1" ht="12.75" x14ac:dyDescent="0.2">
      <c r="A21" s="513">
        <v>48500</v>
      </c>
      <c r="B21" s="532" t="s">
        <v>555</v>
      </c>
      <c r="C21" s="533">
        <f t="shared" ref="C21:Y21" si="1">SUM(C16:C20)</f>
        <v>0</v>
      </c>
      <c r="D21" s="533">
        <f t="shared" si="1"/>
        <v>0</v>
      </c>
      <c r="E21" s="533">
        <f t="shared" si="1"/>
        <v>0</v>
      </c>
      <c r="F21" s="533">
        <f t="shared" si="1"/>
        <v>43.82</v>
      </c>
      <c r="G21" s="533">
        <f t="shared" si="1"/>
        <v>0</v>
      </c>
      <c r="H21" s="533">
        <f t="shared" si="1"/>
        <v>0</v>
      </c>
      <c r="I21" s="533">
        <f t="shared" si="1"/>
        <v>0</v>
      </c>
      <c r="J21" s="533">
        <f t="shared" si="1"/>
        <v>0</v>
      </c>
      <c r="K21" s="533">
        <f t="shared" si="1"/>
        <v>0</v>
      </c>
      <c r="L21" s="533" t="e">
        <f t="shared" si="1"/>
        <v>#NAME?</v>
      </c>
      <c r="M21" s="533">
        <f t="shared" si="1"/>
        <v>156000</v>
      </c>
      <c r="N21" s="533">
        <f t="shared" si="1"/>
        <v>0</v>
      </c>
      <c r="O21" s="533">
        <f t="shared" si="1"/>
        <v>0</v>
      </c>
      <c r="P21" s="533">
        <f t="shared" si="1"/>
        <v>0</v>
      </c>
      <c r="Q21" s="533">
        <f t="shared" si="1"/>
        <v>0</v>
      </c>
      <c r="R21" s="533">
        <f t="shared" si="1"/>
        <v>0</v>
      </c>
      <c r="S21" s="533">
        <f t="shared" si="1"/>
        <v>6054.45</v>
      </c>
      <c r="T21" s="533">
        <f t="shared" si="1"/>
        <v>0</v>
      </c>
      <c r="U21" s="533">
        <f t="shared" si="1"/>
        <v>0</v>
      </c>
      <c r="V21" s="533">
        <f t="shared" si="1"/>
        <v>-19650.88</v>
      </c>
      <c r="W21" s="533">
        <f t="shared" si="1"/>
        <v>0</v>
      </c>
      <c r="X21" s="533">
        <f t="shared" si="1"/>
        <v>0</v>
      </c>
      <c r="Y21" s="533" t="e">
        <f t="shared" si="1"/>
        <v>#NAME?</v>
      </c>
    </row>
    <row r="22" spans="1:25" s="428" customFormat="1" ht="12.75" x14ac:dyDescent="0.2">
      <c r="A22" s="513"/>
      <c r="B22" s="536"/>
      <c r="C22" s="537"/>
      <c r="D22" s="537"/>
      <c r="E22" s="537"/>
      <c r="F22" s="537"/>
      <c r="G22" s="537"/>
      <c r="H22" s="537"/>
      <c r="I22" s="537"/>
      <c r="J22" s="537"/>
      <c r="K22" s="537"/>
      <c r="L22" s="537"/>
      <c r="M22" s="537"/>
      <c r="N22" s="537"/>
      <c r="O22" s="537"/>
      <c r="P22" s="537"/>
      <c r="Q22" s="537"/>
      <c r="R22" s="537"/>
      <c r="S22" s="537"/>
      <c r="T22" s="537"/>
      <c r="U22" s="537"/>
      <c r="V22" s="537"/>
      <c r="W22" s="537"/>
      <c r="X22" s="537"/>
      <c r="Y22" s="537"/>
    </row>
    <row r="23" spans="1:25" s="521" customFormat="1" ht="12.75" x14ac:dyDescent="0.2">
      <c r="A23" s="513">
        <v>49900</v>
      </c>
      <c r="B23" s="536" t="s">
        <v>556</v>
      </c>
      <c r="C23" s="537">
        <f t="shared" ref="C23:Y23" si="2">C13+C21</f>
        <v>0</v>
      </c>
      <c r="D23" s="537">
        <f t="shared" si="2"/>
        <v>0</v>
      </c>
      <c r="E23" s="537">
        <f t="shared" si="2"/>
        <v>0</v>
      </c>
      <c r="F23" s="537">
        <f t="shared" si="2"/>
        <v>43.82</v>
      </c>
      <c r="G23" s="537">
        <f t="shared" si="2"/>
        <v>0</v>
      </c>
      <c r="H23" s="537">
        <f t="shared" si="2"/>
        <v>0</v>
      </c>
      <c r="I23" s="537">
        <f t="shared" si="2"/>
        <v>0</v>
      </c>
      <c r="J23" s="537">
        <f t="shared" si="2"/>
        <v>0</v>
      </c>
      <c r="K23" s="537">
        <f t="shared" si="2"/>
        <v>0</v>
      </c>
      <c r="L23" s="537" t="e">
        <f t="shared" si="2"/>
        <v>#NAME?</v>
      </c>
      <c r="M23" s="537">
        <f t="shared" si="2"/>
        <v>156000</v>
      </c>
      <c r="N23" s="537">
        <f t="shared" si="2"/>
        <v>0</v>
      </c>
      <c r="O23" s="537">
        <f t="shared" si="2"/>
        <v>0</v>
      </c>
      <c r="P23" s="537">
        <f t="shared" si="2"/>
        <v>0</v>
      </c>
      <c r="Q23" s="537">
        <f t="shared" si="2"/>
        <v>0</v>
      </c>
      <c r="R23" s="537">
        <f t="shared" si="2"/>
        <v>0</v>
      </c>
      <c r="S23" s="537">
        <f t="shared" si="2"/>
        <v>6054.45</v>
      </c>
      <c r="T23" s="537">
        <f t="shared" si="2"/>
        <v>0</v>
      </c>
      <c r="U23" s="537">
        <f t="shared" si="2"/>
        <v>0</v>
      </c>
      <c r="V23" s="537">
        <f t="shared" si="2"/>
        <v>-19650.88</v>
      </c>
      <c r="W23" s="537">
        <f t="shared" si="2"/>
        <v>0</v>
      </c>
      <c r="X23" s="537">
        <f t="shared" si="2"/>
        <v>0</v>
      </c>
      <c r="Y23" s="537" t="e">
        <f t="shared" si="2"/>
        <v>#NAME?</v>
      </c>
    </row>
    <row r="24" spans="1:25" s="428" customFormat="1" ht="12.75" x14ac:dyDescent="0.2">
      <c r="A24" s="513"/>
      <c r="B24" s="516"/>
      <c r="C24" s="528"/>
      <c r="D24" s="528"/>
      <c r="E24" s="528"/>
      <c r="F24" s="528"/>
      <c r="G24" s="528"/>
      <c r="H24" s="528"/>
      <c r="I24" s="528"/>
      <c r="J24" s="528"/>
      <c r="K24" s="528"/>
      <c r="L24" s="528"/>
      <c r="M24" s="528"/>
      <c r="N24" s="528"/>
      <c r="O24" s="528"/>
      <c r="P24" s="528"/>
      <c r="Q24" s="528"/>
      <c r="R24" s="528"/>
      <c r="S24" s="528"/>
      <c r="T24" s="528"/>
      <c r="U24" s="528"/>
      <c r="V24" s="528"/>
      <c r="W24" s="528"/>
      <c r="X24" s="528"/>
      <c r="Y24" s="528"/>
    </row>
    <row r="25" spans="1:25" s="428" customFormat="1" ht="12.75" x14ac:dyDescent="0.2">
      <c r="A25" s="513"/>
      <c r="B25" s="516" t="s">
        <v>557</v>
      </c>
      <c r="C25" s="528"/>
      <c r="D25" s="528"/>
      <c r="E25" s="528"/>
      <c r="F25" s="528"/>
      <c r="G25" s="528"/>
      <c r="H25" s="528"/>
      <c r="I25" s="528"/>
      <c r="J25" s="528"/>
      <c r="K25" s="528"/>
      <c r="L25" s="528"/>
      <c r="M25" s="528"/>
      <c r="N25" s="528"/>
      <c r="O25" s="528"/>
      <c r="P25" s="528"/>
      <c r="Q25" s="528"/>
      <c r="R25" s="528"/>
      <c r="S25" s="528"/>
      <c r="T25" s="528"/>
      <c r="U25" s="528"/>
      <c r="V25" s="528"/>
      <c r="W25" s="528"/>
      <c r="X25" s="528"/>
      <c r="Y25" s="528"/>
    </row>
    <row r="26" spans="1:25" s="428" customFormat="1" ht="12.75" x14ac:dyDescent="0.2">
      <c r="A26" s="513">
        <v>51000</v>
      </c>
      <c r="B26" s="529" t="s">
        <v>558</v>
      </c>
      <c r="C26" s="538"/>
      <c r="D26" s="538"/>
      <c r="E26" s="538"/>
      <c r="F26" s="538"/>
      <c r="G26" s="538"/>
      <c r="H26" s="538"/>
      <c r="I26" s="538"/>
      <c r="J26" s="538"/>
      <c r="K26" s="538"/>
      <c r="L26" s="538"/>
      <c r="M26" s="538"/>
      <c r="N26" s="538"/>
      <c r="O26" s="538"/>
      <c r="P26" s="538"/>
      <c r="Q26" s="538"/>
      <c r="R26" s="538"/>
      <c r="S26" s="538"/>
      <c r="T26" s="539"/>
      <c r="U26" s="539"/>
      <c r="V26" s="539"/>
      <c r="W26" s="539"/>
      <c r="X26" s="539"/>
      <c r="Y26" s="539"/>
    </row>
    <row r="27" spans="1:25" s="428" customFormat="1" ht="12.75" x14ac:dyDescent="0.2">
      <c r="A27" s="513">
        <v>52000</v>
      </c>
      <c r="B27" s="534" t="s">
        <v>559</v>
      </c>
      <c r="C27" s="538"/>
      <c r="D27" s="538"/>
      <c r="E27" s="538"/>
      <c r="F27" s="538"/>
      <c r="G27" s="538"/>
      <c r="H27" s="538"/>
      <c r="I27" s="538"/>
      <c r="J27" s="538"/>
      <c r="K27" s="538"/>
      <c r="L27" s="538"/>
      <c r="M27" s="538"/>
      <c r="N27" s="538"/>
      <c r="O27" s="538"/>
      <c r="P27" s="538"/>
      <c r="Q27" s="538"/>
      <c r="R27" s="538"/>
      <c r="S27" s="538"/>
      <c r="T27" s="539"/>
      <c r="U27" s="539"/>
      <c r="V27" s="539"/>
      <c r="W27" s="539"/>
      <c r="X27" s="539"/>
      <c r="Y27" s="539"/>
    </row>
    <row r="28" spans="1:25" s="428" customFormat="1" ht="12.75" x14ac:dyDescent="0.2">
      <c r="A28" s="513">
        <v>52010</v>
      </c>
      <c r="B28" s="534" t="s">
        <v>560</v>
      </c>
      <c r="C28" s="538"/>
      <c r="D28" s="538"/>
      <c r="E28" s="538"/>
      <c r="F28" s="538"/>
      <c r="G28" s="538"/>
      <c r="H28" s="538"/>
      <c r="I28" s="538"/>
      <c r="J28" s="538"/>
      <c r="K28" s="538"/>
      <c r="L28" s="538"/>
      <c r="M28" s="538"/>
      <c r="N28" s="538"/>
      <c r="O28" s="538"/>
      <c r="P28" s="538"/>
      <c r="Q28" s="538"/>
      <c r="R28" s="538"/>
      <c r="S28" s="538"/>
      <c r="T28" s="539"/>
      <c r="U28" s="539"/>
      <c r="V28" s="539"/>
      <c r="W28" s="539"/>
      <c r="X28" s="539"/>
      <c r="Y28" s="539"/>
    </row>
    <row r="29" spans="1:25" s="428" customFormat="1" ht="12.75" x14ac:dyDescent="0.2">
      <c r="A29" s="513">
        <v>52015</v>
      </c>
      <c r="B29" s="534" t="s">
        <v>561</v>
      </c>
      <c r="C29" s="538"/>
      <c r="D29" s="538"/>
      <c r="E29" s="538"/>
      <c r="F29" s="538"/>
      <c r="G29" s="538"/>
      <c r="H29" s="538"/>
      <c r="I29" s="538"/>
      <c r="J29" s="538"/>
      <c r="K29" s="538"/>
      <c r="L29" s="538"/>
      <c r="M29" s="538"/>
      <c r="N29" s="538"/>
      <c r="O29" s="538"/>
      <c r="P29" s="538"/>
      <c r="Q29" s="538"/>
      <c r="R29" s="538"/>
      <c r="S29" s="538"/>
      <c r="T29" s="539"/>
      <c r="U29" s="539"/>
      <c r="V29" s="539"/>
      <c r="W29" s="539"/>
      <c r="X29" s="539"/>
      <c r="Y29" s="539"/>
    </row>
    <row r="30" spans="1:25" s="428" customFormat="1" ht="12.75" x14ac:dyDescent="0.2">
      <c r="A30" s="513">
        <v>52020</v>
      </c>
      <c r="B30" s="534" t="s">
        <v>562</v>
      </c>
      <c r="C30" s="538"/>
      <c r="D30" s="538"/>
      <c r="E30" s="538"/>
      <c r="F30" s="538"/>
      <c r="G30" s="538"/>
      <c r="H30" s="538"/>
      <c r="I30" s="538"/>
      <c r="J30" s="538"/>
      <c r="K30" s="538"/>
      <c r="L30" s="538"/>
      <c r="M30" s="538"/>
      <c r="N30" s="538"/>
      <c r="O30" s="538"/>
      <c r="P30" s="538"/>
      <c r="Q30" s="538"/>
      <c r="R30" s="538"/>
      <c r="S30" s="538"/>
      <c r="T30" s="539"/>
      <c r="U30" s="539"/>
      <c r="V30" s="539"/>
      <c r="W30" s="539"/>
      <c r="X30" s="539"/>
      <c r="Y30" s="539"/>
    </row>
    <row r="31" spans="1:25" s="428" customFormat="1" ht="12.75" x14ac:dyDescent="0.2">
      <c r="A31" s="513">
        <v>52030</v>
      </c>
      <c r="B31" s="534" t="s">
        <v>563</v>
      </c>
      <c r="C31" s="538"/>
      <c r="D31" s="538"/>
      <c r="E31" s="538"/>
      <c r="F31" s="538"/>
      <c r="G31" s="538"/>
      <c r="H31" s="538"/>
      <c r="I31" s="538"/>
      <c r="J31" s="538"/>
      <c r="K31" s="538"/>
      <c r="L31" s="538"/>
      <c r="M31" s="538"/>
      <c r="N31" s="538"/>
      <c r="O31" s="538"/>
      <c r="P31" s="538"/>
      <c r="Q31" s="538"/>
      <c r="R31" s="538"/>
      <c r="S31" s="538"/>
      <c r="T31" s="539"/>
      <c r="U31" s="539"/>
      <c r="V31" s="539"/>
      <c r="W31" s="539"/>
      <c r="X31" s="539"/>
      <c r="Y31" s="539"/>
    </row>
    <row r="32" spans="1:25" s="428" customFormat="1" ht="12.75" x14ac:dyDescent="0.2">
      <c r="A32" s="540">
        <v>52031</v>
      </c>
      <c r="B32" s="541" t="s">
        <v>564</v>
      </c>
      <c r="C32" s="538"/>
      <c r="D32" s="538"/>
      <c r="E32" s="538"/>
      <c r="F32" s="538"/>
      <c r="G32" s="538"/>
      <c r="H32" s="538"/>
      <c r="I32" s="538"/>
      <c r="J32" s="538"/>
      <c r="K32" s="538"/>
      <c r="L32" s="538"/>
      <c r="M32" s="538"/>
      <c r="N32" s="538"/>
      <c r="O32" s="538"/>
      <c r="P32" s="538"/>
      <c r="Q32" s="538"/>
      <c r="R32" s="538"/>
      <c r="S32" s="538"/>
      <c r="T32" s="539"/>
      <c r="U32" s="539"/>
      <c r="V32" s="539"/>
      <c r="W32" s="539"/>
      <c r="X32" s="539"/>
      <c r="Y32" s="539"/>
    </row>
    <row r="33" spans="1:25" s="428" customFormat="1" ht="12.75" x14ac:dyDescent="0.2">
      <c r="A33" s="513">
        <v>52035</v>
      </c>
      <c r="B33" s="534" t="s">
        <v>565</v>
      </c>
      <c r="C33" s="538"/>
      <c r="D33" s="538"/>
      <c r="E33" s="538"/>
      <c r="F33" s="538"/>
      <c r="G33" s="538"/>
      <c r="H33" s="538"/>
      <c r="I33" s="538"/>
      <c r="J33" s="538"/>
      <c r="K33" s="538"/>
      <c r="L33" s="538"/>
      <c r="M33" s="538"/>
      <c r="N33" s="538"/>
      <c r="O33" s="538"/>
      <c r="P33" s="538"/>
      <c r="Q33" s="538"/>
      <c r="R33" s="538"/>
      <c r="S33" s="538"/>
      <c r="T33" s="539"/>
      <c r="U33" s="539"/>
      <c r="V33" s="539"/>
      <c r="W33" s="539"/>
      <c r="X33" s="539"/>
      <c r="Y33" s="539"/>
    </row>
    <row r="34" spans="1:25" s="428" customFormat="1" ht="12.75" x14ac:dyDescent="0.2">
      <c r="A34" s="513">
        <v>52040</v>
      </c>
      <c r="B34" s="534" t="s">
        <v>566</v>
      </c>
      <c r="C34" s="538"/>
      <c r="D34" s="538"/>
      <c r="E34" s="538"/>
      <c r="F34" s="538"/>
      <c r="G34" s="538"/>
      <c r="H34" s="538"/>
      <c r="I34" s="538"/>
      <c r="J34" s="538"/>
      <c r="K34" s="538"/>
      <c r="L34" s="538"/>
      <c r="M34" s="538"/>
      <c r="N34" s="538"/>
      <c r="O34" s="538"/>
      <c r="P34" s="538"/>
      <c r="Q34" s="538"/>
      <c r="R34" s="538"/>
      <c r="S34" s="538"/>
      <c r="T34" s="539"/>
      <c r="U34" s="539"/>
      <c r="V34" s="539"/>
      <c r="W34" s="539"/>
      <c r="X34" s="539"/>
      <c r="Y34" s="539"/>
    </row>
    <row r="35" spans="1:25" s="428" customFormat="1" ht="12.75" x14ac:dyDescent="0.2">
      <c r="A35" s="540">
        <v>52525</v>
      </c>
      <c r="B35" s="541" t="s">
        <v>567</v>
      </c>
      <c r="C35" s="538"/>
      <c r="D35" s="538"/>
      <c r="E35" s="538"/>
      <c r="F35" s="538"/>
      <c r="G35" s="538"/>
      <c r="H35" s="538"/>
      <c r="I35" s="538"/>
      <c r="J35" s="538"/>
      <c r="K35" s="538"/>
      <c r="L35" s="538"/>
      <c r="M35" s="538"/>
      <c r="N35" s="538"/>
      <c r="O35" s="538"/>
      <c r="P35" s="538"/>
      <c r="Q35" s="538"/>
      <c r="R35" s="538"/>
      <c r="S35" s="538"/>
      <c r="T35" s="539"/>
      <c r="U35" s="539"/>
      <c r="V35" s="539"/>
      <c r="W35" s="539"/>
      <c r="X35" s="539"/>
      <c r="Y35" s="539"/>
    </row>
    <row r="36" spans="1:25" s="428" customFormat="1" ht="12.75" x14ac:dyDescent="0.2">
      <c r="A36" s="540">
        <v>52601</v>
      </c>
      <c r="B36" s="541" t="s">
        <v>568</v>
      </c>
      <c r="C36" s="538"/>
      <c r="D36" s="538"/>
      <c r="E36" s="538"/>
      <c r="F36" s="538"/>
      <c r="G36" s="538"/>
      <c r="H36" s="538"/>
      <c r="I36" s="538"/>
      <c r="J36" s="538"/>
      <c r="K36" s="538"/>
      <c r="L36" s="538"/>
      <c r="M36" s="538"/>
      <c r="N36" s="538"/>
      <c r="O36" s="538"/>
      <c r="P36" s="538"/>
      <c r="Q36" s="538"/>
      <c r="R36" s="538"/>
      <c r="S36" s="538"/>
      <c r="T36" s="539"/>
      <c r="U36" s="539"/>
      <c r="V36" s="539"/>
      <c r="W36" s="539"/>
      <c r="X36" s="539"/>
      <c r="Y36" s="539"/>
    </row>
    <row r="37" spans="1:25" s="428" customFormat="1" ht="12.75" x14ac:dyDescent="0.2">
      <c r="A37" s="540">
        <v>52602</v>
      </c>
      <c r="B37" s="541" t="s">
        <v>569</v>
      </c>
      <c r="C37" s="538"/>
      <c r="D37" s="538"/>
      <c r="E37" s="538"/>
      <c r="F37" s="538"/>
      <c r="G37" s="538"/>
      <c r="H37" s="538"/>
      <c r="I37" s="538"/>
      <c r="J37" s="538"/>
      <c r="K37" s="538"/>
      <c r="L37" s="538"/>
      <c r="M37" s="538"/>
      <c r="N37" s="538"/>
      <c r="O37" s="538"/>
      <c r="P37" s="538"/>
      <c r="Q37" s="538"/>
      <c r="R37" s="538"/>
      <c r="S37" s="538"/>
      <c r="T37" s="539"/>
      <c r="U37" s="539"/>
      <c r="V37" s="539"/>
      <c r="W37" s="539"/>
      <c r="X37" s="539"/>
      <c r="Y37" s="539"/>
    </row>
    <row r="38" spans="1:25" s="428" customFormat="1" ht="12.75" x14ac:dyDescent="0.2">
      <c r="A38" s="540">
        <v>52613</v>
      </c>
      <c r="B38" s="541" t="s">
        <v>570</v>
      </c>
      <c r="C38" s="538"/>
      <c r="D38" s="538"/>
      <c r="E38" s="538"/>
      <c r="F38" s="538"/>
      <c r="G38" s="538"/>
      <c r="H38" s="538"/>
      <c r="I38" s="538"/>
      <c r="J38" s="538"/>
      <c r="K38" s="538"/>
      <c r="L38" s="538"/>
      <c r="M38" s="538"/>
      <c r="N38" s="538"/>
      <c r="O38" s="538"/>
      <c r="P38" s="538"/>
      <c r="Q38" s="538"/>
      <c r="R38" s="538"/>
      <c r="S38" s="538"/>
      <c r="T38" s="539"/>
      <c r="U38" s="539"/>
      <c r="V38" s="539"/>
      <c r="W38" s="539"/>
      <c r="X38" s="539"/>
      <c r="Y38" s="539"/>
    </row>
    <row r="39" spans="1:25" s="428" customFormat="1" ht="12.75" x14ac:dyDescent="0.2">
      <c r="A39" s="513">
        <v>52090</v>
      </c>
      <c r="B39" s="534" t="s">
        <v>571</v>
      </c>
      <c r="C39" s="538"/>
      <c r="D39" s="538"/>
      <c r="E39" s="538"/>
      <c r="F39" s="538"/>
      <c r="G39" s="538"/>
      <c r="H39" s="538"/>
      <c r="I39" s="538"/>
      <c r="J39" s="538"/>
      <c r="K39" s="538"/>
      <c r="L39" s="538"/>
      <c r="M39" s="538"/>
      <c r="N39" s="538"/>
      <c r="O39" s="538"/>
      <c r="P39" s="538"/>
      <c r="Q39" s="538"/>
      <c r="R39" s="538"/>
      <c r="S39" s="538"/>
      <c r="T39" s="539"/>
      <c r="U39" s="539"/>
      <c r="V39" s="539"/>
      <c r="W39" s="539"/>
      <c r="X39" s="539"/>
      <c r="Y39" s="539"/>
    </row>
    <row r="40" spans="1:25" s="428" customFormat="1" ht="12.75" x14ac:dyDescent="0.2">
      <c r="A40" s="513">
        <v>52099</v>
      </c>
      <c r="B40" s="514" t="s">
        <v>572</v>
      </c>
      <c r="C40" s="542"/>
      <c r="D40" s="542"/>
      <c r="E40" s="542"/>
      <c r="F40" s="542"/>
      <c r="G40" s="542"/>
      <c r="H40" s="542"/>
      <c r="I40" s="542"/>
      <c r="J40" s="542"/>
      <c r="K40" s="542"/>
      <c r="L40" s="542"/>
      <c r="M40" s="542"/>
      <c r="N40" s="542"/>
      <c r="O40" s="542"/>
      <c r="P40" s="542"/>
      <c r="Q40" s="542"/>
      <c r="R40" s="542"/>
      <c r="S40" s="542"/>
      <c r="T40" s="543"/>
      <c r="U40" s="543"/>
      <c r="V40" s="543"/>
      <c r="W40" s="543"/>
      <c r="X40" s="543"/>
      <c r="Y40" s="543"/>
    </row>
    <row r="41" spans="1:25" s="428" customFormat="1" ht="12.75" x14ac:dyDescent="0.2">
      <c r="A41" s="513">
        <v>56900</v>
      </c>
      <c r="B41" s="532" t="s">
        <v>573</v>
      </c>
      <c r="C41" s="533">
        <f t="shared" ref="C41:Y41" si="3">SUM(C26:C40)</f>
        <v>0</v>
      </c>
      <c r="D41" s="533">
        <f t="shared" si="3"/>
        <v>0</v>
      </c>
      <c r="E41" s="533">
        <f t="shared" si="3"/>
        <v>0</v>
      </c>
      <c r="F41" s="533">
        <f t="shared" si="3"/>
        <v>0</v>
      </c>
      <c r="G41" s="533">
        <f t="shared" si="3"/>
        <v>0</v>
      </c>
      <c r="H41" s="533">
        <f t="shared" si="3"/>
        <v>0</v>
      </c>
      <c r="I41" s="533">
        <f t="shared" si="3"/>
        <v>0</v>
      </c>
      <c r="J41" s="533">
        <f t="shared" si="3"/>
        <v>0</v>
      </c>
      <c r="K41" s="533">
        <f t="shared" si="3"/>
        <v>0</v>
      </c>
      <c r="L41" s="533">
        <f t="shared" si="3"/>
        <v>0</v>
      </c>
      <c r="M41" s="533">
        <f t="shared" si="3"/>
        <v>0</v>
      </c>
      <c r="N41" s="533">
        <f t="shared" si="3"/>
        <v>0</v>
      </c>
      <c r="O41" s="533">
        <f t="shared" si="3"/>
        <v>0</v>
      </c>
      <c r="P41" s="533">
        <f t="shared" si="3"/>
        <v>0</v>
      </c>
      <c r="Q41" s="533">
        <f t="shared" si="3"/>
        <v>0</v>
      </c>
      <c r="R41" s="533">
        <f t="shared" si="3"/>
        <v>0</v>
      </c>
      <c r="S41" s="533">
        <f t="shared" si="3"/>
        <v>0</v>
      </c>
      <c r="T41" s="533">
        <f t="shared" si="3"/>
        <v>0</v>
      </c>
      <c r="U41" s="533">
        <f t="shared" si="3"/>
        <v>0</v>
      </c>
      <c r="V41" s="533">
        <f t="shared" si="3"/>
        <v>0</v>
      </c>
      <c r="W41" s="533">
        <f t="shared" si="3"/>
        <v>0</v>
      </c>
      <c r="X41" s="533">
        <f t="shared" si="3"/>
        <v>0</v>
      </c>
      <c r="Y41" s="533">
        <f t="shared" si="3"/>
        <v>0</v>
      </c>
    </row>
    <row r="42" spans="1:25" s="428" customFormat="1" ht="12.75" x14ac:dyDescent="0.2">
      <c r="A42" s="513"/>
      <c r="B42" s="516"/>
      <c r="C42" s="528"/>
      <c r="D42" s="528"/>
      <c r="E42" s="528"/>
      <c r="F42" s="528"/>
      <c r="G42" s="528"/>
      <c r="H42" s="528"/>
      <c r="I42" s="528"/>
      <c r="J42" s="528"/>
      <c r="K42" s="528"/>
      <c r="L42" s="528"/>
      <c r="M42" s="528"/>
      <c r="N42" s="528"/>
      <c r="O42" s="528"/>
      <c r="P42" s="528"/>
      <c r="Q42" s="528"/>
      <c r="R42" s="528"/>
      <c r="S42" s="528"/>
      <c r="T42" s="528"/>
      <c r="U42" s="528"/>
      <c r="V42" s="528"/>
      <c r="W42" s="528"/>
      <c r="X42" s="528"/>
      <c r="Y42" s="528"/>
    </row>
    <row r="43" spans="1:25" s="521" customFormat="1" ht="12.75" x14ac:dyDescent="0.2">
      <c r="A43" s="513">
        <v>57900</v>
      </c>
      <c r="B43" s="532" t="s">
        <v>574</v>
      </c>
      <c r="C43" s="533">
        <f t="shared" ref="C43:Y43" si="4">C23-C41</f>
        <v>0</v>
      </c>
      <c r="D43" s="533">
        <f t="shared" si="4"/>
        <v>0</v>
      </c>
      <c r="E43" s="533">
        <f t="shared" si="4"/>
        <v>0</v>
      </c>
      <c r="F43" s="533">
        <f t="shared" si="4"/>
        <v>43.82</v>
      </c>
      <c r="G43" s="533">
        <f t="shared" si="4"/>
        <v>0</v>
      </c>
      <c r="H43" s="533">
        <f t="shared" si="4"/>
        <v>0</v>
      </c>
      <c r="I43" s="533">
        <f t="shared" si="4"/>
        <v>0</v>
      </c>
      <c r="J43" s="533">
        <f t="shared" si="4"/>
        <v>0</v>
      </c>
      <c r="K43" s="533">
        <f t="shared" si="4"/>
        <v>0</v>
      </c>
      <c r="L43" s="533" t="e">
        <f t="shared" si="4"/>
        <v>#NAME?</v>
      </c>
      <c r="M43" s="533">
        <f t="shared" si="4"/>
        <v>156000</v>
      </c>
      <c r="N43" s="533">
        <f t="shared" si="4"/>
        <v>0</v>
      </c>
      <c r="O43" s="533">
        <f t="shared" si="4"/>
        <v>0</v>
      </c>
      <c r="P43" s="533">
        <f t="shared" si="4"/>
        <v>0</v>
      </c>
      <c r="Q43" s="533">
        <f t="shared" si="4"/>
        <v>0</v>
      </c>
      <c r="R43" s="533">
        <f t="shared" si="4"/>
        <v>0</v>
      </c>
      <c r="S43" s="533">
        <f t="shared" si="4"/>
        <v>6054.45</v>
      </c>
      <c r="T43" s="533">
        <f t="shared" si="4"/>
        <v>0</v>
      </c>
      <c r="U43" s="533">
        <f t="shared" si="4"/>
        <v>0</v>
      </c>
      <c r="V43" s="533">
        <f t="shared" si="4"/>
        <v>-19650.88</v>
      </c>
      <c r="W43" s="533">
        <f t="shared" si="4"/>
        <v>0</v>
      </c>
      <c r="X43" s="533">
        <f t="shared" si="4"/>
        <v>0</v>
      </c>
      <c r="Y43" s="533" t="e">
        <f t="shared" si="4"/>
        <v>#NAME?</v>
      </c>
    </row>
    <row r="44" spans="1:25" s="428" customFormat="1" ht="12.75" x14ac:dyDescent="0.2">
      <c r="A44" s="513" t="s">
        <v>575</v>
      </c>
      <c r="B44" s="516" t="s">
        <v>576</v>
      </c>
      <c r="C44" s="544" t="str">
        <f t="shared" ref="C44:Y44" si="5">IF(ISERROR(C43/C23),"",(C43/C23))</f>
        <v/>
      </c>
      <c r="D44" s="544" t="str">
        <f t="shared" si="5"/>
        <v/>
      </c>
      <c r="E44" s="544" t="str">
        <f t="shared" si="5"/>
        <v/>
      </c>
      <c r="F44" s="544">
        <f t="shared" si="5"/>
        <v>1</v>
      </c>
      <c r="G44" s="544" t="str">
        <f t="shared" si="5"/>
        <v/>
      </c>
      <c r="H44" s="544" t="str">
        <f t="shared" si="5"/>
        <v/>
      </c>
      <c r="I44" s="544" t="str">
        <f t="shared" si="5"/>
        <v/>
      </c>
      <c r="J44" s="544" t="str">
        <f t="shared" si="5"/>
        <v/>
      </c>
      <c r="K44" s="544" t="str">
        <f t="shared" si="5"/>
        <v/>
      </c>
      <c r="L44" s="544" t="str">
        <f t="shared" si="5"/>
        <v/>
      </c>
      <c r="M44" s="544">
        <f t="shared" si="5"/>
        <v>1</v>
      </c>
      <c r="N44" s="544" t="str">
        <f t="shared" si="5"/>
        <v/>
      </c>
      <c r="O44" s="544" t="str">
        <f t="shared" si="5"/>
        <v/>
      </c>
      <c r="P44" s="544" t="str">
        <f t="shared" si="5"/>
        <v/>
      </c>
      <c r="Q44" s="544" t="str">
        <f t="shared" si="5"/>
        <v/>
      </c>
      <c r="R44" s="544" t="str">
        <f t="shared" si="5"/>
        <v/>
      </c>
      <c r="S44" s="544">
        <f t="shared" si="5"/>
        <v>1</v>
      </c>
      <c r="T44" s="544" t="str">
        <f t="shared" si="5"/>
        <v/>
      </c>
      <c r="U44" s="544" t="str">
        <f t="shared" si="5"/>
        <v/>
      </c>
      <c r="V44" s="544">
        <f t="shared" si="5"/>
        <v>1</v>
      </c>
      <c r="W44" s="544" t="str">
        <f t="shared" si="5"/>
        <v/>
      </c>
      <c r="X44" s="544" t="str">
        <f t="shared" si="5"/>
        <v/>
      </c>
      <c r="Y44" s="544" t="str">
        <f t="shared" si="5"/>
        <v/>
      </c>
    </row>
    <row r="45" spans="1:25" s="428" customFormat="1" ht="12.75" x14ac:dyDescent="0.2">
      <c r="A45" s="513"/>
      <c r="B45" s="516"/>
      <c r="C45" s="528"/>
      <c r="D45" s="528"/>
      <c r="E45" s="528"/>
      <c r="F45" s="528"/>
      <c r="G45" s="528"/>
      <c r="H45" s="528"/>
      <c r="I45" s="528"/>
      <c r="J45" s="528"/>
      <c r="K45" s="528"/>
      <c r="L45" s="528"/>
      <c r="M45" s="528"/>
      <c r="N45" s="528"/>
      <c r="O45" s="528"/>
      <c r="P45" s="528"/>
      <c r="Q45" s="528"/>
      <c r="R45" s="528"/>
      <c r="S45" s="528"/>
      <c r="T45" s="528"/>
      <c r="U45" s="528"/>
      <c r="V45" s="528"/>
      <c r="W45" s="528"/>
      <c r="X45" s="528"/>
      <c r="Y45" s="528"/>
    </row>
    <row r="46" spans="1:25" s="428" customFormat="1" ht="12.75" x14ac:dyDescent="0.2">
      <c r="A46" s="513"/>
      <c r="B46" s="516" t="s">
        <v>577</v>
      </c>
      <c r="C46" s="528"/>
      <c r="D46" s="528"/>
      <c r="E46" s="528"/>
      <c r="F46" s="528"/>
      <c r="G46" s="528"/>
      <c r="H46" s="528"/>
      <c r="I46" s="528"/>
      <c r="J46" s="528"/>
      <c r="K46" s="528"/>
      <c r="L46" s="528"/>
      <c r="M46" s="528"/>
      <c r="N46" s="528"/>
      <c r="O46" s="528"/>
      <c r="P46" s="528"/>
      <c r="Q46" s="528"/>
      <c r="R46" s="528"/>
      <c r="S46" s="528"/>
      <c r="T46" s="528"/>
      <c r="U46" s="528"/>
      <c r="V46" s="528"/>
      <c r="W46" s="528"/>
      <c r="X46" s="528"/>
      <c r="Y46" s="528"/>
    </row>
    <row r="47" spans="1:25" s="428" customFormat="1" ht="12.75" x14ac:dyDescent="0.2">
      <c r="A47" s="513">
        <v>58001</v>
      </c>
      <c r="B47" s="529" t="s">
        <v>578</v>
      </c>
      <c r="C47" s="538"/>
      <c r="D47" s="538"/>
      <c r="E47" s="538"/>
      <c r="F47" s="538"/>
      <c r="G47" s="538"/>
      <c r="H47" s="538"/>
      <c r="I47" s="538"/>
      <c r="J47" s="538"/>
      <c r="K47" s="538"/>
      <c r="L47" s="538"/>
      <c r="M47" s="538"/>
      <c r="N47" s="538"/>
      <c r="O47" s="538"/>
      <c r="P47" s="538"/>
      <c r="Q47" s="538"/>
      <c r="R47" s="538"/>
      <c r="S47" s="538"/>
      <c r="T47" s="539"/>
      <c r="U47" s="539"/>
      <c r="V47" s="539"/>
      <c r="W47" s="539"/>
      <c r="X47" s="539"/>
      <c r="Y47" s="539"/>
    </row>
    <row r="48" spans="1:25" s="428" customFormat="1" ht="12.75" x14ac:dyDescent="0.2">
      <c r="A48" s="513">
        <v>58002</v>
      </c>
      <c r="B48" s="534" t="s">
        <v>579</v>
      </c>
      <c r="C48" s="538"/>
      <c r="D48" s="538"/>
      <c r="E48" s="538"/>
      <c r="F48" s="538"/>
      <c r="G48" s="538"/>
      <c r="H48" s="538"/>
      <c r="I48" s="538"/>
      <c r="J48" s="538"/>
      <c r="K48" s="538"/>
      <c r="L48" s="538"/>
      <c r="M48" s="538"/>
      <c r="N48" s="538"/>
      <c r="O48" s="538"/>
      <c r="P48" s="538"/>
      <c r="Q48" s="538"/>
      <c r="R48" s="538"/>
      <c r="S48" s="538"/>
      <c r="T48" s="539"/>
      <c r="U48" s="539"/>
      <c r="V48" s="539"/>
      <c r="W48" s="539"/>
      <c r="X48" s="539"/>
      <c r="Y48" s="539"/>
    </row>
    <row r="49" spans="1:25" s="428" customFormat="1" ht="12.75" x14ac:dyDescent="0.2">
      <c r="A49" s="513">
        <v>58003</v>
      </c>
      <c r="B49" s="534" t="s">
        <v>580</v>
      </c>
      <c r="C49" s="538"/>
      <c r="D49" s="538"/>
      <c r="E49" s="538"/>
      <c r="F49" s="538"/>
      <c r="G49" s="538"/>
      <c r="H49" s="538"/>
      <c r="I49" s="538"/>
      <c r="J49" s="538"/>
      <c r="K49" s="538"/>
      <c r="L49" s="538"/>
      <c r="M49" s="538"/>
      <c r="N49" s="538"/>
      <c r="O49" s="538"/>
      <c r="P49" s="538"/>
      <c r="Q49" s="538"/>
      <c r="R49" s="538"/>
      <c r="S49" s="538"/>
      <c r="T49" s="539"/>
      <c r="U49" s="539"/>
      <c r="V49" s="539"/>
      <c r="W49" s="539"/>
      <c r="X49" s="539"/>
      <c r="Y49" s="539"/>
    </row>
    <row r="50" spans="1:25" s="428" customFormat="1" ht="12.75" x14ac:dyDescent="0.2">
      <c r="A50" s="513">
        <v>58004</v>
      </c>
      <c r="B50" s="534" t="s">
        <v>581</v>
      </c>
      <c r="C50" s="538"/>
      <c r="D50" s="538"/>
      <c r="E50" s="538"/>
      <c r="F50" s="538"/>
      <c r="G50" s="538"/>
      <c r="H50" s="538"/>
      <c r="I50" s="538"/>
      <c r="J50" s="538"/>
      <c r="K50" s="538"/>
      <c r="L50" s="538"/>
      <c r="M50" s="538"/>
      <c r="N50" s="538"/>
      <c r="O50" s="538"/>
      <c r="P50" s="538"/>
      <c r="Q50" s="538"/>
      <c r="R50" s="538"/>
      <c r="S50" s="538"/>
      <c r="T50" s="539"/>
      <c r="U50" s="539"/>
      <c r="V50" s="539"/>
      <c r="W50" s="539"/>
      <c r="X50" s="539"/>
      <c r="Y50" s="539"/>
    </row>
    <row r="51" spans="1:25" s="428" customFormat="1" ht="12.75" x14ac:dyDescent="0.2">
      <c r="A51" s="513">
        <v>58100</v>
      </c>
      <c r="B51" s="534" t="s">
        <v>582</v>
      </c>
      <c r="C51" s="538"/>
      <c r="D51" s="538"/>
      <c r="E51" s="538"/>
      <c r="F51" s="538"/>
      <c r="G51" s="538"/>
      <c r="H51" s="538"/>
      <c r="I51" s="538"/>
      <c r="J51" s="538"/>
      <c r="K51" s="538"/>
      <c r="L51" s="538"/>
      <c r="M51" s="538"/>
      <c r="N51" s="538"/>
      <c r="O51" s="538"/>
      <c r="P51" s="538"/>
      <c r="Q51" s="538"/>
      <c r="R51" s="538"/>
      <c r="S51" s="538"/>
      <c r="T51" s="539"/>
      <c r="U51" s="539"/>
      <c r="V51" s="539"/>
      <c r="W51" s="539"/>
      <c r="X51" s="539"/>
      <c r="Y51" s="539"/>
    </row>
    <row r="52" spans="1:25" s="428" customFormat="1" ht="12.75" x14ac:dyDescent="0.2">
      <c r="A52" s="513">
        <v>58380</v>
      </c>
      <c r="B52" s="536" t="s">
        <v>583</v>
      </c>
      <c r="C52" s="537">
        <f t="shared" ref="C52:Y52" si="6">SUM(C47:C51)</f>
        <v>0</v>
      </c>
      <c r="D52" s="537">
        <f t="shared" si="6"/>
        <v>0</v>
      </c>
      <c r="E52" s="537">
        <f t="shared" si="6"/>
        <v>0</v>
      </c>
      <c r="F52" s="537">
        <f t="shared" si="6"/>
        <v>0</v>
      </c>
      <c r="G52" s="537">
        <f t="shared" si="6"/>
        <v>0</v>
      </c>
      <c r="H52" s="537">
        <f t="shared" si="6"/>
        <v>0</v>
      </c>
      <c r="I52" s="537">
        <f t="shared" si="6"/>
        <v>0</v>
      </c>
      <c r="J52" s="537">
        <f t="shared" si="6"/>
        <v>0</v>
      </c>
      <c r="K52" s="537">
        <f t="shared" si="6"/>
        <v>0</v>
      </c>
      <c r="L52" s="537">
        <f t="shared" si="6"/>
        <v>0</v>
      </c>
      <c r="M52" s="537">
        <f t="shared" si="6"/>
        <v>0</v>
      </c>
      <c r="N52" s="537">
        <f t="shared" si="6"/>
        <v>0</v>
      </c>
      <c r="O52" s="537">
        <f t="shared" si="6"/>
        <v>0</v>
      </c>
      <c r="P52" s="537">
        <f t="shared" si="6"/>
        <v>0</v>
      </c>
      <c r="Q52" s="537">
        <f t="shared" si="6"/>
        <v>0</v>
      </c>
      <c r="R52" s="537">
        <f t="shared" si="6"/>
        <v>0</v>
      </c>
      <c r="S52" s="537">
        <f t="shared" si="6"/>
        <v>0</v>
      </c>
      <c r="T52" s="537">
        <f t="shared" si="6"/>
        <v>0</v>
      </c>
      <c r="U52" s="537">
        <f t="shared" si="6"/>
        <v>0</v>
      </c>
      <c r="V52" s="537">
        <f t="shared" si="6"/>
        <v>0</v>
      </c>
      <c r="W52" s="537">
        <f t="shared" si="6"/>
        <v>0</v>
      </c>
      <c r="X52" s="537">
        <f t="shared" si="6"/>
        <v>0</v>
      </c>
      <c r="Y52" s="537">
        <f t="shared" si="6"/>
        <v>0</v>
      </c>
    </row>
    <row r="53" spans="1:25" s="428" customFormat="1" ht="12.75" x14ac:dyDescent="0.2">
      <c r="A53" s="513"/>
      <c r="B53" s="516"/>
      <c r="C53" s="528"/>
      <c r="D53" s="528"/>
      <c r="E53" s="528"/>
      <c r="F53" s="528"/>
      <c r="G53" s="528"/>
      <c r="H53" s="528"/>
      <c r="I53" s="528"/>
      <c r="J53" s="528"/>
      <c r="K53" s="528"/>
      <c r="L53" s="528"/>
      <c r="M53" s="528"/>
      <c r="N53" s="528"/>
      <c r="O53" s="528"/>
      <c r="P53" s="528"/>
      <c r="Q53" s="528"/>
      <c r="R53" s="528"/>
      <c r="S53" s="528"/>
      <c r="T53" s="528"/>
      <c r="U53" s="528"/>
      <c r="V53" s="528"/>
      <c r="W53" s="528"/>
      <c r="X53" s="528"/>
      <c r="Y53" s="528"/>
    </row>
    <row r="54" spans="1:25" s="428" customFormat="1" ht="12.75" x14ac:dyDescent="0.2">
      <c r="A54" s="513"/>
      <c r="B54" s="516" t="s">
        <v>584</v>
      </c>
      <c r="C54" s="528"/>
      <c r="D54" s="528"/>
      <c r="E54" s="528"/>
      <c r="F54" s="528"/>
      <c r="G54" s="528"/>
      <c r="H54" s="528"/>
      <c r="I54" s="528"/>
      <c r="J54" s="528"/>
      <c r="K54" s="528"/>
      <c r="L54" s="528"/>
      <c r="M54" s="528"/>
      <c r="N54" s="528"/>
      <c r="O54" s="528"/>
      <c r="P54" s="528"/>
      <c r="Q54" s="528"/>
      <c r="R54" s="528"/>
      <c r="S54" s="528"/>
      <c r="T54" s="528"/>
      <c r="U54" s="528"/>
      <c r="V54" s="528"/>
      <c r="W54" s="528"/>
      <c r="X54" s="528"/>
      <c r="Y54" s="528"/>
    </row>
    <row r="55" spans="1:25" s="428" customFormat="1" ht="12.75" x14ac:dyDescent="0.2">
      <c r="A55" s="513">
        <v>58403</v>
      </c>
      <c r="B55" s="529" t="s">
        <v>585</v>
      </c>
      <c r="C55" s="538"/>
      <c r="D55" s="538"/>
      <c r="E55" s="538"/>
      <c r="F55" s="538"/>
      <c r="G55" s="538"/>
      <c r="H55" s="538"/>
      <c r="I55" s="538"/>
      <c r="J55" s="538"/>
      <c r="K55" s="538"/>
      <c r="L55" s="538"/>
      <c r="M55" s="538"/>
      <c r="N55" s="538"/>
      <c r="O55" s="538"/>
      <c r="P55" s="538"/>
      <c r="Q55" s="538"/>
      <c r="R55" s="538"/>
      <c r="S55" s="538"/>
      <c r="T55" s="538"/>
      <c r="U55" s="538"/>
      <c r="V55" s="538"/>
      <c r="W55" s="538"/>
      <c r="X55" s="538"/>
      <c r="Y55" s="538"/>
    </row>
    <row r="56" spans="1:25" s="428" customFormat="1" ht="12.75" x14ac:dyDescent="0.2">
      <c r="A56" s="513">
        <v>58406</v>
      </c>
      <c r="B56" s="514" t="s">
        <v>586</v>
      </c>
      <c r="C56" s="538"/>
      <c r="D56" s="538"/>
      <c r="E56" s="538"/>
      <c r="F56" s="538"/>
      <c r="G56" s="538"/>
      <c r="H56" s="538"/>
      <c r="I56" s="538"/>
      <c r="J56" s="538"/>
      <c r="K56" s="538"/>
      <c r="L56" s="538"/>
      <c r="M56" s="538"/>
      <c r="N56" s="538"/>
      <c r="O56" s="538"/>
      <c r="P56" s="538"/>
      <c r="Q56" s="538"/>
      <c r="R56" s="538"/>
      <c r="S56" s="538"/>
      <c r="T56" s="538"/>
      <c r="U56" s="538"/>
      <c r="V56" s="538"/>
      <c r="W56" s="538"/>
      <c r="X56" s="538"/>
      <c r="Y56" s="538"/>
    </row>
    <row r="57" spans="1:25" s="428" customFormat="1" ht="12.75" x14ac:dyDescent="0.2">
      <c r="A57" s="513">
        <v>58450</v>
      </c>
      <c r="B57" s="536" t="s">
        <v>587</v>
      </c>
      <c r="C57" s="537">
        <f t="shared" ref="C57:Y57" si="7">SUM(C55:C56)</f>
        <v>0</v>
      </c>
      <c r="D57" s="537">
        <f t="shared" si="7"/>
        <v>0</v>
      </c>
      <c r="E57" s="537">
        <f t="shared" si="7"/>
        <v>0</v>
      </c>
      <c r="F57" s="537">
        <f t="shared" si="7"/>
        <v>0</v>
      </c>
      <c r="G57" s="537">
        <f t="shared" si="7"/>
        <v>0</v>
      </c>
      <c r="H57" s="537">
        <f t="shared" si="7"/>
        <v>0</v>
      </c>
      <c r="I57" s="537">
        <f t="shared" si="7"/>
        <v>0</v>
      </c>
      <c r="J57" s="537">
        <f t="shared" si="7"/>
        <v>0</v>
      </c>
      <c r="K57" s="537">
        <f t="shared" si="7"/>
        <v>0</v>
      </c>
      <c r="L57" s="537">
        <f t="shared" si="7"/>
        <v>0</v>
      </c>
      <c r="M57" s="537">
        <f t="shared" si="7"/>
        <v>0</v>
      </c>
      <c r="N57" s="537">
        <f t="shared" si="7"/>
        <v>0</v>
      </c>
      <c r="O57" s="537">
        <f t="shared" si="7"/>
        <v>0</v>
      </c>
      <c r="P57" s="537">
        <f t="shared" si="7"/>
        <v>0</v>
      </c>
      <c r="Q57" s="537">
        <f t="shared" si="7"/>
        <v>0</v>
      </c>
      <c r="R57" s="537">
        <f t="shared" si="7"/>
        <v>0</v>
      </c>
      <c r="S57" s="537">
        <f t="shared" si="7"/>
        <v>0</v>
      </c>
      <c r="T57" s="537">
        <f t="shared" si="7"/>
        <v>0</v>
      </c>
      <c r="U57" s="537">
        <f t="shared" si="7"/>
        <v>0</v>
      </c>
      <c r="V57" s="537">
        <f t="shared" si="7"/>
        <v>0</v>
      </c>
      <c r="W57" s="537">
        <f t="shared" si="7"/>
        <v>0</v>
      </c>
      <c r="X57" s="537">
        <f t="shared" si="7"/>
        <v>0</v>
      </c>
      <c r="Y57" s="537">
        <f t="shared" si="7"/>
        <v>0</v>
      </c>
    </row>
    <row r="58" spans="1:25" s="428" customFormat="1" ht="12.75" x14ac:dyDescent="0.2">
      <c r="A58" s="513"/>
      <c r="B58" s="532"/>
      <c r="C58" s="533"/>
      <c r="D58" s="533"/>
      <c r="E58" s="533"/>
      <c r="F58" s="533"/>
      <c r="G58" s="533"/>
      <c r="H58" s="533"/>
      <c r="I58" s="533"/>
      <c r="J58" s="533"/>
      <c r="K58" s="533"/>
      <c r="L58" s="533"/>
      <c r="M58" s="533"/>
      <c r="N58" s="533"/>
      <c r="O58" s="533"/>
      <c r="P58" s="533"/>
      <c r="Q58" s="533"/>
      <c r="R58" s="533"/>
      <c r="S58" s="533"/>
      <c r="T58" s="533"/>
      <c r="U58" s="533"/>
      <c r="V58" s="533"/>
      <c r="W58" s="533"/>
      <c r="X58" s="533"/>
      <c r="Y58" s="533"/>
    </row>
    <row r="59" spans="1:25" s="428" customFormat="1" ht="12.75" x14ac:dyDescent="0.2">
      <c r="A59" s="513">
        <v>58580</v>
      </c>
      <c r="B59" s="536" t="s">
        <v>588</v>
      </c>
      <c r="C59" s="537">
        <f t="shared" ref="C59:Y59" si="8">C52+C57</f>
        <v>0</v>
      </c>
      <c r="D59" s="537">
        <f t="shared" si="8"/>
        <v>0</v>
      </c>
      <c r="E59" s="537">
        <f t="shared" si="8"/>
        <v>0</v>
      </c>
      <c r="F59" s="537">
        <f t="shared" si="8"/>
        <v>0</v>
      </c>
      <c r="G59" s="537">
        <f t="shared" si="8"/>
        <v>0</v>
      </c>
      <c r="H59" s="537">
        <f t="shared" si="8"/>
        <v>0</v>
      </c>
      <c r="I59" s="537">
        <f t="shared" si="8"/>
        <v>0</v>
      </c>
      <c r="J59" s="537">
        <f t="shared" si="8"/>
        <v>0</v>
      </c>
      <c r="K59" s="537">
        <f t="shared" si="8"/>
        <v>0</v>
      </c>
      <c r="L59" s="537">
        <f t="shared" si="8"/>
        <v>0</v>
      </c>
      <c r="M59" s="537">
        <f t="shared" si="8"/>
        <v>0</v>
      </c>
      <c r="N59" s="537">
        <f t="shared" si="8"/>
        <v>0</v>
      </c>
      <c r="O59" s="537">
        <f t="shared" si="8"/>
        <v>0</v>
      </c>
      <c r="P59" s="537">
        <f t="shared" si="8"/>
        <v>0</v>
      </c>
      <c r="Q59" s="537">
        <f t="shared" si="8"/>
        <v>0</v>
      </c>
      <c r="R59" s="537">
        <f t="shared" si="8"/>
        <v>0</v>
      </c>
      <c r="S59" s="537">
        <f t="shared" si="8"/>
        <v>0</v>
      </c>
      <c r="T59" s="537">
        <f t="shared" si="8"/>
        <v>0</v>
      </c>
      <c r="U59" s="537">
        <f t="shared" si="8"/>
        <v>0</v>
      </c>
      <c r="V59" s="537">
        <f t="shared" si="8"/>
        <v>0</v>
      </c>
      <c r="W59" s="537">
        <f t="shared" si="8"/>
        <v>0</v>
      </c>
      <c r="X59" s="537">
        <f t="shared" si="8"/>
        <v>0</v>
      </c>
      <c r="Y59" s="537">
        <f t="shared" si="8"/>
        <v>0</v>
      </c>
    </row>
    <row r="60" spans="1:25" s="428" customFormat="1" ht="12.75" x14ac:dyDescent="0.2">
      <c r="A60" s="513"/>
      <c r="B60" s="536"/>
      <c r="C60" s="537"/>
      <c r="D60" s="537"/>
      <c r="E60" s="537"/>
      <c r="F60" s="537"/>
      <c r="G60" s="537"/>
      <c r="H60" s="537"/>
      <c r="I60" s="537"/>
      <c r="J60" s="537"/>
      <c r="K60" s="537"/>
      <c r="L60" s="537"/>
      <c r="M60" s="537"/>
      <c r="N60" s="537"/>
      <c r="O60" s="537"/>
      <c r="P60" s="537"/>
      <c r="Q60" s="537"/>
      <c r="R60" s="537"/>
      <c r="S60" s="537"/>
      <c r="T60" s="537"/>
      <c r="U60" s="537"/>
      <c r="V60" s="537"/>
      <c r="W60" s="537"/>
      <c r="X60" s="537"/>
      <c r="Y60" s="537"/>
    </row>
    <row r="61" spans="1:25" s="428" customFormat="1" ht="12.75" x14ac:dyDescent="0.2">
      <c r="A61" s="513">
        <v>58599</v>
      </c>
      <c r="B61" s="536" t="s">
        <v>589</v>
      </c>
      <c r="C61" s="537">
        <f t="shared" ref="C61:Y61" si="9">C43-C59</f>
        <v>0</v>
      </c>
      <c r="D61" s="537">
        <f t="shared" si="9"/>
        <v>0</v>
      </c>
      <c r="E61" s="537">
        <f t="shared" si="9"/>
        <v>0</v>
      </c>
      <c r="F61" s="537">
        <f t="shared" si="9"/>
        <v>43.82</v>
      </c>
      <c r="G61" s="537">
        <f t="shared" si="9"/>
        <v>0</v>
      </c>
      <c r="H61" s="537">
        <f t="shared" si="9"/>
        <v>0</v>
      </c>
      <c r="I61" s="537">
        <f t="shared" si="9"/>
        <v>0</v>
      </c>
      <c r="J61" s="537">
        <f t="shared" si="9"/>
        <v>0</v>
      </c>
      <c r="K61" s="537">
        <f t="shared" si="9"/>
        <v>0</v>
      </c>
      <c r="L61" s="537" t="e">
        <f t="shared" si="9"/>
        <v>#NAME?</v>
      </c>
      <c r="M61" s="537">
        <f t="shared" si="9"/>
        <v>156000</v>
      </c>
      <c r="N61" s="537">
        <f t="shared" si="9"/>
        <v>0</v>
      </c>
      <c r="O61" s="537">
        <f t="shared" si="9"/>
        <v>0</v>
      </c>
      <c r="P61" s="537">
        <f t="shared" si="9"/>
        <v>0</v>
      </c>
      <c r="Q61" s="537">
        <f t="shared" si="9"/>
        <v>0</v>
      </c>
      <c r="R61" s="537">
        <f t="shared" si="9"/>
        <v>0</v>
      </c>
      <c r="S61" s="537">
        <f t="shared" si="9"/>
        <v>6054.45</v>
      </c>
      <c r="T61" s="537">
        <f t="shared" si="9"/>
        <v>0</v>
      </c>
      <c r="U61" s="537">
        <f t="shared" si="9"/>
        <v>0</v>
      </c>
      <c r="V61" s="537">
        <f t="shared" si="9"/>
        <v>-19650.88</v>
      </c>
      <c r="W61" s="537">
        <f t="shared" si="9"/>
        <v>0</v>
      </c>
      <c r="X61" s="537">
        <f t="shared" si="9"/>
        <v>0</v>
      </c>
      <c r="Y61" s="537" t="e">
        <f t="shared" si="9"/>
        <v>#NAME?</v>
      </c>
    </row>
    <row r="62" spans="1:25" s="428" customFormat="1" ht="12.75" x14ac:dyDescent="0.2">
      <c r="A62" s="513"/>
      <c r="B62" s="516"/>
      <c r="C62" s="528"/>
      <c r="D62" s="528"/>
      <c r="E62" s="528"/>
      <c r="F62" s="528"/>
      <c r="G62" s="528"/>
      <c r="H62" s="528"/>
      <c r="I62" s="528"/>
      <c r="J62" s="528"/>
      <c r="K62" s="528"/>
      <c r="L62" s="528"/>
      <c r="M62" s="528"/>
      <c r="N62" s="528"/>
      <c r="O62" s="528"/>
      <c r="P62" s="528"/>
      <c r="Q62" s="528"/>
      <c r="R62" s="528"/>
      <c r="S62" s="528"/>
      <c r="T62" s="528"/>
      <c r="U62" s="528"/>
      <c r="V62" s="528"/>
      <c r="W62" s="528"/>
      <c r="X62" s="528"/>
      <c r="Y62" s="528"/>
    </row>
    <row r="63" spans="1:25" s="428" customFormat="1" ht="12.75" x14ac:dyDescent="0.2">
      <c r="A63" s="513"/>
      <c r="B63" s="516" t="s">
        <v>590</v>
      </c>
      <c r="C63" s="528"/>
      <c r="D63" s="528"/>
      <c r="E63" s="528"/>
      <c r="F63" s="528"/>
      <c r="G63" s="528"/>
      <c r="H63" s="528"/>
      <c r="I63" s="528"/>
      <c r="J63" s="528"/>
      <c r="K63" s="528"/>
      <c r="L63" s="528"/>
      <c r="M63" s="528"/>
      <c r="N63" s="528"/>
      <c r="O63" s="528"/>
      <c r="P63" s="528"/>
      <c r="Q63" s="528"/>
      <c r="R63" s="528"/>
      <c r="S63" s="528"/>
      <c r="T63" s="528"/>
      <c r="U63" s="528"/>
      <c r="V63" s="528"/>
      <c r="W63" s="528"/>
      <c r="X63" s="528"/>
      <c r="Y63" s="528"/>
    </row>
    <row r="64" spans="1:25" s="428" customFormat="1" ht="12.75" x14ac:dyDescent="0.2">
      <c r="A64" s="513">
        <v>58601</v>
      </c>
      <c r="B64" s="529" t="s">
        <v>591</v>
      </c>
      <c r="C64" s="538"/>
      <c r="D64" s="538"/>
      <c r="E64" s="538"/>
      <c r="F64" s="538"/>
      <c r="G64" s="538"/>
      <c r="H64" s="538"/>
      <c r="I64" s="538"/>
      <c r="J64" s="538"/>
      <c r="K64" s="538"/>
      <c r="L64" s="538"/>
      <c r="M64" s="538"/>
      <c r="N64" s="538"/>
      <c r="O64" s="538"/>
      <c r="P64" s="538"/>
      <c r="Q64" s="538"/>
      <c r="R64" s="538"/>
      <c r="S64" s="538"/>
      <c r="T64" s="538"/>
      <c r="U64" s="538"/>
      <c r="V64" s="538"/>
      <c r="W64" s="538"/>
      <c r="X64" s="538"/>
      <c r="Y64" s="538"/>
    </row>
    <row r="65" spans="1:25" s="428" customFormat="1" ht="12.75" x14ac:dyDescent="0.2">
      <c r="A65" s="513">
        <v>58602</v>
      </c>
      <c r="B65" s="514" t="s">
        <v>592</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row>
    <row r="66" spans="1:25" s="428" customFormat="1" ht="12.75" x14ac:dyDescent="0.2">
      <c r="A66" s="513">
        <v>58699</v>
      </c>
      <c r="B66" s="536" t="s">
        <v>593</v>
      </c>
      <c r="C66" s="537">
        <f t="shared" ref="C66:Y66" si="10">SUM(C64:C65)</f>
        <v>0</v>
      </c>
      <c r="D66" s="537">
        <f t="shared" si="10"/>
        <v>0</v>
      </c>
      <c r="E66" s="537">
        <f t="shared" si="10"/>
        <v>0</v>
      </c>
      <c r="F66" s="537">
        <f t="shared" si="10"/>
        <v>0</v>
      </c>
      <c r="G66" s="537">
        <f t="shared" si="10"/>
        <v>0</v>
      </c>
      <c r="H66" s="537">
        <f t="shared" si="10"/>
        <v>0</v>
      </c>
      <c r="I66" s="537">
        <f t="shared" si="10"/>
        <v>0</v>
      </c>
      <c r="J66" s="537">
        <f t="shared" si="10"/>
        <v>0</v>
      </c>
      <c r="K66" s="537">
        <f t="shared" si="10"/>
        <v>0</v>
      </c>
      <c r="L66" s="537">
        <f t="shared" si="10"/>
        <v>0</v>
      </c>
      <c r="M66" s="537">
        <f t="shared" si="10"/>
        <v>0</v>
      </c>
      <c r="N66" s="537">
        <f t="shared" si="10"/>
        <v>0</v>
      </c>
      <c r="O66" s="537">
        <f t="shared" si="10"/>
        <v>0</v>
      </c>
      <c r="P66" s="537">
        <f t="shared" si="10"/>
        <v>0</v>
      </c>
      <c r="Q66" s="537">
        <f t="shared" si="10"/>
        <v>0</v>
      </c>
      <c r="R66" s="537">
        <f t="shared" si="10"/>
        <v>0</v>
      </c>
      <c r="S66" s="537">
        <f t="shared" si="10"/>
        <v>0</v>
      </c>
      <c r="T66" s="537">
        <f t="shared" si="10"/>
        <v>0</v>
      </c>
      <c r="U66" s="537">
        <f t="shared" si="10"/>
        <v>0</v>
      </c>
      <c r="V66" s="537">
        <f t="shared" si="10"/>
        <v>0</v>
      </c>
      <c r="W66" s="537">
        <f t="shared" si="10"/>
        <v>0</v>
      </c>
      <c r="X66" s="537">
        <f t="shared" si="10"/>
        <v>0</v>
      </c>
      <c r="Y66" s="537">
        <f t="shared" si="10"/>
        <v>0</v>
      </c>
    </row>
    <row r="67" spans="1:25" s="428" customFormat="1" ht="12.75" x14ac:dyDescent="0.2">
      <c r="A67" s="513"/>
      <c r="B67" s="536"/>
      <c r="C67" s="537"/>
      <c r="D67" s="537"/>
      <c r="E67" s="537"/>
      <c r="F67" s="537"/>
      <c r="G67" s="537"/>
      <c r="H67" s="537"/>
      <c r="I67" s="537"/>
      <c r="J67" s="537"/>
      <c r="K67" s="537"/>
      <c r="L67" s="537"/>
      <c r="M67" s="537"/>
      <c r="N67" s="537"/>
      <c r="O67" s="537"/>
      <c r="P67" s="537"/>
      <c r="Q67" s="537"/>
      <c r="R67" s="537"/>
      <c r="S67" s="537"/>
      <c r="T67" s="537"/>
      <c r="U67" s="537"/>
      <c r="V67" s="537"/>
      <c r="W67" s="537"/>
      <c r="X67" s="537"/>
      <c r="Y67" s="537"/>
    </row>
    <row r="68" spans="1:25" s="428" customFormat="1" ht="12.75" x14ac:dyDescent="0.2">
      <c r="A68" s="513">
        <v>59999</v>
      </c>
      <c r="B68" s="536" t="s">
        <v>594</v>
      </c>
      <c r="C68" s="537">
        <f t="shared" ref="C68:Y68" si="11">C61-C66</f>
        <v>0</v>
      </c>
      <c r="D68" s="537">
        <f t="shared" si="11"/>
        <v>0</v>
      </c>
      <c r="E68" s="537">
        <f t="shared" si="11"/>
        <v>0</v>
      </c>
      <c r="F68" s="537">
        <f t="shared" si="11"/>
        <v>43.82</v>
      </c>
      <c r="G68" s="537">
        <f t="shared" si="11"/>
        <v>0</v>
      </c>
      <c r="H68" s="537">
        <f t="shared" si="11"/>
        <v>0</v>
      </c>
      <c r="I68" s="537">
        <f t="shared" si="11"/>
        <v>0</v>
      </c>
      <c r="J68" s="537">
        <f t="shared" si="11"/>
        <v>0</v>
      </c>
      <c r="K68" s="537">
        <f t="shared" si="11"/>
        <v>0</v>
      </c>
      <c r="L68" s="537" t="e">
        <f t="shared" si="11"/>
        <v>#NAME?</v>
      </c>
      <c r="M68" s="537">
        <f t="shared" si="11"/>
        <v>156000</v>
      </c>
      <c r="N68" s="537">
        <f t="shared" si="11"/>
        <v>0</v>
      </c>
      <c r="O68" s="537">
        <f t="shared" si="11"/>
        <v>0</v>
      </c>
      <c r="P68" s="537">
        <f t="shared" si="11"/>
        <v>0</v>
      </c>
      <c r="Q68" s="537">
        <f t="shared" si="11"/>
        <v>0</v>
      </c>
      <c r="R68" s="537">
        <f t="shared" si="11"/>
        <v>0</v>
      </c>
      <c r="S68" s="537">
        <f t="shared" si="11"/>
        <v>6054.45</v>
      </c>
      <c r="T68" s="537">
        <f t="shared" si="11"/>
        <v>0</v>
      </c>
      <c r="U68" s="537">
        <f t="shared" si="11"/>
        <v>0</v>
      </c>
      <c r="V68" s="537">
        <f t="shared" si="11"/>
        <v>-19650.88</v>
      </c>
      <c r="W68" s="537">
        <f t="shared" si="11"/>
        <v>0</v>
      </c>
      <c r="X68" s="537">
        <f t="shared" si="11"/>
        <v>0</v>
      </c>
      <c r="Y68" s="537" t="e">
        <f t="shared" si="11"/>
        <v>#NAME?</v>
      </c>
    </row>
    <row r="69" spans="1:25" s="428" customFormat="1" ht="12.75" x14ac:dyDescent="0.2">
      <c r="A69" s="513" t="s">
        <v>595</v>
      </c>
      <c r="B69" s="516" t="s">
        <v>596</v>
      </c>
      <c r="C69" s="544" t="str">
        <f t="shared" ref="C69:Y69" si="12">IF(ISERROR(C68/C23),"",(C68/C23))</f>
        <v/>
      </c>
      <c r="D69" s="544" t="str">
        <f t="shared" si="12"/>
        <v/>
      </c>
      <c r="E69" s="544" t="str">
        <f t="shared" si="12"/>
        <v/>
      </c>
      <c r="F69" s="544">
        <f t="shared" si="12"/>
        <v>1</v>
      </c>
      <c r="G69" s="544" t="str">
        <f t="shared" si="12"/>
        <v/>
      </c>
      <c r="H69" s="544" t="str">
        <f t="shared" si="12"/>
        <v/>
      </c>
      <c r="I69" s="544" t="str">
        <f t="shared" si="12"/>
        <v/>
      </c>
      <c r="J69" s="544" t="str">
        <f t="shared" si="12"/>
        <v/>
      </c>
      <c r="K69" s="544" t="str">
        <f t="shared" si="12"/>
        <v/>
      </c>
      <c r="L69" s="544" t="str">
        <f t="shared" si="12"/>
        <v/>
      </c>
      <c r="M69" s="544">
        <f t="shared" si="12"/>
        <v>1</v>
      </c>
      <c r="N69" s="544" t="str">
        <f t="shared" si="12"/>
        <v/>
      </c>
      <c r="O69" s="544" t="str">
        <f t="shared" si="12"/>
        <v/>
      </c>
      <c r="P69" s="544" t="str">
        <f t="shared" si="12"/>
        <v/>
      </c>
      <c r="Q69" s="544" t="str">
        <f t="shared" si="12"/>
        <v/>
      </c>
      <c r="R69" s="544" t="str">
        <f t="shared" si="12"/>
        <v/>
      </c>
      <c r="S69" s="544">
        <f t="shared" si="12"/>
        <v>1</v>
      </c>
      <c r="T69" s="544" t="str">
        <f t="shared" si="12"/>
        <v/>
      </c>
      <c r="U69" s="544" t="str">
        <f t="shared" si="12"/>
        <v/>
      </c>
      <c r="V69" s="544">
        <f t="shared" si="12"/>
        <v>1</v>
      </c>
      <c r="W69" s="544" t="str">
        <f t="shared" si="12"/>
        <v/>
      </c>
      <c r="X69" s="544" t="str">
        <f t="shared" si="12"/>
        <v/>
      </c>
      <c r="Y69" s="544" t="str">
        <f t="shared" si="12"/>
        <v/>
      </c>
    </row>
    <row r="70" spans="1:25" s="428" customFormat="1" ht="12.75" x14ac:dyDescent="0.2">
      <c r="A70" s="513"/>
      <c r="B70" s="516"/>
      <c r="C70" s="528"/>
      <c r="D70" s="528"/>
      <c r="E70" s="528"/>
      <c r="F70" s="528"/>
      <c r="G70" s="528"/>
      <c r="H70" s="528"/>
      <c r="I70" s="528"/>
      <c r="J70" s="528"/>
      <c r="K70" s="528"/>
      <c r="L70" s="528"/>
      <c r="M70" s="528"/>
      <c r="N70" s="528"/>
      <c r="O70" s="528"/>
      <c r="P70" s="528"/>
      <c r="Q70" s="528"/>
      <c r="R70" s="528"/>
      <c r="S70" s="528"/>
      <c r="T70" s="528"/>
      <c r="U70" s="528"/>
      <c r="V70" s="528"/>
      <c r="W70" s="528"/>
      <c r="X70" s="528"/>
      <c r="Y70" s="528"/>
    </row>
    <row r="71" spans="1:25" s="428" customFormat="1" ht="12.75" x14ac:dyDescent="0.2">
      <c r="A71" s="513"/>
      <c r="B71" s="516" t="s">
        <v>597</v>
      </c>
      <c r="C71" s="528"/>
      <c r="D71" s="528"/>
      <c r="E71" s="528"/>
      <c r="F71" s="528"/>
      <c r="G71" s="528"/>
      <c r="H71" s="528"/>
      <c r="I71" s="528"/>
      <c r="J71" s="528"/>
      <c r="K71" s="528"/>
      <c r="L71" s="528"/>
      <c r="M71" s="528"/>
      <c r="N71" s="528"/>
      <c r="O71" s="528"/>
      <c r="P71" s="528"/>
      <c r="Q71" s="528"/>
      <c r="R71" s="528"/>
      <c r="S71" s="528"/>
      <c r="T71" s="528"/>
      <c r="U71" s="528"/>
      <c r="V71" s="528"/>
      <c r="W71" s="528"/>
      <c r="X71" s="528"/>
      <c r="Y71" s="528"/>
    </row>
    <row r="72" spans="1:25" s="545" customFormat="1" ht="12.75" x14ac:dyDescent="0.2">
      <c r="A72" s="513"/>
      <c r="B72" s="516" t="s">
        <v>598</v>
      </c>
      <c r="C72" s="528"/>
      <c r="D72" s="528"/>
      <c r="E72" s="528"/>
      <c r="F72" s="528"/>
      <c r="G72" s="528"/>
      <c r="H72" s="528"/>
      <c r="I72" s="528"/>
      <c r="J72" s="528"/>
      <c r="K72" s="528"/>
      <c r="L72" s="528"/>
      <c r="M72" s="528"/>
      <c r="N72" s="528"/>
      <c r="O72" s="528"/>
      <c r="P72" s="528"/>
      <c r="Q72" s="528"/>
      <c r="R72" s="528"/>
      <c r="S72" s="528"/>
      <c r="T72" s="528"/>
      <c r="U72" s="528"/>
      <c r="V72" s="528"/>
      <c r="W72" s="528"/>
      <c r="X72" s="528"/>
      <c r="Y72" s="528"/>
    </row>
    <row r="73" spans="1:25" s="549" customFormat="1" ht="12.75" x14ac:dyDescent="0.2">
      <c r="A73" s="546">
        <v>61100</v>
      </c>
      <c r="B73" s="547" t="s">
        <v>599</v>
      </c>
      <c r="C73" s="548">
        <v>0</v>
      </c>
      <c r="D73" s="548">
        <v>0</v>
      </c>
      <c r="E73" s="548">
        <v>2455.0100000000002</v>
      </c>
      <c r="F73" s="548">
        <v>100</v>
      </c>
      <c r="G73" s="548">
        <v>0</v>
      </c>
      <c r="H73" s="548">
        <v>0</v>
      </c>
      <c r="I73" s="548">
        <v>0</v>
      </c>
      <c r="J73" s="548">
        <v>0</v>
      </c>
      <c r="K73" s="548">
        <v>0</v>
      </c>
      <c r="L73" s="548" t="e">
        <v>#NAME?</v>
      </c>
      <c r="M73" s="548">
        <v>0</v>
      </c>
      <c r="N73" s="548">
        <v>0</v>
      </c>
      <c r="O73" s="548">
        <v>0</v>
      </c>
      <c r="P73" s="548">
        <v>0</v>
      </c>
      <c r="Q73" s="548">
        <v>0</v>
      </c>
      <c r="R73" s="548">
        <v>0</v>
      </c>
      <c r="S73" s="548">
        <v>0</v>
      </c>
      <c r="T73" s="548">
        <v>0</v>
      </c>
      <c r="U73" s="548">
        <v>0</v>
      </c>
      <c r="V73" s="548">
        <v>0</v>
      </c>
      <c r="W73" s="548">
        <v>0</v>
      </c>
      <c r="X73" s="548">
        <v>0</v>
      </c>
      <c r="Y73" s="548" t="e">
        <f>SUM(C73:X73)</f>
        <v>#NAME?</v>
      </c>
    </row>
    <row r="74" spans="1:25" s="549" customFormat="1" ht="12.75" x14ac:dyDescent="0.2">
      <c r="A74" s="546" t="s">
        <v>600</v>
      </c>
      <c r="B74" s="550" t="s">
        <v>601</v>
      </c>
      <c r="C74" s="548">
        <v>158.47</v>
      </c>
      <c r="D74" s="548">
        <v>0</v>
      </c>
      <c r="E74" s="548">
        <v>4908.7</v>
      </c>
      <c r="F74" s="548">
        <v>0</v>
      </c>
      <c r="G74" s="548">
        <v>0</v>
      </c>
      <c r="H74" s="548">
        <v>5.34</v>
      </c>
      <c r="I74" s="548">
        <v>0</v>
      </c>
      <c r="J74" s="548">
        <v>0</v>
      </c>
      <c r="K74" s="548">
        <v>0</v>
      </c>
      <c r="L74" s="548" t="e">
        <v>#NAME?</v>
      </c>
      <c r="M74" s="548">
        <v>0</v>
      </c>
      <c r="N74" s="548">
        <v>0</v>
      </c>
      <c r="O74" s="548">
        <v>0</v>
      </c>
      <c r="P74" s="548">
        <v>0</v>
      </c>
      <c r="Q74" s="548">
        <v>0</v>
      </c>
      <c r="R74" s="548">
        <v>0</v>
      </c>
      <c r="S74" s="548">
        <v>0</v>
      </c>
      <c r="T74" s="548">
        <v>0</v>
      </c>
      <c r="U74" s="548">
        <v>0</v>
      </c>
      <c r="V74" s="548">
        <v>0</v>
      </c>
      <c r="W74" s="548">
        <v>0</v>
      </c>
      <c r="X74" s="548">
        <v>0</v>
      </c>
      <c r="Y74" s="548" t="e">
        <f>SUM(C74:X74)</f>
        <v>#NAME?</v>
      </c>
    </row>
    <row r="75" spans="1:25" s="549" customFormat="1" ht="12.75" x14ac:dyDescent="0.2">
      <c r="A75" s="546">
        <v>61300</v>
      </c>
      <c r="B75" s="551" t="s">
        <v>602</v>
      </c>
      <c r="C75" s="548">
        <v>0</v>
      </c>
      <c r="D75" s="548">
        <v>0</v>
      </c>
      <c r="E75" s="548">
        <v>603.75</v>
      </c>
      <c r="F75" s="548">
        <v>0</v>
      </c>
      <c r="G75" s="548">
        <v>0</v>
      </c>
      <c r="H75" s="548">
        <v>0</v>
      </c>
      <c r="I75" s="548">
        <v>0</v>
      </c>
      <c r="J75" s="548">
        <v>0</v>
      </c>
      <c r="K75" s="548">
        <v>0</v>
      </c>
      <c r="L75" s="548" t="e">
        <v>#NAME?</v>
      </c>
      <c r="M75" s="548">
        <v>0</v>
      </c>
      <c r="N75" s="548">
        <v>0</v>
      </c>
      <c r="O75" s="548">
        <v>0</v>
      </c>
      <c r="P75" s="548">
        <v>0</v>
      </c>
      <c r="Q75" s="548">
        <v>0</v>
      </c>
      <c r="R75" s="548">
        <v>0</v>
      </c>
      <c r="S75" s="548">
        <v>0</v>
      </c>
      <c r="T75" s="548">
        <v>0</v>
      </c>
      <c r="U75" s="548">
        <v>0</v>
      </c>
      <c r="V75" s="548">
        <v>0</v>
      </c>
      <c r="W75" s="548">
        <v>0</v>
      </c>
      <c r="X75" s="548">
        <v>0</v>
      </c>
      <c r="Y75" s="548" t="e">
        <f>SUM(C75:X75)</f>
        <v>#NAME?</v>
      </c>
    </row>
    <row r="76" spans="1:25" s="545" customFormat="1" ht="12.75" x14ac:dyDescent="0.2">
      <c r="A76" s="513">
        <v>61400</v>
      </c>
      <c r="B76" s="552" t="s">
        <v>603</v>
      </c>
      <c r="C76" s="537">
        <f t="shared" ref="C76:Y76" si="13">SUM(C73:C75)</f>
        <v>158.47</v>
      </c>
      <c r="D76" s="537">
        <f t="shared" si="13"/>
        <v>0</v>
      </c>
      <c r="E76" s="537">
        <f t="shared" si="13"/>
        <v>7967.46</v>
      </c>
      <c r="F76" s="537">
        <f t="shared" si="13"/>
        <v>100</v>
      </c>
      <c r="G76" s="537">
        <f t="shared" si="13"/>
        <v>0</v>
      </c>
      <c r="H76" s="537">
        <f t="shared" si="13"/>
        <v>5.34</v>
      </c>
      <c r="I76" s="537">
        <f t="shared" si="13"/>
        <v>0</v>
      </c>
      <c r="J76" s="537">
        <f t="shared" si="13"/>
        <v>0</v>
      </c>
      <c r="K76" s="537">
        <f t="shared" si="13"/>
        <v>0</v>
      </c>
      <c r="L76" s="537" t="e">
        <f t="shared" si="13"/>
        <v>#NAME?</v>
      </c>
      <c r="M76" s="537">
        <f t="shared" si="13"/>
        <v>0</v>
      </c>
      <c r="N76" s="537">
        <f t="shared" si="13"/>
        <v>0</v>
      </c>
      <c r="O76" s="537">
        <f t="shared" si="13"/>
        <v>0</v>
      </c>
      <c r="P76" s="537">
        <f t="shared" si="13"/>
        <v>0</v>
      </c>
      <c r="Q76" s="537">
        <f t="shared" si="13"/>
        <v>0</v>
      </c>
      <c r="R76" s="537">
        <f t="shared" si="13"/>
        <v>0</v>
      </c>
      <c r="S76" s="537">
        <f t="shared" si="13"/>
        <v>0</v>
      </c>
      <c r="T76" s="537">
        <f t="shared" si="13"/>
        <v>0</v>
      </c>
      <c r="U76" s="537">
        <f t="shared" si="13"/>
        <v>0</v>
      </c>
      <c r="V76" s="537">
        <f t="shared" si="13"/>
        <v>0</v>
      </c>
      <c r="W76" s="537">
        <f t="shared" si="13"/>
        <v>0</v>
      </c>
      <c r="X76" s="537">
        <f t="shared" si="13"/>
        <v>0</v>
      </c>
      <c r="Y76" s="537" t="e">
        <f t="shared" si="13"/>
        <v>#NAME?</v>
      </c>
    </row>
    <row r="77" spans="1:25" s="428" customFormat="1" ht="12.75" x14ac:dyDescent="0.2">
      <c r="A77" s="513"/>
      <c r="B77" s="516"/>
      <c r="C77" s="528"/>
      <c r="D77" s="528"/>
      <c r="E77" s="528"/>
      <c r="F77" s="528"/>
      <c r="G77" s="528"/>
      <c r="H77" s="528"/>
      <c r="I77" s="528"/>
      <c r="J77" s="528"/>
      <c r="K77" s="528"/>
      <c r="L77" s="528"/>
      <c r="M77" s="528"/>
      <c r="N77" s="528"/>
      <c r="O77" s="528"/>
      <c r="P77" s="528"/>
      <c r="Q77" s="528"/>
      <c r="R77" s="528"/>
      <c r="S77" s="528"/>
      <c r="T77" s="528"/>
      <c r="U77" s="528"/>
      <c r="V77" s="528"/>
      <c r="W77" s="528"/>
      <c r="X77" s="528"/>
      <c r="Y77" s="528"/>
    </row>
    <row r="78" spans="1:25" s="428" customFormat="1" ht="12.75" x14ac:dyDescent="0.2">
      <c r="A78" s="513"/>
      <c r="B78" s="516" t="s">
        <v>604</v>
      </c>
      <c r="C78" s="528"/>
      <c r="D78" s="528"/>
      <c r="E78" s="528"/>
      <c r="F78" s="528"/>
      <c r="G78" s="528"/>
      <c r="H78" s="528"/>
      <c r="I78" s="528"/>
      <c r="J78" s="528"/>
      <c r="K78" s="528"/>
      <c r="L78" s="528"/>
      <c r="M78" s="528"/>
      <c r="N78" s="528"/>
      <c r="O78" s="528"/>
      <c r="P78" s="528"/>
      <c r="Q78" s="528"/>
      <c r="R78" s="528"/>
      <c r="S78" s="528"/>
      <c r="T78" s="528"/>
      <c r="U78" s="528"/>
      <c r="V78" s="528"/>
      <c r="W78" s="528"/>
      <c r="X78" s="528"/>
      <c r="Y78" s="528"/>
    </row>
    <row r="79" spans="1:25" s="545" customFormat="1" ht="12.75" x14ac:dyDescent="0.2">
      <c r="A79" s="513">
        <v>62100</v>
      </c>
      <c r="B79" s="529" t="s">
        <v>605</v>
      </c>
      <c r="C79" s="530">
        <v>157207.11000000002</v>
      </c>
      <c r="D79" s="530">
        <v>0</v>
      </c>
      <c r="E79" s="530">
        <v>49135.41</v>
      </c>
      <c r="F79" s="530">
        <v>188169.51</v>
      </c>
      <c r="G79" s="530">
        <v>0</v>
      </c>
      <c r="H79" s="530">
        <v>434146.61999999994</v>
      </c>
      <c r="I79" s="530">
        <v>71624.84</v>
      </c>
      <c r="J79" s="530">
        <v>117735.62</v>
      </c>
      <c r="K79" s="530">
        <v>0</v>
      </c>
      <c r="L79" s="530" t="e">
        <v>#NAME?</v>
      </c>
      <c r="M79" s="530">
        <v>360720.5</v>
      </c>
      <c r="N79" s="530">
        <v>51634.86</v>
      </c>
      <c r="O79" s="530">
        <v>133748.61000000002</v>
      </c>
      <c r="P79" s="530">
        <v>45929.689999999995</v>
      </c>
      <c r="Q79" s="530">
        <v>0</v>
      </c>
      <c r="R79" s="530">
        <v>98597.409999999989</v>
      </c>
      <c r="S79" s="530">
        <v>31413.270000000004</v>
      </c>
      <c r="T79" s="530">
        <v>11933.88</v>
      </c>
      <c r="U79" s="530">
        <v>0</v>
      </c>
      <c r="V79" s="530">
        <v>24439.61</v>
      </c>
      <c r="W79" s="530">
        <v>141708.37</v>
      </c>
      <c r="X79" s="530">
        <v>0</v>
      </c>
      <c r="Y79" s="530" t="e">
        <f t="shared" ref="Y79:Y104" si="14">SUM(C79:X79)</f>
        <v>#NAME?</v>
      </c>
    </row>
    <row r="80" spans="1:25" s="545" customFormat="1" ht="12.75" x14ac:dyDescent="0.2">
      <c r="A80" s="513">
        <v>62110</v>
      </c>
      <c r="B80" s="428" t="s">
        <v>606</v>
      </c>
      <c r="C80" s="530">
        <v>0</v>
      </c>
      <c r="D80" s="530">
        <v>0</v>
      </c>
      <c r="E80" s="530">
        <v>0</v>
      </c>
      <c r="F80" s="530">
        <v>0</v>
      </c>
      <c r="G80" s="530">
        <v>0</v>
      </c>
      <c r="H80" s="530">
        <v>0</v>
      </c>
      <c r="I80" s="530">
        <v>0</v>
      </c>
      <c r="J80" s="530">
        <v>0</v>
      </c>
      <c r="K80" s="530">
        <v>0</v>
      </c>
      <c r="L80" s="530" t="e">
        <v>#NAME?</v>
      </c>
      <c r="M80" s="530">
        <v>0</v>
      </c>
      <c r="N80" s="530">
        <v>0</v>
      </c>
      <c r="O80" s="530">
        <v>0</v>
      </c>
      <c r="P80" s="530">
        <v>0</v>
      </c>
      <c r="Q80" s="530">
        <v>0</v>
      </c>
      <c r="R80" s="530">
        <v>0</v>
      </c>
      <c r="S80" s="530">
        <v>0</v>
      </c>
      <c r="T80" s="530">
        <v>0</v>
      </c>
      <c r="U80" s="530">
        <v>0</v>
      </c>
      <c r="V80" s="530">
        <v>0</v>
      </c>
      <c r="W80" s="530">
        <v>0</v>
      </c>
      <c r="X80" s="530">
        <v>0</v>
      </c>
      <c r="Y80" s="530" t="e">
        <f t="shared" si="14"/>
        <v>#NAME?</v>
      </c>
    </row>
    <row r="81" spans="1:25" s="545" customFormat="1" ht="12.75" x14ac:dyDescent="0.2">
      <c r="A81" s="513" t="s">
        <v>607</v>
      </c>
      <c r="B81" s="428" t="s">
        <v>608</v>
      </c>
      <c r="C81" s="530">
        <v>0</v>
      </c>
      <c r="D81" s="530">
        <v>0</v>
      </c>
      <c r="E81" s="530">
        <v>0</v>
      </c>
      <c r="F81" s="530">
        <v>0</v>
      </c>
      <c r="G81" s="530">
        <v>0</v>
      </c>
      <c r="H81" s="530">
        <v>-1267.5</v>
      </c>
      <c r="I81" s="530">
        <v>0</v>
      </c>
      <c r="J81" s="530">
        <v>0</v>
      </c>
      <c r="K81" s="530">
        <v>0</v>
      </c>
      <c r="L81" s="530" t="e">
        <v>#NAME?</v>
      </c>
      <c r="M81" s="530">
        <v>0</v>
      </c>
      <c r="N81" s="530">
        <v>0</v>
      </c>
      <c r="O81" s="530">
        <v>0</v>
      </c>
      <c r="P81" s="530">
        <v>0</v>
      </c>
      <c r="Q81" s="530">
        <v>0</v>
      </c>
      <c r="R81" s="530">
        <v>0</v>
      </c>
      <c r="S81" s="530">
        <v>0</v>
      </c>
      <c r="T81" s="530">
        <v>0</v>
      </c>
      <c r="U81" s="530">
        <v>0</v>
      </c>
      <c r="V81" s="530">
        <v>0</v>
      </c>
      <c r="W81" s="530">
        <v>0</v>
      </c>
      <c r="X81" s="530">
        <v>0</v>
      </c>
      <c r="Y81" s="530" t="e">
        <f t="shared" si="14"/>
        <v>#NAME?</v>
      </c>
    </row>
    <row r="82" spans="1:25" s="545" customFormat="1" ht="12.75" x14ac:dyDescent="0.2">
      <c r="A82" s="513">
        <v>62120</v>
      </c>
      <c r="B82" s="529" t="s">
        <v>609</v>
      </c>
      <c r="C82" s="530">
        <v>0</v>
      </c>
      <c r="D82" s="530">
        <v>0</v>
      </c>
      <c r="E82" s="530">
        <v>0</v>
      </c>
      <c r="F82" s="530">
        <v>0</v>
      </c>
      <c r="G82" s="530">
        <v>0</v>
      </c>
      <c r="H82" s="530">
        <v>0</v>
      </c>
      <c r="I82" s="530">
        <v>0</v>
      </c>
      <c r="J82" s="530">
        <v>0</v>
      </c>
      <c r="K82" s="530">
        <v>0</v>
      </c>
      <c r="L82" s="530" t="e">
        <v>#NAME?</v>
      </c>
      <c r="M82" s="530">
        <v>0</v>
      </c>
      <c r="N82" s="530">
        <v>0</v>
      </c>
      <c r="O82" s="530">
        <v>0</v>
      </c>
      <c r="P82" s="530">
        <v>0</v>
      </c>
      <c r="Q82" s="530">
        <v>0</v>
      </c>
      <c r="R82" s="530">
        <v>0</v>
      </c>
      <c r="S82" s="530">
        <v>0</v>
      </c>
      <c r="T82" s="530">
        <v>0</v>
      </c>
      <c r="U82" s="530">
        <v>0</v>
      </c>
      <c r="V82" s="530">
        <v>0</v>
      </c>
      <c r="W82" s="530">
        <v>0</v>
      </c>
      <c r="X82" s="530">
        <v>0</v>
      </c>
      <c r="Y82" s="530" t="e">
        <f t="shared" si="14"/>
        <v>#NAME?</v>
      </c>
    </row>
    <row r="83" spans="1:25" s="545" customFormat="1" ht="12.75" x14ac:dyDescent="0.2">
      <c r="A83" s="513">
        <v>62122</v>
      </c>
      <c r="B83" s="529" t="s">
        <v>610</v>
      </c>
      <c r="C83" s="530">
        <v>0</v>
      </c>
      <c r="D83" s="530">
        <v>0</v>
      </c>
      <c r="E83" s="530">
        <v>0</v>
      </c>
      <c r="F83" s="530">
        <v>0</v>
      </c>
      <c r="G83" s="530">
        <v>0</v>
      </c>
      <c r="H83" s="530">
        <v>0</v>
      </c>
      <c r="I83" s="530">
        <v>0</v>
      </c>
      <c r="J83" s="530">
        <v>0</v>
      </c>
      <c r="K83" s="530">
        <v>0</v>
      </c>
      <c r="L83" s="530" t="e">
        <v>#NAME?</v>
      </c>
      <c r="M83" s="530">
        <v>0</v>
      </c>
      <c r="N83" s="530">
        <v>0</v>
      </c>
      <c r="O83" s="530">
        <v>0</v>
      </c>
      <c r="P83" s="530">
        <v>0</v>
      </c>
      <c r="Q83" s="530">
        <v>0</v>
      </c>
      <c r="R83" s="530">
        <v>0</v>
      </c>
      <c r="S83" s="530">
        <v>0</v>
      </c>
      <c r="T83" s="530">
        <v>0</v>
      </c>
      <c r="U83" s="530">
        <v>0</v>
      </c>
      <c r="V83" s="530">
        <v>0</v>
      </c>
      <c r="W83" s="530">
        <v>0</v>
      </c>
      <c r="X83" s="530">
        <v>0</v>
      </c>
      <c r="Y83" s="530" t="e">
        <f t="shared" si="14"/>
        <v>#NAME?</v>
      </c>
    </row>
    <row r="84" spans="1:25" s="545" customFormat="1" ht="12.75" x14ac:dyDescent="0.2">
      <c r="A84" s="513">
        <v>62130</v>
      </c>
      <c r="B84" s="529" t="s">
        <v>611</v>
      </c>
      <c r="C84" s="530">
        <v>0</v>
      </c>
      <c r="D84" s="530">
        <v>0</v>
      </c>
      <c r="E84" s="530">
        <v>0</v>
      </c>
      <c r="F84" s="530">
        <v>0</v>
      </c>
      <c r="G84" s="530">
        <v>0</v>
      </c>
      <c r="H84" s="530">
        <v>0</v>
      </c>
      <c r="I84" s="530">
        <v>0</v>
      </c>
      <c r="J84" s="530">
        <v>0</v>
      </c>
      <c r="K84" s="530">
        <v>0</v>
      </c>
      <c r="L84" s="530" t="e">
        <v>#NAME?</v>
      </c>
      <c r="M84" s="530">
        <v>0</v>
      </c>
      <c r="N84" s="530">
        <v>0</v>
      </c>
      <c r="O84" s="530">
        <v>0</v>
      </c>
      <c r="P84" s="530">
        <v>0</v>
      </c>
      <c r="Q84" s="530">
        <v>0</v>
      </c>
      <c r="R84" s="530">
        <v>0</v>
      </c>
      <c r="S84" s="530">
        <v>0</v>
      </c>
      <c r="T84" s="530">
        <v>0</v>
      </c>
      <c r="U84" s="530">
        <v>0</v>
      </c>
      <c r="V84" s="530">
        <v>0</v>
      </c>
      <c r="W84" s="530">
        <v>0</v>
      </c>
      <c r="X84" s="530">
        <v>0</v>
      </c>
      <c r="Y84" s="530" t="e">
        <f t="shared" si="14"/>
        <v>#NAME?</v>
      </c>
    </row>
    <row r="85" spans="1:25" s="545" customFormat="1" ht="12.75" x14ac:dyDescent="0.2">
      <c r="A85" s="513">
        <v>62131</v>
      </c>
      <c r="B85" s="529" t="s">
        <v>612</v>
      </c>
      <c r="C85" s="530">
        <v>0</v>
      </c>
      <c r="D85" s="530">
        <v>0</v>
      </c>
      <c r="E85" s="530">
        <v>0</v>
      </c>
      <c r="F85" s="530">
        <v>0</v>
      </c>
      <c r="G85" s="530">
        <v>0</v>
      </c>
      <c r="H85" s="530">
        <v>0</v>
      </c>
      <c r="I85" s="530">
        <v>0</v>
      </c>
      <c r="J85" s="530">
        <v>0</v>
      </c>
      <c r="K85" s="530">
        <v>0</v>
      </c>
      <c r="L85" s="530" t="e">
        <v>#NAME?</v>
      </c>
      <c r="M85" s="530">
        <v>0</v>
      </c>
      <c r="N85" s="530">
        <v>0</v>
      </c>
      <c r="O85" s="530">
        <v>0</v>
      </c>
      <c r="P85" s="530">
        <v>0</v>
      </c>
      <c r="Q85" s="530">
        <v>0</v>
      </c>
      <c r="R85" s="530">
        <v>0</v>
      </c>
      <c r="S85" s="530">
        <v>0</v>
      </c>
      <c r="T85" s="530">
        <v>0</v>
      </c>
      <c r="U85" s="530">
        <v>0</v>
      </c>
      <c r="V85" s="530">
        <v>0</v>
      </c>
      <c r="W85" s="530">
        <v>0</v>
      </c>
      <c r="X85" s="530">
        <v>0</v>
      </c>
      <c r="Y85" s="530" t="e">
        <f t="shared" si="14"/>
        <v>#NAME?</v>
      </c>
    </row>
    <row r="86" spans="1:25" s="545" customFormat="1" ht="12.75" x14ac:dyDescent="0.2">
      <c r="A86" s="513">
        <v>62132</v>
      </c>
      <c r="B86" s="529" t="s">
        <v>613</v>
      </c>
      <c r="C86" s="530">
        <v>0</v>
      </c>
      <c r="D86" s="530">
        <v>0</v>
      </c>
      <c r="E86" s="530">
        <v>0</v>
      </c>
      <c r="F86" s="530">
        <v>0</v>
      </c>
      <c r="G86" s="530">
        <v>0</v>
      </c>
      <c r="H86" s="530">
        <v>0</v>
      </c>
      <c r="I86" s="530">
        <v>0</v>
      </c>
      <c r="J86" s="530">
        <v>0</v>
      </c>
      <c r="K86" s="530">
        <v>0</v>
      </c>
      <c r="L86" s="530" t="e">
        <v>#NAME?</v>
      </c>
      <c r="M86" s="530">
        <v>0</v>
      </c>
      <c r="N86" s="530">
        <v>0</v>
      </c>
      <c r="O86" s="530">
        <v>0</v>
      </c>
      <c r="P86" s="530">
        <v>0</v>
      </c>
      <c r="Q86" s="530">
        <v>0</v>
      </c>
      <c r="R86" s="530">
        <v>0</v>
      </c>
      <c r="S86" s="530">
        <v>0</v>
      </c>
      <c r="T86" s="530">
        <v>0</v>
      </c>
      <c r="U86" s="530">
        <v>0</v>
      </c>
      <c r="V86" s="530">
        <v>0</v>
      </c>
      <c r="W86" s="530">
        <v>0</v>
      </c>
      <c r="X86" s="530">
        <v>0</v>
      </c>
      <c r="Y86" s="530" t="e">
        <f t="shared" si="14"/>
        <v>#NAME?</v>
      </c>
    </row>
    <row r="87" spans="1:25" s="545" customFormat="1" ht="12.75" x14ac:dyDescent="0.2">
      <c r="A87" s="513">
        <v>62133</v>
      </c>
      <c r="B87" s="529" t="s">
        <v>614</v>
      </c>
      <c r="C87" s="530">
        <v>0</v>
      </c>
      <c r="D87" s="530">
        <v>0</v>
      </c>
      <c r="E87" s="530">
        <v>0</v>
      </c>
      <c r="F87" s="530">
        <v>0</v>
      </c>
      <c r="G87" s="530">
        <v>0</v>
      </c>
      <c r="H87" s="530">
        <v>0</v>
      </c>
      <c r="I87" s="530">
        <v>0</v>
      </c>
      <c r="J87" s="530">
        <v>0</v>
      </c>
      <c r="K87" s="530">
        <v>0</v>
      </c>
      <c r="L87" s="530" t="e">
        <v>#NAME?</v>
      </c>
      <c r="M87" s="530">
        <v>0</v>
      </c>
      <c r="N87" s="530">
        <v>0</v>
      </c>
      <c r="O87" s="530">
        <v>0</v>
      </c>
      <c r="P87" s="530">
        <v>0</v>
      </c>
      <c r="Q87" s="530">
        <v>0</v>
      </c>
      <c r="R87" s="530">
        <v>0</v>
      </c>
      <c r="S87" s="530">
        <v>0</v>
      </c>
      <c r="T87" s="530">
        <v>0</v>
      </c>
      <c r="U87" s="530">
        <v>0</v>
      </c>
      <c r="V87" s="530">
        <v>0</v>
      </c>
      <c r="W87" s="530">
        <v>0</v>
      </c>
      <c r="X87" s="530">
        <v>0</v>
      </c>
      <c r="Y87" s="530" t="e">
        <f t="shared" si="14"/>
        <v>#NAME?</v>
      </c>
    </row>
    <row r="88" spans="1:25" s="545" customFormat="1" ht="12.75" x14ac:dyDescent="0.2">
      <c r="A88" s="513" t="s">
        <v>615</v>
      </c>
      <c r="B88" s="529" t="s">
        <v>616</v>
      </c>
      <c r="C88" s="530">
        <v>8025.97</v>
      </c>
      <c r="D88" s="530">
        <v>0</v>
      </c>
      <c r="E88" s="530">
        <v>0</v>
      </c>
      <c r="F88" s="530">
        <v>0</v>
      </c>
      <c r="G88" s="530">
        <v>0</v>
      </c>
      <c r="H88" s="530">
        <v>8800.24</v>
      </c>
      <c r="I88" s="530">
        <v>378.59999999999997</v>
      </c>
      <c r="J88" s="530">
        <v>0</v>
      </c>
      <c r="K88" s="530">
        <v>0</v>
      </c>
      <c r="L88" s="530" t="e">
        <v>#NAME?</v>
      </c>
      <c r="M88" s="530">
        <v>4061.63</v>
      </c>
      <c r="N88" s="530">
        <v>100.48</v>
      </c>
      <c r="O88" s="530">
        <v>0</v>
      </c>
      <c r="P88" s="530">
        <v>1153.44</v>
      </c>
      <c r="Q88" s="530">
        <v>0</v>
      </c>
      <c r="R88" s="530">
        <v>0</v>
      </c>
      <c r="S88" s="530">
        <v>0</v>
      </c>
      <c r="T88" s="530">
        <v>0</v>
      </c>
      <c r="U88" s="530">
        <v>0</v>
      </c>
      <c r="V88" s="530">
        <v>0</v>
      </c>
      <c r="W88" s="530">
        <v>0</v>
      </c>
      <c r="X88" s="530">
        <v>0</v>
      </c>
      <c r="Y88" s="530" t="e">
        <f t="shared" si="14"/>
        <v>#NAME?</v>
      </c>
    </row>
    <row r="89" spans="1:25" s="545" customFormat="1" ht="12.75" x14ac:dyDescent="0.2">
      <c r="A89" s="513">
        <v>62151</v>
      </c>
      <c r="B89" s="529" t="s">
        <v>617</v>
      </c>
      <c r="C89" s="530">
        <v>8349.7200000000012</v>
      </c>
      <c r="D89" s="530">
        <v>0</v>
      </c>
      <c r="E89" s="530">
        <v>3749.54</v>
      </c>
      <c r="F89" s="530">
        <v>21149.16</v>
      </c>
      <c r="G89" s="530">
        <v>0</v>
      </c>
      <c r="H89" s="530">
        <v>30022.659999999996</v>
      </c>
      <c r="I89" s="530">
        <v>3390.0600000000004</v>
      </c>
      <c r="J89" s="530">
        <v>8080.9800000000005</v>
      </c>
      <c r="K89" s="530">
        <v>0</v>
      </c>
      <c r="L89" s="530" t="e">
        <v>#NAME?</v>
      </c>
      <c r="M89" s="530">
        <v>23424.799999999999</v>
      </c>
      <c r="N89" s="530">
        <v>2873.7</v>
      </c>
      <c r="O89" s="530">
        <v>10629.199999999999</v>
      </c>
      <c r="P89" s="530">
        <v>3415.0099999999998</v>
      </c>
      <c r="Q89" s="530">
        <v>0</v>
      </c>
      <c r="R89" s="530">
        <v>8004.3399999999992</v>
      </c>
      <c r="S89" s="530">
        <v>2274.86</v>
      </c>
      <c r="T89" s="530">
        <v>688.5</v>
      </c>
      <c r="U89" s="530">
        <v>0</v>
      </c>
      <c r="V89" s="530">
        <v>0</v>
      </c>
      <c r="W89" s="530">
        <v>7517.1799999999994</v>
      </c>
      <c r="X89" s="530">
        <v>0</v>
      </c>
      <c r="Y89" s="530" t="e">
        <f t="shared" si="14"/>
        <v>#NAME?</v>
      </c>
    </row>
    <row r="90" spans="1:25" s="545" customFormat="1" ht="12.75" x14ac:dyDescent="0.2">
      <c r="A90" s="513">
        <v>62151.1</v>
      </c>
      <c r="B90" s="529" t="s">
        <v>618</v>
      </c>
      <c r="C90" s="530">
        <v>-6472.4800000000005</v>
      </c>
      <c r="D90" s="530">
        <v>0</v>
      </c>
      <c r="E90" s="530">
        <v>-1792.27</v>
      </c>
      <c r="F90" s="530">
        <v>-12818.71</v>
      </c>
      <c r="G90" s="530">
        <v>0</v>
      </c>
      <c r="H90" s="530">
        <v>-22425.940000000002</v>
      </c>
      <c r="I90" s="530">
        <v>-2638.65</v>
      </c>
      <c r="J90" s="530">
        <v>-7629.07</v>
      </c>
      <c r="K90" s="530">
        <v>0</v>
      </c>
      <c r="L90" s="530" t="e">
        <v>#NAME?</v>
      </c>
      <c r="M90" s="530">
        <v>-7421.4400000000005</v>
      </c>
      <c r="N90" s="530">
        <v>-2449.7600000000002</v>
      </c>
      <c r="O90" s="530">
        <v>2220.9100000000003</v>
      </c>
      <c r="P90" s="530">
        <v>-3320.96</v>
      </c>
      <c r="Q90" s="530">
        <v>0</v>
      </c>
      <c r="R90" s="530">
        <v>-3850.65</v>
      </c>
      <c r="S90" s="530">
        <v>-2274.86</v>
      </c>
      <c r="T90" s="530">
        <v>-688.5</v>
      </c>
      <c r="U90" s="530">
        <v>0</v>
      </c>
      <c r="V90" s="530">
        <v>0</v>
      </c>
      <c r="W90" s="530">
        <v>-2927.46</v>
      </c>
      <c r="X90" s="530">
        <v>0</v>
      </c>
      <c r="Y90" s="530" t="e">
        <f t="shared" si="14"/>
        <v>#NAME?</v>
      </c>
    </row>
    <row r="91" spans="1:25" s="545" customFormat="1" ht="12.75" x14ac:dyDescent="0.2">
      <c r="A91" s="513">
        <v>62200</v>
      </c>
      <c r="B91" s="529" t="s">
        <v>619</v>
      </c>
      <c r="C91" s="530">
        <v>-292598.45</v>
      </c>
      <c r="D91" s="530">
        <v>0</v>
      </c>
      <c r="E91" s="530">
        <v>-16192</v>
      </c>
      <c r="F91" s="530">
        <v>-626614</v>
      </c>
      <c r="G91" s="530">
        <v>0</v>
      </c>
      <c r="H91" s="530">
        <v>-292889.25</v>
      </c>
      <c r="I91" s="530">
        <v>-90352.28</v>
      </c>
      <c r="J91" s="530">
        <v>-148317</v>
      </c>
      <c r="K91" s="530">
        <v>17987</v>
      </c>
      <c r="L91" s="530" t="e">
        <v>#NAME?</v>
      </c>
      <c r="M91" s="530">
        <v>-697932.3</v>
      </c>
      <c r="N91" s="530">
        <v>-60985</v>
      </c>
      <c r="O91" s="530">
        <v>-322520</v>
      </c>
      <c r="P91" s="530">
        <v>-73729</v>
      </c>
      <c r="Q91" s="530">
        <v>0</v>
      </c>
      <c r="R91" s="530">
        <v>-29409.75</v>
      </c>
      <c r="S91" s="530">
        <v>0</v>
      </c>
      <c r="T91" s="530">
        <v>-27136</v>
      </c>
      <c r="U91" s="530">
        <v>0</v>
      </c>
      <c r="V91" s="530">
        <v>0</v>
      </c>
      <c r="W91" s="530">
        <v>-240119</v>
      </c>
      <c r="X91" s="530">
        <v>0</v>
      </c>
      <c r="Y91" s="530" t="e">
        <f t="shared" si="14"/>
        <v>#NAME?</v>
      </c>
    </row>
    <row r="92" spans="1:25" s="545" customFormat="1" ht="12.75" x14ac:dyDescent="0.2">
      <c r="A92" s="513">
        <v>62201</v>
      </c>
      <c r="B92" s="529" t="s">
        <v>620</v>
      </c>
      <c r="C92" s="530">
        <v>0</v>
      </c>
      <c r="D92" s="530">
        <v>0</v>
      </c>
      <c r="E92" s="530">
        <v>0</v>
      </c>
      <c r="F92" s="530">
        <v>0</v>
      </c>
      <c r="G92" s="530">
        <v>0</v>
      </c>
      <c r="H92" s="530">
        <v>0</v>
      </c>
      <c r="I92" s="530">
        <v>0</v>
      </c>
      <c r="J92" s="530">
        <v>0</v>
      </c>
      <c r="K92" s="530">
        <v>0</v>
      </c>
      <c r="L92" s="530" t="e">
        <v>#NAME?</v>
      </c>
      <c r="M92" s="530">
        <v>0</v>
      </c>
      <c r="N92" s="530">
        <v>0</v>
      </c>
      <c r="O92" s="530">
        <v>0</v>
      </c>
      <c r="P92" s="530">
        <v>0</v>
      </c>
      <c r="Q92" s="530">
        <v>0</v>
      </c>
      <c r="R92" s="530">
        <v>0</v>
      </c>
      <c r="S92" s="530">
        <v>0</v>
      </c>
      <c r="T92" s="530">
        <v>0</v>
      </c>
      <c r="U92" s="530">
        <v>0</v>
      </c>
      <c r="V92" s="530">
        <v>0</v>
      </c>
      <c r="W92" s="530">
        <v>0</v>
      </c>
      <c r="X92" s="530">
        <v>0</v>
      </c>
      <c r="Y92" s="530" t="e">
        <f t="shared" si="14"/>
        <v>#NAME?</v>
      </c>
    </row>
    <row r="93" spans="1:25" s="545" customFormat="1" ht="12.75" x14ac:dyDescent="0.2">
      <c r="A93" s="513">
        <v>62202</v>
      </c>
      <c r="B93" s="529" t="s">
        <v>621</v>
      </c>
      <c r="C93" s="530">
        <v>292598.45</v>
      </c>
      <c r="D93" s="530">
        <v>0</v>
      </c>
      <c r="E93" s="530">
        <v>16192</v>
      </c>
      <c r="F93" s="530">
        <v>626614</v>
      </c>
      <c r="G93" s="530">
        <v>0</v>
      </c>
      <c r="H93" s="530">
        <v>292889.25</v>
      </c>
      <c r="I93" s="530">
        <v>90352.28</v>
      </c>
      <c r="J93" s="530">
        <v>148317</v>
      </c>
      <c r="K93" s="530">
        <v>-17987</v>
      </c>
      <c r="L93" s="530" t="e">
        <v>#NAME?</v>
      </c>
      <c r="M93" s="530">
        <v>697932.3</v>
      </c>
      <c r="N93" s="530">
        <v>60985</v>
      </c>
      <c r="O93" s="530">
        <v>322520</v>
      </c>
      <c r="P93" s="530">
        <v>73729</v>
      </c>
      <c r="Q93" s="530">
        <v>0</v>
      </c>
      <c r="R93" s="530">
        <v>29409.75</v>
      </c>
      <c r="S93" s="530">
        <v>0</v>
      </c>
      <c r="T93" s="530">
        <v>27136</v>
      </c>
      <c r="U93" s="530">
        <v>0</v>
      </c>
      <c r="V93" s="530">
        <v>0</v>
      </c>
      <c r="W93" s="530">
        <v>240119</v>
      </c>
      <c r="X93" s="530">
        <v>0</v>
      </c>
      <c r="Y93" s="530" t="e">
        <f t="shared" si="14"/>
        <v>#NAME?</v>
      </c>
    </row>
    <row r="94" spans="1:25" s="545" customFormat="1" ht="12.75" x14ac:dyDescent="0.2">
      <c r="A94" s="513">
        <v>62205</v>
      </c>
      <c r="B94" s="529" t="s">
        <v>622</v>
      </c>
      <c r="C94" s="530">
        <v>-1950</v>
      </c>
      <c r="D94" s="530">
        <v>0</v>
      </c>
      <c r="E94" s="530">
        <v>0</v>
      </c>
      <c r="F94" s="530">
        <v>0</v>
      </c>
      <c r="G94" s="530">
        <v>0</v>
      </c>
      <c r="H94" s="530">
        <v>0</v>
      </c>
      <c r="I94" s="530">
        <v>0</v>
      </c>
      <c r="J94" s="530">
        <v>0</v>
      </c>
      <c r="K94" s="530">
        <v>0</v>
      </c>
      <c r="L94" s="530" t="e">
        <v>#NAME?</v>
      </c>
      <c r="M94" s="530">
        <v>0</v>
      </c>
      <c r="N94" s="530">
        <v>0</v>
      </c>
      <c r="O94" s="530">
        <v>0</v>
      </c>
      <c r="P94" s="530">
        <v>0</v>
      </c>
      <c r="Q94" s="530">
        <v>0</v>
      </c>
      <c r="R94" s="530">
        <v>0</v>
      </c>
      <c r="S94" s="530">
        <v>0</v>
      </c>
      <c r="T94" s="530">
        <v>0</v>
      </c>
      <c r="U94" s="530">
        <v>0</v>
      </c>
      <c r="V94" s="530">
        <v>0</v>
      </c>
      <c r="W94" s="530">
        <v>0</v>
      </c>
      <c r="X94" s="530">
        <v>0</v>
      </c>
      <c r="Y94" s="530" t="e">
        <f t="shared" si="14"/>
        <v>#NAME?</v>
      </c>
    </row>
    <row r="95" spans="1:25" s="545" customFormat="1" ht="12.75" x14ac:dyDescent="0.2">
      <c r="A95" s="513">
        <v>62300</v>
      </c>
      <c r="B95" s="529" t="s">
        <v>623</v>
      </c>
      <c r="C95" s="530">
        <v>8330.3000000000011</v>
      </c>
      <c r="D95" s="530">
        <v>0</v>
      </c>
      <c r="E95" s="530">
        <v>2898.7599999999998</v>
      </c>
      <c r="F95" s="530">
        <v>3538</v>
      </c>
      <c r="G95" s="530">
        <v>0</v>
      </c>
      <c r="H95" s="530">
        <v>21860.5</v>
      </c>
      <c r="I95" s="530">
        <v>3605.4900000000002</v>
      </c>
      <c r="J95" s="530">
        <v>5230.42</v>
      </c>
      <c r="K95" s="530">
        <v>0</v>
      </c>
      <c r="L95" s="530" t="e">
        <v>#NAME?</v>
      </c>
      <c r="M95" s="530">
        <v>19697.95</v>
      </c>
      <c r="N95" s="530">
        <v>2699.07</v>
      </c>
      <c r="O95" s="530">
        <v>6508.59</v>
      </c>
      <c r="P95" s="530">
        <v>2433.89</v>
      </c>
      <c r="Q95" s="530">
        <v>0</v>
      </c>
      <c r="R95" s="530">
        <v>4482.72</v>
      </c>
      <c r="S95" s="530">
        <v>1674.8</v>
      </c>
      <c r="T95" s="530">
        <v>600.07999999999993</v>
      </c>
      <c r="U95" s="530">
        <v>0</v>
      </c>
      <c r="V95" s="530">
        <v>0</v>
      </c>
      <c r="W95" s="530">
        <v>7476.9500000000007</v>
      </c>
      <c r="X95" s="530">
        <v>0</v>
      </c>
      <c r="Y95" s="530" t="e">
        <f t="shared" si="14"/>
        <v>#NAME?</v>
      </c>
    </row>
    <row r="96" spans="1:25" s="545" customFormat="1" ht="12.75" x14ac:dyDescent="0.2">
      <c r="A96" s="513">
        <v>62301</v>
      </c>
      <c r="B96" s="529" t="s">
        <v>624</v>
      </c>
      <c r="C96" s="530">
        <v>3330.19</v>
      </c>
      <c r="D96" s="530">
        <v>0</v>
      </c>
      <c r="E96" s="530">
        <v>1118.96</v>
      </c>
      <c r="F96" s="530">
        <v>1347.42</v>
      </c>
      <c r="G96" s="530">
        <v>0</v>
      </c>
      <c r="H96" s="530">
        <v>8415.84</v>
      </c>
      <c r="I96" s="530">
        <v>1464.44</v>
      </c>
      <c r="J96" s="530">
        <v>1966.07</v>
      </c>
      <c r="K96" s="530">
        <v>0</v>
      </c>
      <c r="L96" s="530" t="e">
        <v>#NAME?</v>
      </c>
      <c r="M96" s="530">
        <v>7677.0499999999993</v>
      </c>
      <c r="N96" s="530">
        <v>1048.7</v>
      </c>
      <c r="O96" s="530">
        <v>2457.11</v>
      </c>
      <c r="P96" s="530">
        <v>954.82</v>
      </c>
      <c r="Q96" s="530">
        <v>0</v>
      </c>
      <c r="R96" s="530">
        <v>1688.6399999999999</v>
      </c>
      <c r="S96" s="530">
        <v>648</v>
      </c>
      <c r="T96" s="530">
        <v>235.2</v>
      </c>
      <c r="U96" s="530">
        <v>0</v>
      </c>
      <c r="V96" s="530">
        <v>0</v>
      </c>
      <c r="W96" s="530">
        <v>3028.91</v>
      </c>
      <c r="X96" s="530">
        <v>0</v>
      </c>
      <c r="Y96" s="530" t="e">
        <f t="shared" si="14"/>
        <v>#NAME?</v>
      </c>
    </row>
    <row r="97" spans="1:25" s="545" customFormat="1" ht="12.75" x14ac:dyDescent="0.2">
      <c r="A97" s="513">
        <v>62302</v>
      </c>
      <c r="B97" s="529" t="s">
        <v>625</v>
      </c>
      <c r="C97" s="530">
        <v>562.5</v>
      </c>
      <c r="D97" s="530">
        <v>0</v>
      </c>
      <c r="E97" s="530">
        <v>450</v>
      </c>
      <c r="F97" s="530">
        <v>112.5</v>
      </c>
      <c r="G97" s="530">
        <v>0</v>
      </c>
      <c r="H97" s="530">
        <v>1575</v>
      </c>
      <c r="I97" s="530">
        <v>600</v>
      </c>
      <c r="J97" s="530">
        <v>562.5</v>
      </c>
      <c r="K97" s="530">
        <v>0</v>
      </c>
      <c r="L97" s="530" t="e">
        <v>#NAME?</v>
      </c>
      <c r="M97" s="530">
        <v>3300.0000000000005</v>
      </c>
      <c r="N97" s="530">
        <v>562.5</v>
      </c>
      <c r="O97" s="530">
        <v>712.5</v>
      </c>
      <c r="P97" s="530">
        <v>225</v>
      </c>
      <c r="Q97" s="530">
        <v>0</v>
      </c>
      <c r="R97" s="530">
        <v>562.5</v>
      </c>
      <c r="S97" s="530">
        <v>0</v>
      </c>
      <c r="T97" s="530">
        <v>225</v>
      </c>
      <c r="U97" s="530">
        <v>0</v>
      </c>
      <c r="V97" s="530">
        <v>0</v>
      </c>
      <c r="W97" s="530">
        <v>1168.3599999999999</v>
      </c>
      <c r="X97" s="530">
        <v>0</v>
      </c>
      <c r="Y97" s="530" t="e">
        <f t="shared" si="14"/>
        <v>#NAME?</v>
      </c>
    </row>
    <row r="98" spans="1:25" s="545" customFormat="1" ht="12.75" x14ac:dyDescent="0.2">
      <c r="A98" s="513">
        <v>62303</v>
      </c>
      <c r="B98" s="529" t="s">
        <v>626</v>
      </c>
      <c r="C98" s="530">
        <v>0</v>
      </c>
      <c r="D98" s="530">
        <v>0</v>
      </c>
      <c r="E98" s="530">
        <v>0</v>
      </c>
      <c r="F98" s="530">
        <v>0</v>
      </c>
      <c r="G98" s="530">
        <v>0</v>
      </c>
      <c r="H98" s="530">
        <v>0</v>
      </c>
      <c r="I98" s="530">
        <v>0</v>
      </c>
      <c r="J98" s="530">
        <v>0</v>
      </c>
      <c r="K98" s="530">
        <v>0</v>
      </c>
      <c r="L98" s="530" t="e">
        <v>#NAME?</v>
      </c>
      <c r="M98" s="530">
        <v>0</v>
      </c>
      <c r="N98" s="530">
        <v>0</v>
      </c>
      <c r="O98" s="530">
        <v>19060.68</v>
      </c>
      <c r="P98" s="530">
        <v>0</v>
      </c>
      <c r="Q98" s="530">
        <v>0</v>
      </c>
      <c r="R98" s="530">
        <v>0</v>
      </c>
      <c r="S98" s="530">
        <v>0</v>
      </c>
      <c r="T98" s="530">
        <v>0</v>
      </c>
      <c r="U98" s="530">
        <v>0</v>
      </c>
      <c r="V98" s="530">
        <v>0</v>
      </c>
      <c r="W98" s="530">
        <v>0</v>
      </c>
      <c r="X98" s="530">
        <v>0</v>
      </c>
      <c r="Y98" s="530" t="e">
        <f t="shared" si="14"/>
        <v>#NAME?</v>
      </c>
    </row>
    <row r="99" spans="1:25" s="545" customFormat="1" ht="12.75" x14ac:dyDescent="0.2">
      <c r="A99" s="513">
        <v>62304</v>
      </c>
      <c r="B99" s="529" t="s">
        <v>627</v>
      </c>
      <c r="C99" s="530">
        <v>3317.6400000000003</v>
      </c>
      <c r="D99" s="530">
        <v>0</v>
      </c>
      <c r="E99" s="530">
        <v>1819.6299999999999</v>
      </c>
      <c r="F99" s="530">
        <v>2528.9699999999998</v>
      </c>
      <c r="G99" s="530">
        <v>0</v>
      </c>
      <c r="H99" s="530">
        <v>5344.75</v>
      </c>
      <c r="I99" s="530">
        <v>1665.2300000000002</v>
      </c>
      <c r="J99" s="530">
        <v>4314.37</v>
      </c>
      <c r="K99" s="530">
        <v>0</v>
      </c>
      <c r="L99" s="530" t="e">
        <v>#NAME?</v>
      </c>
      <c r="M99" s="530">
        <v>18308.12</v>
      </c>
      <c r="N99" s="530">
        <v>2642.82</v>
      </c>
      <c r="O99" s="530">
        <v>5721.9699999999993</v>
      </c>
      <c r="P99" s="530">
        <v>487.52000000000004</v>
      </c>
      <c r="Q99" s="530">
        <v>0</v>
      </c>
      <c r="R99" s="530">
        <v>2965.08</v>
      </c>
      <c r="S99" s="530">
        <v>901.38</v>
      </c>
      <c r="T99" s="530">
        <v>1198.1099999999999</v>
      </c>
      <c r="U99" s="530">
        <v>0</v>
      </c>
      <c r="V99" s="530">
        <v>0</v>
      </c>
      <c r="W99" s="530">
        <v>1922.2</v>
      </c>
      <c r="X99" s="530">
        <v>0</v>
      </c>
      <c r="Y99" s="530" t="e">
        <f t="shared" si="14"/>
        <v>#NAME?</v>
      </c>
    </row>
    <row r="100" spans="1:25" s="545" customFormat="1" ht="12.75" x14ac:dyDescent="0.2">
      <c r="A100" s="513">
        <v>62305</v>
      </c>
      <c r="B100" s="529" t="s">
        <v>628</v>
      </c>
      <c r="C100" s="530">
        <v>5424.93</v>
      </c>
      <c r="D100" s="530">
        <v>0</v>
      </c>
      <c r="E100" s="530">
        <v>2383.9300000000003</v>
      </c>
      <c r="F100" s="530">
        <v>825.00000000000011</v>
      </c>
      <c r="G100" s="530">
        <v>0</v>
      </c>
      <c r="H100" s="530">
        <v>18272.149999999998</v>
      </c>
      <c r="I100" s="530">
        <v>2302.98</v>
      </c>
      <c r="J100" s="530">
        <v>3138.54</v>
      </c>
      <c r="K100" s="530">
        <v>0</v>
      </c>
      <c r="L100" s="530" t="e">
        <v>#NAME?</v>
      </c>
      <c r="M100" s="530">
        <v>16991.940000000002</v>
      </c>
      <c r="N100" s="530">
        <v>2761.56</v>
      </c>
      <c r="O100" s="530">
        <v>3758.45</v>
      </c>
      <c r="P100" s="530">
        <v>3543.0600000000004</v>
      </c>
      <c r="Q100" s="530">
        <v>0</v>
      </c>
      <c r="R100" s="530">
        <v>1412.82</v>
      </c>
      <c r="S100" s="530">
        <v>1704.2800000000002</v>
      </c>
      <c r="T100" s="530">
        <v>358.02000000000004</v>
      </c>
      <c r="U100" s="530">
        <v>0</v>
      </c>
      <c r="V100" s="530">
        <v>0</v>
      </c>
      <c r="W100" s="530">
        <v>4466.76</v>
      </c>
      <c r="X100" s="530">
        <v>0</v>
      </c>
      <c r="Y100" s="530" t="e">
        <f t="shared" si="14"/>
        <v>#NAME?</v>
      </c>
    </row>
    <row r="101" spans="1:25" s="545" customFormat="1" ht="12.75" x14ac:dyDescent="0.2">
      <c r="A101" s="513">
        <v>62306</v>
      </c>
      <c r="B101" s="529" t="s">
        <v>629</v>
      </c>
      <c r="C101" s="530">
        <v>2070.33</v>
      </c>
      <c r="D101" s="530">
        <v>0</v>
      </c>
      <c r="E101" s="530">
        <v>1391.75</v>
      </c>
      <c r="F101" s="530">
        <v>1918.5399999999997</v>
      </c>
      <c r="G101" s="530">
        <v>0</v>
      </c>
      <c r="H101" s="530">
        <v>4081.78</v>
      </c>
      <c r="I101" s="530">
        <v>662.91</v>
      </c>
      <c r="J101" s="530">
        <v>1956.72</v>
      </c>
      <c r="K101" s="530">
        <v>0</v>
      </c>
      <c r="L101" s="530" t="e">
        <v>#NAME?</v>
      </c>
      <c r="M101" s="530">
        <v>3471.8599999999997</v>
      </c>
      <c r="N101" s="530">
        <v>473.79</v>
      </c>
      <c r="O101" s="530">
        <v>1347.0900000000001</v>
      </c>
      <c r="P101" s="530">
        <v>421.96000000000004</v>
      </c>
      <c r="Q101" s="530">
        <v>0</v>
      </c>
      <c r="R101" s="530">
        <v>935.04</v>
      </c>
      <c r="S101" s="530">
        <v>292.67</v>
      </c>
      <c r="T101" s="530">
        <v>989.82</v>
      </c>
      <c r="U101" s="530">
        <v>0</v>
      </c>
      <c r="V101" s="530">
        <v>0</v>
      </c>
      <c r="W101" s="530">
        <v>1319.1</v>
      </c>
      <c r="X101" s="530">
        <v>0</v>
      </c>
      <c r="Y101" s="530" t="e">
        <f t="shared" si="14"/>
        <v>#NAME?</v>
      </c>
    </row>
    <row r="102" spans="1:25" s="545" customFormat="1" ht="12.75" x14ac:dyDescent="0.2">
      <c r="A102" s="513">
        <v>62600</v>
      </c>
      <c r="B102" s="529" t="s">
        <v>630</v>
      </c>
      <c r="C102" s="530">
        <v>28430.069999999996</v>
      </c>
      <c r="D102" s="530">
        <v>0</v>
      </c>
      <c r="E102" s="530">
        <v>5364.27</v>
      </c>
      <c r="F102" s="530">
        <v>129340.40999999999</v>
      </c>
      <c r="G102" s="530">
        <v>0</v>
      </c>
      <c r="H102" s="530">
        <v>93693.93</v>
      </c>
      <c r="I102" s="530">
        <v>3061.8599999999997</v>
      </c>
      <c r="J102" s="530">
        <v>32871.99</v>
      </c>
      <c r="K102" s="530">
        <v>0</v>
      </c>
      <c r="L102" s="530" t="e">
        <v>#NAME?</v>
      </c>
      <c r="M102" s="530">
        <v>33126.93</v>
      </c>
      <c r="N102" s="530">
        <v>0</v>
      </c>
      <c r="O102" s="530">
        <v>44114.58</v>
      </c>
      <c r="P102" s="530">
        <v>5079.54</v>
      </c>
      <c r="Q102" s="530">
        <v>0</v>
      </c>
      <c r="R102" s="530">
        <v>17046.780000000002</v>
      </c>
      <c r="S102" s="530">
        <v>8219.73</v>
      </c>
      <c r="T102" s="530">
        <v>649.89</v>
      </c>
      <c r="U102" s="530">
        <v>0</v>
      </c>
      <c r="V102" s="530">
        <v>0</v>
      </c>
      <c r="W102" s="530">
        <v>6510.72</v>
      </c>
      <c r="X102" s="530">
        <v>0</v>
      </c>
      <c r="Y102" s="530" t="e">
        <f t="shared" si="14"/>
        <v>#NAME?</v>
      </c>
    </row>
    <row r="103" spans="1:25" s="545" customFormat="1" ht="12.75" x14ac:dyDescent="0.2">
      <c r="A103" s="513">
        <v>62601</v>
      </c>
      <c r="B103" s="529" t="s">
        <v>631</v>
      </c>
      <c r="C103" s="530">
        <v>0</v>
      </c>
      <c r="D103" s="530">
        <v>0</v>
      </c>
      <c r="E103" s="530">
        <v>0</v>
      </c>
      <c r="F103" s="530">
        <v>0</v>
      </c>
      <c r="G103" s="530">
        <v>0</v>
      </c>
      <c r="H103" s="530">
        <v>0</v>
      </c>
      <c r="I103" s="530">
        <v>0</v>
      </c>
      <c r="J103" s="530">
        <v>0</v>
      </c>
      <c r="K103" s="530">
        <v>0</v>
      </c>
      <c r="L103" s="530" t="e">
        <v>#NAME?</v>
      </c>
      <c r="M103" s="530">
        <v>0</v>
      </c>
      <c r="N103" s="530">
        <v>0</v>
      </c>
      <c r="O103" s="530">
        <v>0</v>
      </c>
      <c r="P103" s="530">
        <v>0</v>
      </c>
      <c r="Q103" s="530">
        <v>0</v>
      </c>
      <c r="R103" s="530">
        <v>0</v>
      </c>
      <c r="S103" s="530">
        <v>750</v>
      </c>
      <c r="T103" s="530">
        <v>0</v>
      </c>
      <c r="U103" s="530">
        <v>0</v>
      </c>
      <c r="V103" s="530">
        <v>0</v>
      </c>
      <c r="W103" s="530">
        <v>0</v>
      </c>
      <c r="X103" s="530">
        <v>0</v>
      </c>
      <c r="Y103" s="530" t="e">
        <f t="shared" si="14"/>
        <v>#NAME?</v>
      </c>
    </row>
    <row r="104" spans="1:25" s="545" customFormat="1" ht="12.75" x14ac:dyDescent="0.2">
      <c r="A104" s="513">
        <v>62400</v>
      </c>
      <c r="B104" s="553" t="s">
        <v>632</v>
      </c>
      <c r="C104" s="531">
        <v>0</v>
      </c>
      <c r="D104" s="531">
        <v>0</v>
      </c>
      <c r="E104" s="531">
        <v>0</v>
      </c>
      <c r="F104" s="531">
        <v>0</v>
      </c>
      <c r="G104" s="531">
        <v>0</v>
      </c>
      <c r="H104" s="531">
        <v>0</v>
      </c>
      <c r="I104" s="531">
        <v>0</v>
      </c>
      <c r="J104" s="531">
        <v>0</v>
      </c>
      <c r="K104" s="531">
        <v>0</v>
      </c>
      <c r="L104" s="531" t="e">
        <v>#NAME?</v>
      </c>
      <c r="M104" s="531">
        <v>0</v>
      </c>
      <c r="N104" s="531">
        <v>0</v>
      </c>
      <c r="O104" s="531">
        <v>0</v>
      </c>
      <c r="P104" s="531">
        <v>0</v>
      </c>
      <c r="Q104" s="531">
        <v>0</v>
      </c>
      <c r="R104" s="531">
        <v>0</v>
      </c>
      <c r="S104" s="531">
        <v>0</v>
      </c>
      <c r="T104" s="531">
        <v>0</v>
      </c>
      <c r="U104" s="531">
        <v>0</v>
      </c>
      <c r="V104" s="531">
        <v>0</v>
      </c>
      <c r="W104" s="531">
        <v>0</v>
      </c>
      <c r="X104" s="531">
        <v>0</v>
      </c>
      <c r="Y104" s="531" t="e">
        <f t="shared" si="14"/>
        <v>#NAME?</v>
      </c>
    </row>
    <row r="105" spans="1:25" s="428" customFormat="1" ht="12.75" x14ac:dyDescent="0.2">
      <c r="A105" s="513">
        <v>62950</v>
      </c>
      <c r="B105" s="532" t="s">
        <v>633</v>
      </c>
      <c r="C105" s="533">
        <f t="shared" ref="C105:Y105" si="15">SUM(C79:C104)</f>
        <v>216626.28</v>
      </c>
      <c r="D105" s="533">
        <f t="shared" si="15"/>
        <v>0</v>
      </c>
      <c r="E105" s="533">
        <f t="shared" si="15"/>
        <v>66519.98000000001</v>
      </c>
      <c r="F105" s="533">
        <f t="shared" si="15"/>
        <v>336110.80000000005</v>
      </c>
      <c r="G105" s="533">
        <f t="shared" si="15"/>
        <v>0</v>
      </c>
      <c r="H105" s="533">
        <f t="shared" si="15"/>
        <v>602520.03</v>
      </c>
      <c r="I105" s="533">
        <f t="shared" si="15"/>
        <v>86117.760000000009</v>
      </c>
      <c r="J105" s="533">
        <f t="shared" si="15"/>
        <v>168228.13999999998</v>
      </c>
      <c r="K105" s="533">
        <f t="shared" si="15"/>
        <v>0</v>
      </c>
      <c r="L105" s="533" t="e">
        <f t="shared" si="15"/>
        <v>#NAME?</v>
      </c>
      <c r="M105" s="533">
        <f t="shared" si="15"/>
        <v>483359.33999999997</v>
      </c>
      <c r="N105" s="533">
        <f t="shared" si="15"/>
        <v>62347.719999999994</v>
      </c>
      <c r="O105" s="533">
        <f t="shared" si="15"/>
        <v>230279.69</v>
      </c>
      <c r="P105" s="533">
        <f t="shared" si="15"/>
        <v>60322.969999999994</v>
      </c>
      <c r="Q105" s="533">
        <f t="shared" si="15"/>
        <v>0</v>
      </c>
      <c r="R105" s="533">
        <f t="shared" si="15"/>
        <v>131844.68</v>
      </c>
      <c r="S105" s="533">
        <f t="shared" si="15"/>
        <v>45604.130000000005</v>
      </c>
      <c r="T105" s="533">
        <f t="shared" si="15"/>
        <v>16190</v>
      </c>
      <c r="U105" s="533">
        <f t="shared" si="15"/>
        <v>0</v>
      </c>
      <c r="V105" s="533">
        <f t="shared" si="15"/>
        <v>24439.61</v>
      </c>
      <c r="W105" s="533">
        <f t="shared" si="15"/>
        <v>172191.09000000003</v>
      </c>
      <c r="X105" s="533">
        <f t="shared" si="15"/>
        <v>0</v>
      </c>
      <c r="Y105" s="533" t="e">
        <f t="shared" si="15"/>
        <v>#NAME?</v>
      </c>
    </row>
    <row r="106" spans="1:25" s="428" customFormat="1" ht="12.75" x14ac:dyDescent="0.2">
      <c r="A106" s="513"/>
      <c r="B106" s="516"/>
      <c r="C106" s="528"/>
      <c r="D106" s="528"/>
      <c r="E106" s="528"/>
      <c r="F106" s="528"/>
      <c r="G106" s="528"/>
      <c r="H106" s="528"/>
      <c r="I106" s="528"/>
      <c r="J106" s="528"/>
      <c r="K106" s="528"/>
      <c r="L106" s="528"/>
      <c r="M106" s="528"/>
      <c r="N106" s="528"/>
      <c r="O106" s="528"/>
      <c r="P106" s="528"/>
      <c r="Q106" s="528"/>
      <c r="R106" s="528"/>
      <c r="S106" s="528"/>
      <c r="T106" s="528"/>
      <c r="U106" s="528"/>
      <c r="V106" s="528"/>
      <c r="W106" s="528"/>
      <c r="X106" s="528"/>
      <c r="Y106" s="528"/>
    </row>
    <row r="107" spans="1:25" s="428" customFormat="1" ht="12.75" x14ac:dyDescent="0.2">
      <c r="A107" s="513"/>
      <c r="B107" s="516" t="s">
        <v>634</v>
      </c>
      <c r="C107" s="528"/>
      <c r="D107" s="528"/>
      <c r="E107" s="528"/>
      <c r="F107" s="528"/>
      <c r="G107" s="528"/>
      <c r="H107" s="528"/>
      <c r="I107" s="528"/>
      <c r="J107" s="528"/>
      <c r="K107" s="528"/>
      <c r="L107" s="528"/>
      <c r="M107" s="528"/>
      <c r="N107" s="528"/>
      <c r="O107" s="528"/>
      <c r="P107" s="528"/>
      <c r="Q107" s="528"/>
      <c r="R107" s="528"/>
      <c r="S107" s="528"/>
      <c r="T107" s="528"/>
      <c r="U107" s="528"/>
      <c r="V107" s="528"/>
      <c r="W107" s="528"/>
      <c r="X107" s="528"/>
      <c r="Y107" s="528"/>
    </row>
    <row r="108" spans="1:25" s="545" customFormat="1" ht="12.75" x14ac:dyDescent="0.2">
      <c r="A108" s="513">
        <v>63100</v>
      </c>
      <c r="B108" s="529" t="s">
        <v>635</v>
      </c>
      <c r="C108" s="530">
        <v>0</v>
      </c>
      <c r="D108" s="530">
        <v>0</v>
      </c>
      <c r="E108" s="530">
        <v>0</v>
      </c>
      <c r="F108" s="530">
        <v>0</v>
      </c>
      <c r="G108" s="530">
        <v>0</v>
      </c>
      <c r="H108" s="530">
        <v>0</v>
      </c>
      <c r="I108" s="530">
        <v>0</v>
      </c>
      <c r="J108" s="530">
        <v>0</v>
      </c>
      <c r="K108" s="530">
        <v>0</v>
      </c>
      <c r="L108" s="530" t="e">
        <v>#NAME?</v>
      </c>
      <c r="M108" s="530">
        <v>0</v>
      </c>
      <c r="N108" s="530">
        <v>0</v>
      </c>
      <c r="O108" s="530">
        <v>0</v>
      </c>
      <c r="P108" s="530">
        <v>0</v>
      </c>
      <c r="Q108" s="530">
        <v>0</v>
      </c>
      <c r="R108" s="530">
        <v>0</v>
      </c>
      <c r="S108" s="530">
        <v>0</v>
      </c>
      <c r="T108" s="530">
        <v>0</v>
      </c>
      <c r="U108" s="530">
        <v>0</v>
      </c>
      <c r="V108" s="530">
        <v>0</v>
      </c>
      <c r="W108" s="530">
        <v>0</v>
      </c>
      <c r="X108" s="530">
        <v>0</v>
      </c>
      <c r="Y108" s="530" t="e">
        <f t="shared" ref="Y108:Y115" si="16">SUM(C108:X108)</f>
        <v>#NAME?</v>
      </c>
    </row>
    <row r="109" spans="1:25" s="545" customFormat="1" ht="12.75" x14ac:dyDescent="0.2">
      <c r="A109" s="513">
        <v>63200</v>
      </c>
      <c r="B109" s="529" t="s">
        <v>636</v>
      </c>
      <c r="C109" s="530">
        <v>1950</v>
      </c>
      <c r="D109" s="530">
        <v>0</v>
      </c>
      <c r="E109" s="530">
        <v>0</v>
      </c>
      <c r="F109" s="530">
        <v>0</v>
      </c>
      <c r="G109" s="530">
        <v>0</v>
      </c>
      <c r="H109" s="530">
        <v>0</v>
      </c>
      <c r="I109" s="530">
        <v>0</v>
      </c>
      <c r="J109" s="530">
        <v>0</v>
      </c>
      <c r="K109" s="530">
        <v>0</v>
      </c>
      <c r="L109" s="530" t="e">
        <v>#NAME?</v>
      </c>
      <c r="M109" s="530">
        <v>0</v>
      </c>
      <c r="N109" s="530">
        <v>0</v>
      </c>
      <c r="O109" s="530">
        <v>0</v>
      </c>
      <c r="P109" s="530">
        <v>0</v>
      </c>
      <c r="Q109" s="530">
        <v>0</v>
      </c>
      <c r="R109" s="530">
        <v>0</v>
      </c>
      <c r="S109" s="530">
        <v>0</v>
      </c>
      <c r="T109" s="530">
        <v>0</v>
      </c>
      <c r="U109" s="530">
        <v>0</v>
      </c>
      <c r="V109" s="530">
        <v>0</v>
      </c>
      <c r="W109" s="530">
        <v>0</v>
      </c>
      <c r="X109" s="530">
        <v>0</v>
      </c>
      <c r="Y109" s="530" t="e">
        <f t="shared" si="16"/>
        <v>#NAME?</v>
      </c>
    </row>
    <row r="110" spans="1:25" s="545" customFormat="1" ht="12.75" x14ac:dyDescent="0.2">
      <c r="A110" s="513">
        <v>63250</v>
      </c>
      <c r="B110" s="529" t="s">
        <v>637</v>
      </c>
      <c r="C110" s="530">
        <v>40.96</v>
      </c>
      <c r="D110" s="530">
        <v>0</v>
      </c>
      <c r="E110" s="530">
        <v>183.02</v>
      </c>
      <c r="F110" s="530">
        <v>61.809999999999995</v>
      </c>
      <c r="G110" s="530">
        <v>0</v>
      </c>
      <c r="H110" s="530">
        <v>280.76</v>
      </c>
      <c r="I110" s="530">
        <v>0</v>
      </c>
      <c r="J110" s="530">
        <v>0</v>
      </c>
      <c r="K110" s="530">
        <v>0</v>
      </c>
      <c r="L110" s="530" t="e">
        <v>#NAME?</v>
      </c>
      <c r="M110" s="530">
        <v>0</v>
      </c>
      <c r="N110" s="530">
        <v>0</v>
      </c>
      <c r="O110" s="530">
        <v>0</v>
      </c>
      <c r="P110" s="530">
        <v>0</v>
      </c>
      <c r="Q110" s="530">
        <v>0</v>
      </c>
      <c r="R110" s="530">
        <v>145.47</v>
      </c>
      <c r="S110" s="530">
        <v>0</v>
      </c>
      <c r="T110" s="530">
        <v>0</v>
      </c>
      <c r="U110" s="530">
        <v>0</v>
      </c>
      <c r="V110" s="530">
        <v>0</v>
      </c>
      <c r="W110" s="530">
        <v>271.18</v>
      </c>
      <c r="X110" s="530">
        <v>0</v>
      </c>
      <c r="Y110" s="530" t="e">
        <f t="shared" si="16"/>
        <v>#NAME?</v>
      </c>
    </row>
    <row r="111" spans="1:25" s="545" customFormat="1" ht="12.75" x14ac:dyDescent="0.2">
      <c r="A111" s="513">
        <v>63300</v>
      </c>
      <c r="B111" s="529" t="s">
        <v>638</v>
      </c>
      <c r="C111" s="530">
        <v>0</v>
      </c>
      <c r="D111" s="530">
        <v>0</v>
      </c>
      <c r="E111" s="530">
        <v>0</v>
      </c>
      <c r="F111" s="530">
        <v>0</v>
      </c>
      <c r="G111" s="530">
        <v>0</v>
      </c>
      <c r="H111" s="530">
        <v>0</v>
      </c>
      <c r="I111" s="530">
        <v>0</v>
      </c>
      <c r="J111" s="530">
        <v>0</v>
      </c>
      <c r="K111" s="530">
        <v>0</v>
      </c>
      <c r="L111" s="530" t="e">
        <v>#NAME?</v>
      </c>
      <c r="M111" s="530">
        <v>0</v>
      </c>
      <c r="N111" s="530">
        <v>0</v>
      </c>
      <c r="O111" s="530">
        <v>0</v>
      </c>
      <c r="P111" s="530">
        <v>0</v>
      </c>
      <c r="Q111" s="530">
        <v>0</v>
      </c>
      <c r="R111" s="530">
        <v>0</v>
      </c>
      <c r="S111" s="530">
        <v>0</v>
      </c>
      <c r="T111" s="530">
        <v>0</v>
      </c>
      <c r="U111" s="530">
        <v>0</v>
      </c>
      <c r="V111" s="530">
        <v>0</v>
      </c>
      <c r="W111" s="530">
        <v>0</v>
      </c>
      <c r="X111" s="530">
        <v>0</v>
      </c>
      <c r="Y111" s="530" t="e">
        <f t="shared" si="16"/>
        <v>#NAME?</v>
      </c>
    </row>
    <row r="112" spans="1:25" s="545" customFormat="1" ht="12.75" x14ac:dyDescent="0.2">
      <c r="A112" s="513">
        <v>63400</v>
      </c>
      <c r="B112" s="529" t="s">
        <v>639</v>
      </c>
      <c r="C112" s="530">
        <v>0</v>
      </c>
      <c r="D112" s="530">
        <v>0</v>
      </c>
      <c r="E112" s="530">
        <v>0</v>
      </c>
      <c r="F112" s="530">
        <v>0</v>
      </c>
      <c r="G112" s="530">
        <v>0</v>
      </c>
      <c r="H112" s="530">
        <v>0</v>
      </c>
      <c r="I112" s="530">
        <v>0</v>
      </c>
      <c r="J112" s="530">
        <v>0</v>
      </c>
      <c r="K112" s="530">
        <v>0</v>
      </c>
      <c r="L112" s="530" t="e">
        <v>#NAME?</v>
      </c>
      <c r="M112" s="530">
        <v>0</v>
      </c>
      <c r="N112" s="530">
        <v>0</v>
      </c>
      <c r="O112" s="530">
        <v>0</v>
      </c>
      <c r="P112" s="530">
        <v>0</v>
      </c>
      <c r="Q112" s="530">
        <v>0</v>
      </c>
      <c r="R112" s="530">
        <v>0</v>
      </c>
      <c r="S112" s="530">
        <v>0</v>
      </c>
      <c r="T112" s="530">
        <v>16.04</v>
      </c>
      <c r="U112" s="530">
        <v>0</v>
      </c>
      <c r="V112" s="530">
        <v>0</v>
      </c>
      <c r="W112" s="530">
        <v>0</v>
      </c>
      <c r="X112" s="530">
        <v>0</v>
      </c>
      <c r="Y112" s="530" t="e">
        <f t="shared" si="16"/>
        <v>#NAME?</v>
      </c>
    </row>
    <row r="113" spans="1:26" s="545" customFormat="1" ht="12.75" x14ac:dyDescent="0.2">
      <c r="A113" s="513">
        <v>63450</v>
      </c>
      <c r="B113" s="529" t="s">
        <v>640</v>
      </c>
      <c r="C113" s="530">
        <v>0</v>
      </c>
      <c r="D113" s="530">
        <v>0</v>
      </c>
      <c r="E113" s="530">
        <v>0</v>
      </c>
      <c r="F113" s="530">
        <v>0</v>
      </c>
      <c r="G113" s="530">
        <v>0</v>
      </c>
      <c r="H113" s="530">
        <v>0</v>
      </c>
      <c r="I113" s="530">
        <v>0</v>
      </c>
      <c r="J113" s="530">
        <v>12.97</v>
      </c>
      <c r="K113" s="530">
        <v>0</v>
      </c>
      <c r="L113" s="530" t="e">
        <v>#NAME?</v>
      </c>
      <c r="M113" s="530">
        <v>0</v>
      </c>
      <c r="N113" s="530">
        <v>0</v>
      </c>
      <c r="O113" s="530">
        <v>0</v>
      </c>
      <c r="P113" s="530">
        <v>0</v>
      </c>
      <c r="Q113" s="530">
        <v>0</v>
      </c>
      <c r="R113" s="530">
        <v>14.67</v>
      </c>
      <c r="S113" s="530">
        <v>0</v>
      </c>
      <c r="T113" s="530">
        <v>0</v>
      </c>
      <c r="U113" s="530">
        <v>0</v>
      </c>
      <c r="V113" s="530">
        <v>0</v>
      </c>
      <c r="W113" s="530">
        <v>14.28</v>
      </c>
      <c r="X113" s="530">
        <v>0</v>
      </c>
      <c r="Y113" s="530" t="e">
        <f t="shared" si="16"/>
        <v>#NAME?</v>
      </c>
    </row>
    <row r="114" spans="1:26" s="545" customFormat="1" ht="12.75" x14ac:dyDescent="0.2">
      <c r="A114" s="513">
        <v>63460</v>
      </c>
      <c r="B114" s="529" t="s">
        <v>641</v>
      </c>
      <c r="C114" s="530">
        <v>0</v>
      </c>
      <c r="D114" s="530">
        <v>0</v>
      </c>
      <c r="E114" s="530">
        <v>0</v>
      </c>
      <c r="F114" s="530">
        <v>0</v>
      </c>
      <c r="G114" s="530">
        <v>0</v>
      </c>
      <c r="H114" s="530">
        <v>0</v>
      </c>
      <c r="I114" s="530">
        <v>0</v>
      </c>
      <c r="J114" s="530">
        <v>0</v>
      </c>
      <c r="K114" s="530">
        <v>0</v>
      </c>
      <c r="L114" s="530" t="e">
        <v>#NAME?</v>
      </c>
      <c r="M114" s="530">
        <v>0</v>
      </c>
      <c r="N114" s="530">
        <v>0</v>
      </c>
      <c r="O114" s="530">
        <v>0</v>
      </c>
      <c r="P114" s="530">
        <v>0</v>
      </c>
      <c r="Q114" s="530">
        <v>0</v>
      </c>
      <c r="R114" s="530">
        <v>0</v>
      </c>
      <c r="S114" s="530">
        <v>0</v>
      </c>
      <c r="T114" s="530">
        <v>0</v>
      </c>
      <c r="U114" s="530">
        <v>0</v>
      </c>
      <c r="V114" s="530">
        <v>0</v>
      </c>
      <c r="W114" s="530">
        <v>0</v>
      </c>
      <c r="X114" s="530">
        <v>0</v>
      </c>
      <c r="Y114" s="530" t="e">
        <f t="shared" si="16"/>
        <v>#NAME?</v>
      </c>
    </row>
    <row r="115" spans="1:26" s="545" customFormat="1" ht="12.75" x14ac:dyDescent="0.2">
      <c r="A115" s="513">
        <v>63470</v>
      </c>
      <c r="B115" s="553" t="s">
        <v>642</v>
      </c>
      <c r="C115" s="530">
        <v>0</v>
      </c>
      <c r="D115" s="530">
        <v>0</v>
      </c>
      <c r="E115" s="530">
        <v>0</v>
      </c>
      <c r="F115" s="530">
        <v>0</v>
      </c>
      <c r="G115" s="530">
        <v>0</v>
      </c>
      <c r="H115" s="530">
        <v>0</v>
      </c>
      <c r="I115" s="530">
        <v>0</v>
      </c>
      <c r="J115" s="530">
        <v>0</v>
      </c>
      <c r="K115" s="530">
        <v>0</v>
      </c>
      <c r="L115" s="530" t="e">
        <v>#NAME?</v>
      </c>
      <c r="M115" s="530">
        <v>0</v>
      </c>
      <c r="N115" s="530">
        <v>0</v>
      </c>
      <c r="O115" s="530">
        <v>0</v>
      </c>
      <c r="P115" s="530">
        <v>0</v>
      </c>
      <c r="Q115" s="530">
        <v>0</v>
      </c>
      <c r="R115" s="530">
        <v>0</v>
      </c>
      <c r="S115" s="530">
        <v>0</v>
      </c>
      <c r="T115" s="530">
        <v>0</v>
      </c>
      <c r="U115" s="530">
        <v>0</v>
      </c>
      <c r="V115" s="530">
        <v>0</v>
      </c>
      <c r="W115" s="530">
        <v>0</v>
      </c>
      <c r="X115" s="530">
        <v>0</v>
      </c>
      <c r="Y115" s="530" t="e">
        <f t="shared" si="16"/>
        <v>#NAME?</v>
      </c>
    </row>
    <row r="116" spans="1:26" s="428" customFormat="1" ht="12.75" x14ac:dyDescent="0.2">
      <c r="A116" s="513">
        <v>63500</v>
      </c>
      <c r="B116" s="536" t="s">
        <v>643</v>
      </c>
      <c r="C116" s="537">
        <f t="shared" ref="C116:Y116" si="17">SUM(C108:C115)</f>
        <v>1990.96</v>
      </c>
      <c r="D116" s="537">
        <f t="shared" si="17"/>
        <v>0</v>
      </c>
      <c r="E116" s="537">
        <f t="shared" si="17"/>
        <v>183.02</v>
      </c>
      <c r="F116" s="537">
        <f t="shared" si="17"/>
        <v>61.809999999999995</v>
      </c>
      <c r="G116" s="537">
        <f t="shared" si="17"/>
        <v>0</v>
      </c>
      <c r="H116" s="537">
        <f t="shared" si="17"/>
        <v>280.76</v>
      </c>
      <c r="I116" s="537">
        <f t="shared" si="17"/>
        <v>0</v>
      </c>
      <c r="J116" s="537">
        <f t="shared" si="17"/>
        <v>12.97</v>
      </c>
      <c r="K116" s="537">
        <f t="shared" si="17"/>
        <v>0</v>
      </c>
      <c r="L116" s="537" t="e">
        <f t="shared" si="17"/>
        <v>#NAME?</v>
      </c>
      <c r="M116" s="537">
        <f t="shared" si="17"/>
        <v>0</v>
      </c>
      <c r="N116" s="537">
        <f t="shared" si="17"/>
        <v>0</v>
      </c>
      <c r="O116" s="537">
        <f t="shared" si="17"/>
        <v>0</v>
      </c>
      <c r="P116" s="537">
        <f t="shared" si="17"/>
        <v>0</v>
      </c>
      <c r="Q116" s="537">
        <f t="shared" si="17"/>
        <v>0</v>
      </c>
      <c r="R116" s="537">
        <f t="shared" si="17"/>
        <v>160.13999999999999</v>
      </c>
      <c r="S116" s="537">
        <f t="shared" si="17"/>
        <v>0</v>
      </c>
      <c r="T116" s="537">
        <f t="shared" si="17"/>
        <v>16.04</v>
      </c>
      <c r="U116" s="537">
        <f t="shared" si="17"/>
        <v>0</v>
      </c>
      <c r="V116" s="537">
        <f t="shared" si="17"/>
        <v>0</v>
      </c>
      <c r="W116" s="537">
        <f t="shared" si="17"/>
        <v>285.45999999999998</v>
      </c>
      <c r="X116" s="537">
        <f t="shared" si="17"/>
        <v>0</v>
      </c>
      <c r="Y116" s="537" t="e">
        <f t="shared" si="17"/>
        <v>#NAME?</v>
      </c>
    </row>
    <row r="117" spans="1:26" s="428" customFormat="1" ht="12.75" x14ac:dyDescent="0.2">
      <c r="A117" s="513"/>
      <c r="B117" s="516"/>
      <c r="C117" s="528"/>
      <c r="D117" s="528"/>
      <c r="E117" s="528"/>
      <c r="F117" s="528"/>
      <c r="G117" s="528"/>
      <c r="H117" s="528"/>
      <c r="I117" s="528"/>
      <c r="J117" s="528"/>
      <c r="K117" s="528"/>
      <c r="L117" s="528"/>
      <c r="M117" s="528"/>
      <c r="N117" s="528"/>
      <c r="O117" s="528"/>
      <c r="P117" s="528"/>
      <c r="Q117" s="528"/>
      <c r="R117" s="528"/>
      <c r="S117" s="528"/>
      <c r="T117" s="528"/>
      <c r="U117" s="528"/>
      <c r="V117" s="528"/>
      <c r="W117" s="528"/>
      <c r="X117" s="528"/>
      <c r="Y117" s="528"/>
    </row>
    <row r="118" spans="1:26" s="428" customFormat="1" ht="12.75" x14ac:dyDescent="0.2">
      <c r="A118" s="513"/>
      <c r="B118" s="516" t="s">
        <v>644</v>
      </c>
      <c r="C118" s="528"/>
      <c r="D118" s="528"/>
      <c r="E118" s="528"/>
      <c r="F118" s="528"/>
      <c r="G118" s="528"/>
      <c r="H118" s="528"/>
      <c r="I118" s="528"/>
      <c r="J118" s="528"/>
      <c r="K118" s="528"/>
      <c r="L118" s="528"/>
      <c r="M118" s="528"/>
      <c r="N118" s="528"/>
      <c r="O118" s="528"/>
      <c r="P118" s="528"/>
      <c r="Q118" s="528"/>
      <c r="R118" s="528"/>
      <c r="S118" s="528"/>
      <c r="T118" s="528"/>
      <c r="U118" s="528"/>
      <c r="V118" s="528"/>
      <c r="W118" s="528"/>
      <c r="X118" s="528"/>
      <c r="Y118" s="528"/>
    </row>
    <row r="119" spans="1:26" s="545" customFormat="1" ht="12.75" x14ac:dyDescent="0.2">
      <c r="A119" s="513">
        <v>64100</v>
      </c>
      <c r="B119" s="529" t="s">
        <v>645</v>
      </c>
      <c r="C119" s="530">
        <v>1186.8</v>
      </c>
      <c r="D119" s="530">
        <v>0</v>
      </c>
      <c r="E119" s="530">
        <v>0</v>
      </c>
      <c r="F119" s="530">
        <v>225.99999999999997</v>
      </c>
      <c r="G119" s="530">
        <v>0</v>
      </c>
      <c r="H119" s="530">
        <v>584.54999999999995</v>
      </c>
      <c r="I119" s="530">
        <v>0</v>
      </c>
      <c r="J119" s="530">
        <v>139.69999999999999</v>
      </c>
      <c r="K119" s="530">
        <v>0</v>
      </c>
      <c r="L119" s="530" t="e">
        <v>#NAME?</v>
      </c>
      <c r="M119" s="530">
        <v>99.990000000000009</v>
      </c>
      <c r="N119" s="530">
        <v>0</v>
      </c>
      <c r="O119" s="530">
        <v>0</v>
      </c>
      <c r="P119" s="530">
        <v>0</v>
      </c>
      <c r="Q119" s="530">
        <v>0</v>
      </c>
      <c r="R119" s="530">
        <v>512.79999999999995</v>
      </c>
      <c r="S119" s="530">
        <v>0</v>
      </c>
      <c r="T119" s="530">
        <v>0</v>
      </c>
      <c r="U119" s="530">
        <v>0</v>
      </c>
      <c r="V119" s="530">
        <v>0</v>
      </c>
      <c r="W119" s="530">
        <v>0</v>
      </c>
      <c r="X119" s="530">
        <v>0</v>
      </c>
      <c r="Y119" s="530" t="e">
        <f t="shared" ref="Y119:Y124" si="18">SUM(C119:X119)</f>
        <v>#NAME?</v>
      </c>
    </row>
    <row r="120" spans="1:26" s="545" customFormat="1" ht="12.75" x14ac:dyDescent="0.2">
      <c r="A120" s="513">
        <v>64150</v>
      </c>
      <c r="B120" s="529" t="s">
        <v>646</v>
      </c>
      <c r="C120" s="530">
        <v>0</v>
      </c>
      <c r="D120" s="530">
        <v>0</v>
      </c>
      <c r="E120" s="530">
        <v>202.70000000000002</v>
      </c>
      <c r="F120" s="530">
        <v>88.84</v>
      </c>
      <c r="G120" s="530">
        <v>0</v>
      </c>
      <c r="H120" s="530">
        <v>480.11</v>
      </c>
      <c r="I120" s="530">
        <v>0</v>
      </c>
      <c r="J120" s="530">
        <v>0</v>
      </c>
      <c r="K120" s="530">
        <v>0</v>
      </c>
      <c r="L120" s="530" t="e">
        <v>#NAME?</v>
      </c>
      <c r="M120" s="530">
        <v>60.21</v>
      </c>
      <c r="N120" s="530">
        <v>0</v>
      </c>
      <c r="O120" s="530">
        <v>0</v>
      </c>
      <c r="P120" s="530">
        <v>0</v>
      </c>
      <c r="Q120" s="530">
        <v>0</v>
      </c>
      <c r="R120" s="530">
        <v>0</v>
      </c>
      <c r="S120" s="530">
        <v>274.92</v>
      </c>
      <c r="T120" s="530">
        <v>0</v>
      </c>
      <c r="U120" s="530">
        <v>0</v>
      </c>
      <c r="V120" s="530">
        <v>0</v>
      </c>
      <c r="W120" s="530">
        <v>650.11</v>
      </c>
      <c r="X120" s="530">
        <v>0</v>
      </c>
      <c r="Y120" s="530" t="e">
        <f t="shared" si="18"/>
        <v>#NAME?</v>
      </c>
    </row>
    <row r="121" spans="1:26" s="545" customFormat="1" ht="12.75" x14ac:dyDescent="0.2">
      <c r="A121" s="513">
        <v>64200</v>
      </c>
      <c r="B121" s="529" t="s">
        <v>647</v>
      </c>
      <c r="C121" s="530">
        <v>0</v>
      </c>
      <c r="D121" s="530">
        <v>0</v>
      </c>
      <c r="E121" s="530">
        <v>0</v>
      </c>
      <c r="F121" s="530">
        <v>0</v>
      </c>
      <c r="G121" s="530">
        <v>0</v>
      </c>
      <c r="H121" s="530">
        <v>0</v>
      </c>
      <c r="I121" s="530">
        <v>0</v>
      </c>
      <c r="J121" s="530">
        <v>0</v>
      </c>
      <c r="K121" s="530">
        <v>0</v>
      </c>
      <c r="L121" s="530" t="e">
        <v>#NAME?</v>
      </c>
      <c r="M121" s="530">
        <v>69325.89</v>
      </c>
      <c r="N121" s="530">
        <v>0</v>
      </c>
      <c r="O121" s="530">
        <v>0</v>
      </c>
      <c r="P121" s="530">
        <v>0</v>
      </c>
      <c r="Q121" s="530">
        <v>0</v>
      </c>
      <c r="R121" s="530">
        <v>0</v>
      </c>
      <c r="S121" s="530">
        <v>0</v>
      </c>
      <c r="T121" s="530">
        <v>0</v>
      </c>
      <c r="U121" s="530">
        <v>0</v>
      </c>
      <c r="V121" s="530">
        <v>0</v>
      </c>
      <c r="W121" s="530">
        <v>0</v>
      </c>
      <c r="X121" s="530">
        <v>0</v>
      </c>
      <c r="Y121" s="530" t="e">
        <f t="shared" si="18"/>
        <v>#NAME?</v>
      </c>
    </row>
    <row r="122" spans="1:26" s="545" customFormat="1" ht="12.75" x14ac:dyDescent="0.2">
      <c r="A122" s="513">
        <v>64248</v>
      </c>
      <c r="B122" s="529" t="s">
        <v>648</v>
      </c>
      <c r="C122" s="530">
        <v>3376.0199999999995</v>
      </c>
      <c r="D122" s="530">
        <v>0</v>
      </c>
      <c r="E122" s="548">
        <v>6096.8</v>
      </c>
      <c r="F122" s="530">
        <v>7017.01</v>
      </c>
      <c r="G122" s="530">
        <v>0</v>
      </c>
      <c r="H122" s="530">
        <v>73832.53</v>
      </c>
      <c r="I122" s="530">
        <v>0</v>
      </c>
      <c r="J122" s="530">
        <v>0</v>
      </c>
      <c r="K122" s="530">
        <v>0</v>
      </c>
      <c r="L122" s="530" t="e">
        <v>#NAME?</v>
      </c>
      <c r="M122" s="530">
        <v>192238.41</v>
      </c>
      <c r="N122" s="530">
        <v>0</v>
      </c>
      <c r="O122" s="530">
        <v>205.12</v>
      </c>
      <c r="P122" s="530">
        <v>0</v>
      </c>
      <c r="Q122" s="530">
        <v>0</v>
      </c>
      <c r="R122" s="530">
        <v>0</v>
      </c>
      <c r="S122" s="530">
        <v>0</v>
      </c>
      <c r="T122" s="530">
        <v>0</v>
      </c>
      <c r="U122" s="530">
        <v>0</v>
      </c>
      <c r="V122" s="530">
        <v>0</v>
      </c>
      <c r="W122" s="530">
        <v>0</v>
      </c>
      <c r="X122" s="530">
        <v>0</v>
      </c>
      <c r="Y122" s="530" t="e">
        <f t="shared" si="18"/>
        <v>#NAME?</v>
      </c>
      <c r="Z122" s="554"/>
    </row>
    <row r="123" spans="1:26" s="545" customFormat="1" ht="12.75" x14ac:dyDescent="0.2">
      <c r="A123" s="513">
        <v>64250</v>
      </c>
      <c r="B123" s="529" t="s">
        <v>649</v>
      </c>
      <c r="C123" s="530">
        <v>0</v>
      </c>
      <c r="D123" s="530">
        <v>0</v>
      </c>
      <c r="E123" s="530">
        <v>0</v>
      </c>
      <c r="F123" s="530">
        <v>0</v>
      </c>
      <c r="G123" s="530">
        <v>0</v>
      </c>
      <c r="H123" s="530">
        <v>0</v>
      </c>
      <c r="I123" s="530">
        <v>0</v>
      </c>
      <c r="J123" s="530">
        <v>0</v>
      </c>
      <c r="K123" s="530">
        <v>0</v>
      </c>
      <c r="L123" s="530" t="e">
        <v>#NAME?</v>
      </c>
      <c r="M123" s="530">
        <v>0</v>
      </c>
      <c r="N123" s="530">
        <v>0</v>
      </c>
      <c r="O123" s="530">
        <v>0</v>
      </c>
      <c r="P123" s="530">
        <v>0</v>
      </c>
      <c r="Q123" s="530">
        <v>0</v>
      </c>
      <c r="R123" s="530">
        <v>0</v>
      </c>
      <c r="S123" s="530">
        <v>0</v>
      </c>
      <c r="T123" s="530">
        <v>0</v>
      </c>
      <c r="U123" s="530">
        <v>0</v>
      </c>
      <c r="V123" s="530">
        <v>0</v>
      </c>
      <c r="W123" s="530">
        <v>0</v>
      </c>
      <c r="X123" s="530">
        <v>0</v>
      </c>
      <c r="Y123" s="530" t="e">
        <f t="shared" si="18"/>
        <v>#NAME?</v>
      </c>
    </row>
    <row r="124" spans="1:26" s="545" customFormat="1" ht="12.75" x14ac:dyDescent="0.2">
      <c r="A124" s="513">
        <v>64300</v>
      </c>
      <c r="B124" s="553" t="s">
        <v>650</v>
      </c>
      <c r="C124" s="530">
        <v>0</v>
      </c>
      <c r="D124" s="530">
        <v>0</v>
      </c>
      <c r="E124" s="530">
        <v>0</v>
      </c>
      <c r="F124" s="530">
        <v>0</v>
      </c>
      <c r="G124" s="530">
        <v>0</v>
      </c>
      <c r="H124" s="530">
        <v>0</v>
      </c>
      <c r="I124" s="530">
        <v>0</v>
      </c>
      <c r="J124" s="530">
        <v>0</v>
      </c>
      <c r="K124" s="530">
        <v>0</v>
      </c>
      <c r="L124" s="530" t="e">
        <v>#NAME?</v>
      </c>
      <c r="M124" s="530">
        <v>0</v>
      </c>
      <c r="N124" s="530">
        <v>0</v>
      </c>
      <c r="O124" s="530">
        <v>0</v>
      </c>
      <c r="P124" s="530">
        <v>0</v>
      </c>
      <c r="Q124" s="530">
        <v>0</v>
      </c>
      <c r="R124" s="530">
        <v>0</v>
      </c>
      <c r="S124" s="530">
        <v>0</v>
      </c>
      <c r="T124" s="530">
        <v>0</v>
      </c>
      <c r="U124" s="530">
        <v>0</v>
      </c>
      <c r="V124" s="530">
        <v>0</v>
      </c>
      <c r="W124" s="530">
        <v>0</v>
      </c>
      <c r="X124" s="530">
        <v>0</v>
      </c>
      <c r="Y124" s="530" t="e">
        <f t="shared" si="18"/>
        <v>#NAME?</v>
      </c>
    </row>
    <row r="125" spans="1:26" s="428" customFormat="1" ht="12.75" x14ac:dyDescent="0.2">
      <c r="A125" s="513">
        <v>64400</v>
      </c>
      <c r="B125" s="536" t="s">
        <v>651</v>
      </c>
      <c r="C125" s="537">
        <f t="shared" ref="C125:Y125" si="19">SUM(C119:C124)</f>
        <v>4562.82</v>
      </c>
      <c r="D125" s="537">
        <f t="shared" si="19"/>
        <v>0</v>
      </c>
      <c r="E125" s="537">
        <f t="shared" si="19"/>
        <v>6299.5</v>
      </c>
      <c r="F125" s="537">
        <f t="shared" si="19"/>
        <v>7331.85</v>
      </c>
      <c r="G125" s="537">
        <f t="shared" si="19"/>
        <v>0</v>
      </c>
      <c r="H125" s="537">
        <f t="shared" si="19"/>
        <v>74897.19</v>
      </c>
      <c r="I125" s="537">
        <f t="shared" si="19"/>
        <v>0</v>
      </c>
      <c r="J125" s="537">
        <f t="shared" si="19"/>
        <v>139.69999999999999</v>
      </c>
      <c r="K125" s="537">
        <f t="shared" si="19"/>
        <v>0</v>
      </c>
      <c r="L125" s="537" t="e">
        <f t="shared" si="19"/>
        <v>#NAME?</v>
      </c>
      <c r="M125" s="537">
        <f t="shared" si="19"/>
        <v>261724.5</v>
      </c>
      <c r="N125" s="537">
        <f t="shared" si="19"/>
        <v>0</v>
      </c>
      <c r="O125" s="537">
        <f t="shared" si="19"/>
        <v>205.12</v>
      </c>
      <c r="P125" s="537">
        <f t="shared" si="19"/>
        <v>0</v>
      </c>
      <c r="Q125" s="537">
        <f t="shared" si="19"/>
        <v>0</v>
      </c>
      <c r="R125" s="537">
        <f t="shared" si="19"/>
        <v>512.79999999999995</v>
      </c>
      <c r="S125" s="537">
        <f t="shared" si="19"/>
        <v>274.92</v>
      </c>
      <c r="T125" s="537">
        <f t="shared" si="19"/>
        <v>0</v>
      </c>
      <c r="U125" s="537">
        <f t="shared" si="19"/>
        <v>0</v>
      </c>
      <c r="V125" s="537">
        <f t="shared" si="19"/>
        <v>0</v>
      </c>
      <c r="W125" s="537">
        <f t="shared" si="19"/>
        <v>650.11</v>
      </c>
      <c r="X125" s="537">
        <f t="shared" si="19"/>
        <v>0</v>
      </c>
      <c r="Y125" s="537" t="e">
        <f t="shared" si="19"/>
        <v>#NAME?</v>
      </c>
    </row>
    <row r="126" spans="1:26" s="428" customFormat="1" ht="12.75" x14ac:dyDescent="0.2">
      <c r="A126" s="513"/>
      <c r="B126" s="516"/>
      <c r="C126" s="528"/>
      <c r="D126" s="528"/>
      <c r="E126" s="528"/>
      <c r="F126" s="528"/>
      <c r="G126" s="528"/>
      <c r="H126" s="528"/>
      <c r="I126" s="528"/>
      <c r="J126" s="528"/>
      <c r="K126" s="528"/>
      <c r="L126" s="528"/>
      <c r="M126" s="528"/>
      <c r="N126" s="528"/>
      <c r="O126" s="528"/>
      <c r="P126" s="528"/>
      <c r="Q126" s="528"/>
      <c r="R126" s="528"/>
      <c r="S126" s="528"/>
      <c r="T126" s="528"/>
      <c r="U126" s="528"/>
      <c r="V126" s="528"/>
      <c r="W126" s="528"/>
      <c r="X126" s="528"/>
      <c r="Y126" s="528"/>
    </row>
    <row r="127" spans="1:26" s="428" customFormat="1" ht="12.75" x14ac:dyDescent="0.2">
      <c r="A127" s="513"/>
      <c r="B127" s="516" t="s">
        <v>652</v>
      </c>
      <c r="C127" s="528"/>
      <c r="D127" s="528"/>
      <c r="E127" s="528"/>
      <c r="F127" s="528"/>
      <c r="G127" s="528"/>
      <c r="H127" s="528"/>
      <c r="I127" s="528"/>
      <c r="J127" s="528"/>
      <c r="K127" s="528"/>
      <c r="L127" s="528"/>
      <c r="M127" s="528"/>
      <c r="N127" s="528"/>
      <c r="O127" s="528"/>
      <c r="P127" s="528"/>
      <c r="Q127" s="528"/>
      <c r="R127" s="528"/>
      <c r="S127" s="528"/>
      <c r="T127" s="528"/>
      <c r="U127" s="528"/>
      <c r="V127" s="528"/>
      <c r="W127" s="528"/>
      <c r="X127" s="528"/>
      <c r="Y127" s="528"/>
    </row>
    <row r="128" spans="1:26" s="545" customFormat="1" ht="12.75" x14ac:dyDescent="0.2">
      <c r="A128" s="513">
        <v>65100</v>
      </c>
      <c r="B128" s="529" t="s">
        <v>653</v>
      </c>
      <c r="C128" s="530">
        <v>0</v>
      </c>
      <c r="D128" s="530">
        <v>0</v>
      </c>
      <c r="E128" s="530">
        <v>0</v>
      </c>
      <c r="F128" s="530">
        <v>154890.66</v>
      </c>
      <c r="G128" s="530">
        <v>0</v>
      </c>
      <c r="H128" s="530">
        <v>0</v>
      </c>
      <c r="I128" s="530">
        <v>0</v>
      </c>
      <c r="J128" s="530">
        <v>0</v>
      </c>
      <c r="K128" s="530">
        <v>0</v>
      </c>
      <c r="L128" s="530" t="e">
        <v>#NAME?</v>
      </c>
      <c r="M128" s="530">
        <v>0</v>
      </c>
      <c r="N128" s="530">
        <v>0</v>
      </c>
      <c r="O128" s="530">
        <v>0</v>
      </c>
      <c r="P128" s="530">
        <v>0</v>
      </c>
      <c r="Q128" s="530">
        <v>0</v>
      </c>
      <c r="R128" s="530">
        <v>0</v>
      </c>
      <c r="S128" s="530">
        <v>0</v>
      </c>
      <c r="T128" s="530">
        <v>0</v>
      </c>
      <c r="U128" s="530">
        <v>0</v>
      </c>
      <c r="V128" s="530">
        <v>0</v>
      </c>
      <c r="W128" s="530">
        <v>0</v>
      </c>
      <c r="X128" s="530">
        <v>0</v>
      </c>
      <c r="Y128" s="530" t="e">
        <f t="shared" ref="Y128:Y136" si="20">SUM(C128:X128)</f>
        <v>#NAME?</v>
      </c>
    </row>
    <row r="129" spans="1:25" s="545" customFormat="1" ht="12.75" x14ac:dyDescent="0.2">
      <c r="A129" s="513">
        <v>65100.1</v>
      </c>
      <c r="B129" s="529" t="s">
        <v>654</v>
      </c>
      <c r="C129" s="530">
        <v>0</v>
      </c>
      <c r="D129" s="530">
        <v>0</v>
      </c>
      <c r="E129" s="530">
        <v>0</v>
      </c>
      <c r="F129" s="530">
        <v>0</v>
      </c>
      <c r="G129" s="530">
        <v>0</v>
      </c>
      <c r="H129" s="530">
        <v>0</v>
      </c>
      <c r="I129" s="530">
        <v>0</v>
      </c>
      <c r="J129" s="530">
        <v>0</v>
      </c>
      <c r="K129" s="530">
        <v>0</v>
      </c>
      <c r="L129" s="530" t="e">
        <v>#NAME?</v>
      </c>
      <c r="M129" s="530">
        <v>0</v>
      </c>
      <c r="N129" s="530">
        <v>0</v>
      </c>
      <c r="O129" s="530">
        <v>0</v>
      </c>
      <c r="P129" s="530">
        <v>0</v>
      </c>
      <c r="Q129" s="530">
        <v>0</v>
      </c>
      <c r="R129" s="530">
        <v>0</v>
      </c>
      <c r="S129" s="530">
        <v>0</v>
      </c>
      <c r="T129" s="530">
        <v>0</v>
      </c>
      <c r="U129" s="530">
        <v>0</v>
      </c>
      <c r="V129" s="530">
        <v>0</v>
      </c>
      <c r="W129" s="530">
        <v>0</v>
      </c>
      <c r="X129" s="530">
        <v>0</v>
      </c>
      <c r="Y129" s="530" t="e">
        <f t="shared" si="20"/>
        <v>#NAME?</v>
      </c>
    </row>
    <row r="130" spans="1:25" s="545" customFormat="1" ht="12.75" x14ac:dyDescent="0.2">
      <c r="A130" s="513">
        <v>65100.2</v>
      </c>
      <c r="B130" s="529" t="s">
        <v>655</v>
      </c>
      <c r="C130" s="530">
        <v>0</v>
      </c>
      <c r="D130" s="530">
        <v>0</v>
      </c>
      <c r="E130" s="530">
        <v>0</v>
      </c>
      <c r="F130" s="530">
        <v>-16601.579999999998</v>
      </c>
      <c r="G130" s="530">
        <v>0</v>
      </c>
      <c r="H130" s="530">
        <v>0</v>
      </c>
      <c r="I130" s="530">
        <v>0</v>
      </c>
      <c r="J130" s="530">
        <v>0</v>
      </c>
      <c r="K130" s="530">
        <v>0</v>
      </c>
      <c r="L130" s="530" t="e">
        <v>#NAME?</v>
      </c>
      <c r="M130" s="530">
        <v>0</v>
      </c>
      <c r="N130" s="530">
        <v>0</v>
      </c>
      <c r="O130" s="530">
        <v>0</v>
      </c>
      <c r="P130" s="530">
        <v>0</v>
      </c>
      <c r="Q130" s="530">
        <v>0</v>
      </c>
      <c r="R130" s="530">
        <v>0</v>
      </c>
      <c r="S130" s="530">
        <v>0</v>
      </c>
      <c r="T130" s="530">
        <v>0</v>
      </c>
      <c r="U130" s="530">
        <v>0</v>
      </c>
      <c r="V130" s="530">
        <v>0</v>
      </c>
      <c r="W130" s="530">
        <v>0</v>
      </c>
      <c r="X130" s="530">
        <v>0</v>
      </c>
      <c r="Y130" s="530" t="e">
        <f t="shared" si="20"/>
        <v>#NAME?</v>
      </c>
    </row>
    <row r="131" spans="1:25" s="545" customFormat="1" ht="12.75" x14ac:dyDescent="0.2">
      <c r="A131" s="513">
        <v>65101</v>
      </c>
      <c r="B131" s="529" t="s">
        <v>656</v>
      </c>
      <c r="C131" s="530">
        <v>0</v>
      </c>
      <c r="D131" s="530">
        <v>0</v>
      </c>
      <c r="E131" s="530">
        <v>0</v>
      </c>
      <c r="F131" s="530">
        <v>135.5</v>
      </c>
      <c r="G131" s="530">
        <v>0</v>
      </c>
      <c r="H131" s="530">
        <v>0</v>
      </c>
      <c r="I131" s="530">
        <v>0</v>
      </c>
      <c r="J131" s="530">
        <v>0</v>
      </c>
      <c r="K131" s="530">
        <v>0</v>
      </c>
      <c r="L131" s="530" t="e">
        <v>#NAME?</v>
      </c>
      <c r="M131" s="530">
        <v>0</v>
      </c>
      <c r="N131" s="530">
        <v>0</v>
      </c>
      <c r="O131" s="530">
        <v>0</v>
      </c>
      <c r="P131" s="530">
        <v>0</v>
      </c>
      <c r="Q131" s="530">
        <v>0</v>
      </c>
      <c r="R131" s="530">
        <v>0</v>
      </c>
      <c r="S131" s="530">
        <v>0</v>
      </c>
      <c r="T131" s="530">
        <v>0</v>
      </c>
      <c r="U131" s="530">
        <v>0</v>
      </c>
      <c r="V131" s="530">
        <v>0</v>
      </c>
      <c r="W131" s="530">
        <v>0</v>
      </c>
      <c r="X131" s="530">
        <v>0</v>
      </c>
      <c r="Y131" s="530" t="e">
        <f t="shared" si="20"/>
        <v>#NAME?</v>
      </c>
    </row>
    <row r="132" spans="1:25" s="545" customFormat="1" ht="12.75" x14ac:dyDescent="0.2">
      <c r="A132" s="513">
        <v>65103</v>
      </c>
      <c r="B132" s="529" t="s">
        <v>657</v>
      </c>
      <c r="C132" s="530">
        <v>0</v>
      </c>
      <c r="D132" s="530">
        <v>0</v>
      </c>
      <c r="E132" s="530">
        <v>0</v>
      </c>
      <c r="F132" s="530">
        <v>0</v>
      </c>
      <c r="G132" s="530">
        <v>0</v>
      </c>
      <c r="H132" s="530">
        <v>0</v>
      </c>
      <c r="I132" s="530">
        <v>0</v>
      </c>
      <c r="J132" s="530">
        <v>0</v>
      </c>
      <c r="K132" s="530">
        <v>0</v>
      </c>
      <c r="L132" s="530" t="e">
        <v>#NAME?</v>
      </c>
      <c r="M132" s="530">
        <v>0</v>
      </c>
      <c r="N132" s="530">
        <v>0</v>
      </c>
      <c r="O132" s="530">
        <v>0</v>
      </c>
      <c r="P132" s="530">
        <v>0</v>
      </c>
      <c r="Q132" s="530">
        <v>0</v>
      </c>
      <c r="R132" s="530">
        <v>0</v>
      </c>
      <c r="S132" s="530">
        <v>0</v>
      </c>
      <c r="T132" s="530">
        <v>0</v>
      </c>
      <c r="U132" s="530">
        <v>0</v>
      </c>
      <c r="V132" s="530">
        <v>0</v>
      </c>
      <c r="W132" s="530">
        <v>0</v>
      </c>
      <c r="X132" s="530">
        <v>0</v>
      </c>
      <c r="Y132" s="530" t="e">
        <f t="shared" si="20"/>
        <v>#NAME?</v>
      </c>
    </row>
    <row r="133" spans="1:25" s="545" customFormat="1" ht="12.75" x14ac:dyDescent="0.2">
      <c r="A133" s="540">
        <v>65105</v>
      </c>
      <c r="B133" s="555" t="s">
        <v>658</v>
      </c>
      <c r="C133" s="530">
        <v>0</v>
      </c>
      <c r="D133" s="530">
        <v>0</v>
      </c>
      <c r="E133" s="530">
        <v>0</v>
      </c>
      <c r="F133" s="530">
        <v>0</v>
      </c>
      <c r="G133" s="530">
        <v>0</v>
      </c>
      <c r="H133" s="530">
        <v>0</v>
      </c>
      <c r="I133" s="530">
        <v>0</v>
      </c>
      <c r="J133" s="530">
        <v>0</v>
      </c>
      <c r="K133" s="530">
        <v>0</v>
      </c>
      <c r="L133" s="530" t="e">
        <v>#NAME?</v>
      </c>
      <c r="M133" s="530">
        <v>0</v>
      </c>
      <c r="N133" s="530">
        <v>0</v>
      </c>
      <c r="O133" s="530">
        <v>0</v>
      </c>
      <c r="P133" s="530">
        <v>0</v>
      </c>
      <c r="Q133" s="530">
        <v>0</v>
      </c>
      <c r="R133" s="530">
        <v>0</v>
      </c>
      <c r="S133" s="530">
        <v>0</v>
      </c>
      <c r="T133" s="530">
        <v>0</v>
      </c>
      <c r="U133" s="530">
        <v>0</v>
      </c>
      <c r="V133" s="530">
        <v>0</v>
      </c>
      <c r="W133" s="530">
        <v>0</v>
      </c>
      <c r="X133" s="530">
        <v>0</v>
      </c>
      <c r="Y133" s="530" t="e">
        <f t="shared" si="20"/>
        <v>#NAME?</v>
      </c>
    </row>
    <row r="134" spans="1:25" s="545" customFormat="1" ht="12.75" x14ac:dyDescent="0.2">
      <c r="A134" s="513">
        <v>65200</v>
      </c>
      <c r="B134" s="529" t="s">
        <v>659</v>
      </c>
      <c r="C134" s="530">
        <v>0</v>
      </c>
      <c r="D134" s="530">
        <v>0</v>
      </c>
      <c r="E134" s="530">
        <v>0</v>
      </c>
      <c r="F134" s="530">
        <v>0</v>
      </c>
      <c r="G134" s="530">
        <v>0</v>
      </c>
      <c r="H134" s="530">
        <v>0</v>
      </c>
      <c r="I134" s="530">
        <v>0</v>
      </c>
      <c r="J134" s="530">
        <v>0</v>
      </c>
      <c r="K134" s="530">
        <v>0</v>
      </c>
      <c r="L134" s="530" t="e">
        <v>#NAME?</v>
      </c>
      <c r="M134" s="530">
        <v>0</v>
      </c>
      <c r="N134" s="530">
        <v>0</v>
      </c>
      <c r="O134" s="530">
        <v>0</v>
      </c>
      <c r="P134" s="530">
        <v>0</v>
      </c>
      <c r="Q134" s="530">
        <v>0</v>
      </c>
      <c r="R134" s="530">
        <v>0</v>
      </c>
      <c r="S134" s="530">
        <v>0</v>
      </c>
      <c r="T134" s="530">
        <v>0</v>
      </c>
      <c r="U134" s="530">
        <v>0</v>
      </c>
      <c r="V134" s="530">
        <v>0</v>
      </c>
      <c r="W134" s="530">
        <v>0</v>
      </c>
      <c r="X134" s="530">
        <v>0</v>
      </c>
      <c r="Y134" s="530" t="e">
        <f t="shared" si="20"/>
        <v>#NAME?</v>
      </c>
    </row>
    <row r="135" spans="1:25" s="545" customFormat="1" ht="12.75" x14ac:dyDescent="0.2">
      <c r="A135" s="513">
        <v>65250</v>
      </c>
      <c r="B135" s="529" t="s">
        <v>660</v>
      </c>
      <c r="C135" s="530">
        <v>0</v>
      </c>
      <c r="D135" s="530">
        <v>0</v>
      </c>
      <c r="E135" s="530">
        <v>0</v>
      </c>
      <c r="F135" s="530">
        <v>4980.8999999999996</v>
      </c>
      <c r="G135" s="530">
        <v>0</v>
      </c>
      <c r="H135" s="530">
        <v>0</v>
      </c>
      <c r="I135" s="530">
        <v>0</v>
      </c>
      <c r="J135" s="530">
        <v>0</v>
      </c>
      <c r="K135" s="530">
        <v>0</v>
      </c>
      <c r="L135" s="530" t="e">
        <v>#NAME?</v>
      </c>
      <c r="M135" s="530">
        <v>0</v>
      </c>
      <c r="N135" s="530">
        <v>0</v>
      </c>
      <c r="O135" s="530">
        <v>0</v>
      </c>
      <c r="P135" s="530">
        <v>0</v>
      </c>
      <c r="Q135" s="530">
        <v>0</v>
      </c>
      <c r="R135" s="530">
        <v>0</v>
      </c>
      <c r="S135" s="530">
        <v>0</v>
      </c>
      <c r="T135" s="530">
        <v>0</v>
      </c>
      <c r="U135" s="530">
        <v>0</v>
      </c>
      <c r="V135" s="530">
        <v>0</v>
      </c>
      <c r="W135" s="530">
        <v>0</v>
      </c>
      <c r="X135" s="530">
        <v>0</v>
      </c>
      <c r="Y135" s="530" t="e">
        <f t="shared" si="20"/>
        <v>#NAME?</v>
      </c>
    </row>
    <row r="136" spans="1:25" s="545" customFormat="1" ht="12.75" x14ac:dyDescent="0.2">
      <c r="A136" s="513">
        <v>65300</v>
      </c>
      <c r="B136" s="553" t="s">
        <v>661</v>
      </c>
      <c r="C136" s="530">
        <v>0</v>
      </c>
      <c r="D136" s="530">
        <v>0</v>
      </c>
      <c r="E136" s="530">
        <v>0</v>
      </c>
      <c r="F136" s="530">
        <v>1660.69</v>
      </c>
      <c r="G136" s="530">
        <v>0</v>
      </c>
      <c r="H136" s="530">
        <v>0</v>
      </c>
      <c r="I136" s="530">
        <v>0</v>
      </c>
      <c r="J136" s="530">
        <v>0</v>
      </c>
      <c r="K136" s="530">
        <v>0</v>
      </c>
      <c r="L136" s="530" t="e">
        <v>#NAME?</v>
      </c>
      <c r="M136" s="530">
        <v>0</v>
      </c>
      <c r="N136" s="530">
        <v>0</v>
      </c>
      <c r="O136" s="530">
        <v>0</v>
      </c>
      <c r="P136" s="530">
        <v>0</v>
      </c>
      <c r="Q136" s="530">
        <v>0</v>
      </c>
      <c r="R136" s="530">
        <v>0</v>
      </c>
      <c r="S136" s="530">
        <v>0</v>
      </c>
      <c r="T136" s="530">
        <v>0</v>
      </c>
      <c r="U136" s="530">
        <v>0</v>
      </c>
      <c r="V136" s="530">
        <v>0</v>
      </c>
      <c r="W136" s="530">
        <v>0</v>
      </c>
      <c r="X136" s="530">
        <v>0</v>
      </c>
      <c r="Y136" s="530" t="e">
        <f t="shared" si="20"/>
        <v>#NAME?</v>
      </c>
    </row>
    <row r="137" spans="1:25" s="428" customFormat="1" ht="12.75" x14ac:dyDescent="0.2">
      <c r="A137" s="513">
        <v>65400</v>
      </c>
      <c r="B137" s="536" t="s">
        <v>662</v>
      </c>
      <c r="C137" s="537">
        <f t="shared" ref="C137:Y137" si="21">SUM(C128:C136)</f>
        <v>0</v>
      </c>
      <c r="D137" s="537">
        <f t="shared" si="21"/>
        <v>0</v>
      </c>
      <c r="E137" s="537">
        <f t="shared" si="21"/>
        <v>0</v>
      </c>
      <c r="F137" s="537">
        <f t="shared" si="21"/>
        <v>145066.17000000001</v>
      </c>
      <c r="G137" s="537">
        <f t="shared" si="21"/>
        <v>0</v>
      </c>
      <c r="H137" s="537">
        <f t="shared" si="21"/>
        <v>0</v>
      </c>
      <c r="I137" s="537">
        <f t="shared" si="21"/>
        <v>0</v>
      </c>
      <c r="J137" s="537">
        <f t="shared" si="21"/>
        <v>0</v>
      </c>
      <c r="K137" s="537">
        <f t="shared" si="21"/>
        <v>0</v>
      </c>
      <c r="L137" s="537" t="e">
        <f t="shared" si="21"/>
        <v>#NAME?</v>
      </c>
      <c r="M137" s="537">
        <f t="shared" si="21"/>
        <v>0</v>
      </c>
      <c r="N137" s="537">
        <f t="shared" si="21"/>
        <v>0</v>
      </c>
      <c r="O137" s="537">
        <f t="shared" si="21"/>
        <v>0</v>
      </c>
      <c r="P137" s="537">
        <f t="shared" si="21"/>
        <v>0</v>
      </c>
      <c r="Q137" s="537">
        <f t="shared" si="21"/>
        <v>0</v>
      </c>
      <c r="R137" s="537">
        <f t="shared" si="21"/>
        <v>0</v>
      </c>
      <c r="S137" s="537">
        <f t="shared" si="21"/>
        <v>0</v>
      </c>
      <c r="T137" s="537">
        <f t="shared" si="21"/>
        <v>0</v>
      </c>
      <c r="U137" s="537">
        <f t="shared" si="21"/>
        <v>0</v>
      </c>
      <c r="V137" s="537">
        <f t="shared" si="21"/>
        <v>0</v>
      </c>
      <c r="W137" s="537">
        <f t="shared" si="21"/>
        <v>0</v>
      </c>
      <c r="X137" s="537">
        <f t="shared" si="21"/>
        <v>0</v>
      </c>
      <c r="Y137" s="537" t="e">
        <f t="shared" si="21"/>
        <v>#NAME?</v>
      </c>
    </row>
    <row r="138" spans="1:25" s="428" customFormat="1" ht="12.75" x14ac:dyDescent="0.2">
      <c r="A138" s="513"/>
      <c r="B138" s="516"/>
      <c r="C138" s="528"/>
      <c r="D138" s="528"/>
      <c r="E138" s="528"/>
      <c r="F138" s="528"/>
      <c r="G138" s="528"/>
      <c r="H138" s="528"/>
      <c r="I138" s="528"/>
      <c r="J138" s="528"/>
      <c r="K138" s="528"/>
      <c r="L138" s="528"/>
      <c r="M138" s="528"/>
      <c r="N138" s="528"/>
      <c r="O138" s="528"/>
      <c r="P138" s="528"/>
      <c r="Q138" s="528"/>
      <c r="R138" s="528"/>
      <c r="S138" s="528"/>
      <c r="T138" s="528"/>
      <c r="U138" s="528"/>
      <c r="V138" s="528"/>
      <c r="W138" s="528"/>
      <c r="X138" s="528"/>
      <c r="Y138" s="528"/>
    </row>
    <row r="139" spans="1:25" s="428" customFormat="1" ht="12.75" x14ac:dyDescent="0.2">
      <c r="A139" s="513"/>
      <c r="B139" s="516" t="s">
        <v>663</v>
      </c>
      <c r="C139" s="528"/>
      <c r="D139" s="528"/>
      <c r="E139" s="528"/>
      <c r="F139" s="528"/>
      <c r="G139" s="528"/>
      <c r="H139" s="528"/>
      <c r="I139" s="528"/>
      <c r="J139" s="528"/>
      <c r="K139" s="528"/>
      <c r="L139" s="528"/>
      <c r="M139" s="528"/>
      <c r="N139" s="528"/>
      <c r="O139" s="528"/>
      <c r="P139" s="528"/>
      <c r="Q139" s="528"/>
      <c r="R139" s="528"/>
      <c r="S139" s="528"/>
      <c r="T139" s="528"/>
      <c r="U139" s="528"/>
      <c r="V139" s="528"/>
      <c r="W139" s="528"/>
      <c r="X139" s="528"/>
      <c r="Y139" s="528"/>
    </row>
    <row r="140" spans="1:25" s="545" customFormat="1" ht="12.75" x14ac:dyDescent="0.2">
      <c r="A140" s="513">
        <v>65501</v>
      </c>
      <c r="B140" s="529" t="s">
        <v>664</v>
      </c>
      <c r="C140" s="530">
        <v>212.92000000000002</v>
      </c>
      <c r="D140" s="530">
        <v>0</v>
      </c>
      <c r="E140" s="530">
        <v>-313.26</v>
      </c>
      <c r="F140" s="530">
        <v>2734.88</v>
      </c>
      <c r="G140" s="530">
        <v>0</v>
      </c>
      <c r="H140" s="530">
        <v>2473.27</v>
      </c>
      <c r="I140" s="530">
        <v>2805.9700000000003</v>
      </c>
      <c r="J140" s="530">
        <v>0</v>
      </c>
      <c r="K140" s="530">
        <v>0</v>
      </c>
      <c r="L140" s="530" t="e">
        <v>#NAME?</v>
      </c>
      <c r="M140" s="530">
        <v>1058.27</v>
      </c>
      <c r="N140" s="530">
        <v>0</v>
      </c>
      <c r="O140" s="530">
        <v>617.74</v>
      </c>
      <c r="P140" s="530">
        <v>56.98</v>
      </c>
      <c r="Q140" s="530">
        <v>0</v>
      </c>
      <c r="R140" s="530">
        <v>96.15</v>
      </c>
      <c r="S140" s="530">
        <v>392.55</v>
      </c>
      <c r="T140" s="530">
        <v>75.990000000000009</v>
      </c>
      <c r="U140" s="530">
        <v>438.28000000000003</v>
      </c>
      <c r="V140" s="530">
        <v>0</v>
      </c>
      <c r="W140" s="530">
        <v>88.460000000000008</v>
      </c>
      <c r="X140" s="530">
        <v>0</v>
      </c>
      <c r="Y140" s="530" t="e">
        <f t="shared" ref="Y140:Y147" si="22">SUM(C140:X140)</f>
        <v>#NAME?</v>
      </c>
    </row>
    <row r="141" spans="1:25" s="545" customFormat="1" ht="12.75" x14ac:dyDescent="0.2">
      <c r="A141" s="513">
        <v>65502</v>
      </c>
      <c r="B141" s="529" t="s">
        <v>665</v>
      </c>
      <c r="C141" s="530">
        <v>0</v>
      </c>
      <c r="D141" s="530">
        <v>0</v>
      </c>
      <c r="E141" s="530">
        <v>0</v>
      </c>
      <c r="F141" s="530">
        <v>0</v>
      </c>
      <c r="G141" s="530">
        <v>0</v>
      </c>
      <c r="H141" s="530">
        <v>0</v>
      </c>
      <c r="I141" s="530">
        <v>0</v>
      </c>
      <c r="J141" s="530">
        <v>0</v>
      </c>
      <c r="K141" s="530">
        <v>0</v>
      </c>
      <c r="L141" s="530" t="e">
        <v>#NAME?</v>
      </c>
      <c r="M141" s="530">
        <v>0</v>
      </c>
      <c r="N141" s="530">
        <v>0</v>
      </c>
      <c r="O141" s="530">
        <v>0</v>
      </c>
      <c r="P141" s="530">
        <v>0</v>
      </c>
      <c r="Q141" s="530">
        <v>0</v>
      </c>
      <c r="R141" s="530">
        <v>0</v>
      </c>
      <c r="S141" s="530">
        <v>0</v>
      </c>
      <c r="T141" s="530">
        <v>0</v>
      </c>
      <c r="U141" s="530">
        <v>0</v>
      </c>
      <c r="V141" s="530">
        <v>0</v>
      </c>
      <c r="W141" s="530">
        <v>0</v>
      </c>
      <c r="X141" s="530">
        <v>0</v>
      </c>
      <c r="Y141" s="530" t="e">
        <f t="shared" si="22"/>
        <v>#NAME?</v>
      </c>
    </row>
    <row r="142" spans="1:25" s="545" customFormat="1" ht="12.75" x14ac:dyDescent="0.2">
      <c r="A142" s="513">
        <v>65503</v>
      </c>
      <c r="B142" s="529" t="s">
        <v>666</v>
      </c>
      <c r="C142" s="530">
        <v>0</v>
      </c>
      <c r="D142" s="530">
        <v>0</v>
      </c>
      <c r="E142" s="530">
        <v>0</v>
      </c>
      <c r="F142" s="530">
        <v>0</v>
      </c>
      <c r="G142" s="530">
        <v>0</v>
      </c>
      <c r="H142" s="530">
        <v>0</v>
      </c>
      <c r="I142" s="530">
        <v>0</v>
      </c>
      <c r="J142" s="530">
        <v>0</v>
      </c>
      <c r="K142" s="530">
        <v>0</v>
      </c>
      <c r="L142" s="530" t="e">
        <v>#NAME?</v>
      </c>
      <c r="M142" s="530">
        <v>0</v>
      </c>
      <c r="N142" s="530">
        <v>0</v>
      </c>
      <c r="O142" s="530">
        <v>0</v>
      </c>
      <c r="P142" s="530">
        <v>0</v>
      </c>
      <c r="Q142" s="530">
        <v>0</v>
      </c>
      <c r="R142" s="530">
        <v>0</v>
      </c>
      <c r="S142" s="530">
        <v>0</v>
      </c>
      <c r="T142" s="530">
        <v>0</v>
      </c>
      <c r="U142" s="530">
        <v>0</v>
      </c>
      <c r="V142" s="530">
        <v>0</v>
      </c>
      <c r="W142" s="530">
        <v>0</v>
      </c>
      <c r="X142" s="530">
        <v>0</v>
      </c>
      <c r="Y142" s="530" t="e">
        <f t="shared" si="22"/>
        <v>#NAME?</v>
      </c>
    </row>
    <row r="143" spans="1:25" s="545" customFormat="1" ht="12.75" x14ac:dyDescent="0.2">
      <c r="A143" s="513">
        <v>65600</v>
      </c>
      <c r="B143" s="529" t="s">
        <v>667</v>
      </c>
      <c r="C143" s="530">
        <v>0</v>
      </c>
      <c r="D143" s="530">
        <v>0</v>
      </c>
      <c r="E143" s="530">
        <v>0</v>
      </c>
      <c r="F143" s="530">
        <v>32.99</v>
      </c>
      <c r="G143" s="530">
        <v>0</v>
      </c>
      <c r="H143" s="530">
        <v>0</v>
      </c>
      <c r="I143" s="530">
        <v>0</v>
      </c>
      <c r="J143" s="530">
        <v>0</v>
      </c>
      <c r="K143" s="530">
        <v>0</v>
      </c>
      <c r="L143" s="530" t="e">
        <v>#NAME?</v>
      </c>
      <c r="M143" s="530">
        <v>0</v>
      </c>
      <c r="N143" s="530">
        <v>0</v>
      </c>
      <c r="O143" s="530">
        <v>0</v>
      </c>
      <c r="P143" s="530">
        <v>0</v>
      </c>
      <c r="Q143" s="530">
        <v>0</v>
      </c>
      <c r="R143" s="530">
        <v>0</v>
      </c>
      <c r="S143" s="530">
        <v>0</v>
      </c>
      <c r="T143" s="530">
        <v>0</v>
      </c>
      <c r="U143" s="530">
        <v>0</v>
      </c>
      <c r="V143" s="530">
        <v>0</v>
      </c>
      <c r="W143" s="530">
        <v>0</v>
      </c>
      <c r="X143" s="530">
        <v>0</v>
      </c>
      <c r="Y143" s="530" t="e">
        <f t="shared" si="22"/>
        <v>#NAME?</v>
      </c>
    </row>
    <row r="144" spans="1:25" s="545" customFormat="1" ht="12.75" x14ac:dyDescent="0.2">
      <c r="A144" s="513">
        <v>65602</v>
      </c>
      <c r="B144" s="529" t="s">
        <v>668</v>
      </c>
      <c r="C144" s="530">
        <v>0</v>
      </c>
      <c r="D144" s="530">
        <v>0</v>
      </c>
      <c r="E144" s="530">
        <v>0</v>
      </c>
      <c r="F144" s="530">
        <v>0</v>
      </c>
      <c r="G144" s="530">
        <v>0</v>
      </c>
      <c r="H144" s="530">
        <v>0</v>
      </c>
      <c r="I144" s="530">
        <v>0</v>
      </c>
      <c r="J144" s="530">
        <v>0</v>
      </c>
      <c r="K144" s="530">
        <v>0</v>
      </c>
      <c r="L144" s="530" t="e">
        <v>#NAME?</v>
      </c>
      <c r="M144" s="530">
        <v>0</v>
      </c>
      <c r="N144" s="530">
        <v>0</v>
      </c>
      <c r="O144" s="530">
        <v>0</v>
      </c>
      <c r="P144" s="530">
        <v>0</v>
      </c>
      <c r="Q144" s="530">
        <v>0</v>
      </c>
      <c r="R144" s="530">
        <v>0</v>
      </c>
      <c r="S144" s="530">
        <v>0</v>
      </c>
      <c r="T144" s="530">
        <v>0</v>
      </c>
      <c r="U144" s="530">
        <v>0</v>
      </c>
      <c r="V144" s="530">
        <v>0</v>
      </c>
      <c r="W144" s="530">
        <v>0</v>
      </c>
      <c r="X144" s="530">
        <v>0</v>
      </c>
      <c r="Y144" s="530" t="e">
        <f t="shared" si="22"/>
        <v>#NAME?</v>
      </c>
    </row>
    <row r="145" spans="1:25" s="545" customFormat="1" ht="12.75" x14ac:dyDescent="0.2">
      <c r="A145" s="513">
        <v>65608</v>
      </c>
      <c r="B145" s="529" t="s">
        <v>669</v>
      </c>
      <c r="C145" s="530">
        <v>0</v>
      </c>
      <c r="D145" s="530">
        <v>0</v>
      </c>
      <c r="E145" s="530">
        <v>0</v>
      </c>
      <c r="F145" s="530">
        <v>0</v>
      </c>
      <c r="G145" s="530">
        <v>0</v>
      </c>
      <c r="H145" s="530">
        <v>0</v>
      </c>
      <c r="I145" s="530">
        <v>0</v>
      </c>
      <c r="J145" s="530">
        <v>0</v>
      </c>
      <c r="K145" s="530">
        <v>0</v>
      </c>
      <c r="L145" s="530" t="e">
        <v>#NAME?</v>
      </c>
      <c r="M145" s="530">
        <v>4600</v>
      </c>
      <c r="N145" s="530">
        <v>0</v>
      </c>
      <c r="O145" s="530">
        <v>0</v>
      </c>
      <c r="P145" s="530">
        <v>0</v>
      </c>
      <c r="Q145" s="530">
        <v>0</v>
      </c>
      <c r="R145" s="530">
        <v>0</v>
      </c>
      <c r="S145" s="530">
        <v>0</v>
      </c>
      <c r="T145" s="530">
        <v>0</v>
      </c>
      <c r="U145" s="530">
        <v>0</v>
      </c>
      <c r="V145" s="530">
        <v>0</v>
      </c>
      <c r="W145" s="530">
        <v>0</v>
      </c>
      <c r="X145" s="530">
        <v>0</v>
      </c>
      <c r="Y145" s="530" t="e">
        <f t="shared" si="22"/>
        <v>#NAME?</v>
      </c>
    </row>
    <row r="146" spans="1:25" s="545" customFormat="1" ht="12.75" x14ac:dyDescent="0.2">
      <c r="A146" s="513">
        <v>65700</v>
      </c>
      <c r="B146" s="529" t="s">
        <v>670</v>
      </c>
      <c r="C146" s="530">
        <v>0</v>
      </c>
      <c r="D146" s="530">
        <v>0</v>
      </c>
      <c r="E146" s="530">
        <v>174.73999999999998</v>
      </c>
      <c r="F146" s="530">
        <v>4429.2</v>
      </c>
      <c r="G146" s="530">
        <v>0</v>
      </c>
      <c r="H146" s="530">
        <v>143.28</v>
      </c>
      <c r="I146" s="530">
        <v>0</v>
      </c>
      <c r="J146" s="530">
        <v>0</v>
      </c>
      <c r="K146" s="530">
        <v>0</v>
      </c>
      <c r="L146" s="530" t="e">
        <v>#NAME?</v>
      </c>
      <c r="M146" s="530">
        <v>140499.04999999999</v>
      </c>
      <c r="N146" s="530">
        <v>0</v>
      </c>
      <c r="O146" s="530">
        <v>70.83</v>
      </c>
      <c r="P146" s="530">
        <v>0</v>
      </c>
      <c r="Q146" s="530">
        <v>0</v>
      </c>
      <c r="R146" s="530">
        <v>205.04000000000002</v>
      </c>
      <c r="S146" s="530">
        <v>0</v>
      </c>
      <c r="T146" s="530">
        <v>55.61</v>
      </c>
      <c r="U146" s="530">
        <v>0</v>
      </c>
      <c r="V146" s="530">
        <v>0</v>
      </c>
      <c r="W146" s="530">
        <v>0</v>
      </c>
      <c r="X146" s="530">
        <v>0</v>
      </c>
      <c r="Y146" s="530" t="e">
        <f t="shared" si="22"/>
        <v>#NAME?</v>
      </c>
    </row>
    <row r="147" spans="1:25" s="545" customFormat="1" ht="12.75" x14ac:dyDescent="0.2">
      <c r="A147" s="513">
        <v>65800</v>
      </c>
      <c r="B147" s="553" t="s">
        <v>671</v>
      </c>
      <c r="C147" s="530">
        <v>0</v>
      </c>
      <c r="D147" s="530">
        <v>0</v>
      </c>
      <c r="E147" s="530">
        <v>21.62</v>
      </c>
      <c r="F147" s="530">
        <v>706.54</v>
      </c>
      <c r="G147" s="530">
        <v>0</v>
      </c>
      <c r="H147" s="530">
        <v>10.72</v>
      </c>
      <c r="I147" s="530">
        <v>16.68</v>
      </c>
      <c r="J147" s="530">
        <v>0</v>
      </c>
      <c r="K147" s="530">
        <v>0</v>
      </c>
      <c r="L147" s="530" t="e">
        <v>#NAME?</v>
      </c>
      <c r="M147" s="530">
        <v>1314.69</v>
      </c>
      <c r="N147" s="530">
        <v>0</v>
      </c>
      <c r="O147" s="530">
        <v>163.6</v>
      </c>
      <c r="P147" s="530">
        <v>519.02</v>
      </c>
      <c r="Q147" s="530">
        <v>0</v>
      </c>
      <c r="R147" s="530">
        <v>19.670000000000002</v>
      </c>
      <c r="S147" s="530">
        <v>221.48</v>
      </c>
      <c r="T147" s="530">
        <v>0</v>
      </c>
      <c r="U147" s="530">
        <v>136</v>
      </c>
      <c r="V147" s="530">
        <v>0</v>
      </c>
      <c r="W147" s="530">
        <v>64.489999999999995</v>
      </c>
      <c r="X147" s="530">
        <v>0</v>
      </c>
      <c r="Y147" s="530" t="e">
        <f t="shared" si="22"/>
        <v>#NAME?</v>
      </c>
    </row>
    <row r="148" spans="1:25" s="428" customFormat="1" ht="12.75" x14ac:dyDescent="0.2">
      <c r="A148" s="513">
        <v>65900</v>
      </c>
      <c r="B148" s="536" t="s">
        <v>672</v>
      </c>
      <c r="C148" s="537">
        <f t="shared" ref="C148:Y148" si="23">SUM(C140:C147)</f>
        <v>212.92000000000002</v>
      </c>
      <c r="D148" s="537">
        <f t="shared" si="23"/>
        <v>0</v>
      </c>
      <c r="E148" s="537">
        <f t="shared" si="23"/>
        <v>-116.9</v>
      </c>
      <c r="F148" s="537">
        <f t="shared" si="23"/>
        <v>7903.61</v>
      </c>
      <c r="G148" s="537">
        <f t="shared" si="23"/>
        <v>0</v>
      </c>
      <c r="H148" s="537">
        <f t="shared" si="23"/>
        <v>2627.27</v>
      </c>
      <c r="I148" s="537">
        <f t="shared" si="23"/>
        <v>2822.65</v>
      </c>
      <c r="J148" s="537">
        <f t="shared" si="23"/>
        <v>0</v>
      </c>
      <c r="K148" s="537">
        <f t="shared" si="23"/>
        <v>0</v>
      </c>
      <c r="L148" s="537" t="e">
        <f t="shared" si="23"/>
        <v>#NAME?</v>
      </c>
      <c r="M148" s="537">
        <f t="shared" si="23"/>
        <v>147472.00999999998</v>
      </c>
      <c r="N148" s="537">
        <f t="shared" si="23"/>
        <v>0</v>
      </c>
      <c r="O148" s="537">
        <f t="shared" si="23"/>
        <v>852.17000000000007</v>
      </c>
      <c r="P148" s="537">
        <f t="shared" si="23"/>
        <v>576</v>
      </c>
      <c r="Q148" s="537">
        <f t="shared" si="23"/>
        <v>0</v>
      </c>
      <c r="R148" s="537">
        <f t="shared" si="23"/>
        <v>320.86000000000007</v>
      </c>
      <c r="S148" s="537">
        <f t="shared" si="23"/>
        <v>614.03</v>
      </c>
      <c r="T148" s="537">
        <f t="shared" si="23"/>
        <v>131.60000000000002</v>
      </c>
      <c r="U148" s="537">
        <f t="shared" si="23"/>
        <v>574.28</v>
      </c>
      <c r="V148" s="537">
        <f t="shared" si="23"/>
        <v>0</v>
      </c>
      <c r="W148" s="537">
        <f t="shared" si="23"/>
        <v>152.94999999999999</v>
      </c>
      <c r="X148" s="537">
        <f t="shared" si="23"/>
        <v>0</v>
      </c>
      <c r="Y148" s="537" t="e">
        <f t="shared" si="23"/>
        <v>#NAME?</v>
      </c>
    </row>
    <row r="149" spans="1:25" s="428" customFormat="1" ht="12.75" x14ac:dyDescent="0.2">
      <c r="A149" s="513"/>
      <c r="B149" s="516"/>
      <c r="C149" s="528"/>
      <c r="D149" s="528"/>
      <c r="E149" s="528"/>
      <c r="F149" s="528"/>
      <c r="G149" s="528"/>
      <c r="H149" s="528"/>
      <c r="I149" s="528"/>
      <c r="J149" s="528"/>
      <c r="K149" s="528"/>
      <c r="L149" s="528"/>
      <c r="M149" s="528"/>
      <c r="N149" s="528"/>
      <c r="O149" s="528"/>
      <c r="P149" s="528"/>
      <c r="Q149" s="528"/>
      <c r="R149" s="528"/>
      <c r="S149" s="528"/>
      <c r="T149" s="528"/>
      <c r="U149" s="528"/>
      <c r="V149" s="528"/>
      <c r="W149" s="528"/>
      <c r="X149" s="528"/>
      <c r="Y149" s="528"/>
    </row>
    <row r="150" spans="1:25" s="428" customFormat="1" ht="12.75" x14ac:dyDescent="0.2">
      <c r="A150" s="513"/>
      <c r="B150" s="516" t="s">
        <v>673</v>
      </c>
      <c r="C150" s="528"/>
      <c r="D150" s="528"/>
      <c r="E150" s="528"/>
      <c r="F150" s="528"/>
      <c r="G150" s="528"/>
      <c r="H150" s="528"/>
      <c r="I150" s="528"/>
      <c r="J150" s="528"/>
      <c r="K150" s="528"/>
      <c r="L150" s="528"/>
      <c r="M150" s="528"/>
      <c r="N150" s="528"/>
      <c r="O150" s="528"/>
      <c r="P150" s="528"/>
      <c r="Q150" s="528"/>
      <c r="R150" s="528"/>
      <c r="S150" s="528"/>
      <c r="T150" s="528"/>
      <c r="U150" s="528"/>
      <c r="V150" s="528"/>
      <c r="W150" s="528"/>
      <c r="X150" s="528"/>
      <c r="Y150" s="528"/>
    </row>
    <row r="151" spans="1:25" s="545" customFormat="1" ht="12.75" x14ac:dyDescent="0.2">
      <c r="A151" s="513">
        <v>66100</v>
      </c>
      <c r="B151" s="529" t="s">
        <v>674</v>
      </c>
      <c r="C151" s="530">
        <v>0</v>
      </c>
      <c r="D151" s="530">
        <v>0</v>
      </c>
      <c r="E151" s="530">
        <v>0</v>
      </c>
      <c r="F151" s="530">
        <v>0</v>
      </c>
      <c r="G151" s="530">
        <v>0</v>
      </c>
      <c r="H151" s="530">
        <v>174687</v>
      </c>
      <c r="I151" s="530">
        <v>0</v>
      </c>
      <c r="J151" s="530">
        <v>0</v>
      </c>
      <c r="K151" s="530">
        <v>0</v>
      </c>
      <c r="L151" s="530" t="e">
        <v>#NAME?</v>
      </c>
      <c r="M151" s="530">
        <v>0</v>
      </c>
      <c r="N151" s="530">
        <v>0</v>
      </c>
      <c r="O151" s="530">
        <v>0</v>
      </c>
      <c r="P151" s="530">
        <v>0</v>
      </c>
      <c r="Q151" s="530">
        <v>0</v>
      </c>
      <c r="R151" s="530">
        <v>0</v>
      </c>
      <c r="S151" s="530">
        <v>0</v>
      </c>
      <c r="T151" s="530">
        <v>0</v>
      </c>
      <c r="U151" s="530">
        <v>0</v>
      </c>
      <c r="V151" s="530">
        <v>0</v>
      </c>
      <c r="W151" s="530">
        <v>0</v>
      </c>
      <c r="X151" s="530">
        <v>0</v>
      </c>
      <c r="Y151" s="530" t="e">
        <f t="shared" ref="Y151:Y182" si="24">SUM(C151:X151)</f>
        <v>#NAME?</v>
      </c>
    </row>
    <row r="152" spans="1:25" s="545" customFormat="1" ht="12.75" x14ac:dyDescent="0.2">
      <c r="A152" s="513">
        <v>66101</v>
      </c>
      <c r="B152" s="529" t="s">
        <v>675</v>
      </c>
      <c r="C152" s="530">
        <v>0</v>
      </c>
      <c r="D152" s="530">
        <v>0</v>
      </c>
      <c r="E152" s="530">
        <v>0</v>
      </c>
      <c r="F152" s="530">
        <v>0</v>
      </c>
      <c r="G152" s="530">
        <v>0</v>
      </c>
      <c r="H152" s="530">
        <v>0</v>
      </c>
      <c r="I152" s="530">
        <v>0</v>
      </c>
      <c r="J152" s="530">
        <v>0</v>
      </c>
      <c r="K152" s="530">
        <v>0</v>
      </c>
      <c r="L152" s="530" t="e">
        <v>#NAME?</v>
      </c>
      <c r="M152" s="530">
        <v>0</v>
      </c>
      <c r="N152" s="530">
        <v>0</v>
      </c>
      <c r="O152" s="530">
        <v>0</v>
      </c>
      <c r="P152" s="530">
        <v>0</v>
      </c>
      <c r="Q152" s="530">
        <v>0</v>
      </c>
      <c r="R152" s="530">
        <v>0</v>
      </c>
      <c r="S152" s="530">
        <v>0</v>
      </c>
      <c r="T152" s="530">
        <v>0</v>
      </c>
      <c r="U152" s="530">
        <v>0</v>
      </c>
      <c r="V152" s="530">
        <v>0</v>
      </c>
      <c r="W152" s="530">
        <v>0</v>
      </c>
      <c r="X152" s="530">
        <v>0</v>
      </c>
      <c r="Y152" s="530" t="e">
        <f t="shared" si="24"/>
        <v>#NAME?</v>
      </c>
    </row>
    <row r="153" spans="1:25" s="545" customFormat="1" ht="12.75" x14ac:dyDescent="0.2">
      <c r="A153" s="513">
        <v>66102</v>
      </c>
      <c r="B153" s="529" t="s">
        <v>676</v>
      </c>
      <c r="C153" s="530">
        <v>0</v>
      </c>
      <c r="D153" s="530">
        <v>0</v>
      </c>
      <c r="E153" s="530">
        <v>0</v>
      </c>
      <c r="F153" s="530">
        <v>0</v>
      </c>
      <c r="G153" s="530">
        <v>0</v>
      </c>
      <c r="H153" s="530">
        <v>0</v>
      </c>
      <c r="I153" s="530">
        <v>0</v>
      </c>
      <c r="J153" s="530">
        <v>0</v>
      </c>
      <c r="K153" s="530">
        <v>0</v>
      </c>
      <c r="L153" s="530" t="e">
        <v>#NAME?</v>
      </c>
      <c r="M153" s="530">
        <v>0</v>
      </c>
      <c r="N153" s="530">
        <v>0</v>
      </c>
      <c r="O153" s="530">
        <v>0</v>
      </c>
      <c r="P153" s="530">
        <v>0</v>
      </c>
      <c r="Q153" s="530">
        <v>0</v>
      </c>
      <c r="R153" s="530">
        <v>0</v>
      </c>
      <c r="S153" s="530">
        <v>0</v>
      </c>
      <c r="T153" s="530">
        <v>0</v>
      </c>
      <c r="U153" s="530">
        <v>0</v>
      </c>
      <c r="V153" s="530">
        <v>0</v>
      </c>
      <c r="W153" s="530">
        <v>0</v>
      </c>
      <c r="X153" s="530">
        <v>0</v>
      </c>
      <c r="Y153" s="530" t="e">
        <f t="shared" si="24"/>
        <v>#NAME?</v>
      </c>
    </row>
    <row r="154" spans="1:25" s="545" customFormat="1" ht="12.75" x14ac:dyDescent="0.2">
      <c r="A154" s="513">
        <v>66104</v>
      </c>
      <c r="B154" s="529" t="s">
        <v>677</v>
      </c>
      <c r="C154" s="530">
        <v>12</v>
      </c>
      <c r="D154" s="530">
        <v>0</v>
      </c>
      <c r="E154" s="530">
        <v>39.25</v>
      </c>
      <c r="F154" s="530">
        <v>318711.27</v>
      </c>
      <c r="G154" s="530">
        <v>0</v>
      </c>
      <c r="H154" s="530">
        <v>16089.11</v>
      </c>
      <c r="I154" s="530">
        <v>0</v>
      </c>
      <c r="J154" s="530">
        <v>0</v>
      </c>
      <c r="K154" s="530">
        <v>0</v>
      </c>
      <c r="L154" s="530" t="e">
        <v>#NAME?</v>
      </c>
      <c r="M154" s="530">
        <v>0</v>
      </c>
      <c r="N154" s="530">
        <v>0</v>
      </c>
      <c r="O154" s="548">
        <v>8290.16</v>
      </c>
      <c r="P154" s="530">
        <v>39.25</v>
      </c>
      <c r="Q154" s="530">
        <v>0</v>
      </c>
      <c r="R154" s="530">
        <v>0</v>
      </c>
      <c r="S154" s="530">
        <v>39.25</v>
      </c>
      <c r="T154" s="530">
        <v>0</v>
      </c>
      <c r="U154" s="530">
        <v>0</v>
      </c>
      <c r="V154" s="530">
        <v>0</v>
      </c>
      <c r="W154" s="530">
        <v>12</v>
      </c>
      <c r="X154" s="530">
        <v>0</v>
      </c>
      <c r="Y154" s="530" t="e">
        <f t="shared" si="24"/>
        <v>#NAME?</v>
      </c>
    </row>
    <row r="155" spans="1:25" s="545" customFormat="1" ht="12.75" x14ac:dyDescent="0.2">
      <c r="A155" s="513">
        <v>66106</v>
      </c>
      <c r="B155" s="529" t="s">
        <v>678</v>
      </c>
      <c r="C155" s="530">
        <v>0</v>
      </c>
      <c r="D155" s="530">
        <v>0</v>
      </c>
      <c r="E155" s="530">
        <v>0</v>
      </c>
      <c r="F155" s="530">
        <v>0</v>
      </c>
      <c r="G155" s="530">
        <v>0</v>
      </c>
      <c r="H155" s="530">
        <v>0</v>
      </c>
      <c r="I155" s="530">
        <v>0</v>
      </c>
      <c r="J155" s="530">
        <v>0</v>
      </c>
      <c r="K155" s="530">
        <v>0</v>
      </c>
      <c r="L155" s="530" t="e">
        <v>#NAME?</v>
      </c>
      <c r="M155" s="530">
        <v>0</v>
      </c>
      <c r="N155" s="530">
        <v>0</v>
      </c>
      <c r="O155" s="530">
        <v>0</v>
      </c>
      <c r="P155" s="530">
        <v>0</v>
      </c>
      <c r="Q155" s="530">
        <v>0</v>
      </c>
      <c r="R155" s="530">
        <v>0</v>
      </c>
      <c r="S155" s="530">
        <v>0</v>
      </c>
      <c r="T155" s="530">
        <v>0</v>
      </c>
      <c r="U155" s="530">
        <v>0</v>
      </c>
      <c r="V155" s="530">
        <v>0</v>
      </c>
      <c r="W155" s="530">
        <v>0</v>
      </c>
      <c r="X155" s="530">
        <v>0</v>
      </c>
      <c r="Y155" s="530" t="e">
        <f t="shared" si="24"/>
        <v>#NAME?</v>
      </c>
    </row>
    <row r="156" spans="1:25" s="545" customFormat="1" ht="12.75" x14ac:dyDescent="0.2">
      <c r="A156" s="513">
        <v>66108</v>
      </c>
      <c r="B156" s="529" t="s">
        <v>679</v>
      </c>
      <c r="C156" s="530">
        <v>0</v>
      </c>
      <c r="D156" s="530">
        <v>0</v>
      </c>
      <c r="E156" s="530">
        <v>0</v>
      </c>
      <c r="F156" s="530">
        <v>0</v>
      </c>
      <c r="G156" s="530">
        <v>0</v>
      </c>
      <c r="H156" s="530">
        <v>0</v>
      </c>
      <c r="I156" s="530">
        <v>0</v>
      </c>
      <c r="J156" s="530">
        <v>0</v>
      </c>
      <c r="K156" s="530">
        <v>0</v>
      </c>
      <c r="L156" s="530" t="e">
        <v>#NAME?</v>
      </c>
      <c r="M156" s="530">
        <v>0</v>
      </c>
      <c r="N156" s="530">
        <v>0</v>
      </c>
      <c r="O156" s="530">
        <v>0</v>
      </c>
      <c r="P156" s="530">
        <v>0</v>
      </c>
      <c r="Q156" s="530">
        <v>0</v>
      </c>
      <c r="R156" s="530">
        <v>0</v>
      </c>
      <c r="S156" s="530">
        <v>0</v>
      </c>
      <c r="T156" s="530">
        <v>0</v>
      </c>
      <c r="U156" s="530">
        <v>0</v>
      </c>
      <c r="V156" s="530">
        <v>0</v>
      </c>
      <c r="W156" s="530">
        <v>0</v>
      </c>
      <c r="X156" s="530">
        <v>0</v>
      </c>
      <c r="Y156" s="530" t="e">
        <f t="shared" si="24"/>
        <v>#NAME?</v>
      </c>
    </row>
    <row r="157" spans="1:25" s="545" customFormat="1" ht="12.75" x14ac:dyDescent="0.2">
      <c r="A157" s="513">
        <v>66110</v>
      </c>
      <c r="B157" s="529" t="s">
        <v>680</v>
      </c>
      <c r="C157" s="530">
        <v>47933.729999999996</v>
      </c>
      <c r="D157" s="530">
        <v>0</v>
      </c>
      <c r="E157" s="530">
        <v>0</v>
      </c>
      <c r="F157" s="530">
        <v>0</v>
      </c>
      <c r="G157" s="530">
        <v>0</v>
      </c>
      <c r="H157" s="530">
        <v>9120</v>
      </c>
      <c r="I157" s="530">
        <v>0</v>
      </c>
      <c r="J157" s="530">
        <v>0</v>
      </c>
      <c r="K157" s="530">
        <v>0</v>
      </c>
      <c r="L157" s="530" t="e">
        <v>#NAME?</v>
      </c>
      <c r="M157" s="530">
        <v>0</v>
      </c>
      <c r="N157" s="530">
        <v>0</v>
      </c>
      <c r="O157" s="530">
        <v>0</v>
      </c>
      <c r="P157" s="530">
        <v>0</v>
      </c>
      <c r="Q157" s="530">
        <v>0</v>
      </c>
      <c r="R157" s="530">
        <v>64918.51</v>
      </c>
      <c r="S157" s="530">
        <v>0</v>
      </c>
      <c r="T157" s="530">
        <v>0</v>
      </c>
      <c r="U157" s="530">
        <v>0</v>
      </c>
      <c r="V157" s="530">
        <v>0</v>
      </c>
      <c r="W157" s="530">
        <v>148147.43</v>
      </c>
      <c r="X157" s="530">
        <v>0</v>
      </c>
      <c r="Y157" s="530" t="e">
        <f t="shared" si="24"/>
        <v>#NAME?</v>
      </c>
    </row>
    <row r="158" spans="1:25" s="545" customFormat="1" ht="12.75" x14ac:dyDescent="0.2">
      <c r="A158" s="513">
        <v>66112</v>
      </c>
      <c r="B158" s="529" t="s">
        <v>681</v>
      </c>
      <c r="C158" s="530">
        <v>0</v>
      </c>
      <c r="D158" s="530">
        <v>0</v>
      </c>
      <c r="E158" s="530">
        <v>0</v>
      </c>
      <c r="F158" s="530">
        <v>0</v>
      </c>
      <c r="G158" s="530">
        <v>0</v>
      </c>
      <c r="H158" s="530">
        <v>0</v>
      </c>
      <c r="I158" s="530">
        <v>8646.75</v>
      </c>
      <c r="J158" s="530">
        <v>0</v>
      </c>
      <c r="K158" s="530">
        <v>0</v>
      </c>
      <c r="L158" s="530" t="e">
        <v>#NAME?</v>
      </c>
      <c r="M158" s="530">
        <v>335.96000000000004</v>
      </c>
      <c r="N158" s="530">
        <v>0</v>
      </c>
      <c r="O158" s="548">
        <v>28058.789999999997</v>
      </c>
      <c r="P158" s="530">
        <v>0</v>
      </c>
      <c r="Q158" s="530">
        <v>0</v>
      </c>
      <c r="R158" s="530">
        <v>0</v>
      </c>
      <c r="S158" s="530">
        <v>0</v>
      </c>
      <c r="T158" s="530">
        <v>0</v>
      </c>
      <c r="U158" s="530">
        <v>0</v>
      </c>
      <c r="V158" s="530">
        <v>0</v>
      </c>
      <c r="W158" s="530">
        <v>0</v>
      </c>
      <c r="X158" s="530">
        <v>0</v>
      </c>
      <c r="Y158" s="530" t="e">
        <f t="shared" si="24"/>
        <v>#NAME?</v>
      </c>
    </row>
    <row r="159" spans="1:25" s="549" customFormat="1" ht="12.75" x14ac:dyDescent="0.2">
      <c r="A159" s="546">
        <v>66114</v>
      </c>
      <c r="B159" s="547" t="s">
        <v>682</v>
      </c>
      <c r="C159" s="548">
        <v>0</v>
      </c>
      <c r="D159" s="548">
        <v>0</v>
      </c>
      <c r="E159" s="548">
        <v>0</v>
      </c>
      <c r="F159" s="548">
        <v>999.99999999999989</v>
      </c>
      <c r="G159" s="548">
        <v>0</v>
      </c>
      <c r="H159" s="548">
        <v>0</v>
      </c>
      <c r="I159" s="548">
        <v>0</v>
      </c>
      <c r="J159" s="548">
        <v>0</v>
      </c>
      <c r="K159" s="548">
        <v>0</v>
      </c>
      <c r="L159" s="548" t="e">
        <v>#NAME?</v>
      </c>
      <c r="M159" s="548">
        <v>0</v>
      </c>
      <c r="N159" s="548">
        <v>0</v>
      </c>
      <c r="O159" s="548">
        <v>0</v>
      </c>
      <c r="P159" s="548">
        <v>0</v>
      </c>
      <c r="Q159" s="548">
        <v>0</v>
      </c>
      <c r="R159" s="548">
        <v>0</v>
      </c>
      <c r="S159" s="548">
        <v>0</v>
      </c>
      <c r="T159" s="548">
        <v>0</v>
      </c>
      <c r="U159" s="548">
        <v>0</v>
      </c>
      <c r="V159" s="548">
        <v>0</v>
      </c>
      <c r="W159" s="548">
        <v>0</v>
      </c>
      <c r="X159" s="548">
        <v>0</v>
      </c>
      <c r="Y159" s="548" t="e">
        <f t="shared" si="24"/>
        <v>#NAME?</v>
      </c>
    </row>
    <row r="160" spans="1:25" s="549" customFormat="1" ht="12.75" x14ac:dyDescent="0.2">
      <c r="A160" s="546">
        <v>66118</v>
      </c>
      <c r="B160" s="547" t="s">
        <v>683</v>
      </c>
      <c r="C160" s="548">
        <v>0</v>
      </c>
      <c r="D160" s="548">
        <v>0</v>
      </c>
      <c r="E160" s="548">
        <v>0</v>
      </c>
      <c r="F160" s="548">
        <v>1200</v>
      </c>
      <c r="G160" s="548">
        <v>0</v>
      </c>
      <c r="H160" s="548">
        <v>0</v>
      </c>
      <c r="I160" s="548">
        <v>0</v>
      </c>
      <c r="J160" s="548">
        <v>0</v>
      </c>
      <c r="K160" s="548">
        <v>0</v>
      </c>
      <c r="L160" s="548" t="e">
        <v>#NAME?</v>
      </c>
      <c r="M160" s="548">
        <v>0</v>
      </c>
      <c r="N160" s="548">
        <v>0</v>
      </c>
      <c r="O160" s="548">
        <v>0</v>
      </c>
      <c r="P160" s="548">
        <v>0</v>
      </c>
      <c r="Q160" s="548">
        <v>0</v>
      </c>
      <c r="R160" s="548">
        <v>0</v>
      </c>
      <c r="S160" s="548">
        <v>0</v>
      </c>
      <c r="T160" s="548">
        <v>0</v>
      </c>
      <c r="U160" s="548">
        <v>0</v>
      </c>
      <c r="V160" s="548">
        <v>0</v>
      </c>
      <c r="W160" s="548">
        <v>0</v>
      </c>
      <c r="X160" s="548">
        <v>0</v>
      </c>
      <c r="Y160" s="548" t="e">
        <f t="shared" si="24"/>
        <v>#NAME?</v>
      </c>
    </row>
    <row r="161" spans="1:25" s="545" customFormat="1" ht="12.75" x14ac:dyDescent="0.2">
      <c r="A161" s="513">
        <v>66122</v>
      </c>
      <c r="B161" s="529" t="s">
        <v>684</v>
      </c>
      <c r="C161" s="530">
        <v>1529.7199999999998</v>
      </c>
      <c r="D161" s="530">
        <v>0</v>
      </c>
      <c r="E161" s="530">
        <v>1021.1899999999999</v>
      </c>
      <c r="F161" s="530">
        <v>12958.550000000001</v>
      </c>
      <c r="G161" s="530">
        <v>0</v>
      </c>
      <c r="H161" s="530">
        <v>3377.69</v>
      </c>
      <c r="I161" s="530">
        <v>0</v>
      </c>
      <c r="J161" s="530">
        <v>0</v>
      </c>
      <c r="K161" s="530">
        <v>0</v>
      </c>
      <c r="L161" s="530" t="e">
        <v>#NAME?</v>
      </c>
      <c r="M161" s="530">
        <v>162.88</v>
      </c>
      <c r="N161" s="530">
        <v>0</v>
      </c>
      <c r="O161" s="530">
        <v>821.83</v>
      </c>
      <c r="P161" s="530">
        <v>0</v>
      </c>
      <c r="Q161" s="530">
        <v>0</v>
      </c>
      <c r="R161" s="530">
        <v>1297.49</v>
      </c>
      <c r="S161" s="530">
        <v>124.99999999999999</v>
      </c>
      <c r="T161" s="530">
        <v>0</v>
      </c>
      <c r="U161" s="530">
        <v>0</v>
      </c>
      <c r="V161" s="530">
        <v>0</v>
      </c>
      <c r="W161" s="530">
        <v>0</v>
      </c>
      <c r="X161" s="530">
        <v>0</v>
      </c>
      <c r="Y161" s="530" t="e">
        <f t="shared" si="24"/>
        <v>#NAME?</v>
      </c>
    </row>
    <row r="162" spans="1:25" s="545" customFormat="1" ht="12.75" x14ac:dyDescent="0.2">
      <c r="A162" s="513">
        <v>66126</v>
      </c>
      <c r="B162" s="529" t="s">
        <v>685</v>
      </c>
      <c r="C162" s="530">
        <v>0</v>
      </c>
      <c r="D162" s="530">
        <v>0</v>
      </c>
      <c r="E162" s="530">
        <v>1817.91</v>
      </c>
      <c r="F162" s="530">
        <v>0</v>
      </c>
      <c r="G162" s="530">
        <v>0</v>
      </c>
      <c r="H162" s="530">
        <v>0</v>
      </c>
      <c r="I162" s="530">
        <v>0</v>
      </c>
      <c r="J162" s="530">
        <v>720.18</v>
      </c>
      <c r="K162" s="530">
        <v>0</v>
      </c>
      <c r="L162" s="530" t="e">
        <v>#NAME?</v>
      </c>
      <c r="M162" s="530">
        <v>2695</v>
      </c>
      <c r="N162" s="530">
        <v>0</v>
      </c>
      <c r="O162" s="530">
        <v>0</v>
      </c>
      <c r="P162" s="530">
        <v>0</v>
      </c>
      <c r="Q162" s="530">
        <v>0</v>
      </c>
      <c r="R162" s="530">
        <v>1556.5600000000002</v>
      </c>
      <c r="S162" s="530">
        <v>0</v>
      </c>
      <c r="T162" s="530">
        <v>110</v>
      </c>
      <c r="U162" s="530">
        <v>0</v>
      </c>
      <c r="V162" s="530">
        <v>0</v>
      </c>
      <c r="W162" s="530">
        <v>0</v>
      </c>
      <c r="X162" s="530">
        <v>0</v>
      </c>
      <c r="Y162" s="530" t="e">
        <f t="shared" si="24"/>
        <v>#NAME?</v>
      </c>
    </row>
    <row r="163" spans="1:25" s="545" customFormat="1" ht="12.75" x14ac:dyDescent="0.2">
      <c r="A163" s="513">
        <v>66127</v>
      </c>
      <c r="B163" s="529" t="s">
        <v>686</v>
      </c>
      <c r="C163" s="530">
        <v>3840.52</v>
      </c>
      <c r="D163" s="530">
        <v>0</v>
      </c>
      <c r="E163" s="530">
        <v>0</v>
      </c>
      <c r="F163" s="530">
        <v>3641.9999999999995</v>
      </c>
      <c r="G163" s="530">
        <v>0</v>
      </c>
      <c r="H163" s="530">
        <v>1863.66</v>
      </c>
      <c r="I163" s="530">
        <v>0</v>
      </c>
      <c r="J163" s="530">
        <v>0</v>
      </c>
      <c r="K163" s="530">
        <v>0</v>
      </c>
      <c r="L163" s="530" t="e">
        <v>#NAME?</v>
      </c>
      <c r="M163" s="530">
        <v>0</v>
      </c>
      <c r="N163" s="530">
        <v>0</v>
      </c>
      <c r="O163" s="530">
        <v>428.57</v>
      </c>
      <c r="P163" s="530">
        <v>0</v>
      </c>
      <c r="Q163" s="530">
        <v>0</v>
      </c>
      <c r="R163" s="530">
        <v>699</v>
      </c>
      <c r="S163" s="530">
        <v>0</v>
      </c>
      <c r="T163" s="530">
        <v>0</v>
      </c>
      <c r="U163" s="530">
        <v>0</v>
      </c>
      <c r="V163" s="530">
        <v>0</v>
      </c>
      <c r="W163" s="530">
        <v>0</v>
      </c>
      <c r="X163" s="530">
        <v>0</v>
      </c>
      <c r="Y163" s="530" t="e">
        <f t="shared" si="24"/>
        <v>#NAME?</v>
      </c>
    </row>
    <row r="164" spans="1:25" s="545" customFormat="1" ht="12.75" x14ac:dyDescent="0.2">
      <c r="A164" s="513">
        <v>66130</v>
      </c>
      <c r="B164" s="529" t="s">
        <v>687</v>
      </c>
      <c r="C164" s="530">
        <v>1925.46</v>
      </c>
      <c r="D164" s="530">
        <v>0</v>
      </c>
      <c r="E164" s="530">
        <v>164.61</v>
      </c>
      <c r="F164" s="530">
        <v>572.21</v>
      </c>
      <c r="G164" s="530">
        <v>0</v>
      </c>
      <c r="H164" s="530">
        <v>3102.28</v>
      </c>
      <c r="I164" s="530">
        <v>0</v>
      </c>
      <c r="J164" s="530">
        <v>687.20999999999992</v>
      </c>
      <c r="K164" s="530">
        <v>0</v>
      </c>
      <c r="L164" s="530" t="e">
        <v>#NAME?</v>
      </c>
      <c r="M164" s="530">
        <v>2796.6800000000003</v>
      </c>
      <c r="N164" s="530">
        <v>0</v>
      </c>
      <c r="O164" s="530">
        <v>774.48</v>
      </c>
      <c r="P164" s="530">
        <v>81.48</v>
      </c>
      <c r="Q164" s="530">
        <v>0</v>
      </c>
      <c r="R164" s="530">
        <v>447.34</v>
      </c>
      <c r="S164" s="530">
        <v>441.16</v>
      </c>
      <c r="T164" s="530">
        <v>0</v>
      </c>
      <c r="U164" s="530">
        <v>0</v>
      </c>
      <c r="V164" s="530">
        <v>0</v>
      </c>
      <c r="W164" s="530">
        <v>1039.9099999999999</v>
      </c>
      <c r="X164" s="530">
        <v>0</v>
      </c>
      <c r="Y164" s="530" t="e">
        <f t="shared" si="24"/>
        <v>#NAME?</v>
      </c>
    </row>
    <row r="165" spans="1:25" s="545" customFormat="1" ht="12.75" x14ac:dyDescent="0.2">
      <c r="A165" s="513">
        <v>66134</v>
      </c>
      <c r="B165" s="529" t="s">
        <v>688</v>
      </c>
      <c r="C165" s="530">
        <v>0</v>
      </c>
      <c r="D165" s="530">
        <v>0</v>
      </c>
      <c r="E165" s="530">
        <v>0</v>
      </c>
      <c r="F165" s="530">
        <v>0</v>
      </c>
      <c r="G165" s="530">
        <v>0</v>
      </c>
      <c r="H165" s="530">
        <v>0</v>
      </c>
      <c r="I165" s="530">
        <v>0</v>
      </c>
      <c r="J165" s="530">
        <v>0</v>
      </c>
      <c r="K165" s="530">
        <v>0</v>
      </c>
      <c r="L165" s="530" t="e">
        <v>#NAME?</v>
      </c>
      <c r="M165" s="530">
        <v>0</v>
      </c>
      <c r="N165" s="530">
        <v>0</v>
      </c>
      <c r="O165" s="530">
        <v>0</v>
      </c>
      <c r="P165" s="530">
        <v>0</v>
      </c>
      <c r="Q165" s="530">
        <v>0</v>
      </c>
      <c r="R165" s="530">
        <v>0</v>
      </c>
      <c r="S165" s="530">
        <v>0</v>
      </c>
      <c r="T165" s="530">
        <v>0</v>
      </c>
      <c r="U165" s="530">
        <v>0</v>
      </c>
      <c r="V165" s="530">
        <v>0</v>
      </c>
      <c r="W165" s="530">
        <v>0</v>
      </c>
      <c r="X165" s="530">
        <v>0</v>
      </c>
      <c r="Y165" s="530" t="e">
        <f t="shared" si="24"/>
        <v>#NAME?</v>
      </c>
    </row>
    <row r="166" spans="1:25" s="545" customFormat="1" ht="12.75" x14ac:dyDescent="0.2">
      <c r="A166" s="513">
        <v>66138</v>
      </c>
      <c r="B166" s="529" t="s">
        <v>689</v>
      </c>
      <c r="C166" s="530">
        <v>11471.539999999999</v>
      </c>
      <c r="D166" s="530">
        <v>0</v>
      </c>
      <c r="E166" s="530">
        <v>1093.53</v>
      </c>
      <c r="F166" s="530">
        <v>7419.9400000000005</v>
      </c>
      <c r="G166" s="530">
        <v>0</v>
      </c>
      <c r="H166" s="530">
        <v>16915.449999999997</v>
      </c>
      <c r="I166" s="530">
        <v>0</v>
      </c>
      <c r="J166" s="530">
        <v>3611.6600000000003</v>
      </c>
      <c r="K166" s="530">
        <v>0</v>
      </c>
      <c r="L166" s="530" t="e">
        <v>#NAME?</v>
      </c>
      <c r="M166" s="530">
        <v>0</v>
      </c>
      <c r="N166" s="530">
        <v>0</v>
      </c>
      <c r="O166" s="530">
        <v>2664.83</v>
      </c>
      <c r="P166" s="530">
        <v>0</v>
      </c>
      <c r="Q166" s="530">
        <v>265.5</v>
      </c>
      <c r="R166" s="530">
        <v>3162.77</v>
      </c>
      <c r="S166" s="530">
        <v>0</v>
      </c>
      <c r="T166" s="530">
        <v>1425.89</v>
      </c>
      <c r="U166" s="530">
        <v>0</v>
      </c>
      <c r="V166" s="530">
        <v>0.01</v>
      </c>
      <c r="W166" s="530">
        <v>20798.18</v>
      </c>
      <c r="X166" s="530">
        <v>0</v>
      </c>
      <c r="Y166" s="530" t="e">
        <f t="shared" si="24"/>
        <v>#NAME?</v>
      </c>
    </row>
    <row r="167" spans="1:25" s="545" customFormat="1" ht="12.75" x14ac:dyDescent="0.2">
      <c r="A167" s="513">
        <v>66140</v>
      </c>
      <c r="B167" s="529" t="s">
        <v>690</v>
      </c>
      <c r="C167" s="530">
        <v>-3.1</v>
      </c>
      <c r="D167" s="530">
        <v>0</v>
      </c>
      <c r="E167" s="530">
        <v>-5516.83</v>
      </c>
      <c r="F167" s="530">
        <v>17530.29</v>
      </c>
      <c r="G167" s="530">
        <v>0</v>
      </c>
      <c r="H167" s="530">
        <v>22392.87</v>
      </c>
      <c r="I167" s="530">
        <v>0</v>
      </c>
      <c r="J167" s="530">
        <v>-746.58999999999992</v>
      </c>
      <c r="K167" s="530">
        <v>0</v>
      </c>
      <c r="L167" s="530" t="e">
        <v>#NAME?</v>
      </c>
      <c r="M167" s="530">
        <v>6289.32</v>
      </c>
      <c r="N167" s="530">
        <v>0</v>
      </c>
      <c r="O167" s="530">
        <v>3817.2799999999997</v>
      </c>
      <c r="P167" s="530">
        <v>1591.41</v>
      </c>
      <c r="Q167" s="530">
        <v>-380.02</v>
      </c>
      <c r="R167" s="530">
        <v>2835.95</v>
      </c>
      <c r="S167" s="530">
        <v>1468.93</v>
      </c>
      <c r="T167" s="530">
        <v>0</v>
      </c>
      <c r="U167" s="530">
        <v>-1004.29</v>
      </c>
      <c r="V167" s="530">
        <v>0</v>
      </c>
      <c r="W167" s="530">
        <v>-2397</v>
      </c>
      <c r="X167" s="530">
        <v>0</v>
      </c>
      <c r="Y167" s="530" t="e">
        <f t="shared" si="24"/>
        <v>#NAME?</v>
      </c>
    </row>
    <row r="168" spans="1:25" s="545" customFormat="1" ht="12.75" x14ac:dyDescent="0.2">
      <c r="A168" s="513" t="s">
        <v>691</v>
      </c>
      <c r="B168" s="529" t="s">
        <v>692</v>
      </c>
      <c r="C168" s="530">
        <v>5024.3599999999997</v>
      </c>
      <c r="D168" s="530">
        <v>0</v>
      </c>
      <c r="E168" s="530">
        <v>505.82</v>
      </c>
      <c r="F168" s="530">
        <v>10697.82</v>
      </c>
      <c r="G168" s="530">
        <v>0</v>
      </c>
      <c r="H168" s="530">
        <v>6089.65</v>
      </c>
      <c r="I168" s="530">
        <v>0</v>
      </c>
      <c r="J168" s="530">
        <v>938.92000000000007</v>
      </c>
      <c r="K168" s="530">
        <v>0</v>
      </c>
      <c r="L168" s="530" t="e">
        <v>#NAME?</v>
      </c>
      <c r="M168" s="530">
        <v>1456.68</v>
      </c>
      <c r="N168" s="530">
        <v>0</v>
      </c>
      <c r="O168" s="530">
        <v>1500</v>
      </c>
      <c r="P168" s="530">
        <v>0</v>
      </c>
      <c r="Q168" s="530">
        <v>114.52000000000001</v>
      </c>
      <c r="R168" s="530">
        <v>1835.2700000000002</v>
      </c>
      <c r="S168" s="530">
        <v>212.05999999999997</v>
      </c>
      <c r="T168" s="530">
        <v>749.91</v>
      </c>
      <c r="U168" s="530">
        <v>0</v>
      </c>
      <c r="V168" s="530">
        <v>0</v>
      </c>
      <c r="W168" s="530">
        <v>2451.0299999999997</v>
      </c>
      <c r="X168" s="530">
        <v>0</v>
      </c>
      <c r="Y168" s="530" t="e">
        <f t="shared" si="24"/>
        <v>#NAME?</v>
      </c>
    </row>
    <row r="169" spans="1:25" s="545" customFormat="1" ht="12.75" x14ac:dyDescent="0.2">
      <c r="A169" s="513">
        <v>66154</v>
      </c>
      <c r="B169" s="529" t="s">
        <v>693</v>
      </c>
      <c r="C169" s="530">
        <v>0</v>
      </c>
      <c r="D169" s="530">
        <v>0</v>
      </c>
      <c r="E169" s="530">
        <v>0</v>
      </c>
      <c r="F169" s="530">
        <v>0</v>
      </c>
      <c r="G169" s="530">
        <v>0</v>
      </c>
      <c r="H169" s="530">
        <v>0</v>
      </c>
      <c r="I169" s="530">
        <v>0</v>
      </c>
      <c r="J169" s="530">
        <v>0</v>
      </c>
      <c r="K169" s="530">
        <v>0</v>
      </c>
      <c r="L169" s="530" t="e">
        <v>#NAME?</v>
      </c>
      <c r="M169" s="530">
        <v>0</v>
      </c>
      <c r="N169" s="530">
        <v>0</v>
      </c>
      <c r="O169" s="530">
        <v>0</v>
      </c>
      <c r="P169" s="530">
        <v>0</v>
      </c>
      <c r="Q169" s="530">
        <v>0</v>
      </c>
      <c r="R169" s="530">
        <v>0</v>
      </c>
      <c r="S169" s="530">
        <v>0</v>
      </c>
      <c r="T169" s="530">
        <v>0</v>
      </c>
      <c r="U169" s="530">
        <v>0</v>
      </c>
      <c r="V169" s="530">
        <v>0</v>
      </c>
      <c r="W169" s="530">
        <v>0</v>
      </c>
      <c r="X169" s="530">
        <v>0</v>
      </c>
      <c r="Y169" s="530" t="e">
        <f t="shared" si="24"/>
        <v>#NAME?</v>
      </c>
    </row>
    <row r="170" spans="1:25" s="545" customFormat="1" ht="12.75" x14ac:dyDescent="0.2">
      <c r="A170" s="513">
        <v>66156</v>
      </c>
      <c r="B170" s="529" t="s">
        <v>694</v>
      </c>
      <c r="C170" s="530">
        <v>0</v>
      </c>
      <c r="D170" s="530">
        <v>0</v>
      </c>
      <c r="E170" s="530">
        <v>0</v>
      </c>
      <c r="F170" s="530">
        <v>0</v>
      </c>
      <c r="G170" s="530">
        <v>0</v>
      </c>
      <c r="H170" s="530">
        <v>0</v>
      </c>
      <c r="I170" s="530">
        <v>0</v>
      </c>
      <c r="J170" s="530">
        <v>0</v>
      </c>
      <c r="K170" s="530">
        <v>0</v>
      </c>
      <c r="L170" s="530" t="e">
        <v>#NAME?</v>
      </c>
      <c r="M170" s="530">
        <v>0</v>
      </c>
      <c r="N170" s="530">
        <v>0</v>
      </c>
      <c r="O170" s="530">
        <v>0</v>
      </c>
      <c r="P170" s="530">
        <v>0</v>
      </c>
      <c r="Q170" s="530">
        <v>0</v>
      </c>
      <c r="R170" s="530">
        <v>0</v>
      </c>
      <c r="S170" s="530">
        <v>0</v>
      </c>
      <c r="T170" s="530">
        <v>0</v>
      </c>
      <c r="U170" s="530">
        <v>0</v>
      </c>
      <c r="V170" s="530">
        <v>0</v>
      </c>
      <c r="W170" s="530">
        <v>0</v>
      </c>
      <c r="X170" s="530">
        <v>0</v>
      </c>
      <c r="Y170" s="530" t="e">
        <f t="shared" si="24"/>
        <v>#NAME?</v>
      </c>
    </row>
    <row r="171" spans="1:25" s="545" customFormat="1" ht="12.75" x14ac:dyDescent="0.2">
      <c r="A171" s="513">
        <v>66157</v>
      </c>
      <c r="B171" s="529" t="s">
        <v>695</v>
      </c>
      <c r="C171" s="530">
        <v>0</v>
      </c>
      <c r="D171" s="530">
        <v>0</v>
      </c>
      <c r="E171" s="530">
        <v>0</v>
      </c>
      <c r="F171" s="530">
        <v>0</v>
      </c>
      <c r="G171" s="530">
        <v>0</v>
      </c>
      <c r="H171" s="530">
        <v>0</v>
      </c>
      <c r="I171" s="530">
        <v>0</v>
      </c>
      <c r="J171" s="530">
        <v>0</v>
      </c>
      <c r="K171" s="530">
        <v>0</v>
      </c>
      <c r="L171" s="530" t="e">
        <v>#NAME?</v>
      </c>
      <c r="M171" s="530">
        <v>0</v>
      </c>
      <c r="N171" s="530">
        <v>0</v>
      </c>
      <c r="O171" s="530">
        <v>0</v>
      </c>
      <c r="P171" s="530">
        <v>0</v>
      </c>
      <c r="Q171" s="530">
        <v>0</v>
      </c>
      <c r="R171" s="530">
        <v>0</v>
      </c>
      <c r="S171" s="530">
        <v>0</v>
      </c>
      <c r="T171" s="530">
        <v>0</v>
      </c>
      <c r="U171" s="530">
        <v>0</v>
      </c>
      <c r="V171" s="530">
        <v>0</v>
      </c>
      <c r="W171" s="530">
        <v>0</v>
      </c>
      <c r="X171" s="530">
        <v>0</v>
      </c>
      <c r="Y171" s="530" t="e">
        <f t="shared" si="24"/>
        <v>#NAME?</v>
      </c>
    </row>
    <row r="172" spans="1:25" s="545" customFormat="1" ht="12.75" x14ac:dyDescent="0.2">
      <c r="A172" s="513">
        <v>66158</v>
      </c>
      <c r="B172" s="529" t="s">
        <v>696</v>
      </c>
      <c r="C172" s="530">
        <v>0</v>
      </c>
      <c r="D172" s="530">
        <v>0</v>
      </c>
      <c r="E172" s="530">
        <v>0</v>
      </c>
      <c r="F172" s="530">
        <v>0</v>
      </c>
      <c r="G172" s="530">
        <v>0</v>
      </c>
      <c r="H172" s="530">
        <v>0</v>
      </c>
      <c r="I172" s="530">
        <v>0</v>
      </c>
      <c r="J172" s="530">
        <v>0</v>
      </c>
      <c r="K172" s="530">
        <v>0</v>
      </c>
      <c r="L172" s="530" t="e">
        <v>#NAME?</v>
      </c>
      <c r="M172" s="530">
        <v>0</v>
      </c>
      <c r="N172" s="530">
        <v>0</v>
      </c>
      <c r="O172" s="530">
        <v>0</v>
      </c>
      <c r="P172" s="530">
        <v>0</v>
      </c>
      <c r="Q172" s="530">
        <v>0</v>
      </c>
      <c r="R172" s="530">
        <v>0</v>
      </c>
      <c r="S172" s="530">
        <v>0</v>
      </c>
      <c r="T172" s="530">
        <v>0</v>
      </c>
      <c r="U172" s="530">
        <v>0</v>
      </c>
      <c r="V172" s="530">
        <v>0</v>
      </c>
      <c r="W172" s="530">
        <v>0</v>
      </c>
      <c r="X172" s="530">
        <v>0</v>
      </c>
      <c r="Y172" s="530" t="e">
        <f t="shared" si="24"/>
        <v>#NAME?</v>
      </c>
    </row>
    <row r="173" spans="1:25" s="545" customFormat="1" ht="12.75" x14ac:dyDescent="0.2">
      <c r="A173" s="513">
        <v>66159</v>
      </c>
      <c r="B173" s="529" t="s">
        <v>697</v>
      </c>
      <c r="C173" s="530">
        <v>0</v>
      </c>
      <c r="D173" s="530">
        <v>0</v>
      </c>
      <c r="E173" s="530">
        <v>0</v>
      </c>
      <c r="F173" s="530">
        <v>0</v>
      </c>
      <c r="G173" s="530">
        <v>0</v>
      </c>
      <c r="H173" s="530">
        <v>0</v>
      </c>
      <c r="I173" s="530">
        <v>0</v>
      </c>
      <c r="J173" s="530">
        <v>0</v>
      </c>
      <c r="K173" s="530">
        <v>0</v>
      </c>
      <c r="L173" s="530" t="e">
        <v>#NAME?</v>
      </c>
      <c r="M173" s="530">
        <v>0</v>
      </c>
      <c r="N173" s="530">
        <v>0</v>
      </c>
      <c r="O173" s="530">
        <v>0</v>
      </c>
      <c r="P173" s="530">
        <v>0</v>
      </c>
      <c r="Q173" s="530">
        <v>0</v>
      </c>
      <c r="R173" s="530">
        <v>0</v>
      </c>
      <c r="S173" s="530">
        <v>0</v>
      </c>
      <c r="T173" s="530">
        <v>0</v>
      </c>
      <c r="U173" s="530">
        <v>0</v>
      </c>
      <c r="V173" s="530">
        <v>0</v>
      </c>
      <c r="W173" s="530">
        <v>0</v>
      </c>
      <c r="X173" s="530">
        <v>0</v>
      </c>
      <c r="Y173" s="530" t="e">
        <f t="shared" si="24"/>
        <v>#NAME?</v>
      </c>
    </row>
    <row r="174" spans="1:25" s="545" customFormat="1" ht="12.75" x14ac:dyDescent="0.2">
      <c r="A174" s="513">
        <v>66160</v>
      </c>
      <c r="B174" s="529" t="s">
        <v>698</v>
      </c>
      <c r="C174" s="530">
        <v>0</v>
      </c>
      <c r="D174" s="530">
        <v>0</v>
      </c>
      <c r="E174" s="530">
        <v>0</v>
      </c>
      <c r="F174" s="530">
        <v>0</v>
      </c>
      <c r="G174" s="530">
        <v>0</v>
      </c>
      <c r="H174" s="530">
        <v>0</v>
      </c>
      <c r="I174" s="530">
        <v>0</v>
      </c>
      <c r="J174" s="530">
        <v>0</v>
      </c>
      <c r="K174" s="530">
        <v>0</v>
      </c>
      <c r="L174" s="530" t="e">
        <v>#NAME?</v>
      </c>
      <c r="M174" s="530">
        <v>0</v>
      </c>
      <c r="N174" s="530">
        <v>0</v>
      </c>
      <c r="O174" s="530">
        <v>0</v>
      </c>
      <c r="P174" s="530">
        <v>0</v>
      </c>
      <c r="Q174" s="530">
        <v>0</v>
      </c>
      <c r="R174" s="530">
        <v>0</v>
      </c>
      <c r="S174" s="530">
        <v>0</v>
      </c>
      <c r="T174" s="530">
        <v>0</v>
      </c>
      <c r="U174" s="530">
        <v>0</v>
      </c>
      <c r="V174" s="530">
        <v>0</v>
      </c>
      <c r="W174" s="530">
        <v>0</v>
      </c>
      <c r="X174" s="530">
        <v>0</v>
      </c>
      <c r="Y174" s="530" t="e">
        <f t="shared" si="24"/>
        <v>#NAME?</v>
      </c>
    </row>
    <row r="175" spans="1:25" s="545" customFormat="1" ht="12.75" x14ac:dyDescent="0.2">
      <c r="A175" s="513">
        <v>66162</v>
      </c>
      <c r="B175" s="529" t="s">
        <v>699</v>
      </c>
      <c r="C175" s="530">
        <v>0</v>
      </c>
      <c r="D175" s="530">
        <v>0</v>
      </c>
      <c r="E175" s="530">
        <v>0</v>
      </c>
      <c r="F175" s="530">
        <v>0</v>
      </c>
      <c r="G175" s="530">
        <v>0</v>
      </c>
      <c r="H175" s="530">
        <v>0</v>
      </c>
      <c r="I175" s="530">
        <v>0</v>
      </c>
      <c r="J175" s="530">
        <v>0</v>
      </c>
      <c r="K175" s="530">
        <v>0</v>
      </c>
      <c r="L175" s="530" t="e">
        <v>#NAME?</v>
      </c>
      <c r="M175" s="530">
        <v>0</v>
      </c>
      <c r="N175" s="530">
        <v>0</v>
      </c>
      <c r="O175" s="530">
        <v>0</v>
      </c>
      <c r="P175" s="530">
        <v>0</v>
      </c>
      <c r="Q175" s="530">
        <v>0</v>
      </c>
      <c r="R175" s="530">
        <v>0</v>
      </c>
      <c r="S175" s="530">
        <v>0</v>
      </c>
      <c r="T175" s="530">
        <v>77.34</v>
      </c>
      <c r="U175" s="530">
        <v>430.01000000000005</v>
      </c>
      <c r="V175" s="530">
        <v>0</v>
      </c>
      <c r="W175" s="530">
        <v>0</v>
      </c>
      <c r="X175" s="530">
        <v>0</v>
      </c>
      <c r="Y175" s="530" t="e">
        <f t="shared" si="24"/>
        <v>#NAME?</v>
      </c>
    </row>
    <row r="176" spans="1:25" s="545" customFormat="1" ht="12.75" x14ac:dyDescent="0.2">
      <c r="A176" s="513">
        <v>66164</v>
      </c>
      <c r="B176" s="529" t="s">
        <v>700</v>
      </c>
      <c r="C176" s="530">
        <v>0</v>
      </c>
      <c r="D176" s="530">
        <v>0</v>
      </c>
      <c r="E176" s="530">
        <v>0</v>
      </c>
      <c r="F176" s="530">
        <v>0</v>
      </c>
      <c r="G176" s="530">
        <v>0</v>
      </c>
      <c r="H176" s="530">
        <v>0</v>
      </c>
      <c r="I176" s="530">
        <v>0</v>
      </c>
      <c r="J176" s="530">
        <v>0</v>
      </c>
      <c r="K176" s="530">
        <v>0</v>
      </c>
      <c r="L176" s="530" t="e">
        <v>#NAME?</v>
      </c>
      <c r="M176" s="530">
        <v>0</v>
      </c>
      <c r="N176" s="530">
        <v>0</v>
      </c>
      <c r="O176" s="530">
        <v>0</v>
      </c>
      <c r="P176" s="530">
        <v>0</v>
      </c>
      <c r="Q176" s="530">
        <v>0</v>
      </c>
      <c r="R176" s="530">
        <v>0</v>
      </c>
      <c r="S176" s="530">
        <v>0</v>
      </c>
      <c r="T176" s="530">
        <v>0</v>
      </c>
      <c r="U176" s="530">
        <v>0</v>
      </c>
      <c r="V176" s="530">
        <v>0</v>
      </c>
      <c r="W176" s="530">
        <v>0</v>
      </c>
      <c r="X176" s="530">
        <v>0</v>
      </c>
      <c r="Y176" s="530" t="e">
        <f t="shared" si="24"/>
        <v>#NAME?</v>
      </c>
    </row>
    <row r="177" spans="1:25" s="545" customFormat="1" ht="12.75" x14ac:dyDescent="0.2">
      <c r="A177" s="513">
        <v>66166</v>
      </c>
      <c r="B177" s="529" t="s">
        <v>701</v>
      </c>
      <c r="C177" s="530">
        <v>5000</v>
      </c>
      <c r="D177" s="530">
        <v>0</v>
      </c>
      <c r="E177" s="530">
        <v>0</v>
      </c>
      <c r="F177" s="530">
        <v>0</v>
      </c>
      <c r="G177" s="530">
        <v>0</v>
      </c>
      <c r="H177" s="530">
        <v>73.740000000000009</v>
      </c>
      <c r="I177" s="530">
        <v>0</v>
      </c>
      <c r="J177" s="530">
        <v>0</v>
      </c>
      <c r="K177" s="530">
        <v>0</v>
      </c>
      <c r="L177" s="530" t="e">
        <v>#NAME?</v>
      </c>
      <c r="M177" s="530">
        <v>0</v>
      </c>
      <c r="N177" s="530">
        <v>0</v>
      </c>
      <c r="O177" s="530">
        <v>0</v>
      </c>
      <c r="P177" s="530">
        <v>0</v>
      </c>
      <c r="Q177" s="530">
        <v>0</v>
      </c>
      <c r="R177" s="530">
        <v>0</v>
      </c>
      <c r="S177" s="530">
        <v>0</v>
      </c>
      <c r="T177" s="530">
        <v>0</v>
      </c>
      <c r="U177" s="530">
        <v>0</v>
      </c>
      <c r="V177" s="530">
        <v>0</v>
      </c>
      <c r="W177" s="530">
        <v>0</v>
      </c>
      <c r="X177" s="530">
        <v>0</v>
      </c>
      <c r="Y177" s="530" t="e">
        <f t="shared" si="24"/>
        <v>#NAME?</v>
      </c>
    </row>
    <row r="178" spans="1:25" s="545" customFormat="1" ht="12.75" x14ac:dyDescent="0.2">
      <c r="A178" s="513">
        <v>66168</v>
      </c>
      <c r="B178" s="529" t="s">
        <v>702</v>
      </c>
      <c r="C178" s="530">
        <v>0</v>
      </c>
      <c r="D178" s="530">
        <v>0</v>
      </c>
      <c r="E178" s="530">
        <v>0</v>
      </c>
      <c r="F178" s="530">
        <v>0</v>
      </c>
      <c r="G178" s="530">
        <v>0</v>
      </c>
      <c r="H178" s="530">
        <v>0</v>
      </c>
      <c r="I178" s="530">
        <v>0</v>
      </c>
      <c r="J178" s="530">
        <v>0</v>
      </c>
      <c r="K178" s="530">
        <v>0</v>
      </c>
      <c r="L178" s="530" t="e">
        <v>#NAME?</v>
      </c>
      <c r="M178" s="530">
        <v>0</v>
      </c>
      <c r="N178" s="530">
        <v>0</v>
      </c>
      <c r="O178" s="530">
        <v>0</v>
      </c>
      <c r="P178" s="530">
        <v>0</v>
      </c>
      <c r="Q178" s="530">
        <v>0</v>
      </c>
      <c r="R178" s="530">
        <v>0</v>
      </c>
      <c r="S178" s="530">
        <v>0</v>
      </c>
      <c r="T178" s="530">
        <v>0</v>
      </c>
      <c r="U178" s="530">
        <v>0</v>
      </c>
      <c r="V178" s="530">
        <v>0</v>
      </c>
      <c r="W178" s="530">
        <v>0</v>
      </c>
      <c r="X178" s="530">
        <v>0</v>
      </c>
      <c r="Y178" s="530" t="e">
        <f t="shared" si="24"/>
        <v>#NAME?</v>
      </c>
    </row>
    <row r="179" spans="1:25" s="545" customFormat="1" ht="12.75" x14ac:dyDescent="0.2">
      <c r="A179" s="513" t="s">
        <v>703</v>
      </c>
      <c r="B179" s="529" t="s">
        <v>704</v>
      </c>
      <c r="C179" s="530">
        <v>0</v>
      </c>
      <c r="D179" s="530">
        <v>0</v>
      </c>
      <c r="E179" s="530">
        <v>0</v>
      </c>
      <c r="F179" s="530">
        <v>0</v>
      </c>
      <c r="G179" s="530">
        <v>0</v>
      </c>
      <c r="H179" s="530">
        <v>0</v>
      </c>
      <c r="I179" s="530">
        <v>0</v>
      </c>
      <c r="J179" s="530">
        <v>0</v>
      </c>
      <c r="K179" s="530">
        <v>0</v>
      </c>
      <c r="L179" s="530" t="e">
        <v>#NAME?</v>
      </c>
      <c r="M179" s="530">
        <v>0</v>
      </c>
      <c r="N179" s="530">
        <v>0</v>
      </c>
      <c r="O179" s="530">
        <v>0</v>
      </c>
      <c r="P179" s="530">
        <v>0</v>
      </c>
      <c r="Q179" s="530">
        <v>0</v>
      </c>
      <c r="R179" s="530">
        <v>0</v>
      </c>
      <c r="S179" s="530">
        <v>4069.51</v>
      </c>
      <c r="T179" s="530">
        <v>0</v>
      </c>
      <c r="U179" s="530">
        <v>0</v>
      </c>
      <c r="V179" s="530">
        <v>0</v>
      </c>
      <c r="W179" s="530">
        <v>0</v>
      </c>
      <c r="X179" s="530">
        <v>0</v>
      </c>
      <c r="Y179" s="530" t="e">
        <f t="shared" si="24"/>
        <v>#NAME?</v>
      </c>
    </row>
    <row r="180" spans="1:25" s="545" customFormat="1" ht="12.75" x14ac:dyDescent="0.2">
      <c r="A180" s="513">
        <v>66172</v>
      </c>
      <c r="B180" s="529" t="s">
        <v>705</v>
      </c>
      <c r="C180" s="530">
        <v>0</v>
      </c>
      <c r="D180" s="530">
        <v>0</v>
      </c>
      <c r="E180" s="530">
        <v>0</v>
      </c>
      <c r="F180" s="530">
        <v>58.099999999999994</v>
      </c>
      <c r="G180" s="530">
        <v>0</v>
      </c>
      <c r="H180" s="530">
        <v>11.87</v>
      </c>
      <c r="I180" s="530">
        <v>0</v>
      </c>
      <c r="J180" s="530">
        <v>0</v>
      </c>
      <c r="K180" s="530">
        <v>0</v>
      </c>
      <c r="L180" s="530" t="e">
        <v>#NAME?</v>
      </c>
      <c r="M180" s="530">
        <v>624.62</v>
      </c>
      <c r="N180" s="530">
        <v>0</v>
      </c>
      <c r="O180" s="530">
        <v>12.33</v>
      </c>
      <c r="P180" s="530">
        <v>5.04</v>
      </c>
      <c r="Q180" s="530">
        <v>0</v>
      </c>
      <c r="R180" s="530">
        <v>1.01</v>
      </c>
      <c r="S180" s="530">
        <v>1.84</v>
      </c>
      <c r="T180" s="530">
        <v>0</v>
      </c>
      <c r="U180" s="530">
        <v>0</v>
      </c>
      <c r="V180" s="530">
        <v>0</v>
      </c>
      <c r="W180" s="530">
        <v>0</v>
      </c>
      <c r="X180" s="530">
        <v>0</v>
      </c>
      <c r="Y180" s="530" t="e">
        <f t="shared" si="24"/>
        <v>#NAME?</v>
      </c>
    </row>
    <row r="181" spans="1:25" s="545" customFormat="1" ht="12.75" x14ac:dyDescent="0.2">
      <c r="A181" s="513">
        <v>66176</v>
      </c>
      <c r="B181" s="529" t="s">
        <v>706</v>
      </c>
      <c r="C181" s="530">
        <v>0</v>
      </c>
      <c r="D181" s="530">
        <v>0</v>
      </c>
      <c r="E181" s="530">
        <v>0</v>
      </c>
      <c r="F181" s="530">
        <v>151</v>
      </c>
      <c r="G181" s="530">
        <v>0</v>
      </c>
      <c r="H181" s="530">
        <v>0</v>
      </c>
      <c r="I181" s="530">
        <v>0</v>
      </c>
      <c r="J181" s="530">
        <v>620.94000000000005</v>
      </c>
      <c r="K181" s="530">
        <v>0</v>
      </c>
      <c r="L181" s="530" t="e">
        <v>#NAME?</v>
      </c>
      <c r="M181" s="530">
        <v>0</v>
      </c>
      <c r="N181" s="530">
        <v>0</v>
      </c>
      <c r="O181" s="530">
        <v>0</v>
      </c>
      <c r="P181" s="530">
        <v>0</v>
      </c>
      <c r="Q181" s="530">
        <v>0</v>
      </c>
      <c r="R181" s="530">
        <v>0</v>
      </c>
      <c r="S181" s="530">
        <v>0</v>
      </c>
      <c r="T181" s="530">
        <v>0</v>
      </c>
      <c r="U181" s="530">
        <v>0</v>
      </c>
      <c r="V181" s="530">
        <v>0</v>
      </c>
      <c r="W181" s="530">
        <v>0</v>
      </c>
      <c r="X181" s="530">
        <v>0</v>
      </c>
      <c r="Y181" s="530" t="e">
        <f t="shared" si="24"/>
        <v>#NAME?</v>
      </c>
    </row>
    <row r="182" spans="1:25" s="545" customFormat="1" ht="12.75" x14ac:dyDescent="0.2">
      <c r="A182" s="513">
        <v>66180</v>
      </c>
      <c r="B182" s="529" t="s">
        <v>707</v>
      </c>
      <c r="C182" s="530">
        <v>0</v>
      </c>
      <c r="D182" s="530">
        <v>0</v>
      </c>
      <c r="E182" s="530">
        <v>0</v>
      </c>
      <c r="F182" s="530">
        <v>0</v>
      </c>
      <c r="G182" s="530">
        <v>0</v>
      </c>
      <c r="H182" s="530">
        <v>0</v>
      </c>
      <c r="I182" s="530">
        <v>0</v>
      </c>
      <c r="J182" s="530">
        <v>0</v>
      </c>
      <c r="K182" s="530">
        <v>0</v>
      </c>
      <c r="L182" s="530" t="e">
        <v>#NAME?</v>
      </c>
      <c r="M182" s="530">
        <v>0</v>
      </c>
      <c r="N182" s="530">
        <v>0</v>
      </c>
      <c r="O182" s="530">
        <v>1954.32</v>
      </c>
      <c r="P182" s="530">
        <v>0</v>
      </c>
      <c r="Q182" s="530">
        <v>0</v>
      </c>
      <c r="R182" s="530">
        <v>0</v>
      </c>
      <c r="S182" s="530">
        <v>0</v>
      </c>
      <c r="T182" s="530">
        <v>0</v>
      </c>
      <c r="U182" s="530">
        <v>0</v>
      </c>
      <c r="V182" s="530">
        <v>0</v>
      </c>
      <c r="W182" s="530">
        <v>0</v>
      </c>
      <c r="X182" s="530">
        <v>0</v>
      </c>
      <c r="Y182" s="530" t="e">
        <f t="shared" si="24"/>
        <v>#NAME?</v>
      </c>
    </row>
    <row r="183" spans="1:25" s="545" customFormat="1" ht="12.75" x14ac:dyDescent="0.2">
      <c r="A183" s="513">
        <v>66220</v>
      </c>
      <c r="B183" s="529" t="s">
        <v>708</v>
      </c>
      <c r="C183" s="530">
        <v>0</v>
      </c>
      <c r="D183" s="530">
        <v>0</v>
      </c>
      <c r="E183" s="530">
        <v>0</v>
      </c>
      <c r="F183" s="530">
        <v>0</v>
      </c>
      <c r="G183" s="530">
        <v>0</v>
      </c>
      <c r="H183" s="530">
        <v>0</v>
      </c>
      <c r="I183" s="530">
        <v>0</v>
      </c>
      <c r="J183" s="530">
        <v>0</v>
      </c>
      <c r="K183" s="530">
        <v>0</v>
      </c>
      <c r="L183" s="530" t="e">
        <v>#NAME?</v>
      </c>
      <c r="M183" s="530">
        <v>0</v>
      </c>
      <c r="N183" s="530">
        <v>0</v>
      </c>
      <c r="O183" s="530">
        <v>0</v>
      </c>
      <c r="P183" s="530">
        <v>0</v>
      </c>
      <c r="Q183" s="530">
        <v>0</v>
      </c>
      <c r="R183" s="530">
        <v>0</v>
      </c>
      <c r="S183" s="530">
        <v>0</v>
      </c>
      <c r="T183" s="530">
        <v>0</v>
      </c>
      <c r="U183" s="530">
        <v>0</v>
      </c>
      <c r="V183" s="530">
        <v>0</v>
      </c>
      <c r="W183" s="530">
        <v>0</v>
      </c>
      <c r="X183" s="530">
        <v>0</v>
      </c>
      <c r="Y183" s="530" t="e">
        <f t="shared" ref="Y183:Y201" si="25">SUM(C183:X183)</f>
        <v>#NAME?</v>
      </c>
    </row>
    <row r="184" spans="1:25" s="545" customFormat="1" ht="12.75" x14ac:dyDescent="0.2">
      <c r="A184" s="513">
        <v>66230</v>
      </c>
      <c r="B184" s="529" t="s">
        <v>709</v>
      </c>
      <c r="C184" s="530">
        <v>0</v>
      </c>
      <c r="D184" s="530">
        <v>0</v>
      </c>
      <c r="E184" s="530">
        <v>0</v>
      </c>
      <c r="F184" s="530">
        <v>0</v>
      </c>
      <c r="G184" s="530">
        <v>0</v>
      </c>
      <c r="H184" s="530">
        <v>0</v>
      </c>
      <c r="I184" s="530">
        <v>0</v>
      </c>
      <c r="J184" s="530">
        <v>0</v>
      </c>
      <c r="K184" s="530">
        <v>0</v>
      </c>
      <c r="L184" s="530" t="e">
        <v>#NAME?</v>
      </c>
      <c r="M184" s="530">
        <v>0</v>
      </c>
      <c r="N184" s="530">
        <v>0</v>
      </c>
      <c r="O184" s="530">
        <v>0</v>
      </c>
      <c r="P184" s="530">
        <v>0</v>
      </c>
      <c r="Q184" s="530">
        <v>0</v>
      </c>
      <c r="R184" s="530">
        <v>0</v>
      </c>
      <c r="S184" s="530">
        <v>0</v>
      </c>
      <c r="T184" s="530">
        <v>0</v>
      </c>
      <c r="U184" s="530">
        <v>0</v>
      </c>
      <c r="V184" s="530">
        <v>0</v>
      </c>
      <c r="W184" s="530">
        <v>0</v>
      </c>
      <c r="X184" s="530">
        <v>0</v>
      </c>
      <c r="Y184" s="530" t="e">
        <f t="shared" si="25"/>
        <v>#NAME?</v>
      </c>
    </row>
    <row r="185" spans="1:25" s="545" customFormat="1" ht="12.75" x14ac:dyDescent="0.2">
      <c r="A185" s="513">
        <v>66240</v>
      </c>
      <c r="B185" s="529" t="s">
        <v>710</v>
      </c>
      <c r="C185" s="530">
        <v>0</v>
      </c>
      <c r="D185" s="530">
        <v>0</v>
      </c>
      <c r="E185" s="530">
        <v>0</v>
      </c>
      <c r="F185" s="530">
        <v>0</v>
      </c>
      <c r="G185" s="530">
        <v>0</v>
      </c>
      <c r="H185" s="530">
        <v>0</v>
      </c>
      <c r="I185" s="530">
        <v>0</v>
      </c>
      <c r="J185" s="530">
        <v>0</v>
      </c>
      <c r="K185" s="530">
        <v>0</v>
      </c>
      <c r="L185" s="530" t="e">
        <v>#NAME?</v>
      </c>
      <c r="M185" s="530">
        <v>0</v>
      </c>
      <c r="N185" s="530">
        <v>0</v>
      </c>
      <c r="O185" s="530">
        <v>0</v>
      </c>
      <c r="P185" s="530">
        <v>0</v>
      </c>
      <c r="Q185" s="530">
        <v>0</v>
      </c>
      <c r="R185" s="530">
        <v>0</v>
      </c>
      <c r="S185" s="530">
        <v>0</v>
      </c>
      <c r="T185" s="530">
        <v>0</v>
      </c>
      <c r="U185" s="530">
        <v>0</v>
      </c>
      <c r="V185" s="530">
        <v>0</v>
      </c>
      <c r="W185" s="530">
        <v>0</v>
      </c>
      <c r="X185" s="530">
        <v>0</v>
      </c>
      <c r="Y185" s="530" t="e">
        <f t="shared" si="25"/>
        <v>#NAME?</v>
      </c>
    </row>
    <row r="186" spans="1:25" s="545" customFormat="1" ht="12.75" x14ac:dyDescent="0.2">
      <c r="A186" s="513">
        <v>66250</v>
      </c>
      <c r="B186" s="529" t="s">
        <v>711</v>
      </c>
      <c r="C186" s="530">
        <v>0</v>
      </c>
      <c r="D186" s="530">
        <v>0</v>
      </c>
      <c r="E186" s="530">
        <v>0</v>
      </c>
      <c r="F186" s="530">
        <v>0</v>
      </c>
      <c r="G186" s="530">
        <v>0</v>
      </c>
      <c r="H186" s="530">
        <v>0</v>
      </c>
      <c r="I186" s="530">
        <v>0</v>
      </c>
      <c r="J186" s="530">
        <v>0</v>
      </c>
      <c r="K186" s="530">
        <v>0</v>
      </c>
      <c r="L186" s="530" t="e">
        <v>#NAME?</v>
      </c>
      <c r="M186" s="530">
        <v>0</v>
      </c>
      <c r="N186" s="530">
        <v>0</v>
      </c>
      <c r="O186" s="530">
        <v>0</v>
      </c>
      <c r="P186" s="530">
        <v>0</v>
      </c>
      <c r="Q186" s="530">
        <v>0</v>
      </c>
      <c r="R186" s="530">
        <v>0</v>
      </c>
      <c r="S186" s="530">
        <v>0</v>
      </c>
      <c r="T186" s="530">
        <v>0</v>
      </c>
      <c r="U186" s="530">
        <v>0</v>
      </c>
      <c r="V186" s="530">
        <v>0</v>
      </c>
      <c r="W186" s="530">
        <v>0</v>
      </c>
      <c r="X186" s="530">
        <v>0</v>
      </c>
      <c r="Y186" s="530" t="e">
        <f t="shared" si="25"/>
        <v>#NAME?</v>
      </c>
    </row>
    <row r="187" spans="1:25" s="545" customFormat="1" ht="12.75" x14ac:dyDescent="0.2">
      <c r="A187" s="513">
        <v>66260</v>
      </c>
      <c r="B187" s="529" t="s">
        <v>712</v>
      </c>
      <c r="C187" s="530">
        <v>0</v>
      </c>
      <c r="D187" s="530">
        <v>0</v>
      </c>
      <c r="E187" s="530">
        <v>0</v>
      </c>
      <c r="F187" s="530">
        <v>0</v>
      </c>
      <c r="G187" s="530">
        <v>0</v>
      </c>
      <c r="H187" s="530">
        <v>0</v>
      </c>
      <c r="I187" s="530">
        <v>0</v>
      </c>
      <c r="J187" s="530">
        <v>0</v>
      </c>
      <c r="K187" s="530">
        <v>0</v>
      </c>
      <c r="L187" s="530" t="e">
        <v>#NAME?</v>
      </c>
      <c r="M187" s="530">
        <v>0</v>
      </c>
      <c r="N187" s="530">
        <v>0</v>
      </c>
      <c r="O187" s="530">
        <v>0</v>
      </c>
      <c r="P187" s="530">
        <v>0</v>
      </c>
      <c r="Q187" s="530">
        <v>0</v>
      </c>
      <c r="R187" s="530">
        <v>0</v>
      </c>
      <c r="S187" s="530">
        <v>0</v>
      </c>
      <c r="T187" s="530">
        <v>0</v>
      </c>
      <c r="U187" s="530">
        <v>0</v>
      </c>
      <c r="V187" s="530">
        <v>0</v>
      </c>
      <c r="W187" s="530">
        <v>0</v>
      </c>
      <c r="X187" s="530">
        <v>0</v>
      </c>
      <c r="Y187" s="530" t="e">
        <f t="shared" si="25"/>
        <v>#NAME?</v>
      </c>
    </row>
    <row r="188" spans="1:25" s="545" customFormat="1" ht="12.75" x14ac:dyDescent="0.2">
      <c r="A188" s="513">
        <v>66270</v>
      </c>
      <c r="B188" s="529" t="s">
        <v>713</v>
      </c>
      <c r="C188" s="530">
        <v>0</v>
      </c>
      <c r="D188" s="530">
        <v>0</v>
      </c>
      <c r="E188" s="530">
        <v>0</v>
      </c>
      <c r="F188" s="530">
        <v>0</v>
      </c>
      <c r="G188" s="530">
        <v>0</v>
      </c>
      <c r="H188" s="530">
        <v>0</v>
      </c>
      <c r="I188" s="530">
        <v>0</v>
      </c>
      <c r="J188" s="530">
        <v>0</v>
      </c>
      <c r="K188" s="530">
        <v>0</v>
      </c>
      <c r="L188" s="530" t="e">
        <v>#NAME?</v>
      </c>
      <c r="M188" s="530">
        <v>0</v>
      </c>
      <c r="N188" s="530">
        <v>0</v>
      </c>
      <c r="O188" s="530">
        <v>0</v>
      </c>
      <c r="P188" s="530">
        <v>0</v>
      </c>
      <c r="Q188" s="530">
        <v>0</v>
      </c>
      <c r="R188" s="530">
        <v>0</v>
      </c>
      <c r="S188" s="530">
        <v>0</v>
      </c>
      <c r="T188" s="530">
        <v>0</v>
      </c>
      <c r="U188" s="530">
        <v>0</v>
      </c>
      <c r="V188" s="530">
        <v>0</v>
      </c>
      <c r="W188" s="530">
        <v>0</v>
      </c>
      <c r="X188" s="530">
        <v>0</v>
      </c>
      <c r="Y188" s="530" t="e">
        <f t="shared" si="25"/>
        <v>#NAME?</v>
      </c>
    </row>
    <row r="189" spans="1:25" s="545" customFormat="1" ht="12.75" x14ac:dyDescent="0.2">
      <c r="A189" s="513">
        <v>66275</v>
      </c>
      <c r="B189" s="529" t="s">
        <v>714</v>
      </c>
      <c r="C189" s="530">
        <v>0</v>
      </c>
      <c r="D189" s="530">
        <v>0</v>
      </c>
      <c r="E189" s="530">
        <v>0</v>
      </c>
      <c r="F189" s="530">
        <v>0</v>
      </c>
      <c r="G189" s="530">
        <v>0</v>
      </c>
      <c r="H189" s="530">
        <v>0</v>
      </c>
      <c r="I189" s="530">
        <v>0</v>
      </c>
      <c r="J189" s="530">
        <v>0</v>
      </c>
      <c r="K189" s="530">
        <v>0</v>
      </c>
      <c r="L189" s="530" t="e">
        <v>#NAME?</v>
      </c>
      <c r="M189" s="530">
        <v>0</v>
      </c>
      <c r="N189" s="530">
        <v>0</v>
      </c>
      <c r="O189" s="530">
        <v>0</v>
      </c>
      <c r="P189" s="530">
        <v>0</v>
      </c>
      <c r="Q189" s="530">
        <v>0</v>
      </c>
      <c r="R189" s="530">
        <v>0</v>
      </c>
      <c r="S189" s="530">
        <v>0</v>
      </c>
      <c r="T189" s="530">
        <v>0</v>
      </c>
      <c r="U189" s="530">
        <v>0</v>
      </c>
      <c r="V189" s="530">
        <v>0</v>
      </c>
      <c r="W189" s="530">
        <v>0</v>
      </c>
      <c r="X189" s="530">
        <v>0</v>
      </c>
      <c r="Y189" s="530" t="e">
        <f t="shared" si="25"/>
        <v>#NAME?</v>
      </c>
    </row>
    <row r="190" spans="1:25" s="545" customFormat="1" ht="12.75" x14ac:dyDescent="0.2">
      <c r="A190" s="513">
        <v>66278</v>
      </c>
      <c r="B190" s="529" t="s">
        <v>715</v>
      </c>
      <c r="C190" s="530">
        <v>0</v>
      </c>
      <c r="D190" s="530">
        <v>0</v>
      </c>
      <c r="E190" s="530">
        <v>0</v>
      </c>
      <c r="F190" s="530">
        <v>0</v>
      </c>
      <c r="G190" s="530">
        <v>0</v>
      </c>
      <c r="H190" s="530">
        <v>0</v>
      </c>
      <c r="I190" s="530">
        <v>0</v>
      </c>
      <c r="J190" s="530">
        <v>0</v>
      </c>
      <c r="K190" s="530">
        <v>0</v>
      </c>
      <c r="L190" s="530" t="e">
        <v>#NAME?</v>
      </c>
      <c r="M190" s="530">
        <v>0</v>
      </c>
      <c r="N190" s="530">
        <v>0</v>
      </c>
      <c r="O190" s="530">
        <v>0</v>
      </c>
      <c r="P190" s="530">
        <v>0</v>
      </c>
      <c r="Q190" s="530">
        <v>0</v>
      </c>
      <c r="R190" s="530">
        <v>0</v>
      </c>
      <c r="S190" s="530">
        <v>0</v>
      </c>
      <c r="T190" s="530">
        <v>0</v>
      </c>
      <c r="U190" s="530">
        <v>0</v>
      </c>
      <c r="V190" s="530">
        <v>0</v>
      </c>
      <c r="W190" s="530">
        <v>0</v>
      </c>
      <c r="X190" s="530">
        <v>0</v>
      </c>
      <c r="Y190" s="530" t="e">
        <f t="shared" si="25"/>
        <v>#NAME?</v>
      </c>
    </row>
    <row r="191" spans="1:25" s="545" customFormat="1" ht="12.75" x14ac:dyDescent="0.2">
      <c r="A191" s="513">
        <v>66280</v>
      </c>
      <c r="B191" s="529" t="s">
        <v>716</v>
      </c>
      <c r="C191" s="530">
        <v>0</v>
      </c>
      <c r="D191" s="530">
        <v>0</v>
      </c>
      <c r="E191" s="530">
        <v>0</v>
      </c>
      <c r="F191" s="530">
        <v>0</v>
      </c>
      <c r="G191" s="530">
        <v>0</v>
      </c>
      <c r="H191" s="530">
        <v>0</v>
      </c>
      <c r="I191" s="530">
        <v>0</v>
      </c>
      <c r="J191" s="530">
        <v>0</v>
      </c>
      <c r="K191" s="530">
        <v>0</v>
      </c>
      <c r="L191" s="530" t="e">
        <v>#NAME?</v>
      </c>
      <c r="M191" s="530">
        <v>0</v>
      </c>
      <c r="N191" s="530">
        <v>0</v>
      </c>
      <c r="O191" s="530">
        <v>0</v>
      </c>
      <c r="P191" s="530">
        <v>0</v>
      </c>
      <c r="Q191" s="530">
        <v>0</v>
      </c>
      <c r="R191" s="530">
        <v>0</v>
      </c>
      <c r="S191" s="530">
        <v>0</v>
      </c>
      <c r="T191" s="530">
        <v>0</v>
      </c>
      <c r="U191" s="530">
        <v>0</v>
      </c>
      <c r="V191" s="530">
        <v>0</v>
      </c>
      <c r="W191" s="530">
        <v>0</v>
      </c>
      <c r="X191" s="530">
        <v>0</v>
      </c>
      <c r="Y191" s="530" t="e">
        <f t="shared" si="25"/>
        <v>#NAME?</v>
      </c>
    </row>
    <row r="192" spans="1:25" s="545" customFormat="1" ht="12.75" x14ac:dyDescent="0.2">
      <c r="A192" s="513">
        <v>66282</v>
      </c>
      <c r="B192" s="529" t="s">
        <v>717</v>
      </c>
      <c r="C192" s="530">
        <v>0</v>
      </c>
      <c r="D192" s="530">
        <v>0</v>
      </c>
      <c r="E192" s="530">
        <v>0</v>
      </c>
      <c r="F192" s="530">
        <v>0</v>
      </c>
      <c r="G192" s="530">
        <v>0</v>
      </c>
      <c r="H192" s="530">
        <v>0</v>
      </c>
      <c r="I192" s="530">
        <v>0</v>
      </c>
      <c r="J192" s="530">
        <v>0</v>
      </c>
      <c r="K192" s="530">
        <v>0</v>
      </c>
      <c r="L192" s="530" t="e">
        <v>#NAME?</v>
      </c>
      <c r="M192" s="530">
        <v>0</v>
      </c>
      <c r="N192" s="530">
        <v>0</v>
      </c>
      <c r="O192" s="530">
        <v>0</v>
      </c>
      <c r="P192" s="530">
        <v>0</v>
      </c>
      <c r="Q192" s="530">
        <v>0</v>
      </c>
      <c r="R192" s="530">
        <v>0</v>
      </c>
      <c r="S192" s="530">
        <v>0</v>
      </c>
      <c r="T192" s="530">
        <v>0</v>
      </c>
      <c r="U192" s="530">
        <v>0</v>
      </c>
      <c r="V192" s="530">
        <v>0</v>
      </c>
      <c r="W192" s="530">
        <v>0</v>
      </c>
      <c r="X192" s="530">
        <v>0</v>
      </c>
      <c r="Y192" s="530" t="e">
        <f t="shared" si="25"/>
        <v>#NAME?</v>
      </c>
    </row>
    <row r="193" spans="1:27" s="545" customFormat="1" ht="12.75" x14ac:dyDescent="0.2">
      <c r="A193" s="513">
        <v>66284</v>
      </c>
      <c r="B193" s="529" t="s">
        <v>718</v>
      </c>
      <c r="C193" s="530">
        <v>0</v>
      </c>
      <c r="D193" s="530">
        <v>0</v>
      </c>
      <c r="E193" s="530">
        <v>0</v>
      </c>
      <c r="F193" s="530">
        <v>0</v>
      </c>
      <c r="G193" s="530">
        <v>0</v>
      </c>
      <c r="H193" s="530">
        <v>0</v>
      </c>
      <c r="I193" s="530">
        <v>0</v>
      </c>
      <c r="J193" s="530">
        <v>0</v>
      </c>
      <c r="K193" s="530">
        <v>0</v>
      </c>
      <c r="L193" s="530" t="e">
        <v>#NAME?</v>
      </c>
      <c r="M193" s="530">
        <v>0</v>
      </c>
      <c r="N193" s="530">
        <v>0</v>
      </c>
      <c r="O193" s="530">
        <v>0</v>
      </c>
      <c r="P193" s="530">
        <v>0</v>
      </c>
      <c r="Q193" s="530">
        <v>0</v>
      </c>
      <c r="R193" s="530">
        <v>0</v>
      </c>
      <c r="S193" s="530">
        <v>0</v>
      </c>
      <c r="T193" s="530">
        <v>0</v>
      </c>
      <c r="U193" s="530">
        <v>0</v>
      </c>
      <c r="V193" s="530">
        <v>0</v>
      </c>
      <c r="W193" s="530">
        <v>0</v>
      </c>
      <c r="X193" s="530">
        <v>0</v>
      </c>
      <c r="Y193" s="530" t="e">
        <f t="shared" si="25"/>
        <v>#NAME?</v>
      </c>
    </row>
    <row r="194" spans="1:27" s="545" customFormat="1" ht="12.75" x14ac:dyDescent="0.2">
      <c r="A194" s="513">
        <v>66400</v>
      </c>
      <c r="B194" s="529" t="s">
        <v>719</v>
      </c>
      <c r="C194" s="530">
        <v>0</v>
      </c>
      <c r="D194" s="530">
        <v>0</v>
      </c>
      <c r="E194" s="530">
        <v>0</v>
      </c>
      <c r="F194" s="530">
        <v>0</v>
      </c>
      <c r="G194" s="530">
        <v>0</v>
      </c>
      <c r="H194" s="530">
        <v>0</v>
      </c>
      <c r="I194" s="530">
        <v>0</v>
      </c>
      <c r="J194" s="530">
        <v>0</v>
      </c>
      <c r="K194" s="530">
        <v>0</v>
      </c>
      <c r="L194" s="530" t="e">
        <v>#NAME?</v>
      </c>
      <c r="M194" s="530">
        <v>0</v>
      </c>
      <c r="N194" s="530">
        <v>0</v>
      </c>
      <c r="O194" s="530">
        <v>0</v>
      </c>
      <c r="P194" s="530">
        <v>0</v>
      </c>
      <c r="Q194" s="530">
        <v>0</v>
      </c>
      <c r="R194" s="530">
        <v>0</v>
      </c>
      <c r="S194" s="530">
        <v>0</v>
      </c>
      <c r="T194" s="530">
        <v>0</v>
      </c>
      <c r="U194" s="530">
        <v>0</v>
      </c>
      <c r="V194" s="530">
        <v>0</v>
      </c>
      <c r="W194" s="530">
        <v>0</v>
      </c>
      <c r="X194" s="530">
        <v>0</v>
      </c>
      <c r="Y194" s="530" t="e">
        <f t="shared" si="25"/>
        <v>#NAME?</v>
      </c>
    </row>
    <row r="195" spans="1:27" s="559" customFormat="1" ht="12.75" x14ac:dyDescent="0.2">
      <c r="A195" s="556">
        <v>66450</v>
      </c>
      <c r="B195" s="557" t="s">
        <v>720</v>
      </c>
      <c r="C195" s="558">
        <v>0</v>
      </c>
      <c r="D195" s="558">
        <v>0</v>
      </c>
      <c r="E195" s="558">
        <v>0</v>
      </c>
      <c r="F195" s="558">
        <v>0</v>
      </c>
      <c r="G195" s="558">
        <v>0</v>
      </c>
      <c r="H195" s="558">
        <v>0</v>
      </c>
      <c r="I195" s="558">
        <v>0</v>
      </c>
      <c r="J195" s="558">
        <v>0</v>
      </c>
      <c r="K195" s="558">
        <v>0</v>
      </c>
      <c r="L195" s="558" t="e">
        <v>#NAME?</v>
      </c>
      <c r="M195" s="558">
        <v>0</v>
      </c>
      <c r="N195" s="558">
        <v>0</v>
      </c>
      <c r="O195" s="558">
        <v>0</v>
      </c>
      <c r="P195" s="558">
        <v>0</v>
      </c>
      <c r="Q195" s="558">
        <v>0</v>
      </c>
      <c r="R195" s="558">
        <v>0</v>
      </c>
      <c r="S195" s="558">
        <v>-420463.57999999996</v>
      </c>
      <c r="T195" s="558">
        <v>0</v>
      </c>
      <c r="U195" s="558">
        <v>0</v>
      </c>
      <c r="V195" s="558">
        <v>0</v>
      </c>
      <c r="W195" s="558">
        <v>0</v>
      </c>
      <c r="X195" s="558">
        <v>0</v>
      </c>
      <c r="Y195" s="558" t="e">
        <f t="shared" si="25"/>
        <v>#NAME?</v>
      </c>
    </row>
    <row r="196" spans="1:27" s="545" customFormat="1" ht="12.75" x14ac:dyDescent="0.2">
      <c r="A196" s="513">
        <v>66500</v>
      </c>
      <c r="B196" s="529" t="s">
        <v>721</v>
      </c>
      <c r="C196" s="530">
        <v>0</v>
      </c>
      <c r="D196" s="530">
        <v>0</v>
      </c>
      <c r="E196" s="530">
        <v>0</v>
      </c>
      <c r="F196" s="530">
        <v>-472.51</v>
      </c>
      <c r="G196" s="530">
        <v>0</v>
      </c>
      <c r="H196" s="530">
        <v>-3007.55</v>
      </c>
      <c r="I196" s="530">
        <v>0</v>
      </c>
      <c r="J196" s="530">
        <v>0</v>
      </c>
      <c r="K196" s="530">
        <v>0</v>
      </c>
      <c r="L196" s="530" t="e">
        <v>#NAME?</v>
      </c>
      <c r="M196" s="530">
        <v>0</v>
      </c>
      <c r="N196" s="530">
        <v>0</v>
      </c>
      <c r="O196" s="530">
        <v>0</v>
      </c>
      <c r="P196" s="530">
        <v>0</v>
      </c>
      <c r="Q196" s="530">
        <v>0</v>
      </c>
      <c r="R196" s="530">
        <v>0</v>
      </c>
      <c r="S196" s="530">
        <v>0</v>
      </c>
      <c r="T196" s="530">
        <v>0</v>
      </c>
      <c r="U196" s="530">
        <v>0</v>
      </c>
      <c r="V196" s="530">
        <v>0</v>
      </c>
      <c r="W196" s="530">
        <v>0</v>
      </c>
      <c r="X196" s="530">
        <v>0</v>
      </c>
      <c r="Y196" s="530" t="e">
        <f t="shared" si="25"/>
        <v>#NAME?</v>
      </c>
    </row>
    <row r="197" spans="1:27" s="545" customFormat="1" ht="12.75" x14ac:dyDescent="0.2">
      <c r="A197" s="513">
        <v>66501</v>
      </c>
      <c r="B197" s="529" t="s">
        <v>722</v>
      </c>
      <c r="C197" s="530">
        <v>0</v>
      </c>
      <c r="D197" s="530">
        <v>0</v>
      </c>
      <c r="E197" s="530">
        <v>0</v>
      </c>
      <c r="F197" s="530">
        <v>0</v>
      </c>
      <c r="G197" s="530">
        <v>0</v>
      </c>
      <c r="H197" s="530">
        <v>0</v>
      </c>
      <c r="I197" s="530">
        <v>0</v>
      </c>
      <c r="J197" s="530">
        <v>0</v>
      </c>
      <c r="K197" s="530">
        <v>0</v>
      </c>
      <c r="L197" s="530" t="e">
        <v>#NAME?</v>
      </c>
      <c r="M197" s="530">
        <v>0</v>
      </c>
      <c r="N197" s="530">
        <v>0</v>
      </c>
      <c r="O197" s="530">
        <v>0</v>
      </c>
      <c r="P197" s="530">
        <v>0</v>
      </c>
      <c r="Q197" s="530">
        <v>0</v>
      </c>
      <c r="R197" s="530">
        <v>0</v>
      </c>
      <c r="S197" s="530">
        <v>0</v>
      </c>
      <c r="T197" s="530">
        <v>0</v>
      </c>
      <c r="U197" s="530">
        <v>0</v>
      </c>
      <c r="V197" s="530">
        <v>0</v>
      </c>
      <c r="W197" s="530">
        <v>0</v>
      </c>
      <c r="X197" s="530">
        <v>0</v>
      </c>
      <c r="Y197" s="530" t="e">
        <f t="shared" si="25"/>
        <v>#NAME?</v>
      </c>
    </row>
    <row r="198" spans="1:27" s="545" customFormat="1" ht="12.75" x14ac:dyDescent="0.2">
      <c r="A198" s="513">
        <v>66580</v>
      </c>
      <c r="B198" s="529" t="s">
        <v>723</v>
      </c>
      <c r="C198" s="530">
        <v>0</v>
      </c>
      <c r="D198" s="530">
        <v>0</v>
      </c>
      <c r="E198" s="530">
        <v>0</v>
      </c>
      <c r="F198" s="530">
        <v>0</v>
      </c>
      <c r="G198" s="530">
        <v>0</v>
      </c>
      <c r="H198" s="530">
        <v>0</v>
      </c>
      <c r="I198" s="530">
        <v>0</v>
      </c>
      <c r="J198" s="530">
        <v>0</v>
      </c>
      <c r="K198" s="530">
        <v>0</v>
      </c>
      <c r="L198" s="530" t="e">
        <v>#NAME?</v>
      </c>
      <c r="M198" s="530">
        <v>0</v>
      </c>
      <c r="N198" s="530">
        <v>0</v>
      </c>
      <c r="O198" s="530">
        <v>0</v>
      </c>
      <c r="P198" s="530">
        <v>0</v>
      </c>
      <c r="Q198" s="530">
        <v>0</v>
      </c>
      <c r="R198" s="530">
        <v>0</v>
      </c>
      <c r="S198" s="530">
        <v>0</v>
      </c>
      <c r="T198" s="530">
        <v>0</v>
      </c>
      <c r="U198" s="530">
        <v>0</v>
      </c>
      <c r="V198" s="530">
        <v>0</v>
      </c>
      <c r="W198" s="530">
        <v>0</v>
      </c>
      <c r="X198" s="530">
        <v>0</v>
      </c>
      <c r="Y198" s="530" t="e">
        <f t="shared" si="25"/>
        <v>#NAME?</v>
      </c>
    </row>
    <row r="199" spans="1:27" s="545" customFormat="1" ht="12.75" x14ac:dyDescent="0.2">
      <c r="A199" s="513">
        <v>66582</v>
      </c>
      <c r="B199" s="529" t="s">
        <v>724</v>
      </c>
      <c r="C199" s="530">
        <v>0</v>
      </c>
      <c r="D199" s="530">
        <v>0</v>
      </c>
      <c r="E199" s="530">
        <v>0</v>
      </c>
      <c r="F199" s="530">
        <v>0</v>
      </c>
      <c r="G199" s="530">
        <v>0</v>
      </c>
      <c r="H199" s="530">
        <v>0</v>
      </c>
      <c r="I199" s="530">
        <v>0</v>
      </c>
      <c r="J199" s="530">
        <v>0</v>
      </c>
      <c r="K199" s="530">
        <v>0</v>
      </c>
      <c r="L199" s="530" t="e">
        <v>#NAME?</v>
      </c>
      <c r="M199" s="530">
        <v>0</v>
      </c>
      <c r="N199" s="530">
        <v>0</v>
      </c>
      <c r="O199" s="530">
        <v>0</v>
      </c>
      <c r="P199" s="530">
        <v>0</v>
      </c>
      <c r="Q199" s="530">
        <v>0</v>
      </c>
      <c r="R199" s="530">
        <v>0</v>
      </c>
      <c r="S199" s="530">
        <v>0</v>
      </c>
      <c r="T199" s="530">
        <v>0</v>
      </c>
      <c r="U199" s="530">
        <v>0</v>
      </c>
      <c r="V199" s="530">
        <v>0</v>
      </c>
      <c r="W199" s="530">
        <v>0</v>
      </c>
      <c r="X199" s="530">
        <v>0</v>
      </c>
      <c r="Y199" s="530" t="e">
        <f t="shared" si="25"/>
        <v>#NAME?</v>
      </c>
    </row>
    <row r="200" spans="1:27" s="545" customFormat="1" ht="12.75" x14ac:dyDescent="0.2">
      <c r="A200" s="513">
        <v>66583</v>
      </c>
      <c r="B200" s="529" t="s">
        <v>725</v>
      </c>
      <c r="C200" s="530">
        <v>0</v>
      </c>
      <c r="D200" s="530">
        <v>0</v>
      </c>
      <c r="E200" s="530">
        <v>0</v>
      </c>
      <c r="F200" s="530">
        <v>0</v>
      </c>
      <c r="G200" s="530">
        <v>0</v>
      </c>
      <c r="H200" s="530">
        <v>0</v>
      </c>
      <c r="I200" s="530">
        <v>0</v>
      </c>
      <c r="J200" s="530">
        <v>0</v>
      </c>
      <c r="K200" s="530">
        <v>0</v>
      </c>
      <c r="L200" s="530" t="e">
        <v>#NAME?</v>
      </c>
      <c r="M200" s="530">
        <v>0</v>
      </c>
      <c r="N200" s="530">
        <v>0</v>
      </c>
      <c r="O200" s="530">
        <v>0</v>
      </c>
      <c r="P200" s="530">
        <v>0</v>
      </c>
      <c r="Q200" s="530">
        <v>0</v>
      </c>
      <c r="R200" s="530">
        <v>0</v>
      </c>
      <c r="S200" s="530">
        <v>0</v>
      </c>
      <c r="T200" s="530">
        <v>0</v>
      </c>
      <c r="U200" s="530">
        <v>0</v>
      </c>
      <c r="V200" s="530">
        <v>0</v>
      </c>
      <c r="W200" s="530">
        <v>0</v>
      </c>
      <c r="X200" s="530">
        <v>0</v>
      </c>
      <c r="Y200" s="530" t="e">
        <f t="shared" si="25"/>
        <v>#NAME?</v>
      </c>
    </row>
    <row r="201" spans="1:27" s="545" customFormat="1" ht="12.75" x14ac:dyDescent="0.2">
      <c r="A201" s="513">
        <v>66585</v>
      </c>
      <c r="B201" s="553" t="s">
        <v>726</v>
      </c>
      <c r="C201" s="531">
        <v>0</v>
      </c>
      <c r="D201" s="531">
        <v>0</v>
      </c>
      <c r="E201" s="531">
        <v>0</v>
      </c>
      <c r="F201" s="531">
        <v>101250</v>
      </c>
      <c r="G201" s="531">
        <v>0</v>
      </c>
      <c r="H201" s="531">
        <v>0</v>
      </c>
      <c r="I201" s="531">
        <v>0</v>
      </c>
      <c r="J201" s="531">
        <v>0</v>
      </c>
      <c r="K201" s="531">
        <v>0</v>
      </c>
      <c r="L201" s="531" t="e">
        <v>#NAME?</v>
      </c>
      <c r="M201" s="531">
        <v>0</v>
      </c>
      <c r="N201" s="531">
        <v>0</v>
      </c>
      <c r="O201" s="531">
        <v>0</v>
      </c>
      <c r="P201" s="531">
        <v>0</v>
      </c>
      <c r="Q201" s="531">
        <v>0</v>
      </c>
      <c r="R201" s="531">
        <v>0</v>
      </c>
      <c r="S201" s="531">
        <v>0</v>
      </c>
      <c r="T201" s="531">
        <v>0</v>
      </c>
      <c r="U201" s="531">
        <v>0</v>
      </c>
      <c r="V201" s="531">
        <v>0</v>
      </c>
      <c r="W201" s="531">
        <v>0</v>
      </c>
      <c r="X201" s="531">
        <v>0</v>
      </c>
      <c r="Y201" s="531" t="e">
        <f t="shared" si="25"/>
        <v>#NAME?</v>
      </c>
    </row>
    <row r="202" spans="1:27" s="428" customFormat="1" ht="12.75" x14ac:dyDescent="0.2">
      <c r="A202" s="513">
        <v>66600</v>
      </c>
      <c r="B202" s="532" t="s">
        <v>727</v>
      </c>
      <c r="C202" s="533">
        <f t="shared" ref="C202:Y202" si="26">SUM(C151:C201)</f>
        <v>76734.229999999981</v>
      </c>
      <c r="D202" s="533">
        <f t="shared" si="26"/>
        <v>0</v>
      </c>
      <c r="E202" s="533">
        <f t="shared" si="26"/>
        <v>-874.5199999999993</v>
      </c>
      <c r="F202" s="533">
        <f t="shared" si="26"/>
        <v>474718.67</v>
      </c>
      <c r="G202" s="533">
        <f t="shared" si="26"/>
        <v>0</v>
      </c>
      <c r="H202" s="533">
        <f t="shared" si="26"/>
        <v>250715.77</v>
      </c>
      <c r="I202" s="533">
        <f t="shared" si="26"/>
        <v>8646.75</v>
      </c>
      <c r="J202" s="533">
        <f t="shared" si="26"/>
        <v>5832.32</v>
      </c>
      <c r="K202" s="533">
        <f t="shared" si="26"/>
        <v>0</v>
      </c>
      <c r="L202" s="533" t="e">
        <f t="shared" si="26"/>
        <v>#NAME?</v>
      </c>
      <c r="M202" s="533">
        <f t="shared" si="26"/>
        <v>14361.140000000001</v>
      </c>
      <c r="N202" s="533">
        <f t="shared" si="26"/>
        <v>0</v>
      </c>
      <c r="O202" s="533">
        <f t="shared" si="26"/>
        <v>48322.590000000004</v>
      </c>
      <c r="P202" s="533">
        <f t="shared" si="26"/>
        <v>1717.18</v>
      </c>
      <c r="Q202" s="533">
        <f t="shared" si="26"/>
        <v>2.8421709430404007E-14</v>
      </c>
      <c r="R202" s="533">
        <f t="shared" si="26"/>
        <v>76753.899999999994</v>
      </c>
      <c r="S202" s="533">
        <f t="shared" si="26"/>
        <v>-414105.82999999996</v>
      </c>
      <c r="T202" s="533">
        <f t="shared" si="26"/>
        <v>2363.1400000000003</v>
      </c>
      <c r="U202" s="533">
        <f t="shared" si="26"/>
        <v>-574.28</v>
      </c>
      <c r="V202" s="533">
        <f t="shared" si="26"/>
        <v>0.01</v>
      </c>
      <c r="W202" s="533">
        <f t="shared" si="26"/>
        <v>170051.55</v>
      </c>
      <c r="X202" s="533">
        <f t="shared" si="26"/>
        <v>0</v>
      </c>
      <c r="Y202" s="533" t="e">
        <f t="shared" si="26"/>
        <v>#NAME?</v>
      </c>
    </row>
    <row r="203" spans="1:27" s="428" customFormat="1" ht="12.75" x14ac:dyDescent="0.2">
      <c r="A203" s="513"/>
      <c r="B203" s="536"/>
      <c r="C203" s="537"/>
      <c r="D203" s="537"/>
      <c r="E203" s="537"/>
      <c r="F203" s="537"/>
      <c r="G203" s="537"/>
      <c r="H203" s="537"/>
      <c r="I203" s="537"/>
      <c r="J203" s="537"/>
      <c r="K203" s="537"/>
      <c r="L203" s="537"/>
      <c r="M203" s="537"/>
      <c r="N203" s="537"/>
      <c r="O203" s="537"/>
      <c r="P203" s="537"/>
      <c r="Q203" s="537"/>
      <c r="R203" s="537"/>
      <c r="S203" s="537"/>
      <c r="T203" s="537"/>
      <c r="U203" s="537"/>
      <c r="V203" s="537"/>
      <c r="W203" s="537"/>
      <c r="X203" s="537"/>
      <c r="Y203" s="537"/>
    </row>
    <row r="204" spans="1:27" s="428" customFormat="1" ht="12.75" x14ac:dyDescent="0.2">
      <c r="A204" s="513">
        <v>66690</v>
      </c>
      <c r="B204" s="536" t="s">
        <v>728</v>
      </c>
      <c r="C204" s="537">
        <f t="shared" ref="C204:Y204" si="27">C202+C148+C137+C125+C116+C105+C76</f>
        <v>300285.67999999993</v>
      </c>
      <c r="D204" s="537">
        <f t="shared" si="27"/>
        <v>0</v>
      </c>
      <c r="E204" s="537">
        <f t="shared" si="27"/>
        <v>79978.540000000023</v>
      </c>
      <c r="F204" s="537">
        <f t="shared" si="27"/>
        <v>971292.91</v>
      </c>
      <c r="G204" s="537">
        <f t="shared" si="27"/>
        <v>0</v>
      </c>
      <c r="H204" s="537">
        <f t="shared" si="27"/>
        <v>931046.36</v>
      </c>
      <c r="I204" s="537">
        <f t="shared" si="27"/>
        <v>97587.16</v>
      </c>
      <c r="J204" s="537">
        <f t="shared" si="27"/>
        <v>174213.12999999998</v>
      </c>
      <c r="K204" s="537">
        <f t="shared" si="27"/>
        <v>0</v>
      </c>
      <c r="L204" s="537" t="e">
        <f t="shared" si="27"/>
        <v>#NAME?</v>
      </c>
      <c r="M204" s="537">
        <f t="shared" si="27"/>
        <v>906916.99</v>
      </c>
      <c r="N204" s="537">
        <f t="shared" si="27"/>
        <v>62347.719999999994</v>
      </c>
      <c r="O204" s="537">
        <f t="shared" si="27"/>
        <v>279659.57</v>
      </c>
      <c r="P204" s="537">
        <f t="shared" si="27"/>
        <v>62616.149999999994</v>
      </c>
      <c r="Q204" s="537">
        <f t="shared" si="27"/>
        <v>2.8421709430404007E-14</v>
      </c>
      <c r="R204" s="537">
        <f t="shared" si="27"/>
        <v>209592.38</v>
      </c>
      <c r="S204" s="537">
        <f t="shared" si="27"/>
        <v>-367612.74999999994</v>
      </c>
      <c r="T204" s="537">
        <f t="shared" si="27"/>
        <v>18700.78</v>
      </c>
      <c r="U204" s="537">
        <f t="shared" si="27"/>
        <v>0</v>
      </c>
      <c r="V204" s="537">
        <f t="shared" si="27"/>
        <v>24439.62</v>
      </c>
      <c r="W204" s="537">
        <f t="shared" si="27"/>
        <v>343331.16000000003</v>
      </c>
      <c r="X204" s="537">
        <f t="shared" si="27"/>
        <v>0</v>
      </c>
      <c r="Y204" s="537" t="e">
        <f t="shared" si="27"/>
        <v>#NAME?</v>
      </c>
      <c r="AA204" s="560"/>
    </row>
    <row r="205" spans="1:27" s="428" customFormat="1" ht="12.75" x14ac:dyDescent="0.2">
      <c r="A205" s="513" t="s">
        <v>729</v>
      </c>
      <c r="B205" s="516" t="s">
        <v>128</v>
      </c>
      <c r="C205" s="544" t="str">
        <f t="shared" ref="C205:Y205" si="28">IF(ISERROR(C204/C23),"",(C204/C23))</f>
        <v/>
      </c>
      <c r="D205" s="544" t="str">
        <f t="shared" si="28"/>
        <v/>
      </c>
      <c r="E205" s="544" t="str">
        <f t="shared" si="28"/>
        <v/>
      </c>
      <c r="F205" s="544">
        <f t="shared" si="28"/>
        <v>22165.515974440896</v>
      </c>
      <c r="G205" s="544" t="str">
        <f t="shared" si="28"/>
        <v/>
      </c>
      <c r="H205" s="544" t="str">
        <f t="shared" si="28"/>
        <v/>
      </c>
      <c r="I205" s="544" t="str">
        <f t="shared" si="28"/>
        <v/>
      </c>
      <c r="J205" s="544" t="str">
        <f t="shared" si="28"/>
        <v/>
      </c>
      <c r="K205" s="544" t="str">
        <f t="shared" si="28"/>
        <v/>
      </c>
      <c r="L205" s="544" t="str">
        <f t="shared" si="28"/>
        <v/>
      </c>
      <c r="M205" s="544">
        <f t="shared" si="28"/>
        <v>5.8135704487179485</v>
      </c>
      <c r="N205" s="544" t="str">
        <f t="shared" si="28"/>
        <v/>
      </c>
      <c r="O205" s="544" t="str">
        <f t="shared" si="28"/>
        <v/>
      </c>
      <c r="P205" s="544" t="str">
        <f t="shared" si="28"/>
        <v/>
      </c>
      <c r="Q205" s="544" t="str">
        <f t="shared" si="28"/>
        <v/>
      </c>
      <c r="R205" s="544" t="str">
        <f t="shared" si="28"/>
        <v/>
      </c>
      <c r="S205" s="544">
        <f t="shared" si="28"/>
        <v>-60.71777783283369</v>
      </c>
      <c r="T205" s="544" t="str">
        <f t="shared" si="28"/>
        <v/>
      </c>
      <c r="U205" s="544" t="str">
        <f t="shared" si="28"/>
        <v/>
      </c>
      <c r="V205" s="544">
        <f t="shared" si="28"/>
        <v>-1.2436908677881091</v>
      </c>
      <c r="W205" s="544" t="str">
        <f t="shared" si="28"/>
        <v/>
      </c>
      <c r="X205" s="544" t="str">
        <f t="shared" si="28"/>
        <v/>
      </c>
      <c r="Y205" s="544" t="str">
        <f t="shared" si="28"/>
        <v/>
      </c>
    </row>
    <row r="206" spans="1:27" s="428" customFormat="1" x14ac:dyDescent="0.25">
      <c r="A206" s="513"/>
      <c r="B206" s="514"/>
      <c r="C206" s="561"/>
      <c r="D206" s="561"/>
      <c r="E206" s="561"/>
      <c r="F206" s="561"/>
      <c r="G206" s="561"/>
      <c r="H206" s="561"/>
      <c r="I206" s="561"/>
      <c r="J206" s="561"/>
      <c r="K206" s="561"/>
      <c r="L206" s="561"/>
      <c r="M206" s="561"/>
      <c r="N206" s="561"/>
      <c r="O206" s="561"/>
      <c r="P206" s="561"/>
      <c r="Q206" s="561"/>
      <c r="R206" s="561"/>
      <c r="S206" s="561"/>
      <c r="T206" s="561"/>
      <c r="U206" s="561"/>
      <c r="V206" s="561"/>
      <c r="W206" s="561"/>
      <c r="X206" s="561"/>
      <c r="Y206" s="561"/>
    </row>
    <row r="207" spans="1:27" s="428" customFormat="1" ht="12.75" x14ac:dyDescent="0.2">
      <c r="A207" s="513">
        <v>66695</v>
      </c>
      <c r="B207" s="536" t="s">
        <v>730</v>
      </c>
      <c r="C207" s="537">
        <f t="shared" ref="C207:Y207" si="29">C68-C204+C195</f>
        <v>-300285.67999999993</v>
      </c>
      <c r="D207" s="537">
        <f t="shared" si="29"/>
        <v>0</v>
      </c>
      <c r="E207" s="537">
        <f t="shared" si="29"/>
        <v>-79978.540000000023</v>
      </c>
      <c r="F207" s="537">
        <f t="shared" si="29"/>
        <v>-971249.09000000008</v>
      </c>
      <c r="G207" s="537">
        <f t="shared" si="29"/>
        <v>0</v>
      </c>
      <c r="H207" s="537">
        <f t="shared" si="29"/>
        <v>-931046.36</v>
      </c>
      <c r="I207" s="537">
        <f t="shared" si="29"/>
        <v>-97587.16</v>
      </c>
      <c r="J207" s="537">
        <f t="shared" si="29"/>
        <v>-174213.12999999998</v>
      </c>
      <c r="K207" s="537">
        <f t="shared" si="29"/>
        <v>0</v>
      </c>
      <c r="L207" s="537" t="e">
        <f t="shared" si="29"/>
        <v>#NAME?</v>
      </c>
      <c r="M207" s="537">
        <f t="shared" si="29"/>
        <v>-750916.99</v>
      </c>
      <c r="N207" s="537">
        <f t="shared" si="29"/>
        <v>-62347.719999999994</v>
      </c>
      <c r="O207" s="537">
        <f t="shared" si="29"/>
        <v>-279659.57</v>
      </c>
      <c r="P207" s="537">
        <f t="shared" si="29"/>
        <v>-62616.149999999994</v>
      </c>
      <c r="Q207" s="537">
        <f t="shared" si="29"/>
        <v>-2.8421709430404007E-14</v>
      </c>
      <c r="R207" s="537">
        <f t="shared" si="29"/>
        <v>-209592.38</v>
      </c>
      <c r="S207" s="537">
        <f t="shared" si="29"/>
        <v>-46796.380000000005</v>
      </c>
      <c r="T207" s="537">
        <f t="shared" si="29"/>
        <v>-18700.78</v>
      </c>
      <c r="U207" s="537">
        <f t="shared" si="29"/>
        <v>0</v>
      </c>
      <c r="V207" s="537">
        <f t="shared" si="29"/>
        <v>-44090.5</v>
      </c>
      <c r="W207" s="537">
        <f t="shared" si="29"/>
        <v>-343331.16000000003</v>
      </c>
      <c r="X207" s="537">
        <f t="shared" si="29"/>
        <v>0</v>
      </c>
      <c r="Y207" s="537" t="e">
        <f t="shared" si="29"/>
        <v>#NAME?</v>
      </c>
    </row>
    <row r="208" spans="1:27" s="428" customFormat="1" ht="12.75" x14ac:dyDescent="0.2">
      <c r="A208" s="513"/>
      <c r="B208" s="516"/>
      <c r="C208" s="528"/>
      <c r="D208" s="528"/>
      <c r="E208" s="528"/>
      <c r="F208" s="528"/>
      <c r="G208" s="528"/>
      <c r="H208" s="528"/>
      <c r="I208" s="528"/>
      <c r="J208" s="528"/>
      <c r="K208" s="528"/>
      <c r="L208" s="528"/>
      <c r="M208" s="528"/>
      <c r="N208" s="528"/>
      <c r="O208" s="528"/>
      <c r="P208" s="528"/>
      <c r="Q208" s="528"/>
      <c r="R208" s="528"/>
      <c r="S208" s="528"/>
      <c r="T208" s="528"/>
      <c r="U208" s="528"/>
      <c r="V208" s="528"/>
      <c r="W208" s="528"/>
      <c r="X208" s="528"/>
      <c r="Y208" s="528"/>
    </row>
    <row r="209" spans="1:26" s="428" customFormat="1" ht="12.75" x14ac:dyDescent="0.2">
      <c r="A209" s="513"/>
      <c r="B209" s="516" t="s">
        <v>98</v>
      </c>
      <c r="C209" s="528"/>
      <c r="D209" s="528"/>
      <c r="E209" s="528"/>
      <c r="F209" s="528"/>
      <c r="G209" s="528"/>
      <c r="H209" s="528"/>
      <c r="I209" s="528"/>
      <c r="J209" s="528"/>
      <c r="K209" s="528"/>
      <c r="L209" s="528"/>
      <c r="M209" s="528"/>
      <c r="N209" s="528"/>
      <c r="O209" s="528"/>
      <c r="P209" s="528"/>
      <c r="Q209" s="528"/>
      <c r="R209" s="528"/>
      <c r="S209" s="528"/>
      <c r="T209" s="528"/>
      <c r="U209" s="528"/>
      <c r="V209" s="528"/>
      <c r="W209" s="528"/>
      <c r="X209" s="528"/>
      <c r="Y209" s="528"/>
    </row>
    <row r="210" spans="1:26" s="559" customFormat="1" ht="12.75" x14ac:dyDescent="0.2">
      <c r="A210" s="556" t="s">
        <v>731</v>
      </c>
      <c r="B210" s="557" t="s">
        <v>732</v>
      </c>
      <c r="C210" s="558">
        <v>0</v>
      </c>
      <c r="D210" s="558">
        <v>0</v>
      </c>
      <c r="E210" s="558">
        <v>0</v>
      </c>
      <c r="F210" s="558">
        <v>-4468773</v>
      </c>
      <c r="G210" s="558">
        <v>0</v>
      </c>
      <c r="H210" s="558">
        <v>0</v>
      </c>
      <c r="I210" s="558">
        <v>0</v>
      </c>
      <c r="J210" s="558">
        <v>0</v>
      </c>
      <c r="K210" s="558">
        <v>0</v>
      </c>
      <c r="L210" s="558" t="e">
        <v>#NAME?</v>
      </c>
      <c r="M210" s="558">
        <v>0</v>
      </c>
      <c r="N210" s="558">
        <v>0</v>
      </c>
      <c r="O210" s="558">
        <v>0</v>
      </c>
      <c r="P210" s="558">
        <v>0</v>
      </c>
      <c r="Q210" s="558">
        <v>0</v>
      </c>
      <c r="R210" s="558">
        <v>0</v>
      </c>
      <c r="S210" s="558">
        <v>0</v>
      </c>
      <c r="T210" s="558">
        <v>0</v>
      </c>
      <c r="U210" s="558">
        <v>0</v>
      </c>
      <c r="V210" s="558">
        <v>0</v>
      </c>
      <c r="W210" s="558">
        <v>0</v>
      </c>
      <c r="X210" s="558">
        <v>0</v>
      </c>
      <c r="Y210" s="558" t="e">
        <f>SUM(C210:X210)</f>
        <v>#NAME?</v>
      </c>
    </row>
    <row r="211" spans="1:26" s="545" customFormat="1" ht="12.75" x14ac:dyDescent="0.2">
      <c r="A211" s="513">
        <v>70003</v>
      </c>
      <c r="B211" s="529" t="s">
        <v>733</v>
      </c>
      <c r="C211" s="530">
        <v>0</v>
      </c>
      <c r="D211" s="530">
        <v>0</v>
      </c>
      <c r="E211" s="530">
        <v>0</v>
      </c>
      <c r="F211" s="530">
        <v>0</v>
      </c>
      <c r="G211" s="530">
        <v>0</v>
      </c>
      <c r="H211" s="530">
        <v>0</v>
      </c>
      <c r="I211" s="530">
        <v>0</v>
      </c>
      <c r="J211" s="530">
        <v>0</v>
      </c>
      <c r="K211" s="530">
        <v>0</v>
      </c>
      <c r="L211" s="530" t="e">
        <v>#NAME?</v>
      </c>
      <c r="M211" s="530">
        <v>0</v>
      </c>
      <c r="N211" s="530">
        <v>0</v>
      </c>
      <c r="O211" s="530">
        <v>0</v>
      </c>
      <c r="P211" s="530">
        <v>0</v>
      </c>
      <c r="Q211" s="530">
        <v>0</v>
      </c>
      <c r="R211" s="530">
        <v>0</v>
      </c>
      <c r="S211" s="530">
        <v>0</v>
      </c>
      <c r="T211" s="530">
        <v>0</v>
      </c>
      <c r="U211" s="530">
        <v>0</v>
      </c>
      <c r="V211" s="530">
        <v>0</v>
      </c>
      <c r="W211" s="530">
        <v>0</v>
      </c>
      <c r="X211" s="530">
        <v>0</v>
      </c>
      <c r="Y211" s="530" t="e">
        <f>SUM(C211:X211)</f>
        <v>#NAME?</v>
      </c>
    </row>
    <row r="212" spans="1:26" s="545" customFormat="1" ht="12.75" x14ac:dyDescent="0.2">
      <c r="A212" s="513">
        <v>70004</v>
      </c>
      <c r="B212" s="529" t="s">
        <v>734</v>
      </c>
      <c r="C212" s="530">
        <v>0</v>
      </c>
      <c r="D212" s="530">
        <v>0</v>
      </c>
      <c r="E212" s="530">
        <v>0</v>
      </c>
      <c r="F212" s="530">
        <v>-6992.0000000000009</v>
      </c>
      <c r="G212" s="530">
        <v>0</v>
      </c>
      <c r="H212" s="530">
        <v>0</v>
      </c>
      <c r="I212" s="530">
        <v>0</v>
      </c>
      <c r="J212" s="530">
        <v>-25288</v>
      </c>
      <c r="K212" s="530">
        <v>0</v>
      </c>
      <c r="L212" s="530" t="e">
        <v>#NAME?</v>
      </c>
      <c r="M212" s="530">
        <v>0</v>
      </c>
      <c r="N212" s="530">
        <v>-62347.72</v>
      </c>
      <c r="O212" s="530">
        <v>0</v>
      </c>
      <c r="P212" s="530">
        <v>0</v>
      </c>
      <c r="Q212" s="530">
        <v>0</v>
      </c>
      <c r="R212" s="530">
        <v>0</v>
      </c>
      <c r="S212" s="530">
        <v>0</v>
      </c>
      <c r="T212" s="530">
        <v>0</v>
      </c>
      <c r="U212" s="530">
        <v>0</v>
      </c>
      <c r="V212" s="530">
        <v>0</v>
      </c>
      <c r="W212" s="530">
        <v>0</v>
      </c>
      <c r="X212" s="530">
        <v>0</v>
      </c>
      <c r="Y212" s="530" t="e">
        <f>SUM(C212:X212)</f>
        <v>#NAME?</v>
      </c>
    </row>
    <row r="213" spans="1:26" s="545" customFormat="1" ht="12.75" x14ac:dyDescent="0.2">
      <c r="A213" s="513" t="s">
        <v>735</v>
      </c>
      <c r="B213" s="529" t="s">
        <v>736</v>
      </c>
      <c r="C213" s="530">
        <v>0</v>
      </c>
      <c r="D213" s="530">
        <v>0</v>
      </c>
      <c r="E213" s="530">
        <v>0</v>
      </c>
      <c r="F213" s="530">
        <v>-0.01</v>
      </c>
      <c r="G213" s="530">
        <v>0</v>
      </c>
      <c r="H213" s="530">
        <v>0</v>
      </c>
      <c r="I213" s="530">
        <v>0</v>
      </c>
      <c r="J213" s="530">
        <v>0</v>
      </c>
      <c r="K213" s="530">
        <v>0</v>
      </c>
      <c r="L213" s="530" t="e">
        <v>#NAME?</v>
      </c>
      <c r="M213" s="530">
        <v>0</v>
      </c>
      <c r="N213" s="530">
        <v>0</v>
      </c>
      <c r="O213" s="530">
        <v>0</v>
      </c>
      <c r="P213" s="530">
        <v>0</v>
      </c>
      <c r="Q213" s="530">
        <v>0</v>
      </c>
      <c r="R213" s="530">
        <v>0</v>
      </c>
      <c r="S213" s="530">
        <v>0</v>
      </c>
      <c r="T213" s="530">
        <v>0</v>
      </c>
      <c r="U213" s="530">
        <v>0</v>
      </c>
      <c r="V213" s="530">
        <v>0</v>
      </c>
      <c r="W213" s="530">
        <v>0</v>
      </c>
      <c r="X213" s="530">
        <v>0</v>
      </c>
      <c r="Y213" s="530" t="e">
        <f>SUM(C213:X213)</f>
        <v>#NAME?</v>
      </c>
    </row>
    <row r="214" spans="1:26" s="428" customFormat="1" ht="12.75" x14ac:dyDescent="0.2">
      <c r="A214" s="513">
        <v>72000</v>
      </c>
      <c r="B214" s="536" t="s">
        <v>737</v>
      </c>
      <c r="C214" s="537">
        <f t="shared" ref="C214:Y214" si="30">SUM(C210:C213)</f>
        <v>0</v>
      </c>
      <c r="D214" s="537">
        <f t="shared" si="30"/>
        <v>0</v>
      </c>
      <c r="E214" s="537">
        <f t="shared" si="30"/>
        <v>0</v>
      </c>
      <c r="F214" s="537">
        <f t="shared" si="30"/>
        <v>-4475765.01</v>
      </c>
      <c r="G214" s="537">
        <f t="shared" si="30"/>
        <v>0</v>
      </c>
      <c r="H214" s="537">
        <f t="shared" si="30"/>
        <v>0</v>
      </c>
      <c r="I214" s="537">
        <f t="shared" si="30"/>
        <v>0</v>
      </c>
      <c r="J214" s="537">
        <f t="shared" si="30"/>
        <v>-25288</v>
      </c>
      <c r="K214" s="537">
        <f t="shared" si="30"/>
        <v>0</v>
      </c>
      <c r="L214" s="537" t="e">
        <f t="shared" si="30"/>
        <v>#NAME?</v>
      </c>
      <c r="M214" s="537">
        <f t="shared" si="30"/>
        <v>0</v>
      </c>
      <c r="N214" s="537">
        <f t="shared" si="30"/>
        <v>-62347.72</v>
      </c>
      <c r="O214" s="537">
        <f t="shared" si="30"/>
        <v>0</v>
      </c>
      <c r="P214" s="537">
        <f t="shared" si="30"/>
        <v>0</v>
      </c>
      <c r="Q214" s="537">
        <f t="shared" si="30"/>
        <v>0</v>
      </c>
      <c r="R214" s="537">
        <f t="shared" si="30"/>
        <v>0</v>
      </c>
      <c r="S214" s="537">
        <f t="shared" si="30"/>
        <v>0</v>
      </c>
      <c r="T214" s="537">
        <f t="shared" si="30"/>
        <v>0</v>
      </c>
      <c r="U214" s="537">
        <f t="shared" si="30"/>
        <v>0</v>
      </c>
      <c r="V214" s="537">
        <f t="shared" si="30"/>
        <v>0</v>
      </c>
      <c r="W214" s="537">
        <f t="shared" si="30"/>
        <v>0</v>
      </c>
      <c r="X214" s="537">
        <f t="shared" si="30"/>
        <v>0</v>
      </c>
      <c r="Y214" s="537" t="e">
        <f t="shared" si="30"/>
        <v>#NAME?</v>
      </c>
    </row>
    <row r="215" spans="1:26" s="428" customFormat="1" ht="12.75" x14ac:dyDescent="0.2">
      <c r="A215" s="513"/>
      <c r="B215" s="536"/>
      <c r="C215" s="537"/>
      <c r="D215" s="537"/>
      <c r="E215" s="537"/>
      <c r="F215" s="537"/>
      <c r="G215" s="537"/>
      <c r="H215" s="537"/>
      <c r="I215" s="537"/>
      <c r="J215" s="537"/>
      <c r="K215" s="537"/>
      <c r="L215" s="537"/>
      <c r="M215" s="537"/>
      <c r="N215" s="537"/>
      <c r="O215" s="537"/>
      <c r="P215" s="537"/>
      <c r="Q215" s="537"/>
      <c r="R215" s="537"/>
      <c r="S215" s="537"/>
      <c r="T215" s="537"/>
      <c r="U215" s="537"/>
      <c r="V215" s="537"/>
      <c r="W215" s="537"/>
      <c r="X215" s="537"/>
      <c r="Y215" s="537"/>
    </row>
    <row r="216" spans="1:26" s="428" customFormat="1" ht="12.75" x14ac:dyDescent="0.2">
      <c r="A216" s="513">
        <v>72999</v>
      </c>
      <c r="B216" s="536" t="s">
        <v>738</v>
      </c>
      <c r="C216" s="537">
        <f t="shared" ref="C216:Y216" si="31">C204+C214</f>
        <v>300285.67999999993</v>
      </c>
      <c r="D216" s="537">
        <f t="shared" si="31"/>
        <v>0</v>
      </c>
      <c r="E216" s="537">
        <f t="shared" si="31"/>
        <v>79978.540000000023</v>
      </c>
      <c r="F216" s="537">
        <f t="shared" si="31"/>
        <v>-3504472.0999999996</v>
      </c>
      <c r="G216" s="537">
        <f t="shared" si="31"/>
        <v>0</v>
      </c>
      <c r="H216" s="537">
        <f t="shared" si="31"/>
        <v>931046.36</v>
      </c>
      <c r="I216" s="537">
        <f t="shared" si="31"/>
        <v>97587.16</v>
      </c>
      <c r="J216" s="537">
        <f t="shared" si="31"/>
        <v>148925.12999999998</v>
      </c>
      <c r="K216" s="537">
        <f t="shared" si="31"/>
        <v>0</v>
      </c>
      <c r="L216" s="537" t="e">
        <f t="shared" si="31"/>
        <v>#NAME?</v>
      </c>
      <c r="M216" s="537">
        <f t="shared" si="31"/>
        <v>906916.99</v>
      </c>
      <c r="N216" s="537">
        <f t="shared" si="31"/>
        <v>0</v>
      </c>
      <c r="O216" s="537">
        <f t="shared" si="31"/>
        <v>279659.57</v>
      </c>
      <c r="P216" s="537">
        <f t="shared" si="31"/>
        <v>62616.149999999994</v>
      </c>
      <c r="Q216" s="537">
        <f t="shared" si="31"/>
        <v>2.8421709430404007E-14</v>
      </c>
      <c r="R216" s="537">
        <f t="shared" si="31"/>
        <v>209592.38</v>
      </c>
      <c r="S216" s="537">
        <f t="shared" si="31"/>
        <v>-367612.74999999994</v>
      </c>
      <c r="T216" s="537">
        <f t="shared" si="31"/>
        <v>18700.78</v>
      </c>
      <c r="U216" s="537">
        <f t="shared" si="31"/>
        <v>0</v>
      </c>
      <c r="V216" s="537">
        <f t="shared" si="31"/>
        <v>24439.62</v>
      </c>
      <c r="W216" s="537">
        <f t="shared" si="31"/>
        <v>343331.16000000003</v>
      </c>
      <c r="X216" s="537">
        <f t="shared" si="31"/>
        <v>0</v>
      </c>
      <c r="Y216" s="537" t="e">
        <f t="shared" si="31"/>
        <v>#NAME?</v>
      </c>
    </row>
    <row r="217" spans="1:26" s="428" customFormat="1" ht="12.75" x14ac:dyDescent="0.2">
      <c r="A217" s="513" t="s">
        <v>739</v>
      </c>
      <c r="B217" s="562" t="s">
        <v>128</v>
      </c>
      <c r="C217" s="544" t="str">
        <f t="shared" ref="C217:Y217" si="32">IF(ISERROR(C216/C23),"",(C216/C23))</f>
        <v/>
      </c>
      <c r="D217" s="544" t="str">
        <f t="shared" si="32"/>
        <v/>
      </c>
      <c r="E217" s="544" t="str">
        <f t="shared" si="32"/>
        <v/>
      </c>
      <c r="F217" s="544">
        <f t="shared" si="32"/>
        <v>-79974.260611592865</v>
      </c>
      <c r="G217" s="544" t="str">
        <f t="shared" si="32"/>
        <v/>
      </c>
      <c r="H217" s="544" t="str">
        <f t="shared" si="32"/>
        <v/>
      </c>
      <c r="I217" s="544" t="str">
        <f t="shared" si="32"/>
        <v/>
      </c>
      <c r="J217" s="544" t="str">
        <f t="shared" si="32"/>
        <v/>
      </c>
      <c r="K217" s="544" t="str">
        <f t="shared" si="32"/>
        <v/>
      </c>
      <c r="L217" s="544" t="str">
        <f t="shared" si="32"/>
        <v/>
      </c>
      <c r="M217" s="544">
        <f t="shared" si="32"/>
        <v>5.8135704487179485</v>
      </c>
      <c r="N217" s="544" t="str">
        <f t="shared" si="32"/>
        <v/>
      </c>
      <c r="O217" s="544" t="str">
        <f t="shared" si="32"/>
        <v/>
      </c>
      <c r="P217" s="544" t="str">
        <f t="shared" si="32"/>
        <v/>
      </c>
      <c r="Q217" s="544" t="str">
        <f t="shared" si="32"/>
        <v/>
      </c>
      <c r="R217" s="544" t="str">
        <f t="shared" si="32"/>
        <v/>
      </c>
      <c r="S217" s="544">
        <f t="shared" si="32"/>
        <v>-60.71777783283369</v>
      </c>
      <c r="T217" s="544" t="str">
        <f t="shared" si="32"/>
        <v/>
      </c>
      <c r="U217" s="544" t="str">
        <f t="shared" si="32"/>
        <v/>
      </c>
      <c r="V217" s="544">
        <f t="shared" si="32"/>
        <v>-1.2436908677881091</v>
      </c>
      <c r="W217" s="544" t="str">
        <f t="shared" si="32"/>
        <v/>
      </c>
      <c r="X217" s="544" t="str">
        <f t="shared" si="32"/>
        <v/>
      </c>
      <c r="Y217" s="544" t="str">
        <f t="shared" si="32"/>
        <v/>
      </c>
    </row>
    <row r="218" spans="1:26" s="428" customFormat="1" x14ac:dyDescent="0.25">
      <c r="A218" s="513"/>
      <c r="B218" s="534"/>
      <c r="C218" s="563"/>
      <c r="D218" s="563"/>
      <c r="E218" s="563"/>
      <c r="F218" s="563"/>
      <c r="G218" s="563"/>
      <c r="H218" s="563"/>
      <c r="I218" s="563"/>
      <c r="J218" s="563"/>
      <c r="K218" s="563"/>
      <c r="L218" s="563"/>
      <c r="M218" s="563"/>
      <c r="N218" s="563"/>
      <c r="O218" s="563"/>
      <c r="P218" s="563"/>
      <c r="Q218" s="563"/>
      <c r="R218" s="563"/>
      <c r="S218" s="563"/>
      <c r="T218" s="563"/>
      <c r="U218" s="563"/>
      <c r="V218" s="563"/>
      <c r="W218" s="563"/>
      <c r="X218" s="563"/>
      <c r="Y218" s="563"/>
    </row>
    <row r="219" spans="1:26" s="428" customFormat="1" ht="12.75" x14ac:dyDescent="0.2">
      <c r="A219" s="513">
        <v>75999</v>
      </c>
      <c r="B219" s="532" t="s">
        <v>740</v>
      </c>
      <c r="C219" s="533">
        <f t="shared" ref="C219:Y219" si="33">C207-C214</f>
        <v>-300285.67999999993</v>
      </c>
      <c r="D219" s="533">
        <f t="shared" si="33"/>
        <v>0</v>
      </c>
      <c r="E219" s="533">
        <f t="shared" si="33"/>
        <v>-79978.540000000023</v>
      </c>
      <c r="F219" s="533">
        <f t="shared" si="33"/>
        <v>3504515.92</v>
      </c>
      <c r="G219" s="533">
        <f t="shared" si="33"/>
        <v>0</v>
      </c>
      <c r="H219" s="533">
        <f t="shared" si="33"/>
        <v>-931046.36</v>
      </c>
      <c r="I219" s="533">
        <f t="shared" si="33"/>
        <v>-97587.16</v>
      </c>
      <c r="J219" s="533">
        <f t="shared" si="33"/>
        <v>-148925.12999999998</v>
      </c>
      <c r="K219" s="533">
        <f t="shared" si="33"/>
        <v>0</v>
      </c>
      <c r="L219" s="533" t="e">
        <f t="shared" si="33"/>
        <v>#NAME?</v>
      </c>
      <c r="M219" s="533">
        <f t="shared" si="33"/>
        <v>-750916.99</v>
      </c>
      <c r="N219" s="533">
        <f t="shared" si="33"/>
        <v>0</v>
      </c>
      <c r="O219" s="533">
        <f t="shared" si="33"/>
        <v>-279659.57</v>
      </c>
      <c r="P219" s="533">
        <f t="shared" si="33"/>
        <v>-62616.149999999994</v>
      </c>
      <c r="Q219" s="533">
        <f t="shared" si="33"/>
        <v>-2.8421709430404007E-14</v>
      </c>
      <c r="R219" s="533">
        <f t="shared" si="33"/>
        <v>-209592.38</v>
      </c>
      <c r="S219" s="533">
        <f t="shared" si="33"/>
        <v>-46796.380000000005</v>
      </c>
      <c r="T219" s="533">
        <f t="shared" si="33"/>
        <v>-18700.78</v>
      </c>
      <c r="U219" s="533">
        <f t="shared" si="33"/>
        <v>0</v>
      </c>
      <c r="V219" s="533">
        <f t="shared" si="33"/>
        <v>-44090.5</v>
      </c>
      <c r="W219" s="533">
        <f t="shared" si="33"/>
        <v>-343331.16000000003</v>
      </c>
      <c r="X219" s="533">
        <f t="shared" si="33"/>
        <v>0</v>
      </c>
      <c r="Y219" s="533" t="e">
        <f t="shared" si="33"/>
        <v>#NAME?</v>
      </c>
      <c r="Z219" s="564"/>
    </row>
    <row r="220" spans="1:26" s="428" customFormat="1" ht="12.75" x14ac:dyDescent="0.2">
      <c r="A220" s="513" t="s">
        <v>741</v>
      </c>
      <c r="B220" s="516" t="s">
        <v>128</v>
      </c>
      <c r="C220" s="544" t="str">
        <f t="shared" ref="C220:Y220" si="34">IF(ISERROR(C219/C23),"",(C219/C23))</f>
        <v/>
      </c>
      <c r="D220" s="544" t="str">
        <f t="shared" si="34"/>
        <v/>
      </c>
      <c r="E220" s="544" t="str">
        <f t="shared" si="34"/>
        <v/>
      </c>
      <c r="F220" s="544">
        <f t="shared" si="34"/>
        <v>79975.260611592879</v>
      </c>
      <c r="G220" s="544" t="str">
        <f t="shared" si="34"/>
        <v/>
      </c>
      <c r="H220" s="544" t="str">
        <f t="shared" si="34"/>
        <v/>
      </c>
      <c r="I220" s="544" t="str">
        <f t="shared" si="34"/>
        <v/>
      </c>
      <c r="J220" s="544" t="str">
        <f t="shared" si="34"/>
        <v/>
      </c>
      <c r="K220" s="544" t="str">
        <f t="shared" si="34"/>
        <v/>
      </c>
      <c r="L220" s="544" t="str">
        <f t="shared" si="34"/>
        <v/>
      </c>
      <c r="M220" s="544">
        <f t="shared" si="34"/>
        <v>-4.8135704487179485</v>
      </c>
      <c r="N220" s="544" t="str">
        <f t="shared" si="34"/>
        <v/>
      </c>
      <c r="O220" s="544" t="str">
        <f t="shared" si="34"/>
        <v/>
      </c>
      <c r="P220" s="544" t="str">
        <f t="shared" si="34"/>
        <v/>
      </c>
      <c r="Q220" s="544" t="str">
        <f t="shared" si="34"/>
        <v/>
      </c>
      <c r="R220" s="544" t="str">
        <f t="shared" si="34"/>
        <v/>
      </c>
      <c r="S220" s="544">
        <f t="shared" si="34"/>
        <v>-7.729253689435045</v>
      </c>
      <c r="T220" s="544" t="str">
        <f t="shared" si="34"/>
        <v/>
      </c>
      <c r="U220" s="544" t="str">
        <f t="shared" si="34"/>
        <v/>
      </c>
      <c r="V220" s="544">
        <f t="shared" si="34"/>
        <v>2.2436908677881093</v>
      </c>
      <c r="W220" s="544" t="str">
        <f t="shared" si="34"/>
        <v/>
      </c>
      <c r="X220" s="544" t="str">
        <f t="shared" si="34"/>
        <v/>
      </c>
      <c r="Y220" s="544" t="str">
        <f t="shared" si="34"/>
        <v/>
      </c>
    </row>
    <row r="221" spans="1:26" s="428" customFormat="1" x14ac:dyDescent="0.25">
      <c r="A221" s="513"/>
      <c r="B221" s="534"/>
      <c r="C221" s="563"/>
      <c r="D221" s="563"/>
      <c r="E221" s="563"/>
      <c r="F221" s="563"/>
      <c r="G221" s="563"/>
      <c r="H221" s="563"/>
      <c r="I221" s="563"/>
      <c r="J221" s="563"/>
      <c r="K221" s="563"/>
      <c r="L221" s="563"/>
      <c r="M221" s="563"/>
      <c r="N221" s="563"/>
      <c r="O221" s="563"/>
      <c r="P221" s="563"/>
      <c r="Q221" s="563"/>
      <c r="R221" s="563"/>
      <c r="S221" s="563"/>
      <c r="T221" s="563"/>
      <c r="U221" s="563"/>
      <c r="V221" s="563"/>
      <c r="W221" s="563"/>
      <c r="X221" s="563"/>
      <c r="Y221" s="563"/>
    </row>
    <row r="222" spans="1:26" s="428" customFormat="1" ht="12.75" x14ac:dyDescent="0.2">
      <c r="A222" s="513"/>
      <c r="B222" s="516" t="s">
        <v>462</v>
      </c>
      <c r="C222" s="528"/>
      <c r="D222" s="528"/>
      <c r="E222" s="528"/>
      <c r="F222" s="528"/>
      <c r="G222" s="528"/>
      <c r="H222" s="528"/>
      <c r="I222" s="528"/>
      <c r="J222" s="528"/>
      <c r="K222" s="528"/>
      <c r="L222" s="528"/>
      <c r="M222" s="528"/>
      <c r="N222" s="528"/>
      <c r="O222" s="528"/>
      <c r="P222" s="528"/>
      <c r="Q222" s="528"/>
      <c r="R222" s="528"/>
      <c r="S222" s="528"/>
      <c r="T222" s="528"/>
      <c r="U222" s="528"/>
      <c r="V222" s="528"/>
      <c r="W222" s="528"/>
      <c r="X222" s="528"/>
      <c r="Y222" s="528"/>
    </row>
    <row r="223" spans="1:26" s="545" customFormat="1" ht="12.75" x14ac:dyDescent="0.2">
      <c r="A223" s="513">
        <v>81100</v>
      </c>
      <c r="B223" s="529" t="s">
        <v>742</v>
      </c>
      <c r="C223" s="530">
        <v>0</v>
      </c>
      <c r="D223" s="530">
        <v>0</v>
      </c>
      <c r="E223" s="530">
        <v>0</v>
      </c>
      <c r="F223" s="530">
        <v>0</v>
      </c>
      <c r="G223" s="530">
        <v>0</v>
      </c>
      <c r="H223" s="530">
        <v>0</v>
      </c>
      <c r="I223" s="530">
        <v>0</v>
      </c>
      <c r="J223" s="530">
        <v>0</v>
      </c>
      <c r="K223" s="530">
        <v>0</v>
      </c>
      <c r="L223" s="530" t="e">
        <v>#NAME?</v>
      </c>
      <c r="M223" s="530">
        <v>0</v>
      </c>
      <c r="N223" s="530">
        <v>0</v>
      </c>
      <c r="O223" s="530">
        <v>0</v>
      </c>
      <c r="P223" s="530">
        <v>0</v>
      </c>
      <c r="Q223" s="530">
        <v>0</v>
      </c>
      <c r="R223" s="530">
        <v>0</v>
      </c>
      <c r="S223" s="530">
        <v>0</v>
      </c>
      <c r="T223" s="530">
        <v>0</v>
      </c>
      <c r="U223" s="530">
        <v>0</v>
      </c>
      <c r="V223" s="530">
        <v>0</v>
      </c>
      <c r="W223" s="530">
        <v>0</v>
      </c>
      <c r="X223" s="530">
        <v>0</v>
      </c>
      <c r="Y223" s="530" t="e">
        <f t="shared" ref="Y223:Y233" si="35">SUM(C223:X223)</f>
        <v>#NAME?</v>
      </c>
    </row>
    <row r="224" spans="1:26" s="545" customFormat="1" ht="12.75" x14ac:dyDescent="0.2">
      <c r="A224" s="513">
        <v>81200</v>
      </c>
      <c r="B224" s="529" t="s">
        <v>743</v>
      </c>
      <c r="C224" s="530">
        <v>30.990000000000002</v>
      </c>
      <c r="D224" s="530">
        <v>0</v>
      </c>
      <c r="E224" s="530">
        <v>0</v>
      </c>
      <c r="F224" s="530">
        <v>5980.97</v>
      </c>
      <c r="G224" s="530">
        <v>0</v>
      </c>
      <c r="H224" s="530">
        <v>130.20000000000002</v>
      </c>
      <c r="I224" s="530">
        <v>0</v>
      </c>
      <c r="J224" s="530">
        <v>0</v>
      </c>
      <c r="K224" s="530">
        <v>0</v>
      </c>
      <c r="L224" s="530" t="e">
        <v>#NAME?</v>
      </c>
      <c r="M224" s="530">
        <v>0</v>
      </c>
      <c r="N224" s="530">
        <v>304.41000000000003</v>
      </c>
      <c r="O224" s="530">
        <v>0</v>
      </c>
      <c r="P224" s="530">
        <v>0</v>
      </c>
      <c r="Q224" s="530">
        <v>0</v>
      </c>
      <c r="R224" s="530">
        <v>0</v>
      </c>
      <c r="S224" s="530">
        <v>0</v>
      </c>
      <c r="T224" s="530">
        <v>0</v>
      </c>
      <c r="U224" s="530">
        <v>0</v>
      </c>
      <c r="V224" s="530">
        <v>0</v>
      </c>
      <c r="W224" s="530">
        <v>0</v>
      </c>
      <c r="X224" s="530">
        <v>0</v>
      </c>
      <c r="Y224" s="530" t="e">
        <f t="shared" si="35"/>
        <v>#NAME?</v>
      </c>
    </row>
    <row r="225" spans="1:25" s="545" customFormat="1" ht="12.75" x14ac:dyDescent="0.2">
      <c r="A225" s="513">
        <v>81201</v>
      </c>
      <c r="B225" s="529" t="s">
        <v>744</v>
      </c>
      <c r="C225" s="530">
        <v>0</v>
      </c>
      <c r="D225" s="530">
        <v>0</v>
      </c>
      <c r="E225" s="530">
        <v>0</v>
      </c>
      <c r="F225" s="530">
        <v>0</v>
      </c>
      <c r="G225" s="530">
        <v>0</v>
      </c>
      <c r="H225" s="530">
        <v>0</v>
      </c>
      <c r="I225" s="530">
        <v>0</v>
      </c>
      <c r="J225" s="530">
        <v>0</v>
      </c>
      <c r="K225" s="530">
        <v>0</v>
      </c>
      <c r="L225" s="530" t="e">
        <v>#NAME?</v>
      </c>
      <c r="M225" s="530">
        <v>0</v>
      </c>
      <c r="N225" s="530">
        <v>0</v>
      </c>
      <c r="O225" s="530">
        <v>0</v>
      </c>
      <c r="P225" s="530">
        <v>0</v>
      </c>
      <c r="Q225" s="530">
        <v>0</v>
      </c>
      <c r="R225" s="530">
        <v>0</v>
      </c>
      <c r="S225" s="530">
        <v>0</v>
      </c>
      <c r="T225" s="530">
        <v>0</v>
      </c>
      <c r="U225" s="530">
        <v>0</v>
      </c>
      <c r="V225" s="530">
        <v>0</v>
      </c>
      <c r="W225" s="530">
        <v>0</v>
      </c>
      <c r="X225" s="530">
        <v>0</v>
      </c>
      <c r="Y225" s="530" t="e">
        <f t="shared" si="35"/>
        <v>#NAME?</v>
      </c>
    </row>
    <row r="226" spans="1:25" s="545" customFormat="1" ht="12.75" x14ac:dyDescent="0.2">
      <c r="A226" s="513">
        <v>81250</v>
      </c>
      <c r="B226" s="529" t="s">
        <v>745</v>
      </c>
      <c r="C226" s="530">
        <v>0</v>
      </c>
      <c r="D226" s="530">
        <v>0</v>
      </c>
      <c r="E226" s="530">
        <v>0</v>
      </c>
      <c r="F226" s="530">
        <v>14186.21</v>
      </c>
      <c r="G226" s="530">
        <v>0</v>
      </c>
      <c r="H226" s="530">
        <v>0</v>
      </c>
      <c r="I226" s="530">
        <v>0</v>
      </c>
      <c r="J226" s="530">
        <v>0</v>
      </c>
      <c r="K226" s="530">
        <v>0</v>
      </c>
      <c r="L226" s="530" t="e">
        <v>#NAME?</v>
      </c>
      <c r="M226" s="530">
        <v>0</v>
      </c>
      <c r="N226" s="530">
        <v>0</v>
      </c>
      <c r="O226" s="530">
        <v>0</v>
      </c>
      <c r="P226" s="530">
        <v>0</v>
      </c>
      <c r="Q226" s="530">
        <v>0</v>
      </c>
      <c r="R226" s="530">
        <v>0</v>
      </c>
      <c r="S226" s="530">
        <v>0</v>
      </c>
      <c r="T226" s="530">
        <v>0</v>
      </c>
      <c r="U226" s="530">
        <v>0</v>
      </c>
      <c r="V226" s="530">
        <v>0</v>
      </c>
      <c r="W226" s="530">
        <v>0</v>
      </c>
      <c r="X226" s="530">
        <v>0</v>
      </c>
      <c r="Y226" s="530" t="e">
        <f t="shared" si="35"/>
        <v>#NAME?</v>
      </c>
    </row>
    <row r="227" spans="1:25" s="545" customFormat="1" ht="12.75" x14ac:dyDescent="0.2">
      <c r="A227" s="513">
        <v>81252</v>
      </c>
      <c r="B227" s="529" t="s">
        <v>746</v>
      </c>
      <c r="C227" s="530">
        <v>0</v>
      </c>
      <c r="D227" s="530">
        <v>0</v>
      </c>
      <c r="E227" s="530">
        <v>0</v>
      </c>
      <c r="F227" s="530">
        <v>0</v>
      </c>
      <c r="G227" s="530">
        <v>0</v>
      </c>
      <c r="H227" s="530">
        <v>0</v>
      </c>
      <c r="I227" s="530">
        <v>0</v>
      </c>
      <c r="J227" s="530">
        <v>0</v>
      </c>
      <c r="K227" s="530">
        <v>0</v>
      </c>
      <c r="L227" s="530" t="e">
        <v>#NAME?</v>
      </c>
      <c r="M227" s="530">
        <v>0</v>
      </c>
      <c r="N227" s="530">
        <v>0</v>
      </c>
      <c r="O227" s="530">
        <v>0</v>
      </c>
      <c r="P227" s="530">
        <v>0</v>
      </c>
      <c r="Q227" s="530">
        <v>0</v>
      </c>
      <c r="R227" s="530">
        <v>0</v>
      </c>
      <c r="S227" s="530">
        <v>0</v>
      </c>
      <c r="T227" s="530">
        <v>0</v>
      </c>
      <c r="U227" s="530">
        <v>0</v>
      </c>
      <c r="V227" s="530">
        <v>0</v>
      </c>
      <c r="W227" s="530">
        <v>0</v>
      </c>
      <c r="X227" s="530">
        <v>0</v>
      </c>
      <c r="Y227" s="530" t="e">
        <f t="shared" si="35"/>
        <v>#NAME?</v>
      </c>
    </row>
    <row r="228" spans="1:25" s="545" customFormat="1" ht="12.75" x14ac:dyDescent="0.2">
      <c r="A228" s="513">
        <v>81300</v>
      </c>
      <c r="B228" s="529" t="s">
        <v>747</v>
      </c>
      <c r="C228" s="530">
        <v>1145.25</v>
      </c>
      <c r="D228" s="530">
        <v>0</v>
      </c>
      <c r="E228" s="530">
        <v>1221.78</v>
      </c>
      <c r="F228" s="530">
        <v>26258.850000000002</v>
      </c>
      <c r="G228" s="530">
        <v>0</v>
      </c>
      <c r="H228" s="530">
        <v>3698.2599999999998</v>
      </c>
      <c r="I228" s="530">
        <v>771.33</v>
      </c>
      <c r="J228" s="530">
        <v>724.59</v>
      </c>
      <c r="K228" s="530">
        <v>0</v>
      </c>
      <c r="L228" s="530" t="e">
        <v>#NAME?</v>
      </c>
      <c r="M228" s="530">
        <v>89159.11</v>
      </c>
      <c r="N228" s="530">
        <v>1062.69</v>
      </c>
      <c r="O228" s="530">
        <v>532.11</v>
      </c>
      <c r="P228" s="530">
        <v>0</v>
      </c>
      <c r="Q228" s="530">
        <v>0</v>
      </c>
      <c r="R228" s="530">
        <v>396.72</v>
      </c>
      <c r="S228" s="530">
        <v>332.2</v>
      </c>
      <c r="T228" s="530">
        <v>258.33</v>
      </c>
      <c r="U228" s="530">
        <v>0</v>
      </c>
      <c r="V228" s="530">
        <v>0</v>
      </c>
      <c r="W228" s="530">
        <v>684.47</v>
      </c>
      <c r="X228" s="530">
        <v>0</v>
      </c>
      <c r="Y228" s="530" t="e">
        <f t="shared" si="35"/>
        <v>#NAME?</v>
      </c>
    </row>
    <row r="229" spans="1:25" s="545" customFormat="1" ht="12.75" x14ac:dyDescent="0.2">
      <c r="A229" s="513">
        <v>81301</v>
      </c>
      <c r="B229" s="529" t="s">
        <v>748</v>
      </c>
      <c r="C229" s="530">
        <v>0</v>
      </c>
      <c r="D229" s="530">
        <v>0</v>
      </c>
      <c r="E229" s="530">
        <v>0</v>
      </c>
      <c r="F229" s="530">
        <v>9034.36</v>
      </c>
      <c r="G229" s="530">
        <v>0</v>
      </c>
      <c r="H229" s="530">
        <v>2313.1099999999997</v>
      </c>
      <c r="I229" s="530">
        <v>0</v>
      </c>
      <c r="J229" s="530">
        <v>1505.06</v>
      </c>
      <c r="K229" s="530">
        <v>0</v>
      </c>
      <c r="L229" s="530" t="e">
        <v>#NAME?</v>
      </c>
      <c r="M229" s="530">
        <v>172307.49</v>
      </c>
      <c r="N229" s="530">
        <v>3902.37</v>
      </c>
      <c r="O229" s="530">
        <v>0</v>
      </c>
      <c r="P229" s="530">
        <v>0</v>
      </c>
      <c r="Q229" s="530">
        <v>0</v>
      </c>
      <c r="R229" s="530">
        <v>0</v>
      </c>
      <c r="S229" s="530">
        <v>30.689999999999998</v>
      </c>
      <c r="T229" s="530">
        <v>414.39</v>
      </c>
      <c r="U229" s="530">
        <v>0</v>
      </c>
      <c r="V229" s="530">
        <v>0</v>
      </c>
      <c r="W229" s="530">
        <v>0</v>
      </c>
      <c r="X229" s="530">
        <v>0</v>
      </c>
      <c r="Y229" s="530" t="e">
        <f t="shared" si="35"/>
        <v>#NAME?</v>
      </c>
    </row>
    <row r="230" spans="1:25" s="545" customFormat="1" ht="12.75" x14ac:dyDescent="0.2">
      <c r="A230" s="513">
        <v>81302</v>
      </c>
      <c r="B230" s="529" t="s">
        <v>749</v>
      </c>
      <c r="C230" s="530">
        <v>0</v>
      </c>
      <c r="D230" s="530">
        <v>0</v>
      </c>
      <c r="E230" s="530">
        <v>0</v>
      </c>
      <c r="F230" s="530">
        <v>0</v>
      </c>
      <c r="G230" s="530">
        <v>0</v>
      </c>
      <c r="H230" s="530">
        <v>0</v>
      </c>
      <c r="I230" s="530">
        <v>0</v>
      </c>
      <c r="J230" s="530">
        <v>0</v>
      </c>
      <c r="K230" s="530">
        <v>0</v>
      </c>
      <c r="L230" s="530" t="e">
        <v>#NAME?</v>
      </c>
      <c r="M230" s="530">
        <v>0</v>
      </c>
      <c r="N230" s="530">
        <v>0</v>
      </c>
      <c r="O230" s="530">
        <v>0</v>
      </c>
      <c r="P230" s="530">
        <v>0</v>
      </c>
      <c r="Q230" s="530">
        <v>0</v>
      </c>
      <c r="R230" s="530">
        <v>0</v>
      </c>
      <c r="S230" s="530">
        <v>0</v>
      </c>
      <c r="T230" s="530">
        <v>0</v>
      </c>
      <c r="U230" s="530">
        <v>0</v>
      </c>
      <c r="V230" s="530">
        <v>0</v>
      </c>
      <c r="W230" s="530">
        <v>0</v>
      </c>
      <c r="X230" s="530">
        <v>0</v>
      </c>
      <c r="Y230" s="530" t="e">
        <f t="shared" si="35"/>
        <v>#NAME?</v>
      </c>
    </row>
    <row r="231" spans="1:25" s="545" customFormat="1" ht="12.75" x14ac:dyDescent="0.2">
      <c r="A231" s="513">
        <v>81303</v>
      </c>
      <c r="B231" s="529" t="s">
        <v>750</v>
      </c>
      <c r="C231" s="530">
        <v>0</v>
      </c>
      <c r="D231" s="530">
        <v>0</v>
      </c>
      <c r="E231" s="530">
        <v>0</v>
      </c>
      <c r="F231" s="530">
        <v>0</v>
      </c>
      <c r="G231" s="530">
        <v>0</v>
      </c>
      <c r="H231" s="530">
        <v>0</v>
      </c>
      <c r="I231" s="530">
        <v>0</v>
      </c>
      <c r="J231" s="530">
        <v>0</v>
      </c>
      <c r="K231" s="530">
        <v>0</v>
      </c>
      <c r="L231" s="530" t="e">
        <v>#NAME?</v>
      </c>
      <c r="M231" s="530">
        <v>0</v>
      </c>
      <c r="N231" s="530">
        <v>0</v>
      </c>
      <c r="O231" s="530">
        <v>0</v>
      </c>
      <c r="P231" s="530">
        <v>0</v>
      </c>
      <c r="Q231" s="530">
        <v>0</v>
      </c>
      <c r="R231" s="530">
        <v>0</v>
      </c>
      <c r="S231" s="530">
        <v>0</v>
      </c>
      <c r="T231" s="530">
        <v>0</v>
      </c>
      <c r="U231" s="530">
        <v>0</v>
      </c>
      <c r="V231" s="530">
        <v>0</v>
      </c>
      <c r="W231" s="530">
        <v>0</v>
      </c>
      <c r="X231" s="530">
        <v>0</v>
      </c>
      <c r="Y231" s="530" t="e">
        <f t="shared" si="35"/>
        <v>#NAME?</v>
      </c>
    </row>
    <row r="232" spans="1:25" s="545" customFormat="1" ht="12.75" x14ac:dyDescent="0.2">
      <c r="A232" s="513">
        <v>81401</v>
      </c>
      <c r="B232" s="529" t="s">
        <v>751</v>
      </c>
      <c r="C232" s="530">
        <v>0</v>
      </c>
      <c r="D232" s="530">
        <v>0</v>
      </c>
      <c r="E232" s="530">
        <v>0</v>
      </c>
      <c r="F232" s="530">
        <v>6349.98</v>
      </c>
      <c r="G232" s="530">
        <v>0</v>
      </c>
      <c r="H232" s="530">
        <v>0</v>
      </c>
      <c r="I232" s="530">
        <v>0</v>
      </c>
      <c r="J232" s="530">
        <v>0</v>
      </c>
      <c r="K232" s="530">
        <v>0</v>
      </c>
      <c r="L232" s="530" t="e">
        <v>#NAME?</v>
      </c>
      <c r="M232" s="530">
        <v>0</v>
      </c>
      <c r="N232" s="530">
        <v>0</v>
      </c>
      <c r="O232" s="530">
        <v>74.22</v>
      </c>
      <c r="P232" s="530">
        <v>0</v>
      </c>
      <c r="Q232" s="530">
        <v>0</v>
      </c>
      <c r="R232" s="530">
        <v>0</v>
      </c>
      <c r="S232" s="530">
        <v>0</v>
      </c>
      <c r="T232" s="530">
        <v>35.910000000000004</v>
      </c>
      <c r="U232" s="530">
        <v>0</v>
      </c>
      <c r="V232" s="530">
        <v>0</v>
      </c>
      <c r="W232" s="530">
        <v>0</v>
      </c>
      <c r="X232" s="530">
        <v>0</v>
      </c>
      <c r="Y232" s="530" t="e">
        <f t="shared" si="35"/>
        <v>#NAME?</v>
      </c>
    </row>
    <row r="233" spans="1:25" s="545" customFormat="1" ht="12.75" x14ac:dyDescent="0.2">
      <c r="A233" s="513">
        <v>81610</v>
      </c>
      <c r="B233" s="529" t="s">
        <v>752</v>
      </c>
      <c r="C233" s="530">
        <v>0</v>
      </c>
      <c r="D233" s="530">
        <v>0</v>
      </c>
      <c r="E233" s="530">
        <v>0</v>
      </c>
      <c r="F233" s="530">
        <v>0</v>
      </c>
      <c r="G233" s="530">
        <v>0</v>
      </c>
      <c r="H233" s="530">
        <v>0</v>
      </c>
      <c r="I233" s="530">
        <v>0</v>
      </c>
      <c r="J233" s="530">
        <v>0</v>
      </c>
      <c r="K233" s="530">
        <v>0</v>
      </c>
      <c r="L233" s="530" t="e">
        <v>#NAME?</v>
      </c>
      <c r="M233" s="530">
        <v>0</v>
      </c>
      <c r="N233" s="530">
        <v>0</v>
      </c>
      <c r="O233" s="530">
        <v>0</v>
      </c>
      <c r="P233" s="530">
        <v>0</v>
      </c>
      <c r="Q233" s="530">
        <v>0</v>
      </c>
      <c r="R233" s="530">
        <v>0</v>
      </c>
      <c r="S233" s="530">
        <v>0</v>
      </c>
      <c r="T233" s="530">
        <v>0</v>
      </c>
      <c r="U233" s="530">
        <v>0</v>
      </c>
      <c r="V233" s="530">
        <v>0</v>
      </c>
      <c r="W233" s="530">
        <v>0</v>
      </c>
      <c r="X233" s="530">
        <v>0</v>
      </c>
      <c r="Y233" s="530" t="e">
        <f t="shared" si="35"/>
        <v>#NAME?</v>
      </c>
    </row>
    <row r="234" spans="1:25" s="428" customFormat="1" ht="12.75" x14ac:dyDescent="0.2">
      <c r="A234" s="513">
        <v>82950</v>
      </c>
      <c r="B234" s="536" t="s">
        <v>753</v>
      </c>
      <c r="C234" s="537">
        <f t="shared" ref="C234:Y234" si="36">SUM(C223:C233)</f>
        <v>1176.24</v>
      </c>
      <c r="D234" s="537">
        <f t="shared" si="36"/>
        <v>0</v>
      </c>
      <c r="E234" s="537">
        <f t="shared" si="36"/>
        <v>1221.78</v>
      </c>
      <c r="F234" s="537">
        <f t="shared" si="36"/>
        <v>61810.369999999995</v>
      </c>
      <c r="G234" s="537">
        <f t="shared" si="36"/>
        <v>0</v>
      </c>
      <c r="H234" s="537">
        <f t="shared" si="36"/>
        <v>6141.57</v>
      </c>
      <c r="I234" s="537">
        <f t="shared" si="36"/>
        <v>771.33</v>
      </c>
      <c r="J234" s="537">
        <f t="shared" si="36"/>
        <v>2229.65</v>
      </c>
      <c r="K234" s="537">
        <f t="shared" si="36"/>
        <v>0</v>
      </c>
      <c r="L234" s="537" t="e">
        <f t="shared" si="36"/>
        <v>#NAME?</v>
      </c>
      <c r="M234" s="537">
        <f t="shared" si="36"/>
        <v>261466.59999999998</v>
      </c>
      <c r="N234" s="537">
        <f t="shared" si="36"/>
        <v>5269.47</v>
      </c>
      <c r="O234" s="537">
        <f t="shared" si="36"/>
        <v>606.33000000000004</v>
      </c>
      <c r="P234" s="537">
        <f t="shared" si="36"/>
        <v>0</v>
      </c>
      <c r="Q234" s="537">
        <f t="shared" si="36"/>
        <v>0</v>
      </c>
      <c r="R234" s="537">
        <f t="shared" si="36"/>
        <v>396.72</v>
      </c>
      <c r="S234" s="537">
        <f t="shared" si="36"/>
        <v>362.89</v>
      </c>
      <c r="T234" s="537">
        <f t="shared" si="36"/>
        <v>708.63</v>
      </c>
      <c r="U234" s="537">
        <f t="shared" si="36"/>
        <v>0</v>
      </c>
      <c r="V234" s="537">
        <f t="shared" si="36"/>
        <v>0</v>
      </c>
      <c r="W234" s="537">
        <f t="shared" si="36"/>
        <v>684.47</v>
      </c>
      <c r="X234" s="537">
        <f t="shared" si="36"/>
        <v>0</v>
      </c>
      <c r="Y234" s="537" t="e">
        <f t="shared" si="36"/>
        <v>#NAME?</v>
      </c>
    </row>
    <row r="235" spans="1:25" s="428" customFormat="1" ht="12.75" x14ac:dyDescent="0.2">
      <c r="A235" s="513"/>
      <c r="B235" s="516"/>
      <c r="C235" s="528"/>
      <c r="D235" s="528"/>
      <c r="E235" s="528"/>
      <c r="F235" s="528"/>
      <c r="G235" s="528"/>
      <c r="H235" s="528"/>
      <c r="I235" s="528"/>
      <c r="J235" s="528"/>
      <c r="K235" s="528"/>
      <c r="L235" s="528"/>
      <c r="M235" s="528"/>
      <c r="N235" s="528"/>
      <c r="O235" s="528"/>
      <c r="P235" s="528"/>
      <c r="Q235" s="528"/>
      <c r="R235" s="528"/>
      <c r="S235" s="528"/>
      <c r="T235" s="528"/>
      <c r="U235" s="528"/>
      <c r="V235" s="528"/>
      <c r="W235" s="528"/>
      <c r="X235" s="528"/>
      <c r="Y235" s="528"/>
    </row>
    <row r="236" spans="1:25" s="428" customFormat="1" ht="12.75" x14ac:dyDescent="0.2">
      <c r="A236" s="513"/>
      <c r="B236" s="516" t="s">
        <v>754</v>
      </c>
      <c r="C236" s="528"/>
      <c r="D236" s="528"/>
      <c r="E236" s="528"/>
      <c r="F236" s="528"/>
      <c r="G236" s="528"/>
      <c r="H236" s="528"/>
      <c r="I236" s="528"/>
      <c r="J236" s="528"/>
      <c r="K236" s="528"/>
      <c r="L236" s="528"/>
      <c r="M236" s="528"/>
      <c r="N236" s="528"/>
      <c r="O236" s="528"/>
      <c r="P236" s="528"/>
      <c r="Q236" s="528"/>
      <c r="R236" s="528"/>
      <c r="S236" s="528"/>
      <c r="T236" s="528"/>
      <c r="U236" s="528"/>
      <c r="V236" s="528"/>
      <c r="W236" s="528"/>
      <c r="X236" s="528"/>
      <c r="Y236" s="528"/>
    </row>
    <row r="237" spans="1:25" s="545" customFormat="1" ht="12.75" x14ac:dyDescent="0.2">
      <c r="A237" s="513">
        <v>83200</v>
      </c>
      <c r="B237" s="553" t="s">
        <v>755</v>
      </c>
      <c r="C237" s="530">
        <v>0</v>
      </c>
      <c r="D237" s="530">
        <v>0</v>
      </c>
      <c r="E237" s="530">
        <v>0</v>
      </c>
      <c r="F237" s="530">
        <v>0</v>
      </c>
      <c r="G237" s="530">
        <v>0</v>
      </c>
      <c r="H237" s="530">
        <v>0</v>
      </c>
      <c r="I237" s="530">
        <v>0</v>
      </c>
      <c r="J237" s="530">
        <v>0</v>
      </c>
      <c r="K237" s="530">
        <v>0</v>
      </c>
      <c r="L237" s="530" t="e">
        <v>#NAME?</v>
      </c>
      <c r="M237" s="530">
        <v>0</v>
      </c>
      <c r="N237" s="530">
        <v>0</v>
      </c>
      <c r="O237" s="530">
        <v>0</v>
      </c>
      <c r="P237" s="530">
        <v>0</v>
      </c>
      <c r="Q237" s="530">
        <v>0</v>
      </c>
      <c r="R237" s="530">
        <v>0</v>
      </c>
      <c r="S237" s="530">
        <v>0</v>
      </c>
      <c r="T237" s="530">
        <v>0</v>
      </c>
      <c r="U237" s="530">
        <v>0</v>
      </c>
      <c r="V237" s="530">
        <v>0</v>
      </c>
      <c r="W237" s="530">
        <v>0</v>
      </c>
      <c r="X237" s="530">
        <v>0</v>
      </c>
      <c r="Y237" s="530" t="e">
        <f>SUM(C237:X237)</f>
        <v>#NAME?</v>
      </c>
    </row>
    <row r="238" spans="1:25" s="428" customFormat="1" ht="12.75" x14ac:dyDescent="0.2">
      <c r="A238" s="513">
        <v>83799</v>
      </c>
      <c r="B238" s="536" t="s">
        <v>756</v>
      </c>
      <c r="C238" s="537">
        <f t="shared" ref="C238:Y238" si="37">SUM(C237)</f>
        <v>0</v>
      </c>
      <c r="D238" s="537">
        <f t="shared" si="37"/>
        <v>0</v>
      </c>
      <c r="E238" s="537">
        <f t="shared" si="37"/>
        <v>0</v>
      </c>
      <c r="F238" s="537">
        <f t="shared" si="37"/>
        <v>0</v>
      </c>
      <c r="G238" s="537">
        <f t="shared" si="37"/>
        <v>0</v>
      </c>
      <c r="H238" s="537">
        <f t="shared" si="37"/>
        <v>0</v>
      </c>
      <c r="I238" s="537">
        <f t="shared" si="37"/>
        <v>0</v>
      </c>
      <c r="J238" s="537">
        <f t="shared" si="37"/>
        <v>0</v>
      </c>
      <c r="K238" s="537">
        <f t="shared" si="37"/>
        <v>0</v>
      </c>
      <c r="L238" s="537" t="e">
        <f t="shared" si="37"/>
        <v>#NAME?</v>
      </c>
      <c r="M238" s="537">
        <f t="shared" si="37"/>
        <v>0</v>
      </c>
      <c r="N238" s="537">
        <f t="shared" si="37"/>
        <v>0</v>
      </c>
      <c r="O238" s="537">
        <f t="shared" si="37"/>
        <v>0</v>
      </c>
      <c r="P238" s="537">
        <f t="shared" si="37"/>
        <v>0</v>
      </c>
      <c r="Q238" s="537">
        <f t="shared" si="37"/>
        <v>0</v>
      </c>
      <c r="R238" s="537">
        <f t="shared" si="37"/>
        <v>0</v>
      </c>
      <c r="S238" s="537">
        <f t="shared" si="37"/>
        <v>0</v>
      </c>
      <c r="T238" s="537">
        <f t="shared" si="37"/>
        <v>0</v>
      </c>
      <c r="U238" s="537">
        <f t="shared" si="37"/>
        <v>0</v>
      </c>
      <c r="V238" s="537">
        <f t="shared" si="37"/>
        <v>0</v>
      </c>
      <c r="W238" s="537">
        <f t="shared" si="37"/>
        <v>0</v>
      </c>
      <c r="X238" s="537">
        <f t="shared" si="37"/>
        <v>0</v>
      </c>
      <c r="Y238" s="537" t="e">
        <f t="shared" si="37"/>
        <v>#NAME?</v>
      </c>
    </row>
    <row r="239" spans="1:25" s="428" customFormat="1" ht="12.75" x14ac:dyDescent="0.2">
      <c r="A239" s="513"/>
      <c r="B239" s="516"/>
      <c r="C239" s="528"/>
      <c r="D239" s="528"/>
      <c r="E239" s="528"/>
      <c r="F239" s="528"/>
      <c r="G239" s="528"/>
      <c r="H239" s="528"/>
      <c r="I239" s="528"/>
      <c r="J239" s="528"/>
      <c r="K239" s="528"/>
      <c r="L239" s="528"/>
      <c r="M239" s="528"/>
      <c r="N239" s="528"/>
      <c r="O239" s="528"/>
      <c r="P239" s="528"/>
      <c r="Q239" s="528"/>
      <c r="R239" s="528"/>
      <c r="S239" s="528"/>
      <c r="T239" s="528"/>
      <c r="U239" s="528"/>
      <c r="V239" s="528"/>
      <c r="W239" s="528"/>
      <c r="X239" s="528"/>
      <c r="Y239" s="528"/>
    </row>
    <row r="240" spans="1:25" s="428" customFormat="1" ht="12.75" x14ac:dyDescent="0.2">
      <c r="A240" s="513"/>
      <c r="B240" s="516" t="s">
        <v>757</v>
      </c>
      <c r="C240" s="528"/>
      <c r="D240" s="528"/>
      <c r="E240" s="528"/>
      <c r="F240" s="528"/>
      <c r="G240" s="528"/>
      <c r="H240" s="528"/>
      <c r="I240" s="528"/>
      <c r="J240" s="528"/>
      <c r="K240" s="528"/>
      <c r="L240" s="528"/>
      <c r="M240" s="528"/>
      <c r="N240" s="528"/>
      <c r="O240" s="528"/>
      <c r="P240" s="528"/>
      <c r="Q240" s="528"/>
      <c r="R240" s="528"/>
      <c r="S240" s="528"/>
      <c r="T240" s="528"/>
      <c r="U240" s="528"/>
      <c r="V240" s="528"/>
      <c r="W240" s="528"/>
      <c r="X240" s="528"/>
      <c r="Y240" s="528"/>
    </row>
    <row r="241" spans="1:25" s="545" customFormat="1" ht="12.75" x14ac:dyDescent="0.2">
      <c r="A241" s="513">
        <v>83905</v>
      </c>
      <c r="B241" s="529" t="s">
        <v>758</v>
      </c>
      <c r="C241" s="530">
        <v>0</v>
      </c>
      <c r="D241" s="530">
        <v>0</v>
      </c>
      <c r="E241" s="530">
        <v>0</v>
      </c>
      <c r="F241" s="530">
        <v>0</v>
      </c>
      <c r="G241" s="530">
        <v>0</v>
      </c>
      <c r="H241" s="530">
        <v>0</v>
      </c>
      <c r="I241" s="530">
        <v>0</v>
      </c>
      <c r="J241" s="530">
        <v>0</v>
      </c>
      <c r="K241" s="530">
        <v>0</v>
      </c>
      <c r="L241" s="530" t="e">
        <v>#NAME?</v>
      </c>
      <c r="M241" s="530">
        <v>0</v>
      </c>
      <c r="N241" s="530">
        <v>0</v>
      </c>
      <c r="O241" s="530">
        <v>0</v>
      </c>
      <c r="P241" s="530">
        <v>0</v>
      </c>
      <c r="Q241" s="530">
        <v>0</v>
      </c>
      <c r="R241" s="530">
        <v>0</v>
      </c>
      <c r="S241" s="530">
        <v>0</v>
      </c>
      <c r="T241" s="530">
        <v>0</v>
      </c>
      <c r="U241" s="530">
        <v>0</v>
      </c>
      <c r="V241" s="530">
        <v>0</v>
      </c>
      <c r="W241" s="530">
        <v>0</v>
      </c>
      <c r="X241" s="530">
        <v>0</v>
      </c>
      <c r="Y241" s="530" t="e">
        <f>SUM(C241:X241)</f>
        <v>#NAME?</v>
      </c>
    </row>
    <row r="242" spans="1:25" s="545" customFormat="1" ht="12.75" x14ac:dyDescent="0.2">
      <c r="A242" s="513">
        <v>83929</v>
      </c>
      <c r="B242" s="529" t="s">
        <v>759</v>
      </c>
      <c r="C242" s="530">
        <v>0</v>
      </c>
      <c r="D242" s="530">
        <v>0</v>
      </c>
      <c r="E242" s="530">
        <v>0</v>
      </c>
      <c r="F242" s="530">
        <v>0</v>
      </c>
      <c r="G242" s="530">
        <v>0</v>
      </c>
      <c r="H242" s="530">
        <v>0</v>
      </c>
      <c r="I242" s="530">
        <v>0</v>
      </c>
      <c r="J242" s="530">
        <v>0</v>
      </c>
      <c r="K242" s="530">
        <v>0</v>
      </c>
      <c r="L242" s="530" t="e">
        <v>#NAME?</v>
      </c>
      <c r="M242" s="530">
        <v>0</v>
      </c>
      <c r="N242" s="530">
        <v>0</v>
      </c>
      <c r="O242" s="530">
        <v>0</v>
      </c>
      <c r="P242" s="530">
        <v>0</v>
      </c>
      <c r="Q242" s="530">
        <v>0</v>
      </c>
      <c r="R242" s="530">
        <v>0</v>
      </c>
      <c r="S242" s="530">
        <v>0</v>
      </c>
      <c r="T242" s="530">
        <v>0</v>
      </c>
      <c r="U242" s="530">
        <v>0</v>
      </c>
      <c r="V242" s="530">
        <v>0</v>
      </c>
      <c r="W242" s="530">
        <v>0</v>
      </c>
      <c r="X242" s="530">
        <v>0</v>
      </c>
      <c r="Y242" s="530" t="e">
        <f>SUM(C242:X242)</f>
        <v>#NAME?</v>
      </c>
    </row>
    <row r="243" spans="1:25" s="428" customFormat="1" ht="12.75" x14ac:dyDescent="0.2">
      <c r="A243" s="513"/>
      <c r="B243" s="516"/>
      <c r="C243" s="528"/>
      <c r="D243" s="528"/>
      <c r="E243" s="528"/>
      <c r="F243" s="528"/>
      <c r="G243" s="528"/>
      <c r="H243" s="528"/>
      <c r="I243" s="528"/>
      <c r="J243" s="528"/>
      <c r="K243" s="528"/>
      <c r="L243" s="528"/>
      <c r="M243" s="528"/>
      <c r="N243" s="528"/>
      <c r="O243" s="528"/>
      <c r="P243" s="528"/>
      <c r="Q243" s="528"/>
      <c r="R243" s="528"/>
      <c r="S243" s="528"/>
      <c r="T243" s="528"/>
      <c r="U243" s="528"/>
      <c r="V243" s="528"/>
      <c r="W243" s="528"/>
      <c r="X243" s="528"/>
      <c r="Y243" s="528"/>
    </row>
    <row r="244" spans="1:25" s="428" customFormat="1" ht="12.75" x14ac:dyDescent="0.2">
      <c r="A244" s="513">
        <v>84000</v>
      </c>
      <c r="B244" s="536" t="s">
        <v>760</v>
      </c>
      <c r="C244" s="537">
        <f t="shared" ref="C244:Y244" si="38">C234+C238+C241+C242</f>
        <v>1176.24</v>
      </c>
      <c r="D244" s="537">
        <f t="shared" si="38"/>
        <v>0</v>
      </c>
      <c r="E244" s="537">
        <f t="shared" si="38"/>
        <v>1221.78</v>
      </c>
      <c r="F244" s="537">
        <f t="shared" si="38"/>
        <v>61810.369999999995</v>
      </c>
      <c r="G244" s="537">
        <f t="shared" si="38"/>
        <v>0</v>
      </c>
      <c r="H244" s="537">
        <f t="shared" si="38"/>
        <v>6141.57</v>
      </c>
      <c r="I244" s="537">
        <f t="shared" si="38"/>
        <v>771.33</v>
      </c>
      <c r="J244" s="537">
        <f t="shared" si="38"/>
        <v>2229.65</v>
      </c>
      <c r="K244" s="537">
        <f t="shared" si="38"/>
        <v>0</v>
      </c>
      <c r="L244" s="537" t="e">
        <f t="shared" si="38"/>
        <v>#NAME?</v>
      </c>
      <c r="M244" s="537">
        <f t="shared" si="38"/>
        <v>261466.59999999998</v>
      </c>
      <c r="N244" s="537">
        <f t="shared" si="38"/>
        <v>5269.47</v>
      </c>
      <c r="O244" s="537">
        <f t="shared" si="38"/>
        <v>606.33000000000004</v>
      </c>
      <c r="P244" s="537">
        <f t="shared" si="38"/>
        <v>0</v>
      </c>
      <c r="Q244" s="537">
        <f t="shared" si="38"/>
        <v>0</v>
      </c>
      <c r="R244" s="537">
        <f t="shared" si="38"/>
        <v>396.72</v>
      </c>
      <c r="S244" s="537">
        <f t="shared" si="38"/>
        <v>362.89</v>
      </c>
      <c r="T244" s="537">
        <f t="shared" si="38"/>
        <v>708.63</v>
      </c>
      <c r="U244" s="537">
        <f t="shared" si="38"/>
        <v>0</v>
      </c>
      <c r="V244" s="537">
        <f t="shared" si="38"/>
        <v>0</v>
      </c>
      <c r="W244" s="537">
        <f t="shared" si="38"/>
        <v>684.47</v>
      </c>
      <c r="X244" s="537">
        <f t="shared" si="38"/>
        <v>0</v>
      </c>
      <c r="Y244" s="537" t="e">
        <f t="shared" si="38"/>
        <v>#NAME?</v>
      </c>
    </row>
    <row r="245" spans="1:25" s="428" customFormat="1" ht="12.75" x14ac:dyDescent="0.2">
      <c r="A245" s="513"/>
      <c r="B245" s="536"/>
      <c r="C245" s="537"/>
      <c r="D245" s="537"/>
      <c r="E245" s="537"/>
      <c r="F245" s="537"/>
      <c r="G245" s="537"/>
      <c r="H245" s="537"/>
      <c r="I245" s="537"/>
      <c r="J245" s="537"/>
      <c r="K245" s="537"/>
      <c r="L245" s="537"/>
      <c r="M245" s="537"/>
      <c r="N245" s="537"/>
      <c r="O245" s="537"/>
      <c r="P245" s="537"/>
      <c r="Q245" s="537"/>
      <c r="R245" s="537"/>
      <c r="S245" s="537"/>
      <c r="T245" s="537"/>
      <c r="U245" s="537"/>
      <c r="V245" s="537"/>
      <c r="W245" s="537"/>
      <c r="X245" s="537"/>
      <c r="Y245" s="537"/>
    </row>
    <row r="246" spans="1:25" s="428" customFormat="1" ht="12.75" x14ac:dyDescent="0.2">
      <c r="A246" s="513">
        <v>85000</v>
      </c>
      <c r="B246" s="536" t="s">
        <v>761</v>
      </c>
      <c r="C246" s="537">
        <f t="shared" ref="C246:Y246" si="39">C219-C234-C238-C195</f>
        <v>-301461.91999999993</v>
      </c>
      <c r="D246" s="537">
        <f t="shared" si="39"/>
        <v>0</v>
      </c>
      <c r="E246" s="537">
        <f t="shared" si="39"/>
        <v>-81200.320000000022</v>
      </c>
      <c r="F246" s="537">
        <f t="shared" si="39"/>
        <v>3442705.55</v>
      </c>
      <c r="G246" s="537">
        <f t="shared" si="39"/>
        <v>0</v>
      </c>
      <c r="H246" s="537">
        <f t="shared" si="39"/>
        <v>-937187.92999999993</v>
      </c>
      <c r="I246" s="537">
        <f t="shared" si="39"/>
        <v>-98358.49</v>
      </c>
      <c r="J246" s="537">
        <f t="shared" si="39"/>
        <v>-151154.77999999997</v>
      </c>
      <c r="K246" s="537">
        <f t="shared" si="39"/>
        <v>0</v>
      </c>
      <c r="L246" s="537" t="e">
        <f t="shared" si="39"/>
        <v>#NAME?</v>
      </c>
      <c r="M246" s="537">
        <f t="shared" si="39"/>
        <v>-1012383.59</v>
      </c>
      <c r="N246" s="537">
        <f t="shared" si="39"/>
        <v>-5269.47</v>
      </c>
      <c r="O246" s="537">
        <f t="shared" si="39"/>
        <v>-280265.90000000002</v>
      </c>
      <c r="P246" s="537">
        <f t="shared" si="39"/>
        <v>-62616.149999999994</v>
      </c>
      <c r="Q246" s="537">
        <f t="shared" si="39"/>
        <v>-2.8421709430404007E-14</v>
      </c>
      <c r="R246" s="537">
        <f t="shared" si="39"/>
        <v>-209989.1</v>
      </c>
      <c r="S246" s="537">
        <f t="shared" si="39"/>
        <v>373304.30999999994</v>
      </c>
      <c r="T246" s="537">
        <f t="shared" si="39"/>
        <v>-19409.41</v>
      </c>
      <c r="U246" s="537">
        <f t="shared" si="39"/>
        <v>0</v>
      </c>
      <c r="V246" s="537">
        <f t="shared" si="39"/>
        <v>-44090.5</v>
      </c>
      <c r="W246" s="537">
        <f t="shared" si="39"/>
        <v>-344015.63</v>
      </c>
      <c r="X246" s="537">
        <f t="shared" si="39"/>
        <v>0</v>
      </c>
      <c r="Y246" s="537" t="e">
        <f t="shared" si="39"/>
        <v>#NAME?</v>
      </c>
    </row>
    <row r="247" spans="1:25" s="428" customFormat="1" ht="12.75" x14ac:dyDescent="0.2">
      <c r="A247" s="513" t="s">
        <v>762</v>
      </c>
      <c r="B247" s="516" t="s">
        <v>128</v>
      </c>
      <c r="C247" s="544" t="str">
        <f t="shared" ref="C247:Y247" si="40">IF(ISERROR(C246/C23),"",(C246/C23))</f>
        <v/>
      </c>
      <c r="D247" s="544" t="str">
        <f t="shared" si="40"/>
        <v/>
      </c>
      <c r="E247" s="544" t="str">
        <f t="shared" si="40"/>
        <v/>
      </c>
      <c r="F247" s="544">
        <f t="shared" si="40"/>
        <v>78564.70903696942</v>
      </c>
      <c r="G247" s="544" t="str">
        <f t="shared" si="40"/>
        <v/>
      </c>
      <c r="H247" s="544" t="str">
        <f t="shared" si="40"/>
        <v/>
      </c>
      <c r="I247" s="544" t="str">
        <f t="shared" si="40"/>
        <v/>
      </c>
      <c r="J247" s="544" t="str">
        <f t="shared" si="40"/>
        <v/>
      </c>
      <c r="K247" s="544" t="str">
        <f t="shared" si="40"/>
        <v/>
      </c>
      <c r="L247" s="544" t="str">
        <f t="shared" si="40"/>
        <v/>
      </c>
      <c r="M247" s="544">
        <f t="shared" si="40"/>
        <v>-6.4896383974358969</v>
      </c>
      <c r="N247" s="544" t="str">
        <f t="shared" si="40"/>
        <v/>
      </c>
      <c r="O247" s="544" t="str">
        <f t="shared" si="40"/>
        <v/>
      </c>
      <c r="P247" s="544" t="str">
        <f t="shared" si="40"/>
        <v/>
      </c>
      <c r="Q247" s="544" t="str">
        <f t="shared" si="40"/>
        <v/>
      </c>
      <c r="R247" s="544" t="str">
        <f t="shared" si="40"/>
        <v/>
      </c>
      <c r="S247" s="544">
        <f t="shared" si="40"/>
        <v>61.65784010108267</v>
      </c>
      <c r="T247" s="544" t="str">
        <f t="shared" si="40"/>
        <v/>
      </c>
      <c r="U247" s="544" t="str">
        <f t="shared" si="40"/>
        <v/>
      </c>
      <c r="V247" s="544">
        <f t="shared" si="40"/>
        <v>2.2436908677881093</v>
      </c>
      <c r="W247" s="544" t="str">
        <f t="shared" si="40"/>
        <v/>
      </c>
      <c r="X247" s="544" t="str">
        <f t="shared" si="40"/>
        <v/>
      </c>
      <c r="Y247" s="544" t="str">
        <f t="shared" si="40"/>
        <v/>
      </c>
    </row>
    <row r="248" spans="1:25" s="428" customFormat="1" x14ac:dyDescent="0.25">
      <c r="A248" s="513"/>
      <c r="B248" s="534"/>
      <c r="C248" s="563"/>
      <c r="D248" s="563"/>
      <c r="E248" s="563"/>
      <c r="F248" s="563"/>
      <c r="G248" s="563"/>
      <c r="H248" s="563"/>
      <c r="I248" s="563"/>
      <c r="J248" s="563"/>
      <c r="K248" s="563"/>
      <c r="L248" s="563"/>
      <c r="M248" s="563"/>
      <c r="N248" s="563"/>
      <c r="O248" s="563"/>
      <c r="P248" s="563"/>
      <c r="Q248" s="563"/>
      <c r="R248" s="563"/>
      <c r="S248" s="563"/>
      <c r="T248" s="563"/>
      <c r="U248" s="563"/>
      <c r="V248" s="563"/>
      <c r="W248" s="563"/>
      <c r="X248" s="563"/>
      <c r="Y248" s="563"/>
    </row>
    <row r="249" spans="1:25" s="428" customFormat="1" ht="12.75" x14ac:dyDescent="0.2">
      <c r="A249" s="513"/>
      <c r="B249" s="516" t="s">
        <v>763</v>
      </c>
      <c r="C249" s="528"/>
      <c r="D249" s="528"/>
      <c r="E249" s="528"/>
      <c r="F249" s="528"/>
      <c r="G249" s="528"/>
      <c r="H249" s="528"/>
      <c r="I249" s="528"/>
      <c r="J249" s="528"/>
      <c r="K249" s="528"/>
      <c r="L249" s="528"/>
      <c r="M249" s="528"/>
      <c r="N249" s="528"/>
      <c r="O249" s="528"/>
      <c r="P249" s="528"/>
      <c r="Q249" s="528"/>
      <c r="R249" s="528"/>
      <c r="S249" s="528"/>
      <c r="T249" s="528"/>
      <c r="U249" s="528"/>
      <c r="V249" s="528"/>
      <c r="W249" s="528"/>
      <c r="X249" s="528"/>
      <c r="Y249" s="528"/>
    </row>
    <row r="250" spans="1:25" s="545" customFormat="1" ht="12.75" x14ac:dyDescent="0.2">
      <c r="A250" s="513">
        <v>85505</v>
      </c>
      <c r="B250" s="529" t="s">
        <v>764</v>
      </c>
      <c r="C250" s="530">
        <v>0</v>
      </c>
      <c r="D250" s="530">
        <v>0</v>
      </c>
      <c r="E250" s="530">
        <v>0</v>
      </c>
      <c r="F250" s="530">
        <v>0</v>
      </c>
      <c r="G250" s="530">
        <v>0</v>
      </c>
      <c r="H250" s="530">
        <v>0</v>
      </c>
      <c r="I250" s="530">
        <v>0</v>
      </c>
      <c r="J250" s="530">
        <v>0</v>
      </c>
      <c r="K250" s="530">
        <v>0</v>
      </c>
      <c r="L250" s="530" t="e">
        <v>#NAME?</v>
      </c>
      <c r="M250" s="530">
        <v>0</v>
      </c>
      <c r="N250" s="530">
        <v>0</v>
      </c>
      <c r="O250" s="530">
        <v>0</v>
      </c>
      <c r="P250" s="530">
        <v>0</v>
      </c>
      <c r="Q250" s="530">
        <v>0</v>
      </c>
      <c r="R250" s="530">
        <v>0</v>
      </c>
      <c r="S250" s="530">
        <v>6029.9400000000005</v>
      </c>
      <c r="T250" s="530">
        <v>0</v>
      </c>
      <c r="U250" s="530">
        <v>0</v>
      </c>
      <c r="V250" s="530">
        <v>0</v>
      </c>
      <c r="W250" s="530">
        <v>0</v>
      </c>
      <c r="X250" s="530">
        <v>0</v>
      </c>
      <c r="Y250" s="530" t="e">
        <f t="shared" ref="Y250:Y260" si="41">SUM(C250:X250)</f>
        <v>#NAME?</v>
      </c>
    </row>
    <row r="251" spans="1:25" s="545" customFormat="1" ht="12.75" x14ac:dyDescent="0.2">
      <c r="A251" s="513">
        <v>85506</v>
      </c>
      <c r="B251" s="529" t="s">
        <v>765</v>
      </c>
      <c r="C251" s="530">
        <v>0</v>
      </c>
      <c r="D251" s="530">
        <v>0</v>
      </c>
      <c r="E251" s="530">
        <v>0</v>
      </c>
      <c r="F251" s="530">
        <v>0</v>
      </c>
      <c r="G251" s="530">
        <v>0</v>
      </c>
      <c r="H251" s="530">
        <v>0</v>
      </c>
      <c r="I251" s="530">
        <v>0</v>
      </c>
      <c r="J251" s="530">
        <v>0</v>
      </c>
      <c r="K251" s="530">
        <v>0</v>
      </c>
      <c r="L251" s="530" t="e">
        <v>#NAME?</v>
      </c>
      <c r="M251" s="530">
        <v>0</v>
      </c>
      <c r="N251" s="530">
        <v>0</v>
      </c>
      <c r="O251" s="530">
        <v>0</v>
      </c>
      <c r="P251" s="530">
        <v>0</v>
      </c>
      <c r="Q251" s="530">
        <v>0</v>
      </c>
      <c r="R251" s="530">
        <v>0</v>
      </c>
      <c r="S251" s="530">
        <v>0</v>
      </c>
      <c r="T251" s="530">
        <v>0</v>
      </c>
      <c r="U251" s="530">
        <v>0</v>
      </c>
      <c r="V251" s="530">
        <v>0</v>
      </c>
      <c r="W251" s="530">
        <v>0</v>
      </c>
      <c r="X251" s="530">
        <v>0</v>
      </c>
      <c r="Y251" s="530" t="e">
        <f t="shared" si="41"/>
        <v>#NAME?</v>
      </c>
    </row>
    <row r="252" spans="1:25" s="545" customFormat="1" ht="12.75" x14ac:dyDescent="0.2">
      <c r="A252" s="513">
        <v>85510</v>
      </c>
      <c r="B252" s="529" t="s">
        <v>766</v>
      </c>
      <c r="C252" s="530">
        <v>0</v>
      </c>
      <c r="D252" s="530">
        <v>0</v>
      </c>
      <c r="E252" s="530">
        <v>0</v>
      </c>
      <c r="F252" s="530">
        <v>0</v>
      </c>
      <c r="G252" s="530">
        <v>0</v>
      </c>
      <c r="H252" s="530">
        <v>0</v>
      </c>
      <c r="I252" s="530">
        <v>0</v>
      </c>
      <c r="J252" s="530">
        <v>0</v>
      </c>
      <c r="K252" s="530">
        <v>0</v>
      </c>
      <c r="L252" s="530" t="e">
        <v>#NAME?</v>
      </c>
      <c r="M252" s="530">
        <v>0</v>
      </c>
      <c r="N252" s="530">
        <v>0</v>
      </c>
      <c r="O252" s="530">
        <v>0</v>
      </c>
      <c r="P252" s="530">
        <v>0</v>
      </c>
      <c r="Q252" s="530">
        <v>0</v>
      </c>
      <c r="R252" s="530">
        <v>0</v>
      </c>
      <c r="S252" s="530">
        <v>-612402.85</v>
      </c>
      <c r="T252" s="530">
        <v>0</v>
      </c>
      <c r="U252" s="530">
        <v>0</v>
      </c>
      <c r="V252" s="530">
        <v>0</v>
      </c>
      <c r="W252" s="530">
        <v>0</v>
      </c>
      <c r="X252" s="530">
        <v>0</v>
      </c>
      <c r="Y252" s="530" t="e">
        <f t="shared" si="41"/>
        <v>#NAME?</v>
      </c>
    </row>
    <row r="253" spans="1:25" s="545" customFormat="1" ht="12.75" x14ac:dyDescent="0.2">
      <c r="A253" s="513">
        <v>85520</v>
      </c>
      <c r="B253" s="529" t="s">
        <v>767</v>
      </c>
      <c r="C253" s="530">
        <v>0</v>
      </c>
      <c r="D253" s="530">
        <v>0</v>
      </c>
      <c r="E253" s="530">
        <v>0</v>
      </c>
      <c r="F253" s="530">
        <v>0</v>
      </c>
      <c r="G253" s="530">
        <v>0</v>
      </c>
      <c r="H253" s="530">
        <v>0</v>
      </c>
      <c r="I253" s="530">
        <v>0</v>
      </c>
      <c r="J253" s="530">
        <v>0</v>
      </c>
      <c r="K253" s="530">
        <v>0</v>
      </c>
      <c r="L253" s="530" t="e">
        <v>#NAME?</v>
      </c>
      <c r="M253" s="530">
        <v>0</v>
      </c>
      <c r="N253" s="530">
        <v>0</v>
      </c>
      <c r="O253" s="530">
        <v>0</v>
      </c>
      <c r="P253" s="530">
        <v>0</v>
      </c>
      <c r="Q253" s="530">
        <v>0</v>
      </c>
      <c r="R253" s="530">
        <v>0</v>
      </c>
      <c r="S253" s="530">
        <v>80046.590000000011</v>
      </c>
      <c r="T253" s="530">
        <v>0</v>
      </c>
      <c r="U253" s="530">
        <v>0</v>
      </c>
      <c r="V253" s="530">
        <v>0</v>
      </c>
      <c r="W253" s="530">
        <v>0</v>
      </c>
      <c r="X253" s="530">
        <v>0</v>
      </c>
      <c r="Y253" s="530" t="e">
        <f t="shared" si="41"/>
        <v>#NAME?</v>
      </c>
    </row>
    <row r="254" spans="1:25" s="545" customFormat="1" ht="12.75" x14ac:dyDescent="0.2">
      <c r="A254" s="513">
        <v>85530</v>
      </c>
      <c r="B254" s="529" t="s">
        <v>768</v>
      </c>
      <c r="C254" s="530">
        <v>0</v>
      </c>
      <c r="D254" s="530">
        <v>0</v>
      </c>
      <c r="E254" s="530">
        <v>0</v>
      </c>
      <c r="F254" s="530">
        <v>0</v>
      </c>
      <c r="G254" s="530">
        <v>0</v>
      </c>
      <c r="H254" s="530">
        <v>0</v>
      </c>
      <c r="I254" s="530">
        <v>0</v>
      </c>
      <c r="J254" s="530">
        <v>0</v>
      </c>
      <c r="K254" s="530">
        <v>0</v>
      </c>
      <c r="L254" s="530" t="e">
        <v>#NAME?</v>
      </c>
      <c r="M254" s="530">
        <v>0</v>
      </c>
      <c r="N254" s="530">
        <v>0</v>
      </c>
      <c r="O254" s="530">
        <v>0</v>
      </c>
      <c r="P254" s="530">
        <v>0</v>
      </c>
      <c r="Q254" s="530">
        <v>0</v>
      </c>
      <c r="R254" s="530">
        <v>0</v>
      </c>
      <c r="S254" s="530">
        <v>748301.81</v>
      </c>
      <c r="T254" s="530">
        <v>0</v>
      </c>
      <c r="U254" s="530">
        <v>0</v>
      </c>
      <c r="V254" s="530">
        <v>0</v>
      </c>
      <c r="W254" s="530">
        <v>0</v>
      </c>
      <c r="X254" s="530">
        <v>0</v>
      </c>
      <c r="Y254" s="530" t="e">
        <f t="shared" si="41"/>
        <v>#NAME?</v>
      </c>
    </row>
    <row r="255" spans="1:25" s="545" customFormat="1" ht="12.75" x14ac:dyDescent="0.2">
      <c r="A255" s="513">
        <v>85540</v>
      </c>
      <c r="B255" s="529" t="s">
        <v>769</v>
      </c>
      <c r="C255" s="530">
        <v>0</v>
      </c>
      <c r="D255" s="530">
        <v>0</v>
      </c>
      <c r="E255" s="530">
        <v>0</v>
      </c>
      <c r="F255" s="530">
        <v>0</v>
      </c>
      <c r="G255" s="530">
        <v>0</v>
      </c>
      <c r="H255" s="530">
        <v>0</v>
      </c>
      <c r="I255" s="530">
        <v>0</v>
      </c>
      <c r="J255" s="530">
        <v>0</v>
      </c>
      <c r="K255" s="530">
        <v>0</v>
      </c>
      <c r="L255" s="530" t="e">
        <v>#NAME?</v>
      </c>
      <c r="M255" s="530">
        <v>0</v>
      </c>
      <c r="N255" s="530">
        <v>0</v>
      </c>
      <c r="O255" s="530">
        <v>0</v>
      </c>
      <c r="P255" s="530">
        <v>0</v>
      </c>
      <c r="Q255" s="530">
        <v>0</v>
      </c>
      <c r="R255" s="530">
        <v>0</v>
      </c>
      <c r="S255" s="530">
        <v>34650</v>
      </c>
      <c r="T255" s="530">
        <v>0</v>
      </c>
      <c r="U255" s="530">
        <v>0</v>
      </c>
      <c r="V255" s="530">
        <v>0</v>
      </c>
      <c r="W255" s="530">
        <v>0</v>
      </c>
      <c r="X255" s="530">
        <v>0</v>
      </c>
      <c r="Y255" s="530" t="e">
        <f t="shared" si="41"/>
        <v>#NAME?</v>
      </c>
    </row>
    <row r="256" spans="1:25" s="545" customFormat="1" ht="12.75" x14ac:dyDescent="0.2">
      <c r="A256" s="513">
        <v>85545</v>
      </c>
      <c r="B256" s="529" t="s">
        <v>770</v>
      </c>
      <c r="C256" s="530">
        <v>0</v>
      </c>
      <c r="D256" s="530">
        <v>0</v>
      </c>
      <c r="E256" s="530">
        <v>0</v>
      </c>
      <c r="F256" s="530">
        <v>0</v>
      </c>
      <c r="G256" s="530">
        <v>0</v>
      </c>
      <c r="H256" s="530">
        <v>0</v>
      </c>
      <c r="I256" s="530">
        <v>0</v>
      </c>
      <c r="J256" s="530">
        <v>0</v>
      </c>
      <c r="K256" s="530">
        <v>0</v>
      </c>
      <c r="L256" s="530" t="e">
        <v>#NAME?</v>
      </c>
      <c r="M256" s="530">
        <v>0</v>
      </c>
      <c r="N256" s="530">
        <v>0</v>
      </c>
      <c r="O256" s="530">
        <v>0</v>
      </c>
      <c r="P256" s="530">
        <v>0</v>
      </c>
      <c r="Q256" s="530">
        <v>0</v>
      </c>
      <c r="R256" s="530">
        <v>0</v>
      </c>
      <c r="S256" s="530">
        <v>52961.189999999995</v>
      </c>
      <c r="T256" s="530">
        <v>0</v>
      </c>
      <c r="U256" s="530">
        <v>0</v>
      </c>
      <c r="V256" s="530">
        <v>0</v>
      </c>
      <c r="W256" s="530">
        <v>0</v>
      </c>
      <c r="X256" s="530">
        <v>0</v>
      </c>
      <c r="Y256" s="530" t="e">
        <f t="shared" si="41"/>
        <v>#NAME?</v>
      </c>
    </row>
    <row r="257" spans="1:25" s="545" customFormat="1" ht="12.75" x14ac:dyDescent="0.2">
      <c r="A257" s="513">
        <v>85546</v>
      </c>
      <c r="B257" s="529" t="s">
        <v>771</v>
      </c>
      <c r="C257" s="530">
        <v>0</v>
      </c>
      <c r="D257" s="530">
        <v>0</v>
      </c>
      <c r="E257" s="530">
        <v>0</v>
      </c>
      <c r="F257" s="530">
        <v>2998.5099999999998</v>
      </c>
      <c r="G257" s="530">
        <v>0</v>
      </c>
      <c r="H257" s="530">
        <v>0</v>
      </c>
      <c r="I257" s="530">
        <v>0</v>
      </c>
      <c r="J257" s="530">
        <v>0</v>
      </c>
      <c r="K257" s="530">
        <v>0</v>
      </c>
      <c r="L257" s="530" t="e">
        <v>#NAME?</v>
      </c>
      <c r="M257" s="530">
        <v>0</v>
      </c>
      <c r="N257" s="530">
        <v>0</v>
      </c>
      <c r="O257" s="530">
        <v>0</v>
      </c>
      <c r="P257" s="530">
        <v>0</v>
      </c>
      <c r="Q257" s="530">
        <v>0</v>
      </c>
      <c r="R257" s="530">
        <v>0</v>
      </c>
      <c r="S257" s="530">
        <v>0</v>
      </c>
      <c r="T257" s="530">
        <v>0</v>
      </c>
      <c r="U257" s="530">
        <v>0</v>
      </c>
      <c r="V257" s="530">
        <v>0</v>
      </c>
      <c r="W257" s="530">
        <v>0</v>
      </c>
      <c r="X257" s="530">
        <v>0</v>
      </c>
      <c r="Y257" s="530" t="e">
        <f t="shared" si="41"/>
        <v>#NAME?</v>
      </c>
    </row>
    <row r="258" spans="1:25" s="545" customFormat="1" ht="12.75" x14ac:dyDescent="0.2">
      <c r="A258" s="513">
        <v>85550</v>
      </c>
      <c r="B258" s="529" t="s">
        <v>772</v>
      </c>
      <c r="C258" s="530">
        <v>0</v>
      </c>
      <c r="D258" s="530">
        <v>0</v>
      </c>
      <c r="E258" s="530">
        <v>0</v>
      </c>
      <c r="F258" s="530">
        <v>0</v>
      </c>
      <c r="G258" s="530">
        <v>0</v>
      </c>
      <c r="H258" s="530">
        <v>0</v>
      </c>
      <c r="I258" s="530">
        <v>0</v>
      </c>
      <c r="J258" s="530">
        <v>0</v>
      </c>
      <c r="K258" s="530">
        <v>0</v>
      </c>
      <c r="L258" s="530" t="e">
        <v>#NAME?</v>
      </c>
      <c r="M258" s="530">
        <v>0</v>
      </c>
      <c r="N258" s="530">
        <v>0</v>
      </c>
      <c r="O258" s="530">
        <v>0</v>
      </c>
      <c r="P258" s="530">
        <v>0</v>
      </c>
      <c r="Q258" s="530">
        <v>0</v>
      </c>
      <c r="R258" s="530">
        <v>0</v>
      </c>
      <c r="S258" s="530">
        <v>0</v>
      </c>
      <c r="T258" s="530">
        <v>0</v>
      </c>
      <c r="U258" s="530">
        <v>0</v>
      </c>
      <c r="V258" s="530">
        <v>0</v>
      </c>
      <c r="W258" s="530">
        <v>0</v>
      </c>
      <c r="X258" s="530">
        <v>0</v>
      </c>
      <c r="Y258" s="530" t="e">
        <f t="shared" si="41"/>
        <v>#NAME?</v>
      </c>
    </row>
    <row r="259" spans="1:25" s="545" customFormat="1" ht="12.75" x14ac:dyDescent="0.2">
      <c r="A259" s="513">
        <v>85554</v>
      </c>
      <c r="B259" s="529" t="s">
        <v>773</v>
      </c>
      <c r="C259" s="530">
        <v>0</v>
      </c>
      <c r="D259" s="530">
        <v>0</v>
      </c>
      <c r="E259" s="530">
        <v>0</v>
      </c>
      <c r="F259" s="530">
        <v>0</v>
      </c>
      <c r="G259" s="530">
        <v>0</v>
      </c>
      <c r="H259" s="530">
        <v>0</v>
      </c>
      <c r="I259" s="530">
        <v>0</v>
      </c>
      <c r="J259" s="530">
        <v>0</v>
      </c>
      <c r="K259" s="530">
        <v>0</v>
      </c>
      <c r="L259" s="530" t="e">
        <v>#NAME?</v>
      </c>
      <c r="M259" s="530">
        <v>0</v>
      </c>
      <c r="N259" s="530">
        <v>0</v>
      </c>
      <c r="O259" s="530">
        <v>0</v>
      </c>
      <c r="P259" s="530">
        <v>0</v>
      </c>
      <c r="Q259" s="530">
        <v>0</v>
      </c>
      <c r="R259" s="530">
        <v>0</v>
      </c>
      <c r="S259" s="530">
        <v>0</v>
      </c>
      <c r="T259" s="530">
        <v>0</v>
      </c>
      <c r="U259" s="530">
        <v>0</v>
      </c>
      <c r="V259" s="530">
        <v>0</v>
      </c>
      <c r="W259" s="530">
        <v>0</v>
      </c>
      <c r="X259" s="530">
        <v>0</v>
      </c>
      <c r="Y259" s="530" t="e">
        <f t="shared" si="41"/>
        <v>#NAME?</v>
      </c>
    </row>
    <row r="260" spans="1:25" s="545" customFormat="1" ht="12.75" x14ac:dyDescent="0.2">
      <c r="A260" s="513">
        <v>85560</v>
      </c>
      <c r="B260" s="529" t="s">
        <v>774</v>
      </c>
      <c r="C260" s="530">
        <v>0</v>
      </c>
      <c r="D260" s="530">
        <v>0</v>
      </c>
      <c r="E260" s="530">
        <v>0</v>
      </c>
      <c r="F260" s="530">
        <v>0</v>
      </c>
      <c r="G260" s="530">
        <v>0</v>
      </c>
      <c r="H260" s="530">
        <v>0</v>
      </c>
      <c r="I260" s="530">
        <v>0</v>
      </c>
      <c r="J260" s="530">
        <v>0</v>
      </c>
      <c r="K260" s="530">
        <v>0</v>
      </c>
      <c r="L260" s="530" t="e">
        <v>#NAME?</v>
      </c>
      <c r="M260" s="530">
        <v>0</v>
      </c>
      <c r="N260" s="530">
        <v>0</v>
      </c>
      <c r="O260" s="530">
        <v>0</v>
      </c>
      <c r="P260" s="530">
        <v>0</v>
      </c>
      <c r="Q260" s="530">
        <v>0</v>
      </c>
      <c r="R260" s="530">
        <v>0</v>
      </c>
      <c r="S260" s="530">
        <v>2035962.6099999999</v>
      </c>
      <c r="T260" s="530">
        <v>0</v>
      </c>
      <c r="U260" s="530">
        <v>0</v>
      </c>
      <c r="V260" s="530">
        <v>0</v>
      </c>
      <c r="W260" s="530">
        <v>0</v>
      </c>
      <c r="X260" s="530">
        <v>0</v>
      </c>
      <c r="Y260" s="530" t="e">
        <f t="shared" si="41"/>
        <v>#NAME?</v>
      </c>
    </row>
    <row r="261" spans="1:25" s="428" customFormat="1" ht="12.75" x14ac:dyDescent="0.2">
      <c r="A261" s="513">
        <v>85950</v>
      </c>
      <c r="B261" s="536" t="s">
        <v>775</v>
      </c>
      <c r="C261" s="537">
        <f t="shared" ref="C261:Y261" si="42">SUM(C250:C260)</f>
        <v>0</v>
      </c>
      <c r="D261" s="537">
        <f t="shared" si="42"/>
        <v>0</v>
      </c>
      <c r="E261" s="537">
        <f t="shared" si="42"/>
        <v>0</v>
      </c>
      <c r="F261" s="537">
        <f t="shared" si="42"/>
        <v>2998.5099999999998</v>
      </c>
      <c r="G261" s="537">
        <f t="shared" si="42"/>
        <v>0</v>
      </c>
      <c r="H261" s="537">
        <f t="shared" si="42"/>
        <v>0</v>
      </c>
      <c r="I261" s="537">
        <f t="shared" si="42"/>
        <v>0</v>
      </c>
      <c r="J261" s="537">
        <f t="shared" si="42"/>
        <v>0</v>
      </c>
      <c r="K261" s="537">
        <f t="shared" si="42"/>
        <v>0</v>
      </c>
      <c r="L261" s="537" t="e">
        <f t="shared" si="42"/>
        <v>#NAME?</v>
      </c>
      <c r="M261" s="537">
        <f t="shared" si="42"/>
        <v>0</v>
      </c>
      <c r="N261" s="537">
        <f t="shared" si="42"/>
        <v>0</v>
      </c>
      <c r="O261" s="537">
        <f t="shared" si="42"/>
        <v>0</v>
      </c>
      <c r="P261" s="537">
        <f t="shared" si="42"/>
        <v>0</v>
      </c>
      <c r="Q261" s="537">
        <f t="shared" si="42"/>
        <v>0</v>
      </c>
      <c r="R261" s="537">
        <f t="shared" si="42"/>
        <v>0</v>
      </c>
      <c r="S261" s="537">
        <f t="shared" si="42"/>
        <v>2345549.29</v>
      </c>
      <c r="T261" s="537">
        <f t="shared" si="42"/>
        <v>0</v>
      </c>
      <c r="U261" s="537">
        <f t="shared" si="42"/>
        <v>0</v>
      </c>
      <c r="V261" s="537">
        <f t="shared" si="42"/>
        <v>0</v>
      </c>
      <c r="W261" s="537">
        <f t="shared" si="42"/>
        <v>0</v>
      </c>
      <c r="X261" s="537">
        <f t="shared" si="42"/>
        <v>0</v>
      </c>
      <c r="Y261" s="537" t="e">
        <f t="shared" si="42"/>
        <v>#NAME?</v>
      </c>
    </row>
    <row r="262" spans="1:25" s="428" customFormat="1" ht="12.75" x14ac:dyDescent="0.2">
      <c r="A262" s="513"/>
      <c r="B262" s="516"/>
      <c r="C262" s="528"/>
      <c r="D262" s="528"/>
      <c r="E262" s="528"/>
      <c r="F262" s="528"/>
      <c r="G262" s="528"/>
      <c r="H262" s="528"/>
      <c r="I262" s="528"/>
      <c r="J262" s="528"/>
      <c r="K262" s="528"/>
      <c r="L262" s="528"/>
      <c r="M262" s="528"/>
      <c r="N262" s="528"/>
      <c r="O262" s="528"/>
      <c r="P262" s="528"/>
      <c r="Q262" s="528"/>
      <c r="R262" s="528"/>
      <c r="S262" s="528"/>
      <c r="T262" s="528"/>
      <c r="U262" s="528"/>
      <c r="V262" s="528"/>
      <c r="W262" s="528"/>
      <c r="X262" s="528"/>
      <c r="Y262" s="528"/>
    </row>
    <row r="263" spans="1:25" s="428" customFormat="1" ht="12.75" x14ac:dyDescent="0.2">
      <c r="A263" s="513"/>
      <c r="B263" s="516" t="s">
        <v>776</v>
      </c>
      <c r="C263" s="528"/>
      <c r="D263" s="528"/>
      <c r="E263" s="528"/>
      <c r="F263" s="528"/>
      <c r="G263" s="528"/>
      <c r="H263" s="528"/>
      <c r="I263" s="528"/>
      <c r="J263" s="528"/>
      <c r="K263" s="528"/>
      <c r="L263" s="528"/>
      <c r="M263" s="528"/>
      <c r="N263" s="528"/>
      <c r="O263" s="528"/>
      <c r="P263" s="528"/>
      <c r="Q263" s="528"/>
      <c r="R263" s="528"/>
      <c r="S263" s="528"/>
      <c r="T263" s="528"/>
      <c r="U263" s="528"/>
      <c r="V263" s="528"/>
      <c r="W263" s="528"/>
      <c r="X263" s="528"/>
      <c r="Y263" s="528"/>
    </row>
    <row r="264" spans="1:25" s="428" customFormat="1" ht="12.75" x14ac:dyDescent="0.2">
      <c r="A264" s="513">
        <v>86100</v>
      </c>
      <c r="B264" s="516" t="s">
        <v>777</v>
      </c>
      <c r="C264" s="528"/>
      <c r="D264" s="528"/>
      <c r="E264" s="528"/>
      <c r="F264" s="528"/>
      <c r="G264" s="528"/>
      <c r="H264" s="528"/>
      <c r="I264" s="528"/>
      <c r="J264" s="528"/>
      <c r="K264" s="528"/>
      <c r="L264" s="528"/>
      <c r="M264" s="528"/>
      <c r="N264" s="528"/>
      <c r="O264" s="528"/>
      <c r="P264" s="528"/>
      <c r="Q264" s="528"/>
      <c r="R264" s="528"/>
      <c r="S264" s="528"/>
      <c r="T264" s="528"/>
      <c r="U264" s="528"/>
      <c r="V264" s="528"/>
      <c r="W264" s="528"/>
      <c r="X264" s="528"/>
      <c r="Y264" s="528"/>
    </row>
    <row r="265" spans="1:25" s="545" customFormat="1" ht="12.75" x14ac:dyDescent="0.2">
      <c r="A265" s="513" t="s">
        <v>778</v>
      </c>
      <c r="B265" s="553" t="s">
        <v>779</v>
      </c>
      <c r="C265" s="530">
        <v>0</v>
      </c>
      <c r="D265" s="530">
        <v>0</v>
      </c>
      <c r="E265" s="530">
        <v>0</v>
      </c>
      <c r="F265" s="530">
        <v>0</v>
      </c>
      <c r="G265" s="530">
        <v>0</v>
      </c>
      <c r="H265" s="530">
        <v>0</v>
      </c>
      <c r="I265" s="530">
        <v>0</v>
      </c>
      <c r="J265" s="530">
        <v>0</v>
      </c>
      <c r="K265" s="530">
        <v>0</v>
      </c>
      <c r="L265" s="530" t="e">
        <v>#NAME?</v>
      </c>
      <c r="M265" s="530">
        <v>0</v>
      </c>
      <c r="N265" s="530">
        <v>0</v>
      </c>
      <c r="O265" s="530">
        <v>0</v>
      </c>
      <c r="P265" s="530">
        <v>0</v>
      </c>
      <c r="Q265" s="530">
        <v>0</v>
      </c>
      <c r="R265" s="530">
        <v>0</v>
      </c>
      <c r="S265" s="530">
        <v>0</v>
      </c>
      <c r="T265" s="530">
        <v>0</v>
      </c>
      <c r="U265" s="530">
        <v>0</v>
      </c>
      <c r="V265" s="530">
        <v>0</v>
      </c>
      <c r="W265" s="530">
        <v>0</v>
      </c>
      <c r="X265" s="530">
        <v>0</v>
      </c>
      <c r="Y265" s="530" t="e">
        <f>SUM(C265:X265)</f>
        <v>#NAME?</v>
      </c>
    </row>
    <row r="266" spans="1:25" s="427" customFormat="1" x14ac:dyDescent="0.25">
      <c r="A266" s="513">
        <v>86300</v>
      </c>
      <c r="B266" s="537" t="s">
        <v>780</v>
      </c>
      <c r="C266" s="537">
        <f t="shared" ref="C266:Y266" si="43">SUM(C265)</f>
        <v>0</v>
      </c>
      <c r="D266" s="537">
        <f t="shared" si="43"/>
        <v>0</v>
      </c>
      <c r="E266" s="537">
        <f t="shared" si="43"/>
        <v>0</v>
      </c>
      <c r="F266" s="537">
        <f t="shared" si="43"/>
        <v>0</v>
      </c>
      <c r="G266" s="537">
        <f t="shared" si="43"/>
        <v>0</v>
      </c>
      <c r="H266" s="537">
        <f t="shared" si="43"/>
        <v>0</v>
      </c>
      <c r="I266" s="537">
        <f t="shared" si="43"/>
        <v>0</v>
      </c>
      <c r="J266" s="537">
        <f t="shared" si="43"/>
        <v>0</v>
      </c>
      <c r="K266" s="537">
        <f t="shared" si="43"/>
        <v>0</v>
      </c>
      <c r="L266" s="537" t="e">
        <f t="shared" si="43"/>
        <v>#NAME?</v>
      </c>
      <c r="M266" s="537">
        <f t="shared" si="43"/>
        <v>0</v>
      </c>
      <c r="N266" s="537">
        <f t="shared" si="43"/>
        <v>0</v>
      </c>
      <c r="O266" s="537">
        <f t="shared" si="43"/>
        <v>0</v>
      </c>
      <c r="P266" s="537">
        <f t="shared" si="43"/>
        <v>0</v>
      </c>
      <c r="Q266" s="537">
        <f t="shared" si="43"/>
        <v>0</v>
      </c>
      <c r="R266" s="537">
        <f t="shared" si="43"/>
        <v>0</v>
      </c>
      <c r="S266" s="537">
        <f t="shared" si="43"/>
        <v>0</v>
      </c>
      <c r="T266" s="537">
        <f t="shared" si="43"/>
        <v>0</v>
      </c>
      <c r="U266" s="537">
        <f t="shared" si="43"/>
        <v>0</v>
      </c>
      <c r="V266" s="537">
        <f t="shared" si="43"/>
        <v>0</v>
      </c>
      <c r="W266" s="537">
        <f t="shared" si="43"/>
        <v>0</v>
      </c>
      <c r="X266" s="537">
        <f t="shared" si="43"/>
        <v>0</v>
      </c>
      <c r="Y266" s="537" t="e">
        <f t="shared" si="43"/>
        <v>#NAME?</v>
      </c>
    </row>
    <row r="267" spans="1:25" s="428" customFormat="1" ht="12.75" x14ac:dyDescent="0.2">
      <c r="A267" s="513"/>
      <c r="B267" s="565"/>
      <c r="C267" s="537"/>
      <c r="D267" s="537"/>
      <c r="E267" s="537"/>
      <c r="F267" s="537"/>
      <c r="G267" s="537"/>
      <c r="H267" s="537"/>
      <c r="I267" s="537"/>
      <c r="J267" s="537"/>
      <c r="K267" s="537"/>
      <c r="L267" s="537"/>
      <c r="M267" s="537"/>
      <c r="N267" s="537"/>
      <c r="O267" s="537"/>
      <c r="P267" s="537"/>
      <c r="Q267" s="537"/>
      <c r="R267" s="537"/>
      <c r="S267" s="537"/>
      <c r="T267" s="537"/>
      <c r="U267" s="537"/>
      <c r="V267" s="537"/>
      <c r="W267" s="537"/>
      <c r="X267" s="537"/>
      <c r="Y267" s="537"/>
    </row>
    <row r="268" spans="1:25" s="428" customFormat="1" ht="12.75" x14ac:dyDescent="0.2">
      <c r="A268" s="513">
        <v>99999</v>
      </c>
      <c r="B268" s="565" t="s">
        <v>781</v>
      </c>
      <c r="C268" s="537">
        <f t="shared" ref="C268:Y268" si="44">-C261+C246-C266</f>
        <v>-301461.91999999993</v>
      </c>
      <c r="D268" s="537">
        <f t="shared" si="44"/>
        <v>0</v>
      </c>
      <c r="E268" s="537">
        <f t="shared" si="44"/>
        <v>-81200.320000000022</v>
      </c>
      <c r="F268" s="537">
        <f t="shared" si="44"/>
        <v>3439707.04</v>
      </c>
      <c r="G268" s="537">
        <f t="shared" si="44"/>
        <v>0</v>
      </c>
      <c r="H268" s="537">
        <f t="shared" si="44"/>
        <v>-937187.92999999993</v>
      </c>
      <c r="I268" s="537">
        <f t="shared" si="44"/>
        <v>-98358.49</v>
      </c>
      <c r="J268" s="537">
        <f t="shared" si="44"/>
        <v>-151154.77999999997</v>
      </c>
      <c r="K268" s="537">
        <f t="shared" si="44"/>
        <v>0</v>
      </c>
      <c r="L268" s="537" t="e">
        <f t="shared" si="44"/>
        <v>#NAME?</v>
      </c>
      <c r="M268" s="537">
        <f t="shared" si="44"/>
        <v>-1012383.59</v>
      </c>
      <c r="N268" s="537">
        <f t="shared" si="44"/>
        <v>-5269.47</v>
      </c>
      <c r="O268" s="537">
        <f t="shared" si="44"/>
        <v>-280265.90000000002</v>
      </c>
      <c r="P268" s="537">
        <f t="shared" si="44"/>
        <v>-62616.149999999994</v>
      </c>
      <c r="Q268" s="537">
        <f t="shared" si="44"/>
        <v>-2.8421709430404007E-14</v>
      </c>
      <c r="R268" s="537">
        <f t="shared" si="44"/>
        <v>-209989.1</v>
      </c>
      <c r="S268" s="537">
        <f t="shared" si="44"/>
        <v>-1972244.98</v>
      </c>
      <c r="T268" s="537">
        <f t="shared" si="44"/>
        <v>-19409.41</v>
      </c>
      <c r="U268" s="537">
        <f t="shared" si="44"/>
        <v>0</v>
      </c>
      <c r="V268" s="537">
        <f t="shared" si="44"/>
        <v>-44090.5</v>
      </c>
      <c r="W268" s="537">
        <f t="shared" si="44"/>
        <v>-344015.63</v>
      </c>
      <c r="X268" s="537">
        <f t="shared" si="44"/>
        <v>0</v>
      </c>
      <c r="Y268" s="537" t="e">
        <f t="shared" si="44"/>
        <v>#NAME?</v>
      </c>
    </row>
    <row r="269" spans="1:25" s="428" customFormat="1" ht="12.75" x14ac:dyDescent="0.2">
      <c r="A269" s="513"/>
      <c r="B269" s="566" t="s">
        <v>128</v>
      </c>
      <c r="C269" s="544" t="str">
        <f t="shared" ref="C269:Y269" si="45">IF(ISERROR(C268/C23),"",(C268/C23))</f>
        <v/>
      </c>
      <c r="D269" s="544" t="str">
        <f t="shared" si="45"/>
        <v/>
      </c>
      <c r="E269" s="544" t="str">
        <f t="shared" si="45"/>
        <v/>
      </c>
      <c r="F269" s="544">
        <f t="shared" si="45"/>
        <v>78496.281150159746</v>
      </c>
      <c r="G269" s="544" t="str">
        <f t="shared" si="45"/>
        <v/>
      </c>
      <c r="H269" s="544" t="str">
        <f t="shared" si="45"/>
        <v/>
      </c>
      <c r="I269" s="544" t="str">
        <f t="shared" si="45"/>
        <v/>
      </c>
      <c r="J269" s="544" t="str">
        <f t="shared" si="45"/>
        <v/>
      </c>
      <c r="K269" s="544" t="str">
        <f t="shared" si="45"/>
        <v/>
      </c>
      <c r="L269" s="544" t="str">
        <f t="shared" si="45"/>
        <v/>
      </c>
      <c r="M269" s="544">
        <f t="shared" si="45"/>
        <v>-6.4896383974358969</v>
      </c>
      <c r="N269" s="544" t="str">
        <f t="shared" si="45"/>
        <v/>
      </c>
      <c r="O269" s="544" t="str">
        <f t="shared" si="45"/>
        <v/>
      </c>
      <c r="P269" s="544" t="str">
        <f t="shared" si="45"/>
        <v/>
      </c>
      <c r="Q269" s="544" t="str">
        <f t="shared" si="45"/>
        <v/>
      </c>
      <c r="R269" s="544" t="str">
        <f t="shared" si="45"/>
        <v/>
      </c>
      <c r="S269" s="544">
        <f t="shared" si="45"/>
        <v>-325.75130358661812</v>
      </c>
      <c r="T269" s="544" t="str">
        <f t="shared" si="45"/>
        <v/>
      </c>
      <c r="U269" s="544" t="str">
        <f t="shared" si="45"/>
        <v/>
      </c>
      <c r="V269" s="544">
        <f t="shared" si="45"/>
        <v>2.2436908677881093</v>
      </c>
      <c r="W269" s="544" t="str">
        <f t="shared" si="45"/>
        <v/>
      </c>
      <c r="X269" s="544" t="str">
        <f t="shared" si="45"/>
        <v/>
      </c>
      <c r="Y269" s="544" t="str">
        <f t="shared" si="45"/>
        <v/>
      </c>
    </row>
    <row r="270" spans="1:25" s="428" customFormat="1" ht="12.75" x14ac:dyDescent="0.2">
      <c r="A270" s="513">
        <v>99999</v>
      </c>
      <c r="B270" s="567" t="s">
        <v>96</v>
      </c>
      <c r="C270" s="568">
        <v>0</v>
      </c>
      <c r="D270" s="568">
        <v>0</v>
      </c>
      <c r="E270" s="568">
        <v>0</v>
      </c>
      <c r="F270" s="568">
        <v>0</v>
      </c>
      <c r="G270" s="568">
        <v>0</v>
      </c>
      <c r="H270" s="568">
        <v>0</v>
      </c>
      <c r="I270" s="568">
        <v>0</v>
      </c>
      <c r="J270" s="568">
        <v>0</v>
      </c>
      <c r="K270" s="568">
        <v>0</v>
      </c>
      <c r="L270" s="568" t="e">
        <v>#NAME?</v>
      </c>
      <c r="M270" s="568">
        <v>0</v>
      </c>
      <c r="N270" s="568">
        <v>0</v>
      </c>
      <c r="O270" s="568">
        <v>0</v>
      </c>
      <c r="P270" s="568">
        <v>0</v>
      </c>
      <c r="Q270" s="568">
        <v>2.8421709430404007E-14</v>
      </c>
      <c r="R270" s="568">
        <v>0</v>
      </c>
      <c r="S270" s="568">
        <v>0</v>
      </c>
      <c r="T270" s="568">
        <v>0</v>
      </c>
      <c r="U270" s="568">
        <v>0</v>
      </c>
      <c r="V270" s="568">
        <v>0</v>
      </c>
      <c r="W270" s="568">
        <v>0</v>
      </c>
      <c r="X270" s="568">
        <v>0</v>
      </c>
      <c r="Y270" s="568" t="e">
        <v>#NAME?</v>
      </c>
    </row>
    <row r="271" spans="1:25" s="428" customFormat="1" x14ac:dyDescent="0.25">
      <c r="A271" s="513"/>
      <c r="B271" s="569"/>
      <c r="C271" s="563"/>
      <c r="D271" s="563"/>
      <c r="E271" s="563"/>
      <c r="F271" s="563"/>
      <c r="G271" s="563"/>
      <c r="H271" s="563"/>
      <c r="I271" s="563"/>
      <c r="J271" s="563"/>
      <c r="K271" s="563"/>
      <c r="L271" s="563"/>
      <c r="M271" s="563"/>
      <c r="N271" s="563"/>
      <c r="O271" s="563"/>
      <c r="P271" s="563"/>
      <c r="Q271" s="563"/>
      <c r="R271" s="563"/>
      <c r="S271" s="563"/>
      <c r="T271" s="563"/>
      <c r="U271" s="563"/>
      <c r="V271" s="563"/>
      <c r="W271" s="563"/>
      <c r="X271" s="563"/>
      <c r="Y271" s="563"/>
    </row>
    <row r="272" spans="1:25" s="428" customFormat="1" x14ac:dyDescent="0.25">
      <c r="A272" s="513"/>
      <c r="B272" s="413"/>
      <c r="C272" s="427"/>
      <c r="D272" s="427"/>
      <c r="E272" s="427"/>
      <c r="F272" s="427"/>
      <c r="G272" s="427"/>
      <c r="H272" s="427"/>
      <c r="I272" s="427"/>
      <c r="J272" s="427"/>
      <c r="K272" s="427"/>
      <c r="L272" s="427"/>
      <c r="M272" s="427"/>
      <c r="N272" s="427"/>
      <c r="O272" s="427"/>
      <c r="P272" s="427"/>
      <c r="Q272" s="427"/>
      <c r="R272" s="427"/>
      <c r="S272" s="427"/>
      <c r="T272" s="427"/>
      <c r="U272" s="427"/>
      <c r="V272" s="427"/>
      <c r="W272" s="427"/>
      <c r="X272" s="427"/>
      <c r="Y272" s="427"/>
    </row>
    <row r="273" spans="1:26" s="428" customFormat="1" ht="15.75" thickBot="1" x14ac:dyDescent="0.3">
      <c r="A273" s="513"/>
      <c r="B273" s="413"/>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row>
    <row r="274" spans="1:26" s="428" customFormat="1" ht="15.75" thickBot="1" x14ac:dyDescent="0.3">
      <c r="A274" s="513"/>
      <c r="B274" s="570" t="s">
        <v>782</v>
      </c>
      <c r="C274" s="571">
        <f t="shared" ref="C274:Y274" si="46">C246+C210+C195</f>
        <v>-301461.91999999993</v>
      </c>
      <c r="D274" s="571">
        <f t="shared" si="46"/>
        <v>0</v>
      </c>
      <c r="E274" s="571">
        <f t="shared" si="46"/>
        <v>-81200.320000000022</v>
      </c>
      <c r="F274" s="571">
        <f t="shared" si="46"/>
        <v>-1026067.4500000002</v>
      </c>
      <c r="G274" s="571">
        <f t="shared" si="46"/>
        <v>0</v>
      </c>
      <c r="H274" s="571">
        <f t="shared" si="46"/>
        <v>-937187.92999999993</v>
      </c>
      <c r="I274" s="571">
        <f t="shared" si="46"/>
        <v>-98358.49</v>
      </c>
      <c r="J274" s="571">
        <f t="shared" si="46"/>
        <v>-151154.77999999997</v>
      </c>
      <c r="K274" s="571">
        <f t="shared" si="46"/>
        <v>0</v>
      </c>
      <c r="L274" s="571" t="e">
        <f t="shared" si="46"/>
        <v>#NAME?</v>
      </c>
      <c r="M274" s="571">
        <f t="shared" si="46"/>
        <v>-1012383.59</v>
      </c>
      <c r="N274" s="571">
        <f t="shared" si="46"/>
        <v>-5269.47</v>
      </c>
      <c r="O274" s="571">
        <f t="shared" si="46"/>
        <v>-280265.90000000002</v>
      </c>
      <c r="P274" s="571">
        <f t="shared" si="46"/>
        <v>-62616.149999999994</v>
      </c>
      <c r="Q274" s="571">
        <f t="shared" si="46"/>
        <v>-2.8421709430404007E-14</v>
      </c>
      <c r="R274" s="571">
        <f t="shared" si="46"/>
        <v>-209989.1</v>
      </c>
      <c r="S274" s="571">
        <f t="shared" si="46"/>
        <v>-47159.270000000019</v>
      </c>
      <c r="T274" s="571">
        <f t="shared" si="46"/>
        <v>-19409.41</v>
      </c>
      <c r="U274" s="571">
        <f t="shared" si="46"/>
        <v>0</v>
      </c>
      <c r="V274" s="571">
        <f t="shared" si="46"/>
        <v>-44090.5</v>
      </c>
      <c r="W274" s="571">
        <f t="shared" si="46"/>
        <v>-344015.63</v>
      </c>
      <c r="X274" s="571">
        <f t="shared" si="46"/>
        <v>0</v>
      </c>
      <c r="Y274" s="572" t="e">
        <f t="shared" si="46"/>
        <v>#NAME?</v>
      </c>
    </row>
    <row r="275" spans="1:26" s="428" customFormat="1" x14ac:dyDescent="0.25">
      <c r="A275" s="513"/>
      <c r="B275" s="413"/>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row>
    <row r="276" spans="1:26" s="428" customFormat="1" x14ac:dyDescent="0.25">
      <c r="A276" s="513"/>
      <c r="B276" s="413"/>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row>
    <row r="277" spans="1:26" s="428" customFormat="1" x14ac:dyDescent="0.25">
      <c r="A277" s="513"/>
      <c r="B277" s="413"/>
      <c r="C277" s="427"/>
      <c r="D277" s="427"/>
      <c r="E277" s="427"/>
      <c r="F277" s="427"/>
      <c r="G277" s="427"/>
      <c r="H277" s="427"/>
      <c r="I277" s="427"/>
      <c r="J277" s="427"/>
      <c r="K277" s="427"/>
      <c r="L277" s="427"/>
      <c r="M277" s="427"/>
      <c r="N277" s="427"/>
      <c r="O277" s="427"/>
      <c r="P277" s="427"/>
      <c r="Q277" s="427"/>
      <c r="R277" s="427"/>
      <c r="S277" s="427"/>
      <c r="T277" s="427"/>
      <c r="U277" s="427"/>
      <c r="V277" s="427"/>
      <c r="W277" s="427"/>
      <c r="X277" s="427"/>
      <c r="Y277" s="427"/>
      <c r="Z277" s="427"/>
    </row>
    <row r="278" spans="1:26" s="428" customFormat="1" x14ac:dyDescent="0.25">
      <c r="A278" s="513"/>
      <c r="B278" s="413"/>
      <c r="C278" s="427"/>
      <c r="D278" s="427"/>
      <c r="E278" s="427"/>
      <c r="F278" s="427"/>
      <c r="G278" s="427"/>
      <c r="H278" s="427"/>
      <c r="I278" s="427"/>
      <c r="J278" s="427"/>
      <c r="K278" s="427"/>
      <c r="L278" s="427"/>
      <c r="M278" s="427"/>
      <c r="N278" s="427"/>
      <c r="O278" s="427"/>
      <c r="P278" s="427"/>
      <c r="Q278" s="427"/>
      <c r="R278" s="427"/>
      <c r="S278" s="427"/>
      <c r="T278" s="427"/>
      <c r="U278" s="427"/>
      <c r="V278" s="427"/>
      <c r="W278" s="427"/>
      <c r="X278" s="427"/>
      <c r="Y278" s="427"/>
      <c r="Z278" s="427"/>
    </row>
    <row r="279" spans="1:26" s="428" customFormat="1" x14ac:dyDescent="0.25">
      <c r="A279" s="513"/>
      <c r="B279" s="413"/>
      <c r="C279" s="427"/>
      <c r="D279" s="427"/>
      <c r="E279" s="427"/>
      <c r="F279" s="427"/>
      <c r="G279" s="427"/>
      <c r="H279" s="427"/>
      <c r="I279" s="427"/>
      <c r="J279" s="427"/>
      <c r="K279" s="427"/>
      <c r="L279" s="427"/>
      <c r="M279" s="427"/>
      <c r="N279" s="427"/>
      <c r="O279" s="427"/>
      <c r="P279" s="427"/>
      <c r="Q279" s="427"/>
      <c r="R279" s="427"/>
      <c r="S279" s="427"/>
      <c r="T279" s="427"/>
      <c r="U279" s="427"/>
      <c r="V279" s="427"/>
      <c r="W279" s="427"/>
      <c r="X279" s="427"/>
      <c r="Y279" s="427"/>
      <c r="Z279" s="427"/>
    </row>
    <row r="280" spans="1:26" s="428" customFormat="1" x14ac:dyDescent="0.25">
      <c r="A280" s="513"/>
      <c r="B280" s="413"/>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row>
    <row r="281" spans="1:26" s="428" customFormat="1" x14ac:dyDescent="0.25">
      <c r="A281" s="513"/>
      <c r="B281" s="413"/>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row>
    <row r="282" spans="1:26" s="428" customFormat="1" x14ac:dyDescent="0.25">
      <c r="A282" s="513"/>
      <c r="B282" s="413"/>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row>
    <row r="283" spans="1:26" s="428" customFormat="1" x14ac:dyDescent="0.25">
      <c r="A283" s="513"/>
      <c r="B283" s="413"/>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row>
    <row r="284" spans="1:26" s="428" customFormat="1" x14ac:dyDescent="0.25">
      <c r="A284" s="513"/>
      <c r="B284" s="413"/>
      <c r="C284" s="427"/>
      <c r="D284" s="427"/>
      <c r="E284" s="427"/>
      <c r="F284" s="427"/>
      <c r="G284" s="427"/>
      <c r="H284" s="427"/>
      <c r="I284" s="427"/>
      <c r="J284" s="427"/>
      <c r="K284" s="427"/>
      <c r="L284" s="427"/>
      <c r="M284" s="427"/>
      <c r="N284" s="427"/>
      <c r="O284" s="427"/>
      <c r="P284" s="427"/>
      <c r="Q284" s="427"/>
      <c r="R284" s="427"/>
      <c r="S284" s="427"/>
      <c r="T284" s="427"/>
      <c r="U284" s="427"/>
      <c r="V284" s="427"/>
      <c r="W284" s="427"/>
      <c r="X284" s="427"/>
      <c r="Y284" s="427"/>
      <c r="Z284" s="427"/>
    </row>
    <row r="285" spans="1:26" s="428" customFormat="1" x14ac:dyDescent="0.25">
      <c r="A285" s="513"/>
      <c r="B285" s="413"/>
      <c r="C285" s="427"/>
      <c r="D285" s="427"/>
      <c r="E285" s="427"/>
      <c r="F285" s="427"/>
      <c r="G285" s="427"/>
      <c r="H285" s="427"/>
      <c r="I285" s="427"/>
      <c r="J285" s="427"/>
      <c r="K285" s="427"/>
      <c r="L285" s="427"/>
      <c r="M285" s="427"/>
      <c r="N285" s="427"/>
      <c r="O285" s="427"/>
      <c r="P285" s="427"/>
      <c r="Q285" s="427"/>
      <c r="R285" s="427"/>
      <c r="S285" s="427"/>
      <c r="T285" s="427"/>
      <c r="U285" s="427"/>
      <c r="V285" s="427"/>
      <c r="W285" s="427"/>
      <c r="X285" s="427"/>
      <c r="Y285" s="427"/>
      <c r="Z285" s="427"/>
    </row>
    <row r="286" spans="1:26" s="428" customFormat="1" x14ac:dyDescent="0.25">
      <c r="A286" s="513"/>
      <c r="B286" s="413"/>
      <c r="C286" s="427"/>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427"/>
    </row>
    <row r="287" spans="1:26" s="428" customFormat="1" x14ac:dyDescent="0.25">
      <c r="A287" s="513"/>
      <c r="B287" s="413"/>
      <c r="C287" s="427"/>
      <c r="D287" s="427"/>
      <c r="E287" s="427"/>
      <c r="F287" s="427"/>
      <c r="G287" s="427"/>
      <c r="H287" s="427"/>
      <c r="I287" s="427"/>
      <c r="J287" s="427"/>
      <c r="K287" s="427"/>
      <c r="L287" s="427"/>
      <c r="M287" s="427"/>
      <c r="N287" s="427"/>
      <c r="O287" s="427"/>
      <c r="P287" s="427"/>
      <c r="Q287" s="427"/>
      <c r="R287" s="427"/>
      <c r="S287" s="427"/>
      <c r="T287" s="427"/>
      <c r="U287" s="427"/>
      <c r="V287" s="427"/>
      <c r="W287" s="427"/>
      <c r="X287" s="427"/>
      <c r="Y287" s="427"/>
      <c r="Z287" s="427"/>
    </row>
    <row r="288" spans="1:26" s="428" customFormat="1" x14ac:dyDescent="0.25">
      <c r="A288" s="513"/>
      <c r="B288" s="413"/>
      <c r="C288" s="427"/>
      <c r="D288" s="427"/>
      <c r="E288" s="427"/>
      <c r="F288" s="427"/>
      <c r="G288" s="427"/>
      <c r="H288" s="427"/>
      <c r="I288" s="427"/>
      <c r="J288" s="427"/>
      <c r="K288" s="427"/>
      <c r="L288" s="427"/>
      <c r="M288" s="427"/>
      <c r="N288" s="427"/>
      <c r="O288" s="427"/>
      <c r="P288" s="427"/>
      <c r="Q288" s="427"/>
      <c r="R288" s="427"/>
      <c r="S288" s="427"/>
      <c r="T288" s="427"/>
      <c r="U288" s="427"/>
      <c r="V288" s="427"/>
      <c r="W288" s="427"/>
      <c r="X288" s="427"/>
      <c r="Y288" s="427"/>
      <c r="Z288" s="427"/>
    </row>
    <row r="289" spans="1:26" s="428" customFormat="1" x14ac:dyDescent="0.25">
      <c r="A289" s="513"/>
      <c r="B289" s="413"/>
      <c r="C289" s="427"/>
      <c r="D289" s="427"/>
      <c r="E289" s="427"/>
      <c r="F289" s="427"/>
      <c r="G289" s="427"/>
      <c r="H289" s="427"/>
      <c r="I289" s="427"/>
      <c r="J289" s="427"/>
      <c r="K289" s="427"/>
      <c r="L289" s="427"/>
      <c r="M289" s="427"/>
      <c r="N289" s="427"/>
      <c r="O289" s="427"/>
      <c r="P289" s="427"/>
      <c r="Q289" s="427"/>
      <c r="R289" s="427"/>
      <c r="S289" s="427"/>
      <c r="T289" s="427"/>
      <c r="U289" s="427"/>
      <c r="V289" s="427"/>
      <c r="W289" s="427"/>
      <c r="X289" s="427"/>
      <c r="Y289" s="427"/>
      <c r="Z289" s="427"/>
    </row>
  </sheetData>
  <pageMargins left="0.75" right="0.75" top="1" bottom="1" header="0.5" footer="0.5"/>
  <pageSetup orientation="landscape" r:id="rId1"/>
  <headerFooter alignWithMargins="0">
    <oddHeader>&amp;R&amp;D
akim
Page &amp;P</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291"/>
  <sheetViews>
    <sheetView zoomScaleNormal="100" workbookViewId="0">
      <pane xSplit="2" ySplit="8" topLeftCell="C186" activePane="bottomRight" state="frozen"/>
      <selection activeCell="O37" sqref="O37"/>
      <selection pane="topRight" activeCell="O37" sqref="O37"/>
      <selection pane="bottomLeft" activeCell="O37" sqref="O37"/>
      <selection pane="bottomRight" activeCell="C3" sqref="C3"/>
    </sheetView>
  </sheetViews>
  <sheetFormatPr defaultRowHeight="15" x14ac:dyDescent="0.25"/>
  <cols>
    <col min="1" max="1" width="13" style="513" customWidth="1"/>
    <col min="2" max="2" width="40.5703125" style="413" customWidth="1"/>
    <col min="3" max="3" width="15.5703125" style="414" customWidth="1"/>
    <col min="4" max="8" width="13.7109375" style="414" customWidth="1"/>
    <col min="9" max="9" width="14.5703125" style="414" customWidth="1"/>
    <col min="10" max="14" width="13.7109375" style="414" customWidth="1"/>
    <col min="15" max="16384" width="9.140625" style="413"/>
  </cols>
  <sheetData>
    <row r="1" spans="1:14" s="511" customFormat="1" ht="12.75" x14ac:dyDescent="0.2">
      <c r="A1" s="510" t="s">
        <v>441</v>
      </c>
      <c r="C1" s="512"/>
      <c r="D1" s="512"/>
      <c r="E1" s="512"/>
      <c r="F1" s="512"/>
      <c r="G1" s="512"/>
      <c r="H1" s="512"/>
      <c r="I1" s="512"/>
      <c r="J1" s="512" t="s">
        <v>512</v>
      </c>
      <c r="K1" s="512"/>
      <c r="L1" s="512"/>
      <c r="M1" s="512"/>
      <c r="N1" s="512"/>
    </row>
    <row r="2" spans="1:14" x14ac:dyDescent="0.25">
      <c r="A2" s="513" t="s">
        <v>512</v>
      </c>
      <c r="B2" s="514" t="s">
        <v>513</v>
      </c>
    </row>
    <row r="3" spans="1:14" s="415" customFormat="1" ht="12.75" x14ac:dyDescent="0.2">
      <c r="A3" s="515"/>
      <c r="B3" s="516" t="s">
        <v>514</v>
      </c>
      <c r="C3" s="517" t="s">
        <v>1155</v>
      </c>
      <c r="D3" s="518"/>
      <c r="E3" s="518"/>
      <c r="F3" s="518"/>
      <c r="G3" s="518"/>
      <c r="H3" s="518"/>
      <c r="I3" s="518"/>
      <c r="J3" s="519"/>
      <c r="K3" s="519"/>
      <c r="L3" s="519"/>
      <c r="M3" s="519"/>
      <c r="N3" s="519"/>
    </row>
    <row r="4" spans="1:14" s="415" customFormat="1" ht="12.75" x14ac:dyDescent="0.2">
      <c r="A4" s="515"/>
      <c r="B4" s="516" t="s">
        <v>515</v>
      </c>
      <c r="C4" s="520" t="s">
        <v>516</v>
      </c>
      <c r="D4" s="518"/>
      <c r="E4" s="518"/>
      <c r="F4" s="518"/>
      <c r="G4" s="518"/>
      <c r="H4" s="518"/>
      <c r="I4" s="518"/>
      <c r="J4" s="518"/>
      <c r="K4" s="518"/>
      <c r="L4" s="518"/>
      <c r="M4" s="518"/>
      <c r="N4" s="518"/>
    </row>
    <row r="5" spans="1:14" s="415" customFormat="1" ht="12.75" x14ac:dyDescent="0.2">
      <c r="A5" s="515"/>
      <c r="B5" s="516" t="s">
        <v>783</v>
      </c>
      <c r="C5" s="518" t="s">
        <v>784</v>
      </c>
      <c r="D5" s="518"/>
      <c r="E5" s="518"/>
      <c r="F5" s="518"/>
      <c r="G5" s="518"/>
      <c r="H5" s="518"/>
      <c r="I5" s="518"/>
      <c r="J5" s="518"/>
      <c r="K5" s="518"/>
      <c r="L5" s="518"/>
      <c r="M5" s="518"/>
      <c r="N5" s="518"/>
    </row>
    <row r="6" spans="1:14" s="415" customFormat="1" ht="12.75" x14ac:dyDescent="0.2">
      <c r="A6" s="515"/>
      <c r="B6" s="516" t="s">
        <v>179</v>
      </c>
      <c r="C6" s="522" t="s">
        <v>166</v>
      </c>
      <c r="D6" s="518"/>
      <c r="E6" s="518"/>
      <c r="F6" s="518"/>
      <c r="G6" s="518"/>
      <c r="H6" s="518"/>
      <c r="I6" s="518"/>
      <c r="J6" s="518"/>
      <c r="K6" s="518"/>
      <c r="L6" s="518"/>
      <c r="M6" s="518"/>
      <c r="N6" s="518"/>
    </row>
    <row r="7" spans="1:14" s="415" customFormat="1" ht="12.75" x14ac:dyDescent="0.2">
      <c r="A7" s="515"/>
      <c r="B7" s="516" t="s">
        <v>518</v>
      </c>
      <c r="C7" s="573" t="s">
        <v>519</v>
      </c>
      <c r="D7" s="573" t="s">
        <v>521</v>
      </c>
      <c r="E7" s="573" t="s">
        <v>522</v>
      </c>
      <c r="F7" s="573" t="s">
        <v>524</v>
      </c>
      <c r="G7" s="573" t="s">
        <v>526</v>
      </c>
      <c r="H7" s="573" t="s">
        <v>531</v>
      </c>
      <c r="I7" s="573" t="s">
        <v>536</v>
      </c>
      <c r="J7" s="573" t="s">
        <v>537</v>
      </c>
      <c r="K7" s="573" t="s">
        <v>785</v>
      </c>
      <c r="L7" s="573" t="s">
        <v>540</v>
      </c>
      <c r="M7" s="528"/>
    </row>
    <row r="8" spans="1:14" s="415" customFormat="1" ht="12.75" x14ac:dyDescent="0.2">
      <c r="A8" s="515"/>
      <c r="B8" s="516" t="s">
        <v>541</v>
      </c>
      <c r="C8" s="573"/>
      <c r="D8" s="573"/>
      <c r="E8" s="573"/>
      <c r="F8" s="573"/>
      <c r="G8" s="573"/>
      <c r="H8" s="573"/>
      <c r="I8" s="573"/>
      <c r="J8" s="573"/>
      <c r="K8" s="573"/>
      <c r="L8" s="573" t="s">
        <v>542</v>
      </c>
      <c r="M8" s="528"/>
    </row>
    <row r="9" spans="1:14" ht="12.75" x14ac:dyDescent="0.2">
      <c r="B9" s="516" t="s">
        <v>543</v>
      </c>
      <c r="C9" s="522"/>
      <c r="D9" s="522"/>
      <c r="E9" s="522"/>
      <c r="F9" s="522"/>
      <c r="G9" s="522"/>
      <c r="H9" s="522"/>
      <c r="I9" s="522"/>
      <c r="J9" s="522"/>
      <c r="K9" s="522"/>
      <c r="L9" s="522"/>
      <c r="M9" s="522"/>
      <c r="N9" s="413"/>
    </row>
    <row r="10" spans="1:14" s="428" customFormat="1" ht="12.75" x14ac:dyDescent="0.2">
      <c r="A10" s="513"/>
      <c r="B10" s="516" t="s">
        <v>544</v>
      </c>
      <c r="C10" s="528"/>
      <c r="D10" s="528"/>
      <c r="E10" s="528"/>
      <c r="F10" s="528"/>
      <c r="G10" s="528"/>
      <c r="H10" s="528"/>
      <c r="I10" s="528"/>
      <c r="J10" s="528"/>
      <c r="K10" s="528"/>
      <c r="L10" s="528"/>
      <c r="M10" s="528"/>
    </row>
    <row r="11" spans="1:14" s="428" customFormat="1" ht="12.75" x14ac:dyDescent="0.2">
      <c r="A11" s="513">
        <v>42000</v>
      </c>
      <c r="B11" s="529" t="s">
        <v>545</v>
      </c>
      <c r="C11" s="530">
        <v>0</v>
      </c>
      <c r="D11" s="530">
        <v>0</v>
      </c>
      <c r="E11" s="530">
        <v>0</v>
      </c>
      <c r="F11" s="530">
        <v>0</v>
      </c>
      <c r="G11" s="530">
        <v>0</v>
      </c>
      <c r="H11" s="530">
        <v>0</v>
      </c>
      <c r="I11" s="530">
        <v>0</v>
      </c>
      <c r="J11" s="530">
        <v>0</v>
      </c>
      <c r="K11" s="530">
        <v>0</v>
      </c>
      <c r="L11" s="530">
        <v>0</v>
      </c>
      <c r="M11" s="530">
        <f>SUM(C11:L11)</f>
        <v>0</v>
      </c>
    </row>
    <row r="12" spans="1:14" s="428" customFormat="1" ht="12.75" x14ac:dyDescent="0.2">
      <c r="A12" s="513">
        <v>42099</v>
      </c>
      <c r="B12" s="514" t="s">
        <v>546</v>
      </c>
      <c r="C12" s="531">
        <v>0</v>
      </c>
      <c r="D12" s="531">
        <v>0</v>
      </c>
      <c r="E12" s="531">
        <v>0</v>
      </c>
      <c r="F12" s="531">
        <v>0</v>
      </c>
      <c r="G12" s="531">
        <v>0</v>
      </c>
      <c r="H12" s="531">
        <v>0</v>
      </c>
      <c r="I12" s="531">
        <v>0</v>
      </c>
      <c r="J12" s="531">
        <v>0</v>
      </c>
      <c r="K12" s="531">
        <v>0</v>
      </c>
      <c r="L12" s="531">
        <v>0</v>
      </c>
      <c r="M12" s="531">
        <f>SUM(C12:L12)</f>
        <v>0</v>
      </c>
    </row>
    <row r="13" spans="1:14" s="521" customFormat="1" ht="12.75" x14ac:dyDescent="0.2">
      <c r="A13" s="513">
        <v>42999</v>
      </c>
      <c r="B13" s="532" t="s">
        <v>547</v>
      </c>
      <c r="C13" s="533">
        <f t="shared" ref="C13:M13" si="0">SUM(C11:C12)</f>
        <v>0</v>
      </c>
      <c r="D13" s="533">
        <f t="shared" si="0"/>
        <v>0</v>
      </c>
      <c r="E13" s="533">
        <f t="shared" si="0"/>
        <v>0</v>
      </c>
      <c r="F13" s="533">
        <f t="shared" si="0"/>
        <v>0</v>
      </c>
      <c r="G13" s="533">
        <f t="shared" si="0"/>
        <v>0</v>
      </c>
      <c r="H13" s="533">
        <f t="shared" si="0"/>
        <v>0</v>
      </c>
      <c r="I13" s="533">
        <f t="shared" si="0"/>
        <v>0</v>
      </c>
      <c r="J13" s="533">
        <f t="shared" si="0"/>
        <v>0</v>
      </c>
      <c r="K13" s="533">
        <f t="shared" si="0"/>
        <v>0</v>
      </c>
      <c r="L13" s="533">
        <f t="shared" si="0"/>
        <v>0</v>
      </c>
      <c r="M13" s="533">
        <f t="shared" si="0"/>
        <v>0</v>
      </c>
    </row>
    <row r="14" spans="1:14" s="428" customFormat="1" ht="12.75" x14ac:dyDescent="0.2">
      <c r="A14" s="513"/>
      <c r="B14" s="516"/>
      <c r="C14" s="528"/>
      <c r="D14" s="528"/>
      <c r="E14" s="528"/>
      <c r="F14" s="528"/>
      <c r="G14" s="528"/>
      <c r="H14" s="528"/>
      <c r="I14" s="528"/>
      <c r="J14" s="528"/>
      <c r="K14" s="528"/>
      <c r="L14" s="528"/>
      <c r="M14" s="528"/>
    </row>
    <row r="15" spans="1:14" s="428" customFormat="1" ht="12.75" x14ac:dyDescent="0.2">
      <c r="A15" s="513"/>
      <c r="B15" s="516" t="s">
        <v>548</v>
      </c>
      <c r="C15" s="528"/>
      <c r="D15" s="528"/>
      <c r="E15" s="528"/>
      <c r="F15" s="528"/>
      <c r="G15" s="528"/>
      <c r="H15" s="528"/>
      <c r="I15" s="528"/>
      <c r="J15" s="528"/>
      <c r="K15" s="528"/>
      <c r="L15" s="528"/>
      <c r="M15" s="528"/>
    </row>
    <row r="16" spans="1:14" s="428" customFormat="1" ht="12.75" x14ac:dyDescent="0.2">
      <c r="A16" s="513">
        <v>48100</v>
      </c>
      <c r="B16" s="529" t="s">
        <v>549</v>
      </c>
      <c r="C16" s="530">
        <v>0</v>
      </c>
      <c r="D16" s="530">
        <v>0</v>
      </c>
      <c r="E16" s="530">
        <v>0</v>
      </c>
      <c r="F16" s="530">
        <v>0</v>
      </c>
      <c r="G16" s="530">
        <v>0</v>
      </c>
      <c r="H16" s="530">
        <v>0</v>
      </c>
      <c r="I16" s="530">
        <v>0</v>
      </c>
      <c r="J16" s="530">
        <v>0</v>
      </c>
      <c r="K16" s="530">
        <v>0</v>
      </c>
      <c r="L16" s="530">
        <v>0</v>
      </c>
      <c r="M16" s="530">
        <f>SUM(C16:L16)</f>
        <v>0</v>
      </c>
    </row>
    <row r="17" spans="1:13" s="428" customFormat="1" ht="12.75" x14ac:dyDescent="0.2">
      <c r="A17" s="513">
        <v>48095</v>
      </c>
      <c r="B17" s="534" t="s">
        <v>550</v>
      </c>
      <c r="C17" s="530">
        <v>0</v>
      </c>
      <c r="D17" s="530">
        <v>0</v>
      </c>
      <c r="E17" s="530">
        <v>0</v>
      </c>
      <c r="F17" s="530">
        <v>0</v>
      </c>
      <c r="G17" s="530">
        <v>0</v>
      </c>
      <c r="H17" s="530">
        <v>0</v>
      </c>
      <c r="I17" s="530">
        <v>0</v>
      </c>
      <c r="J17" s="530">
        <v>0</v>
      </c>
      <c r="K17" s="530">
        <v>0</v>
      </c>
      <c r="L17" s="530">
        <v>0</v>
      </c>
      <c r="M17" s="530">
        <f>SUM(C17:L17)</f>
        <v>0</v>
      </c>
    </row>
    <row r="18" spans="1:13" s="428" customFormat="1" ht="12.75" x14ac:dyDescent="0.2">
      <c r="A18" s="513" t="s">
        <v>551</v>
      </c>
      <c r="B18" s="534" t="s">
        <v>552</v>
      </c>
      <c r="C18" s="530">
        <v>0</v>
      </c>
      <c r="D18" s="530">
        <v>0</v>
      </c>
      <c r="E18" s="530">
        <v>0</v>
      </c>
      <c r="F18" s="530">
        <v>0</v>
      </c>
      <c r="G18" s="530">
        <v>0</v>
      </c>
      <c r="H18" s="530">
        <v>0</v>
      </c>
      <c r="I18" s="530">
        <v>0</v>
      </c>
      <c r="J18" s="530">
        <v>0</v>
      </c>
      <c r="K18" s="530">
        <v>0</v>
      </c>
      <c r="L18" s="530">
        <v>0</v>
      </c>
      <c r="M18" s="530">
        <f>SUM(C18:L18)</f>
        <v>0</v>
      </c>
    </row>
    <row r="19" spans="1:13" s="428" customFormat="1" ht="12.75" x14ac:dyDescent="0.2">
      <c r="A19" s="513">
        <v>48070</v>
      </c>
      <c r="B19" s="535" t="s">
        <v>553</v>
      </c>
      <c r="C19" s="530">
        <v>0</v>
      </c>
      <c r="D19" s="530">
        <v>0</v>
      </c>
      <c r="E19" s="530">
        <v>0</v>
      </c>
      <c r="F19" s="530">
        <v>0</v>
      </c>
      <c r="G19" s="530">
        <v>0</v>
      </c>
      <c r="H19" s="530">
        <v>0</v>
      </c>
      <c r="I19" s="530">
        <v>0</v>
      </c>
      <c r="J19" s="530">
        <v>0</v>
      </c>
      <c r="K19" s="530">
        <v>0</v>
      </c>
      <c r="L19" s="530">
        <v>0</v>
      </c>
      <c r="M19" s="530">
        <f>SUM(C19:L19)</f>
        <v>0</v>
      </c>
    </row>
    <row r="20" spans="1:13" s="428" customFormat="1" ht="12.75" x14ac:dyDescent="0.2">
      <c r="A20" s="513">
        <v>48300</v>
      </c>
      <c r="B20" s="514" t="s">
        <v>554</v>
      </c>
      <c r="C20" s="531">
        <v>0</v>
      </c>
      <c r="D20" s="531">
        <v>0</v>
      </c>
      <c r="E20" s="531">
        <v>0</v>
      </c>
      <c r="F20" s="531">
        <v>0</v>
      </c>
      <c r="G20" s="531">
        <v>0</v>
      </c>
      <c r="H20" s="531">
        <v>0</v>
      </c>
      <c r="I20" s="531">
        <v>0</v>
      </c>
      <c r="J20" s="531">
        <v>0</v>
      </c>
      <c r="K20" s="531">
        <v>0</v>
      </c>
      <c r="L20" s="531">
        <v>0</v>
      </c>
      <c r="M20" s="531">
        <f>SUM(C20:L20)</f>
        <v>0</v>
      </c>
    </row>
    <row r="21" spans="1:13" s="521" customFormat="1" ht="12.75" x14ac:dyDescent="0.2">
      <c r="A21" s="513">
        <v>48500</v>
      </c>
      <c r="B21" s="532" t="s">
        <v>555</v>
      </c>
      <c r="C21" s="533">
        <f t="shared" ref="C21:M21" si="1">SUM(C16:C20)</f>
        <v>0</v>
      </c>
      <c r="D21" s="533">
        <f t="shared" si="1"/>
        <v>0</v>
      </c>
      <c r="E21" s="533">
        <f t="shared" si="1"/>
        <v>0</v>
      </c>
      <c r="F21" s="533">
        <f t="shared" si="1"/>
        <v>0</v>
      </c>
      <c r="G21" s="533">
        <f t="shared" si="1"/>
        <v>0</v>
      </c>
      <c r="H21" s="533">
        <f t="shared" si="1"/>
        <v>0</v>
      </c>
      <c r="I21" s="533">
        <f t="shared" si="1"/>
        <v>0</v>
      </c>
      <c r="J21" s="533">
        <f t="shared" si="1"/>
        <v>0</v>
      </c>
      <c r="K21" s="533">
        <f t="shared" si="1"/>
        <v>0</v>
      </c>
      <c r="L21" s="533">
        <f t="shared" si="1"/>
        <v>0</v>
      </c>
      <c r="M21" s="533">
        <f t="shared" si="1"/>
        <v>0</v>
      </c>
    </row>
    <row r="22" spans="1:13" s="428" customFormat="1" ht="12.75" x14ac:dyDescent="0.2">
      <c r="A22" s="513"/>
      <c r="B22" s="536"/>
      <c r="C22" s="537"/>
      <c r="D22" s="537"/>
      <c r="E22" s="537"/>
      <c r="F22" s="537"/>
      <c r="G22" s="537"/>
      <c r="H22" s="537"/>
      <c r="I22" s="537"/>
      <c r="J22" s="537"/>
      <c r="K22" s="537"/>
      <c r="L22" s="537"/>
      <c r="M22" s="537"/>
    </row>
    <row r="23" spans="1:13" s="521" customFormat="1" ht="12.75" x14ac:dyDescent="0.2">
      <c r="A23" s="513">
        <v>49900</v>
      </c>
      <c r="B23" s="536" t="s">
        <v>556</v>
      </c>
      <c r="C23" s="537">
        <f t="shared" ref="C23:M23" si="2">C13+C21</f>
        <v>0</v>
      </c>
      <c r="D23" s="537">
        <f t="shared" si="2"/>
        <v>0</v>
      </c>
      <c r="E23" s="537">
        <f t="shared" si="2"/>
        <v>0</v>
      </c>
      <c r="F23" s="537">
        <f t="shared" si="2"/>
        <v>0</v>
      </c>
      <c r="G23" s="537">
        <f t="shared" si="2"/>
        <v>0</v>
      </c>
      <c r="H23" s="537">
        <f t="shared" si="2"/>
        <v>0</v>
      </c>
      <c r="I23" s="537">
        <f t="shared" si="2"/>
        <v>0</v>
      </c>
      <c r="J23" s="537">
        <f t="shared" si="2"/>
        <v>0</v>
      </c>
      <c r="K23" s="537">
        <f t="shared" si="2"/>
        <v>0</v>
      </c>
      <c r="L23" s="537">
        <f t="shared" si="2"/>
        <v>0</v>
      </c>
      <c r="M23" s="537">
        <f t="shared" si="2"/>
        <v>0</v>
      </c>
    </row>
    <row r="24" spans="1:13" s="428" customFormat="1" ht="12.75" x14ac:dyDescent="0.2">
      <c r="A24" s="513"/>
      <c r="B24" s="516"/>
      <c r="C24" s="528"/>
      <c r="D24" s="528"/>
      <c r="E24" s="528"/>
      <c r="F24" s="528"/>
      <c r="G24" s="528"/>
      <c r="H24" s="528"/>
      <c r="I24" s="528"/>
      <c r="J24" s="528"/>
      <c r="K24" s="528"/>
      <c r="L24" s="528"/>
      <c r="M24" s="528"/>
    </row>
    <row r="25" spans="1:13" s="428" customFormat="1" ht="12.75" x14ac:dyDescent="0.2">
      <c r="A25" s="513"/>
      <c r="B25" s="516" t="s">
        <v>557</v>
      </c>
      <c r="C25" s="528"/>
      <c r="D25" s="528"/>
      <c r="E25" s="528"/>
      <c r="F25" s="528"/>
      <c r="G25" s="528"/>
      <c r="H25" s="528"/>
      <c r="I25" s="528"/>
      <c r="J25" s="528"/>
      <c r="K25" s="528"/>
      <c r="L25" s="528"/>
      <c r="M25" s="528"/>
    </row>
    <row r="26" spans="1:13" s="428" customFormat="1" ht="12.75" x14ac:dyDescent="0.2">
      <c r="A26" s="513">
        <v>51000</v>
      </c>
      <c r="B26" s="529" t="s">
        <v>558</v>
      </c>
      <c r="C26" s="538"/>
      <c r="D26" s="538"/>
      <c r="E26" s="538"/>
      <c r="F26" s="538"/>
      <c r="G26" s="538"/>
      <c r="H26" s="538"/>
      <c r="I26" s="539"/>
      <c r="J26" s="539"/>
      <c r="K26" s="539"/>
      <c r="L26" s="539"/>
      <c r="M26" s="539"/>
    </row>
    <row r="27" spans="1:13" s="428" customFormat="1" ht="12.75" x14ac:dyDescent="0.2">
      <c r="A27" s="513">
        <v>52000</v>
      </c>
      <c r="B27" s="534" t="s">
        <v>559</v>
      </c>
      <c r="C27" s="538"/>
      <c r="D27" s="538"/>
      <c r="E27" s="538"/>
      <c r="F27" s="538"/>
      <c r="G27" s="538"/>
      <c r="H27" s="538"/>
      <c r="I27" s="539"/>
      <c r="J27" s="539"/>
      <c r="K27" s="539"/>
      <c r="L27" s="539"/>
      <c r="M27" s="539"/>
    </row>
    <row r="28" spans="1:13" s="428" customFormat="1" ht="12.75" x14ac:dyDescent="0.2">
      <c r="A28" s="513">
        <v>52010</v>
      </c>
      <c r="B28" s="534" t="s">
        <v>560</v>
      </c>
      <c r="C28" s="538"/>
      <c r="D28" s="538"/>
      <c r="E28" s="538"/>
      <c r="F28" s="538"/>
      <c r="G28" s="538"/>
      <c r="H28" s="538"/>
      <c r="I28" s="539"/>
      <c r="J28" s="539"/>
      <c r="K28" s="539"/>
      <c r="L28" s="539"/>
      <c r="M28" s="539"/>
    </row>
    <row r="29" spans="1:13" s="428" customFormat="1" ht="12.75" x14ac:dyDescent="0.2">
      <c r="A29" s="513">
        <v>52015</v>
      </c>
      <c r="B29" s="534" t="s">
        <v>561</v>
      </c>
      <c r="C29" s="538"/>
      <c r="D29" s="538"/>
      <c r="E29" s="538"/>
      <c r="F29" s="538"/>
      <c r="G29" s="538"/>
      <c r="H29" s="538"/>
      <c r="I29" s="539"/>
      <c r="J29" s="539"/>
      <c r="K29" s="539"/>
      <c r="L29" s="539"/>
      <c r="M29" s="539"/>
    </row>
    <row r="30" spans="1:13" s="428" customFormat="1" ht="12.75" x14ac:dyDescent="0.2">
      <c r="A30" s="513">
        <v>52020</v>
      </c>
      <c r="B30" s="534" t="s">
        <v>562</v>
      </c>
      <c r="C30" s="538"/>
      <c r="D30" s="538"/>
      <c r="E30" s="538"/>
      <c r="F30" s="538"/>
      <c r="G30" s="538"/>
      <c r="H30" s="538"/>
      <c r="I30" s="539"/>
      <c r="J30" s="539"/>
      <c r="K30" s="539"/>
      <c r="L30" s="539"/>
      <c r="M30" s="539"/>
    </row>
    <row r="31" spans="1:13" s="428" customFormat="1" ht="12.75" x14ac:dyDescent="0.2">
      <c r="A31" s="513">
        <v>52030</v>
      </c>
      <c r="B31" s="534" t="s">
        <v>563</v>
      </c>
      <c r="C31" s="538"/>
      <c r="D31" s="538"/>
      <c r="E31" s="538"/>
      <c r="F31" s="538"/>
      <c r="G31" s="538"/>
      <c r="H31" s="538"/>
      <c r="I31" s="539"/>
      <c r="J31" s="539"/>
      <c r="K31" s="539"/>
      <c r="L31" s="539"/>
      <c r="M31" s="539"/>
    </row>
    <row r="32" spans="1:13" s="428" customFormat="1" ht="12.75" x14ac:dyDescent="0.2">
      <c r="A32" s="540">
        <v>52031</v>
      </c>
      <c r="B32" s="541" t="s">
        <v>564</v>
      </c>
      <c r="C32" s="538"/>
      <c r="D32" s="538"/>
      <c r="E32" s="538"/>
      <c r="F32" s="538"/>
      <c r="G32" s="538"/>
      <c r="H32" s="538"/>
      <c r="I32" s="539"/>
      <c r="J32" s="539"/>
      <c r="K32" s="539"/>
      <c r="L32" s="539"/>
      <c r="M32" s="539"/>
    </row>
    <row r="33" spans="1:13" s="428" customFormat="1" ht="12.75" x14ac:dyDescent="0.2">
      <c r="A33" s="513">
        <v>52035</v>
      </c>
      <c r="B33" s="534" t="s">
        <v>565</v>
      </c>
      <c r="C33" s="538"/>
      <c r="D33" s="538"/>
      <c r="E33" s="538"/>
      <c r="F33" s="538"/>
      <c r="G33" s="538"/>
      <c r="H33" s="538"/>
      <c r="I33" s="539"/>
      <c r="J33" s="539"/>
      <c r="K33" s="539"/>
      <c r="L33" s="539"/>
      <c r="M33" s="539"/>
    </row>
    <row r="34" spans="1:13" s="428" customFormat="1" ht="12.75" x14ac:dyDescent="0.2">
      <c r="A34" s="513">
        <v>52040</v>
      </c>
      <c r="B34" s="534" t="s">
        <v>566</v>
      </c>
      <c r="C34" s="538"/>
      <c r="D34" s="538"/>
      <c r="E34" s="538"/>
      <c r="F34" s="538"/>
      <c r="G34" s="538"/>
      <c r="H34" s="538"/>
      <c r="I34" s="539"/>
      <c r="J34" s="539"/>
      <c r="K34" s="539"/>
      <c r="L34" s="539"/>
      <c r="M34" s="539"/>
    </row>
    <row r="35" spans="1:13" s="428" customFormat="1" ht="12.75" x14ac:dyDescent="0.2">
      <c r="A35" s="540">
        <v>52525</v>
      </c>
      <c r="B35" s="541" t="s">
        <v>567</v>
      </c>
      <c r="C35" s="538"/>
      <c r="D35" s="538"/>
      <c r="E35" s="538"/>
      <c r="F35" s="538"/>
      <c r="G35" s="538"/>
      <c r="H35" s="538"/>
      <c r="I35" s="539"/>
      <c r="J35" s="539"/>
      <c r="K35" s="539"/>
      <c r="L35" s="539"/>
      <c r="M35" s="539"/>
    </row>
    <row r="36" spans="1:13" s="428" customFormat="1" ht="12.75" x14ac:dyDescent="0.2">
      <c r="A36" s="540">
        <v>52601</v>
      </c>
      <c r="B36" s="541" t="s">
        <v>568</v>
      </c>
      <c r="C36" s="538"/>
      <c r="D36" s="538"/>
      <c r="E36" s="538"/>
      <c r="F36" s="538"/>
      <c r="G36" s="538"/>
      <c r="H36" s="538"/>
      <c r="I36" s="539"/>
      <c r="J36" s="539"/>
      <c r="K36" s="539"/>
      <c r="L36" s="539"/>
      <c r="M36" s="539"/>
    </row>
    <row r="37" spans="1:13" s="428" customFormat="1" ht="12.75" x14ac:dyDescent="0.2">
      <c r="A37" s="540">
        <v>52602</v>
      </c>
      <c r="B37" s="541" t="s">
        <v>569</v>
      </c>
      <c r="C37" s="538"/>
      <c r="D37" s="538"/>
      <c r="E37" s="538"/>
      <c r="F37" s="538"/>
      <c r="G37" s="538"/>
      <c r="H37" s="538"/>
      <c r="I37" s="539"/>
      <c r="J37" s="539"/>
      <c r="K37" s="539"/>
      <c r="L37" s="539"/>
      <c r="M37" s="539"/>
    </row>
    <row r="38" spans="1:13" s="428" customFormat="1" ht="12.75" x14ac:dyDescent="0.2">
      <c r="A38" s="540">
        <v>52613</v>
      </c>
      <c r="B38" s="541" t="s">
        <v>570</v>
      </c>
      <c r="C38" s="538"/>
      <c r="D38" s="538"/>
      <c r="E38" s="538"/>
      <c r="F38" s="538"/>
      <c r="G38" s="538"/>
      <c r="H38" s="538"/>
      <c r="I38" s="539"/>
      <c r="J38" s="539"/>
      <c r="K38" s="539"/>
      <c r="L38" s="539"/>
      <c r="M38" s="539"/>
    </row>
    <row r="39" spans="1:13" s="428" customFormat="1" ht="12.75" x14ac:dyDescent="0.2">
      <c r="A39" s="513">
        <v>52090</v>
      </c>
      <c r="B39" s="534" t="s">
        <v>571</v>
      </c>
      <c r="C39" s="538"/>
      <c r="D39" s="538"/>
      <c r="E39" s="538"/>
      <c r="F39" s="538"/>
      <c r="G39" s="538"/>
      <c r="H39" s="538"/>
      <c r="I39" s="539"/>
      <c r="J39" s="539"/>
      <c r="K39" s="539"/>
      <c r="L39" s="539"/>
      <c r="M39" s="539"/>
    </row>
    <row r="40" spans="1:13" s="428" customFormat="1" ht="12.75" x14ac:dyDescent="0.2">
      <c r="A40" s="513">
        <v>52099</v>
      </c>
      <c r="B40" s="514" t="s">
        <v>572</v>
      </c>
      <c r="C40" s="542"/>
      <c r="D40" s="542"/>
      <c r="E40" s="542"/>
      <c r="F40" s="542"/>
      <c r="G40" s="542"/>
      <c r="H40" s="542"/>
      <c r="I40" s="543"/>
      <c r="J40" s="543"/>
      <c r="K40" s="543"/>
      <c r="L40" s="543"/>
      <c r="M40" s="543"/>
    </row>
    <row r="41" spans="1:13" s="428" customFormat="1" ht="12.75" x14ac:dyDescent="0.2">
      <c r="A41" s="513">
        <v>56900</v>
      </c>
      <c r="B41" s="532" t="s">
        <v>573</v>
      </c>
      <c r="C41" s="533">
        <f t="shared" ref="C41:M41" si="3">SUM(C26:C40)</f>
        <v>0</v>
      </c>
      <c r="D41" s="533">
        <f t="shared" si="3"/>
        <v>0</v>
      </c>
      <c r="E41" s="533">
        <f t="shared" si="3"/>
        <v>0</v>
      </c>
      <c r="F41" s="533">
        <f t="shared" si="3"/>
        <v>0</v>
      </c>
      <c r="G41" s="533">
        <f t="shared" si="3"/>
        <v>0</v>
      </c>
      <c r="H41" s="533">
        <f t="shared" si="3"/>
        <v>0</v>
      </c>
      <c r="I41" s="533">
        <f t="shared" si="3"/>
        <v>0</v>
      </c>
      <c r="J41" s="533">
        <f t="shared" si="3"/>
        <v>0</v>
      </c>
      <c r="K41" s="533">
        <f t="shared" si="3"/>
        <v>0</v>
      </c>
      <c r="L41" s="533">
        <f t="shared" si="3"/>
        <v>0</v>
      </c>
      <c r="M41" s="533">
        <f t="shared" si="3"/>
        <v>0</v>
      </c>
    </row>
    <row r="42" spans="1:13" s="428" customFormat="1" ht="12.75" x14ac:dyDescent="0.2">
      <c r="A42" s="513"/>
      <c r="B42" s="516"/>
      <c r="C42" s="528"/>
      <c r="D42" s="528"/>
      <c r="E42" s="528"/>
      <c r="F42" s="528"/>
      <c r="G42" s="528"/>
      <c r="H42" s="528"/>
      <c r="I42" s="528"/>
      <c r="J42" s="528"/>
      <c r="K42" s="528"/>
      <c r="L42" s="528"/>
      <c r="M42" s="528"/>
    </row>
    <row r="43" spans="1:13" s="521" customFormat="1" ht="12.75" x14ac:dyDescent="0.2">
      <c r="A43" s="513">
        <v>57900</v>
      </c>
      <c r="B43" s="532" t="s">
        <v>574</v>
      </c>
      <c r="C43" s="533">
        <f t="shared" ref="C43:M43" si="4">C23-C41</f>
        <v>0</v>
      </c>
      <c r="D43" s="533">
        <f t="shared" si="4"/>
        <v>0</v>
      </c>
      <c r="E43" s="533">
        <f t="shared" si="4"/>
        <v>0</v>
      </c>
      <c r="F43" s="533">
        <f t="shared" si="4"/>
        <v>0</v>
      </c>
      <c r="G43" s="533">
        <f t="shared" si="4"/>
        <v>0</v>
      </c>
      <c r="H43" s="533">
        <f t="shared" si="4"/>
        <v>0</v>
      </c>
      <c r="I43" s="533">
        <f t="shared" si="4"/>
        <v>0</v>
      </c>
      <c r="J43" s="533">
        <f t="shared" si="4"/>
        <v>0</v>
      </c>
      <c r="K43" s="533">
        <f t="shared" si="4"/>
        <v>0</v>
      </c>
      <c r="L43" s="533">
        <f t="shared" si="4"/>
        <v>0</v>
      </c>
      <c r="M43" s="533">
        <f t="shared" si="4"/>
        <v>0</v>
      </c>
    </row>
    <row r="44" spans="1:13" s="428" customFormat="1" ht="12.75" x14ac:dyDescent="0.2">
      <c r="A44" s="513" t="s">
        <v>575</v>
      </c>
      <c r="B44" s="516" t="s">
        <v>576</v>
      </c>
      <c r="C44" s="544" t="str">
        <f t="shared" ref="C44:M44" si="5">IF(ISERROR(C43/C23),"",(C43/C23))</f>
        <v/>
      </c>
      <c r="D44" s="544" t="str">
        <f t="shared" si="5"/>
        <v/>
      </c>
      <c r="E44" s="544" t="str">
        <f t="shared" si="5"/>
        <v/>
      </c>
      <c r="F44" s="544" t="str">
        <f t="shared" si="5"/>
        <v/>
      </c>
      <c r="G44" s="544" t="str">
        <f t="shared" si="5"/>
        <v/>
      </c>
      <c r="H44" s="544" t="str">
        <f t="shared" si="5"/>
        <v/>
      </c>
      <c r="I44" s="544" t="str">
        <f t="shared" si="5"/>
        <v/>
      </c>
      <c r="J44" s="544" t="str">
        <f t="shared" si="5"/>
        <v/>
      </c>
      <c r="K44" s="544" t="str">
        <f t="shared" si="5"/>
        <v/>
      </c>
      <c r="L44" s="544" t="str">
        <f t="shared" si="5"/>
        <v/>
      </c>
      <c r="M44" s="544" t="str">
        <f t="shared" si="5"/>
        <v/>
      </c>
    </row>
    <row r="45" spans="1:13" s="428" customFormat="1" ht="12.75" x14ac:dyDescent="0.2">
      <c r="A45" s="513"/>
      <c r="B45" s="516"/>
      <c r="C45" s="528"/>
      <c r="D45" s="528"/>
      <c r="E45" s="528"/>
      <c r="F45" s="528"/>
      <c r="G45" s="528"/>
      <c r="H45" s="528"/>
      <c r="I45" s="528"/>
      <c r="J45" s="528"/>
      <c r="K45" s="528"/>
      <c r="L45" s="528"/>
      <c r="M45" s="528"/>
    </row>
    <row r="46" spans="1:13" s="428" customFormat="1" ht="12.75" x14ac:dyDescent="0.2">
      <c r="A46" s="513"/>
      <c r="B46" s="516" t="s">
        <v>577</v>
      </c>
      <c r="C46" s="528"/>
      <c r="D46" s="528"/>
      <c r="E46" s="528"/>
      <c r="F46" s="528"/>
      <c r="G46" s="528"/>
      <c r="H46" s="528"/>
      <c r="I46" s="528"/>
      <c r="J46" s="528"/>
      <c r="K46" s="528"/>
      <c r="L46" s="528"/>
      <c r="M46" s="528"/>
    </row>
    <row r="47" spans="1:13" s="428" customFormat="1" ht="12.75" x14ac:dyDescent="0.2">
      <c r="A47" s="513">
        <v>58001</v>
      </c>
      <c r="B47" s="529" t="s">
        <v>578</v>
      </c>
      <c r="C47" s="538"/>
      <c r="D47" s="538"/>
      <c r="E47" s="538"/>
      <c r="F47" s="538"/>
      <c r="G47" s="538"/>
      <c r="H47" s="538"/>
      <c r="I47" s="539"/>
      <c r="J47" s="539"/>
      <c r="K47" s="539"/>
      <c r="L47" s="539"/>
      <c r="M47" s="539"/>
    </row>
    <row r="48" spans="1:13" s="428" customFormat="1" ht="12.75" x14ac:dyDescent="0.2">
      <c r="A48" s="513">
        <v>58002</v>
      </c>
      <c r="B48" s="534" t="s">
        <v>579</v>
      </c>
      <c r="C48" s="538"/>
      <c r="D48" s="538"/>
      <c r="E48" s="538"/>
      <c r="F48" s="538"/>
      <c r="G48" s="538"/>
      <c r="H48" s="538"/>
      <c r="I48" s="539"/>
      <c r="J48" s="539"/>
      <c r="K48" s="539"/>
      <c r="L48" s="539"/>
      <c r="M48" s="539"/>
    </row>
    <row r="49" spans="1:13" s="428" customFormat="1" ht="12.75" x14ac:dyDescent="0.2">
      <c r="A49" s="513">
        <v>58003</v>
      </c>
      <c r="B49" s="534" t="s">
        <v>580</v>
      </c>
      <c r="C49" s="538"/>
      <c r="D49" s="538"/>
      <c r="E49" s="538"/>
      <c r="F49" s="538"/>
      <c r="G49" s="538"/>
      <c r="H49" s="538"/>
      <c r="I49" s="539"/>
      <c r="J49" s="539"/>
      <c r="K49" s="539"/>
      <c r="L49" s="539"/>
      <c r="M49" s="539"/>
    </row>
    <row r="50" spans="1:13" s="428" customFormat="1" ht="12.75" x14ac:dyDescent="0.2">
      <c r="A50" s="513">
        <v>58004</v>
      </c>
      <c r="B50" s="534" t="s">
        <v>581</v>
      </c>
      <c r="C50" s="538"/>
      <c r="D50" s="538"/>
      <c r="E50" s="538"/>
      <c r="F50" s="538"/>
      <c r="G50" s="538"/>
      <c r="H50" s="538"/>
      <c r="I50" s="539"/>
      <c r="J50" s="539"/>
      <c r="K50" s="539"/>
      <c r="L50" s="539"/>
      <c r="M50" s="539"/>
    </row>
    <row r="51" spans="1:13" s="428" customFormat="1" ht="12.75" x14ac:dyDescent="0.2">
      <c r="A51" s="513">
        <v>58100</v>
      </c>
      <c r="B51" s="534" t="s">
        <v>582</v>
      </c>
      <c r="C51" s="538"/>
      <c r="D51" s="538"/>
      <c r="E51" s="538"/>
      <c r="F51" s="538"/>
      <c r="G51" s="538"/>
      <c r="H51" s="538"/>
      <c r="I51" s="539"/>
      <c r="J51" s="539"/>
      <c r="K51" s="539"/>
      <c r="L51" s="539"/>
      <c r="M51" s="539"/>
    </row>
    <row r="52" spans="1:13" s="428" customFormat="1" ht="12.75" x14ac:dyDescent="0.2">
      <c r="A52" s="513">
        <v>58380</v>
      </c>
      <c r="B52" s="536" t="s">
        <v>583</v>
      </c>
      <c r="C52" s="537">
        <f t="shared" ref="C52:M52" si="6">SUM(C47:C51)</f>
        <v>0</v>
      </c>
      <c r="D52" s="537">
        <f t="shared" si="6"/>
        <v>0</v>
      </c>
      <c r="E52" s="537">
        <f t="shared" si="6"/>
        <v>0</v>
      </c>
      <c r="F52" s="537">
        <f t="shared" si="6"/>
        <v>0</v>
      </c>
      <c r="G52" s="537">
        <f t="shared" si="6"/>
        <v>0</v>
      </c>
      <c r="H52" s="537">
        <f t="shared" si="6"/>
        <v>0</v>
      </c>
      <c r="I52" s="537">
        <f t="shared" si="6"/>
        <v>0</v>
      </c>
      <c r="J52" s="537">
        <f t="shared" si="6"/>
        <v>0</v>
      </c>
      <c r="K52" s="537">
        <f t="shared" si="6"/>
        <v>0</v>
      </c>
      <c r="L52" s="537">
        <f t="shared" si="6"/>
        <v>0</v>
      </c>
      <c r="M52" s="537">
        <f t="shared" si="6"/>
        <v>0</v>
      </c>
    </row>
    <row r="53" spans="1:13" s="428" customFormat="1" ht="12.75" x14ac:dyDescent="0.2">
      <c r="A53" s="513"/>
      <c r="B53" s="516"/>
      <c r="C53" s="528"/>
      <c r="D53" s="528"/>
      <c r="E53" s="528"/>
      <c r="F53" s="528"/>
      <c r="G53" s="528"/>
      <c r="H53" s="528"/>
      <c r="I53" s="528"/>
      <c r="J53" s="528"/>
      <c r="K53" s="528"/>
      <c r="L53" s="528"/>
      <c r="M53" s="528"/>
    </row>
    <row r="54" spans="1:13" s="428" customFormat="1" ht="12.75" x14ac:dyDescent="0.2">
      <c r="A54" s="513"/>
      <c r="B54" s="516" t="s">
        <v>584</v>
      </c>
      <c r="C54" s="528"/>
      <c r="D54" s="528"/>
      <c r="E54" s="528"/>
      <c r="F54" s="528"/>
      <c r="G54" s="528"/>
      <c r="H54" s="528"/>
      <c r="I54" s="528"/>
      <c r="J54" s="528"/>
      <c r="K54" s="528"/>
      <c r="L54" s="528"/>
      <c r="M54" s="528"/>
    </row>
    <row r="55" spans="1:13" s="428" customFormat="1" ht="12.75" x14ac:dyDescent="0.2">
      <c r="A55" s="513">
        <v>58403</v>
      </c>
      <c r="B55" s="529" t="s">
        <v>585</v>
      </c>
      <c r="C55" s="538"/>
      <c r="D55" s="538"/>
      <c r="E55" s="538"/>
      <c r="F55" s="538"/>
      <c r="G55" s="538"/>
      <c r="H55" s="538"/>
      <c r="I55" s="538"/>
      <c r="J55" s="538"/>
      <c r="K55" s="538"/>
      <c r="L55" s="538"/>
      <c r="M55" s="538"/>
    </row>
    <row r="56" spans="1:13" s="428" customFormat="1" ht="12.75" x14ac:dyDescent="0.2">
      <c r="A56" s="513">
        <v>58406</v>
      </c>
      <c r="B56" s="514" t="s">
        <v>586</v>
      </c>
      <c r="C56" s="538"/>
      <c r="D56" s="538"/>
      <c r="E56" s="538"/>
      <c r="F56" s="538"/>
      <c r="G56" s="538"/>
      <c r="H56" s="538"/>
      <c r="I56" s="538"/>
      <c r="J56" s="538"/>
      <c r="K56" s="538"/>
      <c r="L56" s="538"/>
      <c r="M56" s="538"/>
    </row>
    <row r="57" spans="1:13" s="428" customFormat="1" ht="12.75" x14ac:dyDescent="0.2">
      <c r="A57" s="513">
        <v>58450</v>
      </c>
      <c r="B57" s="536" t="s">
        <v>587</v>
      </c>
      <c r="C57" s="537">
        <f t="shared" ref="C57:M57" si="7">SUM(C55:C56)</f>
        <v>0</v>
      </c>
      <c r="D57" s="537">
        <f t="shared" si="7"/>
        <v>0</v>
      </c>
      <c r="E57" s="537">
        <f t="shared" si="7"/>
        <v>0</v>
      </c>
      <c r="F57" s="537">
        <f t="shared" si="7"/>
        <v>0</v>
      </c>
      <c r="G57" s="537">
        <f t="shared" si="7"/>
        <v>0</v>
      </c>
      <c r="H57" s="537">
        <f t="shared" si="7"/>
        <v>0</v>
      </c>
      <c r="I57" s="537">
        <f t="shared" si="7"/>
        <v>0</v>
      </c>
      <c r="J57" s="537">
        <f t="shared" si="7"/>
        <v>0</v>
      </c>
      <c r="K57" s="537">
        <f t="shared" si="7"/>
        <v>0</v>
      </c>
      <c r="L57" s="537">
        <f t="shared" si="7"/>
        <v>0</v>
      </c>
      <c r="M57" s="537">
        <f t="shared" si="7"/>
        <v>0</v>
      </c>
    </row>
    <row r="58" spans="1:13" s="428" customFormat="1" ht="12.75" x14ac:dyDescent="0.2">
      <c r="A58" s="513"/>
      <c r="B58" s="532"/>
      <c r="C58" s="533"/>
      <c r="D58" s="533"/>
      <c r="E58" s="533"/>
      <c r="F58" s="533"/>
      <c r="G58" s="533"/>
      <c r="H58" s="533"/>
      <c r="I58" s="533"/>
      <c r="J58" s="533"/>
      <c r="K58" s="533"/>
      <c r="L58" s="533"/>
      <c r="M58" s="533"/>
    </row>
    <row r="59" spans="1:13" s="428" customFormat="1" ht="12.75" x14ac:dyDescent="0.2">
      <c r="A59" s="513">
        <v>58580</v>
      </c>
      <c r="B59" s="536" t="s">
        <v>588</v>
      </c>
      <c r="C59" s="537">
        <f t="shared" ref="C59:M59" si="8">C52+C57</f>
        <v>0</v>
      </c>
      <c r="D59" s="537">
        <f t="shared" si="8"/>
        <v>0</v>
      </c>
      <c r="E59" s="537">
        <f t="shared" si="8"/>
        <v>0</v>
      </c>
      <c r="F59" s="537">
        <f t="shared" si="8"/>
        <v>0</v>
      </c>
      <c r="G59" s="537">
        <f t="shared" si="8"/>
        <v>0</v>
      </c>
      <c r="H59" s="537">
        <f t="shared" si="8"/>
        <v>0</v>
      </c>
      <c r="I59" s="537">
        <f t="shared" si="8"/>
        <v>0</v>
      </c>
      <c r="J59" s="537">
        <f t="shared" si="8"/>
        <v>0</v>
      </c>
      <c r="K59" s="537">
        <f t="shared" si="8"/>
        <v>0</v>
      </c>
      <c r="L59" s="537">
        <f t="shared" si="8"/>
        <v>0</v>
      </c>
      <c r="M59" s="537">
        <f t="shared" si="8"/>
        <v>0</v>
      </c>
    </row>
    <row r="60" spans="1:13" s="428" customFormat="1" ht="12.75" x14ac:dyDescent="0.2">
      <c r="A60" s="513"/>
      <c r="B60" s="536"/>
      <c r="C60" s="537"/>
      <c r="D60" s="537"/>
      <c r="E60" s="537"/>
      <c r="F60" s="537"/>
      <c r="G60" s="537"/>
      <c r="H60" s="537"/>
      <c r="I60" s="537"/>
      <c r="J60" s="537"/>
      <c r="K60" s="537"/>
      <c r="L60" s="537"/>
      <c r="M60" s="537"/>
    </row>
    <row r="61" spans="1:13" s="428" customFormat="1" ht="12.75" x14ac:dyDescent="0.2">
      <c r="A61" s="513">
        <v>58599</v>
      </c>
      <c r="B61" s="536" t="s">
        <v>589</v>
      </c>
      <c r="C61" s="537">
        <f t="shared" ref="C61:M61" si="9">C43-C59</f>
        <v>0</v>
      </c>
      <c r="D61" s="537">
        <f t="shared" si="9"/>
        <v>0</v>
      </c>
      <c r="E61" s="537">
        <f t="shared" si="9"/>
        <v>0</v>
      </c>
      <c r="F61" s="537">
        <f t="shared" si="9"/>
        <v>0</v>
      </c>
      <c r="G61" s="537">
        <f t="shared" si="9"/>
        <v>0</v>
      </c>
      <c r="H61" s="537">
        <f t="shared" si="9"/>
        <v>0</v>
      </c>
      <c r="I61" s="537">
        <f t="shared" si="9"/>
        <v>0</v>
      </c>
      <c r="J61" s="537">
        <f t="shared" si="9"/>
        <v>0</v>
      </c>
      <c r="K61" s="537">
        <f t="shared" si="9"/>
        <v>0</v>
      </c>
      <c r="L61" s="537">
        <f t="shared" si="9"/>
        <v>0</v>
      </c>
      <c r="M61" s="537">
        <f t="shared" si="9"/>
        <v>0</v>
      </c>
    </row>
    <row r="62" spans="1:13" s="428" customFormat="1" ht="12.75" x14ac:dyDescent="0.2">
      <c r="A62" s="513"/>
      <c r="B62" s="516"/>
      <c r="C62" s="528"/>
      <c r="D62" s="528"/>
      <c r="E62" s="528"/>
      <c r="F62" s="528"/>
      <c r="G62" s="528"/>
      <c r="H62" s="528"/>
      <c r="I62" s="528"/>
      <c r="J62" s="528"/>
      <c r="K62" s="528"/>
      <c r="L62" s="528"/>
      <c r="M62" s="528"/>
    </row>
    <row r="63" spans="1:13" s="428" customFormat="1" ht="12.75" x14ac:dyDescent="0.2">
      <c r="A63" s="513"/>
      <c r="B63" s="516" t="s">
        <v>590</v>
      </c>
      <c r="C63" s="528"/>
      <c r="D63" s="528"/>
      <c r="E63" s="528"/>
      <c r="F63" s="528"/>
      <c r="G63" s="528"/>
      <c r="H63" s="528"/>
      <c r="I63" s="528"/>
      <c r="J63" s="528"/>
      <c r="K63" s="528"/>
      <c r="L63" s="528"/>
      <c r="M63" s="528"/>
    </row>
    <row r="64" spans="1:13" s="428" customFormat="1" ht="12.75" x14ac:dyDescent="0.2">
      <c r="A64" s="513">
        <v>58601</v>
      </c>
      <c r="B64" s="529" t="s">
        <v>591</v>
      </c>
      <c r="C64" s="538"/>
      <c r="D64" s="538"/>
      <c r="E64" s="538"/>
      <c r="F64" s="538"/>
      <c r="G64" s="538"/>
      <c r="H64" s="538"/>
      <c r="I64" s="538"/>
      <c r="J64" s="538"/>
      <c r="K64" s="538"/>
      <c r="L64" s="538"/>
      <c r="M64" s="538"/>
    </row>
    <row r="65" spans="1:13" s="428" customFormat="1" ht="12.75" x14ac:dyDescent="0.2">
      <c r="A65" s="513">
        <v>58602</v>
      </c>
      <c r="B65" s="514" t="s">
        <v>592</v>
      </c>
      <c r="C65" s="538"/>
      <c r="D65" s="538"/>
      <c r="E65" s="538"/>
      <c r="F65" s="538"/>
      <c r="G65" s="538"/>
      <c r="H65" s="538"/>
      <c r="I65" s="538"/>
      <c r="J65" s="538"/>
      <c r="K65" s="538"/>
      <c r="L65" s="538"/>
      <c r="M65" s="538"/>
    </row>
    <row r="66" spans="1:13" s="428" customFormat="1" ht="12.75" x14ac:dyDescent="0.2">
      <c r="A66" s="513">
        <v>58699</v>
      </c>
      <c r="B66" s="536" t="s">
        <v>593</v>
      </c>
      <c r="C66" s="537">
        <f t="shared" ref="C66:M66" si="10">SUM(C64:C65)</f>
        <v>0</v>
      </c>
      <c r="D66" s="537">
        <f t="shared" si="10"/>
        <v>0</v>
      </c>
      <c r="E66" s="537">
        <f t="shared" si="10"/>
        <v>0</v>
      </c>
      <c r="F66" s="537">
        <f t="shared" si="10"/>
        <v>0</v>
      </c>
      <c r="G66" s="537">
        <f t="shared" si="10"/>
        <v>0</v>
      </c>
      <c r="H66" s="537">
        <f t="shared" si="10"/>
        <v>0</v>
      </c>
      <c r="I66" s="537">
        <f t="shared" si="10"/>
        <v>0</v>
      </c>
      <c r="J66" s="537">
        <f t="shared" si="10"/>
        <v>0</v>
      </c>
      <c r="K66" s="537">
        <f t="shared" si="10"/>
        <v>0</v>
      </c>
      <c r="L66" s="537">
        <f t="shared" si="10"/>
        <v>0</v>
      </c>
      <c r="M66" s="537">
        <f t="shared" si="10"/>
        <v>0</v>
      </c>
    </row>
    <row r="67" spans="1:13" s="428" customFormat="1" ht="12.75" x14ac:dyDescent="0.2">
      <c r="A67" s="513"/>
      <c r="B67" s="536"/>
      <c r="C67" s="537"/>
      <c r="D67" s="537"/>
      <c r="E67" s="537"/>
      <c r="F67" s="537"/>
      <c r="G67" s="537"/>
      <c r="H67" s="537"/>
      <c r="I67" s="537"/>
      <c r="J67" s="537"/>
      <c r="K67" s="537"/>
      <c r="L67" s="537"/>
      <c r="M67" s="537"/>
    </row>
    <row r="68" spans="1:13" s="428" customFormat="1" ht="12.75" x14ac:dyDescent="0.2">
      <c r="A68" s="513">
        <v>59999</v>
      </c>
      <c r="B68" s="536" t="s">
        <v>594</v>
      </c>
      <c r="C68" s="537">
        <f t="shared" ref="C68:M68" si="11">C61-C66</f>
        <v>0</v>
      </c>
      <c r="D68" s="537">
        <f t="shared" si="11"/>
        <v>0</v>
      </c>
      <c r="E68" s="537">
        <f t="shared" si="11"/>
        <v>0</v>
      </c>
      <c r="F68" s="537">
        <f t="shared" si="11"/>
        <v>0</v>
      </c>
      <c r="G68" s="537">
        <f t="shared" si="11"/>
        <v>0</v>
      </c>
      <c r="H68" s="537">
        <f t="shared" si="11"/>
        <v>0</v>
      </c>
      <c r="I68" s="537">
        <f t="shared" si="11"/>
        <v>0</v>
      </c>
      <c r="J68" s="537">
        <f t="shared" si="11"/>
        <v>0</v>
      </c>
      <c r="K68" s="537">
        <f t="shared" si="11"/>
        <v>0</v>
      </c>
      <c r="L68" s="537">
        <f t="shared" si="11"/>
        <v>0</v>
      </c>
      <c r="M68" s="537">
        <f t="shared" si="11"/>
        <v>0</v>
      </c>
    </row>
    <row r="69" spans="1:13" s="428" customFormat="1" ht="12.75" x14ac:dyDescent="0.2">
      <c r="A69" s="513" t="s">
        <v>595</v>
      </c>
      <c r="B69" s="516" t="s">
        <v>596</v>
      </c>
      <c r="C69" s="544" t="str">
        <f t="shared" ref="C69:M69" si="12">IF(ISERROR(C68/C23),"",(C68/C23))</f>
        <v/>
      </c>
      <c r="D69" s="544" t="str">
        <f t="shared" si="12"/>
        <v/>
      </c>
      <c r="E69" s="544" t="str">
        <f t="shared" si="12"/>
        <v/>
      </c>
      <c r="F69" s="544" t="str">
        <f t="shared" si="12"/>
        <v/>
      </c>
      <c r="G69" s="544" t="str">
        <f t="shared" si="12"/>
        <v/>
      </c>
      <c r="H69" s="544" t="str">
        <f t="shared" si="12"/>
        <v/>
      </c>
      <c r="I69" s="544" t="str">
        <f t="shared" si="12"/>
        <v/>
      </c>
      <c r="J69" s="544" t="str">
        <f t="shared" si="12"/>
        <v/>
      </c>
      <c r="K69" s="544" t="str">
        <f t="shared" si="12"/>
        <v/>
      </c>
      <c r="L69" s="544" t="str">
        <f t="shared" si="12"/>
        <v/>
      </c>
      <c r="M69" s="544" t="str">
        <f t="shared" si="12"/>
        <v/>
      </c>
    </row>
    <row r="70" spans="1:13" s="428" customFormat="1" ht="12.75" x14ac:dyDescent="0.2">
      <c r="A70" s="513"/>
      <c r="B70" s="516"/>
      <c r="C70" s="528"/>
      <c r="D70" s="528"/>
      <c r="E70" s="528"/>
      <c r="F70" s="528"/>
      <c r="G70" s="528"/>
      <c r="H70" s="528"/>
      <c r="I70" s="528"/>
      <c r="J70" s="528"/>
      <c r="K70" s="528"/>
      <c r="L70" s="528"/>
      <c r="M70" s="528"/>
    </row>
    <row r="71" spans="1:13" s="428" customFormat="1" ht="12.75" x14ac:dyDescent="0.2">
      <c r="A71" s="513"/>
      <c r="B71" s="516" t="s">
        <v>597</v>
      </c>
      <c r="C71" s="528"/>
      <c r="D71" s="528"/>
      <c r="E71" s="528"/>
      <c r="F71" s="528"/>
      <c r="G71" s="528"/>
      <c r="H71" s="528"/>
      <c r="I71" s="528"/>
      <c r="J71" s="528"/>
      <c r="K71" s="528"/>
      <c r="L71" s="528"/>
      <c r="M71" s="528"/>
    </row>
    <row r="72" spans="1:13" s="576" customFormat="1" ht="12.75" x14ac:dyDescent="0.2">
      <c r="A72" s="546"/>
      <c r="B72" s="574" t="s">
        <v>598</v>
      </c>
      <c r="C72" s="575"/>
      <c r="D72" s="575"/>
      <c r="E72" s="575"/>
      <c r="F72" s="575"/>
      <c r="G72" s="575"/>
      <c r="H72" s="575"/>
      <c r="I72" s="575"/>
      <c r="J72" s="575"/>
      <c r="K72" s="575"/>
      <c r="L72" s="575"/>
      <c r="M72" s="575"/>
    </row>
    <row r="73" spans="1:13" s="549" customFormat="1" ht="12.75" x14ac:dyDescent="0.2">
      <c r="A73" s="546">
        <v>61100</v>
      </c>
      <c r="B73" s="547" t="s">
        <v>599</v>
      </c>
      <c r="C73" s="548">
        <v>0</v>
      </c>
      <c r="D73" s="548">
        <v>0</v>
      </c>
      <c r="E73" s="548">
        <v>0</v>
      </c>
      <c r="F73" s="548">
        <v>0</v>
      </c>
      <c r="G73" s="548">
        <v>0</v>
      </c>
      <c r="H73" s="548">
        <v>0</v>
      </c>
      <c r="I73" s="548">
        <v>0</v>
      </c>
      <c r="J73" s="548">
        <v>0</v>
      </c>
      <c r="K73" s="548">
        <v>0</v>
      </c>
      <c r="L73" s="548">
        <v>0</v>
      </c>
      <c r="M73" s="548">
        <f>SUM(C73:L73)</f>
        <v>0</v>
      </c>
    </row>
    <row r="74" spans="1:13" s="549" customFormat="1" ht="12.75" x14ac:dyDescent="0.2">
      <c r="A74" s="546" t="s">
        <v>600</v>
      </c>
      <c r="B74" s="577" t="s">
        <v>601</v>
      </c>
      <c r="C74" s="548">
        <v>0</v>
      </c>
      <c r="D74" s="548">
        <v>0</v>
      </c>
      <c r="E74" s="548">
        <v>0</v>
      </c>
      <c r="F74" s="548">
        <v>0</v>
      </c>
      <c r="G74" s="548">
        <v>0</v>
      </c>
      <c r="H74" s="548">
        <v>0</v>
      </c>
      <c r="I74" s="548">
        <v>0</v>
      </c>
      <c r="J74" s="548">
        <v>0</v>
      </c>
      <c r="K74" s="548">
        <v>0</v>
      </c>
      <c r="L74" s="548">
        <v>0</v>
      </c>
      <c r="M74" s="548">
        <f>SUM(C74:L74)</f>
        <v>0</v>
      </c>
    </row>
    <row r="75" spans="1:13" s="549" customFormat="1" ht="12.75" x14ac:dyDescent="0.2">
      <c r="A75" s="546">
        <v>61300</v>
      </c>
      <c r="B75" s="551" t="s">
        <v>602</v>
      </c>
      <c r="C75" s="548">
        <v>0</v>
      </c>
      <c r="D75" s="548">
        <v>0</v>
      </c>
      <c r="E75" s="548">
        <v>0</v>
      </c>
      <c r="F75" s="548">
        <v>0</v>
      </c>
      <c r="G75" s="548">
        <v>0</v>
      </c>
      <c r="H75" s="548">
        <v>0</v>
      </c>
      <c r="I75" s="548">
        <v>0</v>
      </c>
      <c r="J75" s="548">
        <v>0</v>
      </c>
      <c r="K75" s="548">
        <v>0</v>
      </c>
      <c r="L75" s="548">
        <v>0</v>
      </c>
      <c r="M75" s="548">
        <f>SUM(C75:L75)</f>
        <v>0</v>
      </c>
    </row>
    <row r="76" spans="1:13" s="576" customFormat="1" ht="12.75" x14ac:dyDescent="0.2">
      <c r="A76" s="546">
        <v>61400</v>
      </c>
      <c r="B76" s="578" t="s">
        <v>603</v>
      </c>
      <c r="C76" s="579">
        <f t="shared" ref="C76:M76" si="13">SUM(C73:C75)</f>
        <v>0</v>
      </c>
      <c r="D76" s="579">
        <f t="shared" si="13"/>
        <v>0</v>
      </c>
      <c r="E76" s="579">
        <f t="shared" si="13"/>
        <v>0</v>
      </c>
      <c r="F76" s="579">
        <f t="shared" si="13"/>
        <v>0</v>
      </c>
      <c r="G76" s="579">
        <f t="shared" si="13"/>
        <v>0</v>
      </c>
      <c r="H76" s="579">
        <f t="shared" si="13"/>
        <v>0</v>
      </c>
      <c r="I76" s="579">
        <f t="shared" si="13"/>
        <v>0</v>
      </c>
      <c r="J76" s="579">
        <f t="shared" si="13"/>
        <v>0</v>
      </c>
      <c r="K76" s="579">
        <f t="shared" si="13"/>
        <v>0</v>
      </c>
      <c r="L76" s="579">
        <f t="shared" si="13"/>
        <v>0</v>
      </c>
      <c r="M76" s="579">
        <f t="shared" si="13"/>
        <v>0</v>
      </c>
    </row>
    <row r="77" spans="1:13" s="428" customFormat="1" ht="12.75" x14ac:dyDescent="0.2">
      <c r="A77" s="513"/>
      <c r="B77" s="516"/>
      <c r="C77" s="528"/>
      <c r="D77" s="528"/>
      <c r="E77" s="528"/>
      <c r="F77" s="528"/>
      <c r="G77" s="528"/>
      <c r="H77" s="528"/>
      <c r="I77" s="528"/>
      <c r="J77" s="528"/>
      <c r="K77" s="528"/>
      <c r="L77" s="528"/>
      <c r="M77" s="528"/>
    </row>
    <row r="78" spans="1:13" s="428" customFormat="1" ht="12.75" x14ac:dyDescent="0.2">
      <c r="A78" s="513"/>
      <c r="B78" s="516" t="s">
        <v>604</v>
      </c>
      <c r="C78" s="528"/>
      <c r="D78" s="528"/>
      <c r="E78" s="528"/>
      <c r="F78" s="528"/>
      <c r="G78" s="528"/>
      <c r="H78" s="528"/>
      <c r="I78" s="528"/>
      <c r="J78" s="528"/>
      <c r="K78" s="528"/>
      <c r="L78" s="528"/>
      <c r="M78" s="528"/>
    </row>
    <row r="79" spans="1:13" s="545" customFormat="1" ht="12.75" x14ac:dyDescent="0.2">
      <c r="A79" s="513">
        <v>62100</v>
      </c>
      <c r="B79" s="529" t="s">
        <v>605</v>
      </c>
      <c r="C79" s="530">
        <v>84926.59</v>
      </c>
      <c r="D79" s="530">
        <v>0</v>
      </c>
      <c r="E79" s="530">
        <v>0</v>
      </c>
      <c r="F79" s="530">
        <v>44837.41</v>
      </c>
      <c r="G79" s="530">
        <v>0</v>
      </c>
      <c r="H79" s="530">
        <v>1285.23</v>
      </c>
      <c r="I79" s="530">
        <v>63930.459999999992</v>
      </c>
      <c r="J79" s="530">
        <v>0</v>
      </c>
      <c r="K79" s="530">
        <v>0</v>
      </c>
      <c r="L79" s="530">
        <v>0</v>
      </c>
      <c r="M79" s="530">
        <f t="shared" ref="M79:M104" si="14">SUM(C79:L79)</f>
        <v>194979.69</v>
      </c>
    </row>
    <row r="80" spans="1:13" s="545" customFormat="1" ht="12.75" x14ac:dyDescent="0.2">
      <c r="A80" s="513">
        <v>62110</v>
      </c>
      <c r="B80" s="428" t="s">
        <v>606</v>
      </c>
      <c r="C80" s="530">
        <v>0</v>
      </c>
      <c r="D80" s="530">
        <v>0</v>
      </c>
      <c r="E80" s="530">
        <v>0</v>
      </c>
      <c r="F80" s="530">
        <v>0</v>
      </c>
      <c r="G80" s="530">
        <v>0</v>
      </c>
      <c r="H80" s="530">
        <v>0</v>
      </c>
      <c r="I80" s="530">
        <v>0</v>
      </c>
      <c r="J80" s="530">
        <v>0</v>
      </c>
      <c r="K80" s="530">
        <v>0</v>
      </c>
      <c r="L80" s="530">
        <v>0</v>
      </c>
      <c r="M80" s="530">
        <f t="shared" si="14"/>
        <v>0</v>
      </c>
    </row>
    <row r="81" spans="1:13" s="545" customFormat="1" ht="12.75" x14ac:dyDescent="0.2">
      <c r="A81" s="513" t="s">
        <v>607</v>
      </c>
      <c r="B81" s="428" t="s">
        <v>608</v>
      </c>
      <c r="C81" s="530">
        <v>0</v>
      </c>
      <c r="D81" s="530">
        <v>0</v>
      </c>
      <c r="E81" s="530">
        <v>0</v>
      </c>
      <c r="F81" s="530">
        <v>0</v>
      </c>
      <c r="G81" s="530">
        <v>0</v>
      </c>
      <c r="H81" s="530">
        <v>0</v>
      </c>
      <c r="I81" s="530">
        <v>0</v>
      </c>
      <c r="J81" s="530">
        <v>0</v>
      </c>
      <c r="K81" s="530">
        <v>0</v>
      </c>
      <c r="L81" s="530">
        <v>0</v>
      </c>
      <c r="M81" s="530">
        <f t="shared" si="14"/>
        <v>0</v>
      </c>
    </row>
    <row r="82" spans="1:13" s="545" customFormat="1" ht="12.75" x14ac:dyDescent="0.2">
      <c r="A82" s="513">
        <v>62120</v>
      </c>
      <c r="B82" s="529" t="s">
        <v>609</v>
      </c>
      <c r="C82" s="530">
        <v>0</v>
      </c>
      <c r="D82" s="530">
        <v>0</v>
      </c>
      <c r="E82" s="530">
        <v>0</v>
      </c>
      <c r="F82" s="530">
        <v>0</v>
      </c>
      <c r="G82" s="530">
        <v>0</v>
      </c>
      <c r="H82" s="530">
        <v>0</v>
      </c>
      <c r="I82" s="530">
        <v>0</v>
      </c>
      <c r="J82" s="530">
        <v>0</v>
      </c>
      <c r="K82" s="530">
        <v>0</v>
      </c>
      <c r="L82" s="530">
        <v>0</v>
      </c>
      <c r="M82" s="530">
        <f t="shared" si="14"/>
        <v>0</v>
      </c>
    </row>
    <row r="83" spans="1:13" s="545" customFormat="1" ht="12.75" x14ac:dyDescent="0.2">
      <c r="A83" s="513">
        <v>62122</v>
      </c>
      <c r="B83" s="529" t="s">
        <v>610</v>
      </c>
      <c r="C83" s="530">
        <v>0</v>
      </c>
      <c r="D83" s="530">
        <v>0</v>
      </c>
      <c r="E83" s="530">
        <v>0</v>
      </c>
      <c r="F83" s="530">
        <v>0</v>
      </c>
      <c r="G83" s="530">
        <v>0</v>
      </c>
      <c r="H83" s="530">
        <v>0</v>
      </c>
      <c r="I83" s="530">
        <v>0</v>
      </c>
      <c r="J83" s="530">
        <v>0</v>
      </c>
      <c r="K83" s="530">
        <v>0</v>
      </c>
      <c r="L83" s="530">
        <v>0</v>
      </c>
      <c r="M83" s="530">
        <f t="shared" si="14"/>
        <v>0</v>
      </c>
    </row>
    <row r="84" spans="1:13" s="545" customFormat="1" ht="12.75" x14ac:dyDescent="0.2">
      <c r="A84" s="513">
        <v>62130</v>
      </c>
      <c r="B84" s="529" t="s">
        <v>611</v>
      </c>
      <c r="C84" s="530">
        <v>0</v>
      </c>
      <c r="D84" s="530">
        <v>0</v>
      </c>
      <c r="E84" s="530">
        <v>0</v>
      </c>
      <c r="F84" s="530">
        <v>0</v>
      </c>
      <c r="G84" s="530">
        <v>0</v>
      </c>
      <c r="H84" s="530">
        <v>0</v>
      </c>
      <c r="I84" s="530">
        <v>0</v>
      </c>
      <c r="J84" s="530">
        <v>0</v>
      </c>
      <c r="K84" s="530">
        <v>0</v>
      </c>
      <c r="L84" s="530">
        <v>0</v>
      </c>
      <c r="M84" s="530">
        <f t="shared" si="14"/>
        <v>0</v>
      </c>
    </row>
    <row r="85" spans="1:13" s="545" customFormat="1" ht="12.75" x14ac:dyDescent="0.2">
      <c r="A85" s="513">
        <v>62131</v>
      </c>
      <c r="B85" s="529" t="s">
        <v>612</v>
      </c>
      <c r="C85" s="530">
        <v>0</v>
      </c>
      <c r="D85" s="530">
        <v>0</v>
      </c>
      <c r="E85" s="530">
        <v>0</v>
      </c>
      <c r="F85" s="530">
        <v>0</v>
      </c>
      <c r="G85" s="530">
        <v>0</v>
      </c>
      <c r="H85" s="530">
        <v>0</v>
      </c>
      <c r="I85" s="530">
        <v>0</v>
      </c>
      <c r="J85" s="530">
        <v>0</v>
      </c>
      <c r="K85" s="530">
        <v>0</v>
      </c>
      <c r="L85" s="530">
        <v>0</v>
      </c>
      <c r="M85" s="530">
        <f t="shared" si="14"/>
        <v>0</v>
      </c>
    </row>
    <row r="86" spans="1:13" s="545" customFormat="1" ht="12.75" x14ac:dyDescent="0.2">
      <c r="A86" s="513">
        <v>62132</v>
      </c>
      <c r="B86" s="529" t="s">
        <v>613</v>
      </c>
      <c r="C86" s="530">
        <v>0</v>
      </c>
      <c r="D86" s="530">
        <v>0</v>
      </c>
      <c r="E86" s="530">
        <v>0</v>
      </c>
      <c r="F86" s="530">
        <v>0</v>
      </c>
      <c r="G86" s="530">
        <v>0</v>
      </c>
      <c r="H86" s="530">
        <v>0</v>
      </c>
      <c r="I86" s="530">
        <v>0</v>
      </c>
      <c r="J86" s="530">
        <v>0</v>
      </c>
      <c r="K86" s="530">
        <v>0</v>
      </c>
      <c r="L86" s="530">
        <v>0</v>
      </c>
      <c r="M86" s="530">
        <f t="shared" si="14"/>
        <v>0</v>
      </c>
    </row>
    <row r="87" spans="1:13" s="545" customFormat="1" ht="12.75" x14ac:dyDescent="0.2">
      <c r="A87" s="513">
        <v>62133</v>
      </c>
      <c r="B87" s="529" t="s">
        <v>614</v>
      </c>
      <c r="C87" s="530">
        <v>0</v>
      </c>
      <c r="D87" s="530">
        <v>0</v>
      </c>
      <c r="E87" s="530">
        <v>0</v>
      </c>
      <c r="F87" s="530">
        <v>0</v>
      </c>
      <c r="G87" s="530">
        <v>0</v>
      </c>
      <c r="H87" s="530">
        <v>0</v>
      </c>
      <c r="I87" s="530">
        <v>0</v>
      </c>
      <c r="J87" s="530">
        <v>0</v>
      </c>
      <c r="K87" s="530">
        <v>0</v>
      </c>
      <c r="L87" s="530">
        <v>0</v>
      </c>
      <c r="M87" s="530">
        <f t="shared" si="14"/>
        <v>0</v>
      </c>
    </row>
    <row r="88" spans="1:13" s="545" customFormat="1" ht="12.75" x14ac:dyDescent="0.2">
      <c r="A88" s="513" t="s">
        <v>615</v>
      </c>
      <c r="B88" s="529" t="s">
        <v>616</v>
      </c>
      <c r="C88" s="530">
        <v>0</v>
      </c>
      <c r="D88" s="530">
        <v>0</v>
      </c>
      <c r="E88" s="530">
        <v>0</v>
      </c>
      <c r="F88" s="530">
        <v>0</v>
      </c>
      <c r="G88" s="530">
        <v>0</v>
      </c>
      <c r="H88" s="530">
        <v>0</v>
      </c>
      <c r="I88" s="530">
        <v>0</v>
      </c>
      <c r="J88" s="530">
        <v>0</v>
      </c>
      <c r="K88" s="530">
        <v>0</v>
      </c>
      <c r="L88" s="530">
        <v>0</v>
      </c>
      <c r="M88" s="530">
        <f t="shared" si="14"/>
        <v>0</v>
      </c>
    </row>
    <row r="89" spans="1:13" s="545" customFormat="1" ht="12.75" x14ac:dyDescent="0.2">
      <c r="A89" s="513">
        <v>62151</v>
      </c>
      <c r="B89" s="529" t="s">
        <v>617</v>
      </c>
      <c r="C89" s="530">
        <v>0</v>
      </c>
      <c r="D89" s="530">
        <v>0</v>
      </c>
      <c r="E89" s="530">
        <v>0</v>
      </c>
      <c r="F89" s="530">
        <v>0</v>
      </c>
      <c r="G89" s="530">
        <v>0</v>
      </c>
      <c r="H89" s="530">
        <v>0</v>
      </c>
      <c r="I89" s="530">
        <v>0</v>
      </c>
      <c r="J89" s="530">
        <v>0</v>
      </c>
      <c r="K89" s="530">
        <v>0</v>
      </c>
      <c r="L89" s="530">
        <v>0</v>
      </c>
      <c r="M89" s="530">
        <f t="shared" si="14"/>
        <v>0</v>
      </c>
    </row>
    <row r="90" spans="1:13" s="545" customFormat="1" ht="12.75" x14ac:dyDescent="0.2">
      <c r="A90" s="513">
        <v>62151.1</v>
      </c>
      <c r="B90" s="529" t="s">
        <v>618</v>
      </c>
      <c r="C90" s="530">
        <v>0</v>
      </c>
      <c r="D90" s="530">
        <v>0</v>
      </c>
      <c r="E90" s="530">
        <v>0</v>
      </c>
      <c r="F90" s="530">
        <v>0</v>
      </c>
      <c r="G90" s="530">
        <v>0</v>
      </c>
      <c r="H90" s="530">
        <v>0</v>
      </c>
      <c r="I90" s="530">
        <v>0</v>
      </c>
      <c r="J90" s="530">
        <v>0</v>
      </c>
      <c r="K90" s="530">
        <v>0</v>
      </c>
      <c r="L90" s="530">
        <v>0</v>
      </c>
      <c r="M90" s="530">
        <f t="shared" si="14"/>
        <v>0</v>
      </c>
    </row>
    <row r="91" spans="1:13" s="545" customFormat="1" ht="12.75" x14ac:dyDescent="0.2">
      <c r="A91" s="513">
        <v>62200</v>
      </c>
      <c r="B91" s="529" t="s">
        <v>619</v>
      </c>
      <c r="C91" s="530">
        <v>0</v>
      </c>
      <c r="D91" s="530">
        <v>0</v>
      </c>
      <c r="E91" s="530">
        <v>0</v>
      </c>
      <c r="F91" s="530">
        <v>0</v>
      </c>
      <c r="G91" s="530">
        <v>0</v>
      </c>
      <c r="H91" s="530">
        <v>0</v>
      </c>
      <c r="I91" s="530">
        <v>0</v>
      </c>
      <c r="J91" s="530">
        <v>0</v>
      </c>
      <c r="K91" s="530">
        <v>0</v>
      </c>
      <c r="L91" s="530">
        <v>0</v>
      </c>
      <c r="M91" s="530">
        <f t="shared" si="14"/>
        <v>0</v>
      </c>
    </row>
    <row r="92" spans="1:13" s="545" customFormat="1" ht="12.75" x14ac:dyDescent="0.2">
      <c r="A92" s="513">
        <v>62201</v>
      </c>
      <c r="B92" s="529" t="s">
        <v>620</v>
      </c>
      <c r="C92" s="530">
        <v>0</v>
      </c>
      <c r="D92" s="530">
        <v>0</v>
      </c>
      <c r="E92" s="530">
        <v>0</v>
      </c>
      <c r="F92" s="530">
        <v>0</v>
      </c>
      <c r="G92" s="530">
        <v>0</v>
      </c>
      <c r="H92" s="530">
        <v>0</v>
      </c>
      <c r="I92" s="530">
        <v>0</v>
      </c>
      <c r="J92" s="530">
        <v>0</v>
      </c>
      <c r="K92" s="530">
        <v>0</v>
      </c>
      <c r="L92" s="530">
        <v>0</v>
      </c>
      <c r="M92" s="530">
        <f t="shared" si="14"/>
        <v>0</v>
      </c>
    </row>
    <row r="93" spans="1:13" s="545" customFormat="1" ht="12.75" x14ac:dyDescent="0.2">
      <c r="A93" s="513">
        <v>62202</v>
      </c>
      <c r="B93" s="529" t="s">
        <v>621</v>
      </c>
      <c r="C93" s="530">
        <v>0</v>
      </c>
      <c r="D93" s="530">
        <v>0</v>
      </c>
      <c r="E93" s="530">
        <v>0</v>
      </c>
      <c r="F93" s="530">
        <v>0</v>
      </c>
      <c r="G93" s="530">
        <v>0</v>
      </c>
      <c r="H93" s="530">
        <v>0</v>
      </c>
      <c r="I93" s="530">
        <v>0</v>
      </c>
      <c r="J93" s="530">
        <v>0</v>
      </c>
      <c r="K93" s="530">
        <v>0</v>
      </c>
      <c r="L93" s="530">
        <v>0</v>
      </c>
      <c r="M93" s="530">
        <f t="shared" si="14"/>
        <v>0</v>
      </c>
    </row>
    <row r="94" spans="1:13" s="545" customFormat="1" ht="12.75" x14ac:dyDescent="0.2">
      <c r="A94" s="513">
        <v>62205</v>
      </c>
      <c r="B94" s="529" t="s">
        <v>622</v>
      </c>
      <c r="C94" s="530">
        <v>0</v>
      </c>
      <c r="D94" s="530">
        <v>0</v>
      </c>
      <c r="E94" s="530">
        <v>0</v>
      </c>
      <c r="F94" s="530">
        <v>0</v>
      </c>
      <c r="G94" s="530">
        <v>0</v>
      </c>
      <c r="H94" s="530">
        <v>0</v>
      </c>
      <c r="I94" s="530">
        <v>0</v>
      </c>
      <c r="J94" s="530">
        <v>0</v>
      </c>
      <c r="K94" s="530">
        <v>0</v>
      </c>
      <c r="L94" s="530">
        <v>0</v>
      </c>
      <c r="M94" s="530">
        <f t="shared" si="14"/>
        <v>0</v>
      </c>
    </row>
    <row r="95" spans="1:13" s="545" customFormat="1" ht="12.75" x14ac:dyDescent="0.2">
      <c r="A95" s="513">
        <v>62300</v>
      </c>
      <c r="B95" s="529" t="s">
        <v>623</v>
      </c>
      <c r="C95" s="530">
        <v>6052.8399999999992</v>
      </c>
      <c r="D95" s="530">
        <v>0</v>
      </c>
      <c r="E95" s="530">
        <v>0</v>
      </c>
      <c r="F95" s="530">
        <v>3454.7200000000003</v>
      </c>
      <c r="G95" s="530">
        <v>0</v>
      </c>
      <c r="H95" s="530">
        <v>179.85</v>
      </c>
      <c r="I95" s="530">
        <v>4600.5499999999993</v>
      </c>
      <c r="J95" s="530">
        <v>0</v>
      </c>
      <c r="K95" s="530">
        <v>0</v>
      </c>
      <c r="L95" s="530">
        <v>0</v>
      </c>
      <c r="M95" s="530">
        <f t="shared" si="14"/>
        <v>14287.96</v>
      </c>
    </row>
    <row r="96" spans="1:13" s="545" customFormat="1" ht="12.75" x14ac:dyDescent="0.2">
      <c r="A96" s="513">
        <v>62301</v>
      </c>
      <c r="B96" s="529" t="s">
        <v>624</v>
      </c>
      <c r="C96" s="530">
        <v>0</v>
      </c>
      <c r="D96" s="530">
        <v>0</v>
      </c>
      <c r="E96" s="530">
        <v>0</v>
      </c>
      <c r="F96" s="530">
        <v>0</v>
      </c>
      <c r="G96" s="530">
        <v>0</v>
      </c>
      <c r="H96" s="530">
        <v>0</v>
      </c>
      <c r="I96" s="530">
        <v>0</v>
      </c>
      <c r="J96" s="530">
        <v>0</v>
      </c>
      <c r="K96" s="530">
        <v>0</v>
      </c>
      <c r="L96" s="530">
        <v>0</v>
      </c>
      <c r="M96" s="530">
        <f t="shared" si="14"/>
        <v>0</v>
      </c>
    </row>
    <row r="97" spans="1:13" s="545" customFormat="1" ht="12.75" x14ac:dyDescent="0.2">
      <c r="A97" s="513">
        <v>62302</v>
      </c>
      <c r="B97" s="529" t="s">
        <v>625</v>
      </c>
      <c r="C97" s="530">
        <v>0</v>
      </c>
      <c r="D97" s="530">
        <v>0</v>
      </c>
      <c r="E97" s="530">
        <v>0</v>
      </c>
      <c r="F97" s="530">
        <v>0</v>
      </c>
      <c r="G97" s="530">
        <v>0</v>
      </c>
      <c r="H97" s="530">
        <v>0</v>
      </c>
      <c r="I97" s="530">
        <v>0</v>
      </c>
      <c r="J97" s="530">
        <v>0</v>
      </c>
      <c r="K97" s="530">
        <v>0</v>
      </c>
      <c r="L97" s="530">
        <v>0</v>
      </c>
      <c r="M97" s="530">
        <f t="shared" si="14"/>
        <v>0</v>
      </c>
    </row>
    <row r="98" spans="1:13" s="545" customFormat="1" ht="12.75" x14ac:dyDescent="0.2">
      <c r="A98" s="513">
        <v>62303</v>
      </c>
      <c r="B98" s="529" t="s">
        <v>626</v>
      </c>
      <c r="C98" s="530">
        <v>0</v>
      </c>
      <c r="D98" s="530">
        <v>0</v>
      </c>
      <c r="E98" s="530">
        <v>0</v>
      </c>
      <c r="F98" s="530">
        <v>0</v>
      </c>
      <c r="G98" s="530">
        <v>0</v>
      </c>
      <c r="H98" s="530">
        <v>0</v>
      </c>
      <c r="I98" s="530">
        <v>0</v>
      </c>
      <c r="J98" s="530">
        <v>0</v>
      </c>
      <c r="K98" s="530">
        <v>0</v>
      </c>
      <c r="L98" s="530">
        <v>0</v>
      </c>
      <c r="M98" s="530">
        <f t="shared" si="14"/>
        <v>0</v>
      </c>
    </row>
    <row r="99" spans="1:13" s="545" customFormat="1" ht="12.75" x14ac:dyDescent="0.2">
      <c r="A99" s="513">
        <v>62304</v>
      </c>
      <c r="B99" s="529" t="s">
        <v>627</v>
      </c>
      <c r="C99" s="530">
        <v>5128.5</v>
      </c>
      <c r="D99" s="530">
        <v>0</v>
      </c>
      <c r="E99" s="530">
        <v>0</v>
      </c>
      <c r="F99" s="530">
        <v>2073.6999999999998</v>
      </c>
      <c r="G99" s="530">
        <v>0</v>
      </c>
      <c r="H99" s="530">
        <v>-66.88</v>
      </c>
      <c r="I99" s="530">
        <v>7738.68</v>
      </c>
      <c r="J99" s="530">
        <v>0</v>
      </c>
      <c r="K99" s="530">
        <v>0</v>
      </c>
      <c r="L99" s="530">
        <v>0</v>
      </c>
      <c r="M99" s="530">
        <f t="shared" si="14"/>
        <v>14874</v>
      </c>
    </row>
    <row r="100" spans="1:13" s="545" customFormat="1" ht="12.75" x14ac:dyDescent="0.2">
      <c r="A100" s="513">
        <v>62305</v>
      </c>
      <c r="B100" s="529" t="s">
        <v>628</v>
      </c>
      <c r="C100" s="530">
        <v>2764.58</v>
      </c>
      <c r="D100" s="530">
        <v>0</v>
      </c>
      <c r="E100" s="530">
        <v>0</v>
      </c>
      <c r="F100" s="530">
        <v>1734.0800000000002</v>
      </c>
      <c r="G100" s="530">
        <v>0</v>
      </c>
      <c r="H100" s="530">
        <v>72.569999999999993</v>
      </c>
      <c r="I100" s="530">
        <v>2331.0099999999998</v>
      </c>
      <c r="J100" s="530">
        <v>0</v>
      </c>
      <c r="K100" s="530">
        <v>0</v>
      </c>
      <c r="L100" s="530">
        <v>0</v>
      </c>
      <c r="M100" s="530">
        <f t="shared" si="14"/>
        <v>6902.24</v>
      </c>
    </row>
    <row r="101" spans="1:13" s="545" customFormat="1" ht="12.75" x14ac:dyDescent="0.2">
      <c r="A101" s="513">
        <v>62306</v>
      </c>
      <c r="B101" s="529" t="s">
        <v>629</v>
      </c>
      <c r="C101" s="530">
        <v>2123.16</v>
      </c>
      <c r="D101" s="530">
        <v>0</v>
      </c>
      <c r="E101" s="530">
        <v>0</v>
      </c>
      <c r="F101" s="530">
        <v>1120.94</v>
      </c>
      <c r="G101" s="530">
        <v>0</v>
      </c>
      <c r="H101" s="530">
        <v>32.129999999999995</v>
      </c>
      <c r="I101" s="530">
        <v>1598.26</v>
      </c>
      <c r="J101" s="530">
        <v>0</v>
      </c>
      <c r="K101" s="530">
        <v>0</v>
      </c>
      <c r="L101" s="530">
        <v>0</v>
      </c>
      <c r="M101" s="530">
        <f t="shared" si="14"/>
        <v>4874.49</v>
      </c>
    </row>
    <row r="102" spans="1:13" s="545" customFormat="1" ht="12.75" x14ac:dyDescent="0.2">
      <c r="A102" s="513">
        <v>62600</v>
      </c>
      <c r="B102" s="529" t="s">
        <v>630</v>
      </c>
      <c r="C102" s="530">
        <v>0</v>
      </c>
      <c r="D102" s="530">
        <v>0</v>
      </c>
      <c r="E102" s="530">
        <v>0</v>
      </c>
      <c r="F102" s="530">
        <v>0</v>
      </c>
      <c r="G102" s="530">
        <v>0</v>
      </c>
      <c r="H102" s="530">
        <v>0</v>
      </c>
      <c r="I102" s="530">
        <v>0</v>
      </c>
      <c r="J102" s="530">
        <v>0</v>
      </c>
      <c r="K102" s="530">
        <v>0</v>
      </c>
      <c r="L102" s="530">
        <v>0</v>
      </c>
      <c r="M102" s="530">
        <f t="shared" si="14"/>
        <v>0</v>
      </c>
    </row>
    <row r="103" spans="1:13" s="545" customFormat="1" ht="12.75" x14ac:dyDescent="0.2">
      <c r="A103" s="513">
        <v>62601</v>
      </c>
      <c r="B103" s="529" t="s">
        <v>631</v>
      </c>
      <c r="C103" s="530">
        <v>0</v>
      </c>
      <c r="D103" s="530">
        <v>0</v>
      </c>
      <c r="E103" s="530">
        <v>0</v>
      </c>
      <c r="F103" s="530">
        <v>0</v>
      </c>
      <c r="G103" s="530">
        <v>0</v>
      </c>
      <c r="H103" s="530">
        <v>0</v>
      </c>
      <c r="I103" s="530">
        <v>0</v>
      </c>
      <c r="J103" s="530">
        <v>0</v>
      </c>
      <c r="K103" s="530">
        <v>0</v>
      </c>
      <c r="L103" s="530">
        <v>0</v>
      </c>
      <c r="M103" s="530">
        <f t="shared" si="14"/>
        <v>0</v>
      </c>
    </row>
    <row r="104" spans="1:13" s="545" customFormat="1" ht="12.75" x14ac:dyDescent="0.2">
      <c r="A104" s="513">
        <v>62400</v>
      </c>
      <c r="B104" s="553" t="s">
        <v>632</v>
      </c>
      <c r="C104" s="531">
        <v>0</v>
      </c>
      <c r="D104" s="531">
        <v>0</v>
      </c>
      <c r="E104" s="531">
        <v>0</v>
      </c>
      <c r="F104" s="531">
        <v>0</v>
      </c>
      <c r="G104" s="531">
        <v>0</v>
      </c>
      <c r="H104" s="531">
        <v>0</v>
      </c>
      <c r="I104" s="531">
        <v>0</v>
      </c>
      <c r="J104" s="531">
        <v>0</v>
      </c>
      <c r="K104" s="531">
        <v>0</v>
      </c>
      <c r="L104" s="531">
        <v>0</v>
      </c>
      <c r="M104" s="531">
        <f t="shared" si="14"/>
        <v>0</v>
      </c>
    </row>
    <row r="105" spans="1:13" s="428" customFormat="1" ht="12.75" x14ac:dyDescent="0.2">
      <c r="A105" s="513">
        <v>62950</v>
      </c>
      <c r="B105" s="532" t="s">
        <v>633</v>
      </c>
      <c r="C105" s="533">
        <f t="shared" ref="C105:M105" si="15">SUM(C79:C104)</f>
        <v>100995.67</v>
      </c>
      <c r="D105" s="533">
        <f t="shared" si="15"/>
        <v>0</v>
      </c>
      <c r="E105" s="533">
        <f t="shared" si="15"/>
        <v>0</v>
      </c>
      <c r="F105" s="533">
        <f t="shared" si="15"/>
        <v>53220.850000000006</v>
      </c>
      <c r="G105" s="533">
        <f t="shared" si="15"/>
        <v>0</v>
      </c>
      <c r="H105" s="533">
        <f t="shared" si="15"/>
        <v>1502.8999999999996</v>
      </c>
      <c r="I105" s="533">
        <f t="shared" si="15"/>
        <v>80198.959999999992</v>
      </c>
      <c r="J105" s="533">
        <f t="shared" si="15"/>
        <v>0</v>
      </c>
      <c r="K105" s="533">
        <f t="shared" si="15"/>
        <v>0</v>
      </c>
      <c r="L105" s="533">
        <f t="shared" si="15"/>
        <v>0</v>
      </c>
      <c r="M105" s="533">
        <f t="shared" si="15"/>
        <v>235918.37999999998</v>
      </c>
    </row>
    <row r="106" spans="1:13" s="428" customFormat="1" ht="12.75" x14ac:dyDescent="0.2">
      <c r="A106" s="513"/>
      <c r="B106" s="516"/>
      <c r="C106" s="528"/>
      <c r="D106" s="528"/>
      <c r="E106" s="528"/>
      <c r="F106" s="528"/>
      <c r="G106" s="528"/>
      <c r="H106" s="528"/>
      <c r="I106" s="528"/>
      <c r="J106" s="528"/>
      <c r="K106" s="528"/>
      <c r="L106" s="528"/>
      <c r="M106" s="528"/>
    </row>
    <row r="107" spans="1:13" s="428" customFormat="1" ht="12.75" x14ac:dyDescent="0.2">
      <c r="A107" s="513"/>
      <c r="B107" s="516" t="s">
        <v>634</v>
      </c>
      <c r="C107" s="528"/>
      <c r="D107" s="528"/>
      <c r="E107" s="528"/>
      <c r="F107" s="528"/>
      <c r="G107" s="528"/>
      <c r="H107" s="528"/>
      <c r="I107" s="528"/>
      <c r="J107" s="528"/>
      <c r="K107" s="528"/>
      <c r="L107" s="528"/>
      <c r="M107" s="528"/>
    </row>
    <row r="108" spans="1:13" s="545" customFormat="1" ht="12.75" x14ac:dyDescent="0.2">
      <c r="A108" s="513">
        <v>63100</v>
      </c>
      <c r="B108" s="529" t="s">
        <v>635</v>
      </c>
      <c r="C108" s="530">
        <v>80.25</v>
      </c>
      <c r="D108" s="530">
        <v>0</v>
      </c>
      <c r="E108" s="530">
        <v>0</v>
      </c>
      <c r="F108" s="530">
        <v>0</v>
      </c>
      <c r="G108" s="530">
        <v>0</v>
      </c>
      <c r="H108" s="530">
        <v>0</v>
      </c>
      <c r="I108" s="530">
        <v>0</v>
      </c>
      <c r="J108" s="530">
        <v>0</v>
      </c>
      <c r="K108" s="530">
        <v>0</v>
      </c>
      <c r="L108" s="530">
        <v>0</v>
      </c>
      <c r="M108" s="530">
        <f t="shared" ref="M108:M115" si="16">SUM(C108:L108)</f>
        <v>80.25</v>
      </c>
    </row>
    <row r="109" spans="1:13" s="545" customFormat="1" ht="12.75" x14ac:dyDescent="0.2">
      <c r="A109" s="513">
        <v>63200</v>
      </c>
      <c r="B109" s="529" t="s">
        <v>636</v>
      </c>
      <c r="C109" s="530">
        <v>0</v>
      </c>
      <c r="D109" s="530">
        <v>0</v>
      </c>
      <c r="E109" s="530">
        <v>0</v>
      </c>
      <c r="F109" s="530">
        <v>0</v>
      </c>
      <c r="G109" s="530">
        <v>0</v>
      </c>
      <c r="H109" s="530">
        <v>0</v>
      </c>
      <c r="I109" s="530">
        <v>0</v>
      </c>
      <c r="J109" s="530">
        <v>0</v>
      </c>
      <c r="K109" s="530">
        <v>0</v>
      </c>
      <c r="L109" s="530">
        <v>0</v>
      </c>
      <c r="M109" s="530">
        <f t="shared" si="16"/>
        <v>0</v>
      </c>
    </row>
    <row r="110" spans="1:13" s="545" customFormat="1" ht="12.75" x14ac:dyDescent="0.2">
      <c r="A110" s="513">
        <v>63250</v>
      </c>
      <c r="B110" s="529" t="s">
        <v>637</v>
      </c>
      <c r="C110" s="530">
        <v>0</v>
      </c>
      <c r="D110" s="530">
        <v>0</v>
      </c>
      <c r="E110" s="530">
        <v>0</v>
      </c>
      <c r="F110" s="530">
        <v>0</v>
      </c>
      <c r="G110" s="530">
        <v>0</v>
      </c>
      <c r="H110" s="530">
        <v>0</v>
      </c>
      <c r="I110" s="530">
        <v>539.01</v>
      </c>
      <c r="J110" s="530">
        <v>0</v>
      </c>
      <c r="K110" s="530">
        <v>0</v>
      </c>
      <c r="L110" s="530">
        <v>0</v>
      </c>
      <c r="M110" s="530">
        <f t="shared" si="16"/>
        <v>539.01</v>
      </c>
    </row>
    <row r="111" spans="1:13" s="545" customFormat="1" ht="12.75" x14ac:dyDescent="0.2">
      <c r="A111" s="513">
        <v>63300</v>
      </c>
      <c r="B111" s="529" t="s">
        <v>638</v>
      </c>
      <c r="C111" s="530">
        <v>0</v>
      </c>
      <c r="D111" s="530">
        <v>0</v>
      </c>
      <c r="E111" s="530">
        <v>0</v>
      </c>
      <c r="F111" s="530">
        <v>0</v>
      </c>
      <c r="G111" s="530">
        <v>0</v>
      </c>
      <c r="H111" s="530">
        <v>0</v>
      </c>
      <c r="I111" s="530">
        <v>0</v>
      </c>
      <c r="J111" s="530">
        <v>0</v>
      </c>
      <c r="K111" s="530">
        <v>0</v>
      </c>
      <c r="L111" s="530">
        <v>0</v>
      </c>
      <c r="M111" s="530">
        <f t="shared" si="16"/>
        <v>0</v>
      </c>
    </row>
    <row r="112" spans="1:13" s="545" customFormat="1" ht="12.75" x14ac:dyDescent="0.2">
      <c r="A112" s="513">
        <v>63400</v>
      </c>
      <c r="B112" s="529" t="s">
        <v>639</v>
      </c>
      <c r="C112" s="530">
        <v>12.84</v>
      </c>
      <c r="D112" s="530">
        <v>0</v>
      </c>
      <c r="E112" s="530">
        <v>0</v>
      </c>
      <c r="F112" s="530">
        <v>0</v>
      </c>
      <c r="G112" s="530">
        <v>0</v>
      </c>
      <c r="H112" s="530">
        <v>0</v>
      </c>
      <c r="I112" s="530">
        <v>0</v>
      </c>
      <c r="J112" s="530">
        <v>0</v>
      </c>
      <c r="K112" s="530">
        <v>0</v>
      </c>
      <c r="L112" s="530">
        <v>0</v>
      </c>
      <c r="M112" s="530">
        <f t="shared" si="16"/>
        <v>12.84</v>
      </c>
    </row>
    <row r="113" spans="1:13" s="545" customFormat="1" ht="12.75" x14ac:dyDescent="0.2">
      <c r="A113" s="513">
        <v>63450</v>
      </c>
      <c r="B113" s="529" t="s">
        <v>640</v>
      </c>
      <c r="C113" s="530">
        <v>126.53</v>
      </c>
      <c r="D113" s="530">
        <v>0</v>
      </c>
      <c r="E113" s="530">
        <v>0</v>
      </c>
      <c r="F113" s="530">
        <v>0</v>
      </c>
      <c r="G113" s="530">
        <v>0</v>
      </c>
      <c r="H113" s="530">
        <v>0</v>
      </c>
      <c r="I113" s="530">
        <v>0</v>
      </c>
      <c r="J113" s="530">
        <v>0</v>
      </c>
      <c r="K113" s="530">
        <v>0</v>
      </c>
      <c r="L113" s="530">
        <v>0</v>
      </c>
      <c r="M113" s="530">
        <f t="shared" si="16"/>
        <v>126.53</v>
      </c>
    </row>
    <row r="114" spans="1:13" s="545" customFormat="1" ht="12.75" x14ac:dyDescent="0.2">
      <c r="A114" s="513">
        <v>63460</v>
      </c>
      <c r="B114" s="529" t="s">
        <v>641</v>
      </c>
      <c r="C114" s="530">
        <v>270</v>
      </c>
      <c r="D114" s="530">
        <v>0</v>
      </c>
      <c r="E114" s="530">
        <v>0</v>
      </c>
      <c r="F114" s="530">
        <v>0</v>
      </c>
      <c r="G114" s="530">
        <v>0</v>
      </c>
      <c r="H114" s="530">
        <v>0</v>
      </c>
      <c r="I114" s="530">
        <v>0</v>
      </c>
      <c r="J114" s="530">
        <v>0</v>
      </c>
      <c r="K114" s="530">
        <v>0</v>
      </c>
      <c r="L114" s="530">
        <v>0</v>
      </c>
      <c r="M114" s="530">
        <f t="shared" si="16"/>
        <v>270</v>
      </c>
    </row>
    <row r="115" spans="1:13" s="545" customFormat="1" ht="12.75" x14ac:dyDescent="0.2">
      <c r="A115" s="513">
        <v>63470</v>
      </c>
      <c r="B115" s="553" t="s">
        <v>642</v>
      </c>
      <c r="C115" s="530">
        <v>0</v>
      </c>
      <c r="D115" s="530">
        <v>0</v>
      </c>
      <c r="E115" s="530">
        <v>0</v>
      </c>
      <c r="F115" s="530">
        <v>0</v>
      </c>
      <c r="G115" s="530">
        <v>0</v>
      </c>
      <c r="H115" s="530">
        <v>0</v>
      </c>
      <c r="I115" s="530">
        <v>0</v>
      </c>
      <c r="J115" s="530">
        <v>0</v>
      </c>
      <c r="K115" s="530">
        <v>0</v>
      </c>
      <c r="L115" s="530">
        <v>0</v>
      </c>
      <c r="M115" s="530">
        <f t="shared" si="16"/>
        <v>0</v>
      </c>
    </row>
    <row r="116" spans="1:13" s="428" customFormat="1" ht="12.75" x14ac:dyDescent="0.2">
      <c r="A116" s="513">
        <v>63500</v>
      </c>
      <c r="B116" s="536" t="s">
        <v>643</v>
      </c>
      <c r="C116" s="537">
        <f t="shared" ref="C116:M116" si="17">SUM(C108:C115)</f>
        <v>489.62</v>
      </c>
      <c r="D116" s="537">
        <f t="shared" si="17"/>
        <v>0</v>
      </c>
      <c r="E116" s="537">
        <f t="shared" si="17"/>
        <v>0</v>
      </c>
      <c r="F116" s="537">
        <f t="shared" si="17"/>
        <v>0</v>
      </c>
      <c r="G116" s="537">
        <f t="shared" si="17"/>
        <v>0</v>
      </c>
      <c r="H116" s="537">
        <f t="shared" si="17"/>
        <v>0</v>
      </c>
      <c r="I116" s="537">
        <f t="shared" si="17"/>
        <v>539.01</v>
      </c>
      <c r="J116" s="537">
        <f t="shared" si="17"/>
        <v>0</v>
      </c>
      <c r="K116" s="537">
        <f t="shared" si="17"/>
        <v>0</v>
      </c>
      <c r="L116" s="537">
        <f t="shared" si="17"/>
        <v>0</v>
      </c>
      <c r="M116" s="537">
        <f t="shared" si="17"/>
        <v>1028.6300000000001</v>
      </c>
    </row>
    <row r="117" spans="1:13" s="428" customFormat="1" ht="12.75" x14ac:dyDescent="0.2">
      <c r="A117" s="513"/>
      <c r="B117" s="516"/>
      <c r="C117" s="528"/>
      <c r="D117" s="528"/>
      <c r="E117" s="528"/>
      <c r="F117" s="528"/>
      <c r="G117" s="528"/>
      <c r="H117" s="528"/>
      <c r="I117" s="528"/>
      <c r="J117" s="528"/>
      <c r="K117" s="528"/>
      <c r="L117" s="528"/>
      <c r="M117" s="528"/>
    </row>
    <row r="118" spans="1:13" s="428" customFormat="1" ht="12.75" x14ac:dyDescent="0.2">
      <c r="A118" s="513"/>
      <c r="B118" s="516" t="s">
        <v>644</v>
      </c>
      <c r="C118" s="528"/>
      <c r="D118" s="528"/>
      <c r="E118" s="528"/>
      <c r="F118" s="528"/>
      <c r="G118" s="528"/>
      <c r="H118" s="528"/>
      <c r="I118" s="528"/>
      <c r="J118" s="528"/>
      <c r="K118" s="528"/>
      <c r="L118" s="528"/>
      <c r="M118" s="528"/>
    </row>
    <row r="119" spans="1:13" s="545" customFormat="1" ht="12.75" x14ac:dyDescent="0.2">
      <c r="A119" s="513">
        <v>64100</v>
      </c>
      <c r="B119" s="529" t="s">
        <v>645</v>
      </c>
      <c r="C119" s="530">
        <v>0</v>
      </c>
      <c r="D119" s="530">
        <v>0</v>
      </c>
      <c r="E119" s="530">
        <v>0</v>
      </c>
      <c r="F119" s="530">
        <v>0</v>
      </c>
      <c r="G119" s="530">
        <v>0</v>
      </c>
      <c r="H119" s="530">
        <v>0</v>
      </c>
      <c r="I119" s="530">
        <v>63.34</v>
      </c>
      <c r="J119" s="530">
        <v>0</v>
      </c>
      <c r="K119" s="530">
        <v>0</v>
      </c>
      <c r="L119" s="530">
        <v>0</v>
      </c>
      <c r="M119" s="530">
        <f t="shared" ref="M119:M124" si="18">SUM(C119:L119)</f>
        <v>63.34</v>
      </c>
    </row>
    <row r="120" spans="1:13" s="545" customFormat="1" ht="12.75" x14ac:dyDescent="0.2">
      <c r="A120" s="513">
        <v>64150</v>
      </c>
      <c r="B120" s="529" t="s">
        <v>646</v>
      </c>
      <c r="C120" s="530">
        <v>0</v>
      </c>
      <c r="D120" s="530">
        <v>0</v>
      </c>
      <c r="E120" s="530">
        <v>0</v>
      </c>
      <c r="F120" s="530">
        <v>0</v>
      </c>
      <c r="G120" s="530">
        <v>0</v>
      </c>
      <c r="H120" s="530">
        <v>0</v>
      </c>
      <c r="I120" s="530">
        <v>0</v>
      </c>
      <c r="J120" s="530">
        <v>0</v>
      </c>
      <c r="K120" s="530">
        <v>0</v>
      </c>
      <c r="L120" s="530">
        <v>0</v>
      </c>
      <c r="M120" s="530">
        <f t="shared" si="18"/>
        <v>0</v>
      </c>
    </row>
    <row r="121" spans="1:13" s="545" customFormat="1" ht="12.75" x14ac:dyDescent="0.2">
      <c r="A121" s="513">
        <v>64200</v>
      </c>
      <c r="B121" s="529" t="s">
        <v>647</v>
      </c>
      <c r="C121" s="530">
        <v>0</v>
      </c>
      <c r="D121" s="530">
        <v>0</v>
      </c>
      <c r="E121" s="530">
        <v>0</v>
      </c>
      <c r="F121" s="530">
        <v>0</v>
      </c>
      <c r="G121" s="530">
        <v>0</v>
      </c>
      <c r="H121" s="530">
        <v>0</v>
      </c>
      <c r="I121" s="530">
        <v>0</v>
      </c>
      <c r="J121" s="530">
        <v>0</v>
      </c>
      <c r="K121" s="530">
        <v>0</v>
      </c>
      <c r="L121" s="530">
        <v>0</v>
      </c>
      <c r="M121" s="530">
        <f t="shared" si="18"/>
        <v>0</v>
      </c>
    </row>
    <row r="122" spans="1:13" s="545" customFormat="1" ht="12.75" x14ac:dyDescent="0.2">
      <c r="A122" s="513">
        <v>64248</v>
      </c>
      <c r="B122" s="529" t="s">
        <v>648</v>
      </c>
      <c r="C122" s="530">
        <v>0</v>
      </c>
      <c r="D122" s="530">
        <v>0</v>
      </c>
      <c r="E122" s="530">
        <v>0</v>
      </c>
      <c r="F122" s="530">
        <v>0</v>
      </c>
      <c r="G122" s="530">
        <v>0</v>
      </c>
      <c r="H122" s="530">
        <v>0</v>
      </c>
      <c r="I122" s="530">
        <v>0</v>
      </c>
      <c r="J122" s="530">
        <v>0</v>
      </c>
      <c r="K122" s="530">
        <v>0</v>
      </c>
      <c r="L122" s="530">
        <v>0</v>
      </c>
      <c r="M122" s="530">
        <f t="shared" si="18"/>
        <v>0</v>
      </c>
    </row>
    <row r="123" spans="1:13" s="545" customFormat="1" ht="12.75" x14ac:dyDescent="0.2">
      <c r="A123" s="513">
        <v>64250</v>
      </c>
      <c r="B123" s="529" t="s">
        <v>649</v>
      </c>
      <c r="C123" s="530">
        <v>0</v>
      </c>
      <c r="D123" s="530">
        <v>0</v>
      </c>
      <c r="E123" s="530">
        <v>0</v>
      </c>
      <c r="F123" s="530">
        <v>0</v>
      </c>
      <c r="G123" s="530">
        <v>0</v>
      </c>
      <c r="H123" s="530">
        <v>0</v>
      </c>
      <c r="I123" s="530">
        <v>0</v>
      </c>
      <c r="J123" s="530">
        <v>0</v>
      </c>
      <c r="K123" s="530">
        <v>0</v>
      </c>
      <c r="L123" s="530">
        <v>0</v>
      </c>
      <c r="M123" s="530">
        <f t="shared" si="18"/>
        <v>0</v>
      </c>
    </row>
    <row r="124" spans="1:13" s="545" customFormat="1" ht="12.75" x14ac:dyDescent="0.2">
      <c r="A124" s="513">
        <v>64300</v>
      </c>
      <c r="B124" s="553" t="s">
        <v>650</v>
      </c>
      <c r="C124" s="530">
        <v>0</v>
      </c>
      <c r="D124" s="530">
        <v>0</v>
      </c>
      <c r="E124" s="530">
        <v>0</v>
      </c>
      <c r="F124" s="530">
        <v>0</v>
      </c>
      <c r="G124" s="530">
        <v>0</v>
      </c>
      <c r="H124" s="530">
        <v>0</v>
      </c>
      <c r="I124" s="530">
        <v>0</v>
      </c>
      <c r="J124" s="530">
        <v>0</v>
      </c>
      <c r="K124" s="530">
        <v>0</v>
      </c>
      <c r="L124" s="530">
        <v>0</v>
      </c>
      <c r="M124" s="530">
        <f t="shared" si="18"/>
        <v>0</v>
      </c>
    </row>
    <row r="125" spans="1:13" s="428" customFormat="1" ht="12.75" x14ac:dyDescent="0.2">
      <c r="A125" s="513">
        <v>64400</v>
      </c>
      <c r="B125" s="536" t="s">
        <v>651</v>
      </c>
      <c r="C125" s="537">
        <f t="shared" ref="C125:M125" si="19">SUM(C119:C124)</f>
        <v>0</v>
      </c>
      <c r="D125" s="537">
        <f t="shared" si="19"/>
        <v>0</v>
      </c>
      <c r="E125" s="537">
        <f t="shared" si="19"/>
        <v>0</v>
      </c>
      <c r="F125" s="537">
        <f t="shared" si="19"/>
        <v>0</v>
      </c>
      <c r="G125" s="537">
        <f t="shared" si="19"/>
        <v>0</v>
      </c>
      <c r="H125" s="537">
        <f t="shared" si="19"/>
        <v>0</v>
      </c>
      <c r="I125" s="537">
        <f t="shared" si="19"/>
        <v>63.34</v>
      </c>
      <c r="J125" s="537">
        <f t="shared" si="19"/>
        <v>0</v>
      </c>
      <c r="K125" s="537">
        <f t="shared" si="19"/>
        <v>0</v>
      </c>
      <c r="L125" s="537">
        <f t="shared" si="19"/>
        <v>0</v>
      </c>
      <c r="M125" s="537">
        <f t="shared" si="19"/>
        <v>63.34</v>
      </c>
    </row>
    <row r="126" spans="1:13" s="428" customFormat="1" ht="12.75" x14ac:dyDescent="0.2">
      <c r="A126" s="513"/>
      <c r="B126" s="516"/>
      <c r="C126" s="528"/>
      <c r="D126" s="528"/>
      <c r="E126" s="528"/>
      <c r="F126" s="528"/>
      <c r="G126" s="528"/>
      <c r="H126" s="528"/>
      <c r="I126" s="528"/>
      <c r="J126" s="528"/>
      <c r="K126" s="528"/>
      <c r="L126" s="528"/>
      <c r="M126" s="528"/>
    </row>
    <row r="127" spans="1:13" s="428" customFormat="1" ht="12.75" x14ac:dyDescent="0.2">
      <c r="A127" s="513"/>
      <c r="B127" s="516" t="s">
        <v>652</v>
      </c>
      <c r="C127" s="528"/>
      <c r="D127" s="528"/>
      <c r="E127" s="528"/>
      <c r="F127" s="528"/>
      <c r="G127" s="528"/>
      <c r="H127" s="528"/>
      <c r="I127" s="528"/>
      <c r="J127" s="528"/>
      <c r="K127" s="528"/>
      <c r="L127" s="528"/>
      <c r="M127" s="528"/>
    </row>
    <row r="128" spans="1:13" s="545" customFormat="1" ht="12.75" x14ac:dyDescent="0.2">
      <c r="A128" s="513">
        <v>65100</v>
      </c>
      <c r="B128" s="529" t="s">
        <v>653</v>
      </c>
      <c r="C128" s="530">
        <v>0</v>
      </c>
      <c r="D128" s="530">
        <v>0</v>
      </c>
      <c r="E128" s="530">
        <v>10629.47</v>
      </c>
      <c r="F128" s="530">
        <v>0</v>
      </c>
      <c r="G128" s="530">
        <v>0</v>
      </c>
      <c r="H128" s="530">
        <v>0</v>
      </c>
      <c r="I128" s="530">
        <v>0</v>
      </c>
      <c r="J128" s="530">
        <v>0</v>
      </c>
      <c r="K128" s="530">
        <v>0</v>
      </c>
      <c r="L128" s="530">
        <v>0</v>
      </c>
      <c r="M128" s="530">
        <f t="shared" ref="M128:M136" si="20">SUM(C128:L128)</f>
        <v>10629.47</v>
      </c>
    </row>
    <row r="129" spans="1:13" s="545" customFormat="1" ht="12.75" x14ac:dyDescent="0.2">
      <c r="A129" s="513">
        <v>65100.1</v>
      </c>
      <c r="B129" s="529" t="s">
        <v>654</v>
      </c>
      <c r="C129" s="530">
        <v>0</v>
      </c>
      <c r="D129" s="530">
        <v>0</v>
      </c>
      <c r="E129" s="530">
        <v>0</v>
      </c>
      <c r="F129" s="530">
        <v>0</v>
      </c>
      <c r="G129" s="530">
        <v>0</v>
      </c>
      <c r="H129" s="530">
        <v>0</v>
      </c>
      <c r="I129" s="530">
        <v>0</v>
      </c>
      <c r="J129" s="530">
        <v>0</v>
      </c>
      <c r="K129" s="530">
        <v>0</v>
      </c>
      <c r="L129" s="530">
        <v>0</v>
      </c>
      <c r="M129" s="530">
        <f t="shared" si="20"/>
        <v>0</v>
      </c>
    </row>
    <row r="130" spans="1:13" s="545" customFormat="1" ht="12.75" x14ac:dyDescent="0.2">
      <c r="A130" s="513">
        <v>65100.2</v>
      </c>
      <c r="B130" s="529" t="s">
        <v>655</v>
      </c>
      <c r="C130" s="530">
        <v>0</v>
      </c>
      <c r="D130" s="530">
        <v>0</v>
      </c>
      <c r="E130" s="530">
        <v>0</v>
      </c>
      <c r="F130" s="530">
        <v>0</v>
      </c>
      <c r="G130" s="530">
        <v>0</v>
      </c>
      <c r="H130" s="530">
        <v>0</v>
      </c>
      <c r="I130" s="530">
        <v>0</v>
      </c>
      <c r="J130" s="530">
        <v>0</v>
      </c>
      <c r="K130" s="530">
        <v>0</v>
      </c>
      <c r="L130" s="530">
        <v>0</v>
      </c>
      <c r="M130" s="530">
        <f t="shared" si="20"/>
        <v>0</v>
      </c>
    </row>
    <row r="131" spans="1:13" s="545" customFormat="1" ht="12.75" x14ac:dyDescent="0.2">
      <c r="A131" s="513">
        <v>65101</v>
      </c>
      <c r="B131" s="529" t="s">
        <v>656</v>
      </c>
      <c r="C131" s="530">
        <v>0</v>
      </c>
      <c r="D131" s="530">
        <v>0</v>
      </c>
      <c r="E131" s="530">
        <v>0</v>
      </c>
      <c r="F131" s="530">
        <v>0</v>
      </c>
      <c r="G131" s="530">
        <v>0</v>
      </c>
      <c r="H131" s="530">
        <v>0</v>
      </c>
      <c r="I131" s="530">
        <v>0</v>
      </c>
      <c r="J131" s="530">
        <v>0</v>
      </c>
      <c r="K131" s="530">
        <v>0</v>
      </c>
      <c r="L131" s="530">
        <v>0</v>
      </c>
      <c r="M131" s="530">
        <f t="shared" si="20"/>
        <v>0</v>
      </c>
    </row>
    <row r="132" spans="1:13" s="545" customFormat="1" ht="12.75" x14ac:dyDescent="0.2">
      <c r="A132" s="513">
        <v>65103</v>
      </c>
      <c r="B132" s="529" t="s">
        <v>657</v>
      </c>
      <c r="C132" s="530">
        <v>0</v>
      </c>
      <c r="D132" s="530">
        <v>0</v>
      </c>
      <c r="E132" s="530">
        <v>0</v>
      </c>
      <c r="F132" s="530">
        <v>0</v>
      </c>
      <c r="G132" s="530">
        <v>0</v>
      </c>
      <c r="H132" s="530">
        <v>0</v>
      </c>
      <c r="I132" s="530">
        <v>0</v>
      </c>
      <c r="J132" s="530">
        <v>0</v>
      </c>
      <c r="K132" s="530">
        <v>0</v>
      </c>
      <c r="L132" s="530">
        <v>0</v>
      </c>
      <c r="M132" s="530">
        <f t="shared" si="20"/>
        <v>0</v>
      </c>
    </row>
    <row r="133" spans="1:13" s="545" customFormat="1" ht="12.75" x14ac:dyDescent="0.2">
      <c r="A133" s="540">
        <v>65105</v>
      </c>
      <c r="B133" s="555" t="s">
        <v>658</v>
      </c>
      <c r="C133" s="530">
        <v>0</v>
      </c>
      <c r="D133" s="530">
        <v>0</v>
      </c>
      <c r="E133" s="530">
        <v>0</v>
      </c>
      <c r="F133" s="530">
        <v>0</v>
      </c>
      <c r="G133" s="530">
        <v>0</v>
      </c>
      <c r="H133" s="530">
        <v>0</v>
      </c>
      <c r="I133" s="530">
        <v>0</v>
      </c>
      <c r="J133" s="530">
        <v>0</v>
      </c>
      <c r="K133" s="530">
        <v>0</v>
      </c>
      <c r="L133" s="530">
        <v>0</v>
      </c>
      <c r="M133" s="530">
        <f t="shared" si="20"/>
        <v>0</v>
      </c>
    </row>
    <row r="134" spans="1:13" s="545" customFormat="1" ht="12.75" x14ac:dyDescent="0.2">
      <c r="A134" s="513">
        <v>65200</v>
      </c>
      <c r="B134" s="529" t="s">
        <v>659</v>
      </c>
      <c r="C134" s="530">
        <v>0</v>
      </c>
      <c r="D134" s="530">
        <v>0</v>
      </c>
      <c r="E134" s="530">
        <v>0</v>
      </c>
      <c r="F134" s="530">
        <v>0</v>
      </c>
      <c r="G134" s="530">
        <v>0</v>
      </c>
      <c r="H134" s="530">
        <v>0</v>
      </c>
      <c r="I134" s="530">
        <v>0</v>
      </c>
      <c r="J134" s="530">
        <v>0</v>
      </c>
      <c r="K134" s="530">
        <v>0</v>
      </c>
      <c r="L134" s="530">
        <v>0</v>
      </c>
      <c r="M134" s="530">
        <f t="shared" si="20"/>
        <v>0</v>
      </c>
    </row>
    <row r="135" spans="1:13" s="545" customFormat="1" ht="12.75" x14ac:dyDescent="0.2">
      <c r="A135" s="513">
        <v>65250</v>
      </c>
      <c r="B135" s="529" t="s">
        <v>660</v>
      </c>
      <c r="C135" s="530">
        <v>0</v>
      </c>
      <c r="D135" s="530">
        <v>0</v>
      </c>
      <c r="E135" s="530">
        <v>458.30999999999995</v>
      </c>
      <c r="F135" s="530">
        <v>0</v>
      </c>
      <c r="G135" s="530">
        <v>0</v>
      </c>
      <c r="H135" s="530">
        <v>0</v>
      </c>
      <c r="I135" s="530">
        <v>0</v>
      </c>
      <c r="J135" s="530">
        <v>0</v>
      </c>
      <c r="K135" s="530">
        <v>0</v>
      </c>
      <c r="L135" s="530">
        <v>0</v>
      </c>
      <c r="M135" s="530">
        <f t="shared" si="20"/>
        <v>458.30999999999995</v>
      </c>
    </row>
    <row r="136" spans="1:13" s="545" customFormat="1" ht="12.75" x14ac:dyDescent="0.2">
      <c r="A136" s="513">
        <v>65300</v>
      </c>
      <c r="B136" s="553" t="s">
        <v>661</v>
      </c>
      <c r="C136" s="530">
        <v>0</v>
      </c>
      <c r="D136" s="530">
        <v>0</v>
      </c>
      <c r="E136" s="530">
        <v>0</v>
      </c>
      <c r="F136" s="530">
        <v>0</v>
      </c>
      <c r="G136" s="530">
        <v>0</v>
      </c>
      <c r="H136" s="530">
        <v>0</v>
      </c>
      <c r="I136" s="530">
        <v>0</v>
      </c>
      <c r="J136" s="530">
        <v>0</v>
      </c>
      <c r="K136" s="530">
        <v>0</v>
      </c>
      <c r="L136" s="530">
        <v>0</v>
      </c>
      <c r="M136" s="530">
        <f t="shared" si="20"/>
        <v>0</v>
      </c>
    </row>
    <row r="137" spans="1:13" s="428" customFormat="1" ht="12.75" x14ac:dyDescent="0.2">
      <c r="A137" s="513">
        <v>65400</v>
      </c>
      <c r="B137" s="536" t="s">
        <v>662</v>
      </c>
      <c r="C137" s="537">
        <f t="shared" ref="C137:M137" si="21">SUM(C128:C136)</f>
        <v>0</v>
      </c>
      <c r="D137" s="537">
        <f t="shared" si="21"/>
        <v>0</v>
      </c>
      <c r="E137" s="537">
        <f t="shared" si="21"/>
        <v>11087.779999999999</v>
      </c>
      <c r="F137" s="537">
        <f t="shared" si="21"/>
        <v>0</v>
      </c>
      <c r="G137" s="537">
        <f t="shared" si="21"/>
        <v>0</v>
      </c>
      <c r="H137" s="537">
        <f t="shared" si="21"/>
        <v>0</v>
      </c>
      <c r="I137" s="537">
        <f t="shared" si="21"/>
        <v>0</v>
      </c>
      <c r="J137" s="537">
        <f t="shared" si="21"/>
        <v>0</v>
      </c>
      <c r="K137" s="537">
        <f t="shared" si="21"/>
        <v>0</v>
      </c>
      <c r="L137" s="537">
        <f t="shared" si="21"/>
        <v>0</v>
      </c>
      <c r="M137" s="537">
        <f t="shared" si="21"/>
        <v>11087.779999999999</v>
      </c>
    </row>
    <row r="138" spans="1:13" s="428" customFormat="1" ht="12.75" x14ac:dyDescent="0.2">
      <c r="A138" s="513"/>
      <c r="B138" s="516"/>
      <c r="C138" s="528"/>
      <c r="D138" s="528"/>
      <c r="E138" s="528"/>
      <c r="F138" s="528"/>
      <c r="G138" s="528"/>
      <c r="H138" s="528"/>
      <c r="I138" s="528"/>
      <c r="J138" s="528"/>
      <c r="K138" s="528"/>
      <c r="L138" s="528"/>
      <c r="M138" s="528"/>
    </row>
    <row r="139" spans="1:13" s="428" customFormat="1" ht="12.75" x14ac:dyDescent="0.2">
      <c r="A139" s="513"/>
      <c r="B139" s="516" t="s">
        <v>663</v>
      </c>
      <c r="C139" s="528"/>
      <c r="D139" s="528"/>
      <c r="E139" s="528"/>
      <c r="F139" s="528"/>
      <c r="G139" s="528"/>
      <c r="H139" s="528"/>
      <c r="I139" s="528"/>
      <c r="J139" s="528"/>
      <c r="K139" s="528"/>
      <c r="L139" s="528"/>
      <c r="M139" s="528"/>
    </row>
    <row r="140" spans="1:13" s="545" customFormat="1" ht="12.75" x14ac:dyDescent="0.2">
      <c r="A140" s="513">
        <v>65501</v>
      </c>
      <c r="B140" s="529" t="s">
        <v>664</v>
      </c>
      <c r="C140" s="530">
        <v>0</v>
      </c>
      <c r="D140" s="530">
        <v>0</v>
      </c>
      <c r="E140" s="530">
        <v>15.84</v>
      </c>
      <c r="F140" s="530">
        <v>0</v>
      </c>
      <c r="G140" s="530">
        <v>0</v>
      </c>
      <c r="H140" s="530">
        <v>0</v>
      </c>
      <c r="I140" s="530">
        <v>226.68</v>
      </c>
      <c r="J140" s="530">
        <v>0</v>
      </c>
      <c r="K140" s="530">
        <v>0</v>
      </c>
      <c r="L140" s="530">
        <v>0</v>
      </c>
      <c r="M140" s="530">
        <f t="shared" ref="M140:M147" si="22">SUM(C140:L140)</f>
        <v>242.52</v>
      </c>
    </row>
    <row r="141" spans="1:13" s="545" customFormat="1" ht="12.75" x14ac:dyDescent="0.2">
      <c r="A141" s="513">
        <v>65502</v>
      </c>
      <c r="B141" s="529" t="s">
        <v>665</v>
      </c>
      <c r="C141" s="530">
        <v>0</v>
      </c>
      <c r="D141" s="530">
        <v>0</v>
      </c>
      <c r="E141" s="530">
        <v>0</v>
      </c>
      <c r="F141" s="530">
        <v>0</v>
      </c>
      <c r="G141" s="530">
        <v>0</v>
      </c>
      <c r="H141" s="530">
        <v>0</v>
      </c>
      <c r="I141" s="530">
        <v>0</v>
      </c>
      <c r="J141" s="530">
        <v>0</v>
      </c>
      <c r="K141" s="530">
        <v>0</v>
      </c>
      <c r="L141" s="530">
        <v>0</v>
      </c>
      <c r="M141" s="530">
        <f t="shared" si="22"/>
        <v>0</v>
      </c>
    </row>
    <row r="142" spans="1:13" s="545" customFormat="1" ht="12.75" x14ac:dyDescent="0.2">
      <c r="A142" s="513">
        <v>65503</v>
      </c>
      <c r="B142" s="529" t="s">
        <v>666</v>
      </c>
      <c r="C142" s="530">
        <v>0</v>
      </c>
      <c r="D142" s="530">
        <v>0</v>
      </c>
      <c r="E142" s="530">
        <v>0</v>
      </c>
      <c r="F142" s="530">
        <v>0</v>
      </c>
      <c r="G142" s="530">
        <v>0</v>
      </c>
      <c r="H142" s="530">
        <v>0</v>
      </c>
      <c r="I142" s="530">
        <v>0</v>
      </c>
      <c r="J142" s="530">
        <v>0</v>
      </c>
      <c r="K142" s="530">
        <v>0</v>
      </c>
      <c r="L142" s="530">
        <v>0</v>
      </c>
      <c r="M142" s="530">
        <f t="shared" si="22"/>
        <v>0</v>
      </c>
    </row>
    <row r="143" spans="1:13" s="545" customFormat="1" ht="12.75" x14ac:dyDescent="0.2">
      <c r="A143" s="513">
        <v>65600</v>
      </c>
      <c r="B143" s="529" t="s">
        <v>667</v>
      </c>
      <c r="C143" s="530">
        <v>0</v>
      </c>
      <c r="D143" s="530">
        <v>0</v>
      </c>
      <c r="E143" s="530">
        <v>0</v>
      </c>
      <c r="F143" s="530">
        <v>0</v>
      </c>
      <c r="G143" s="530">
        <v>0</v>
      </c>
      <c r="H143" s="530">
        <v>0</v>
      </c>
      <c r="I143" s="530">
        <v>0</v>
      </c>
      <c r="J143" s="530">
        <v>0</v>
      </c>
      <c r="K143" s="530">
        <v>0</v>
      </c>
      <c r="L143" s="530">
        <v>0</v>
      </c>
      <c r="M143" s="530">
        <f t="shared" si="22"/>
        <v>0</v>
      </c>
    </row>
    <row r="144" spans="1:13" s="545" customFormat="1" ht="12.75" x14ac:dyDescent="0.2">
      <c r="A144" s="513">
        <v>65602</v>
      </c>
      <c r="B144" s="529" t="s">
        <v>668</v>
      </c>
      <c r="C144" s="530">
        <v>0</v>
      </c>
      <c r="D144" s="530">
        <v>0</v>
      </c>
      <c r="E144" s="530">
        <v>0</v>
      </c>
      <c r="F144" s="530">
        <v>0</v>
      </c>
      <c r="G144" s="530">
        <v>0</v>
      </c>
      <c r="H144" s="530">
        <v>0</v>
      </c>
      <c r="I144" s="530">
        <v>0</v>
      </c>
      <c r="J144" s="530">
        <v>0</v>
      </c>
      <c r="K144" s="530">
        <v>0</v>
      </c>
      <c r="L144" s="530">
        <v>0</v>
      </c>
      <c r="M144" s="530">
        <f t="shared" si="22"/>
        <v>0</v>
      </c>
    </row>
    <row r="145" spans="1:13" s="545" customFormat="1" ht="12.75" x14ac:dyDescent="0.2">
      <c r="A145" s="513">
        <v>65608</v>
      </c>
      <c r="B145" s="529" t="s">
        <v>669</v>
      </c>
      <c r="C145" s="530">
        <v>0</v>
      </c>
      <c r="D145" s="530">
        <v>0</v>
      </c>
      <c r="E145" s="530">
        <v>0</v>
      </c>
      <c r="F145" s="530">
        <v>0</v>
      </c>
      <c r="G145" s="530">
        <v>0</v>
      </c>
      <c r="H145" s="530">
        <v>0</v>
      </c>
      <c r="I145" s="530">
        <v>0</v>
      </c>
      <c r="J145" s="530">
        <v>0</v>
      </c>
      <c r="K145" s="530">
        <v>0</v>
      </c>
      <c r="L145" s="530">
        <v>0</v>
      </c>
      <c r="M145" s="530">
        <f t="shared" si="22"/>
        <v>0</v>
      </c>
    </row>
    <row r="146" spans="1:13" s="545" customFormat="1" ht="12.75" x14ac:dyDescent="0.2">
      <c r="A146" s="513">
        <v>65700</v>
      </c>
      <c r="B146" s="529" t="s">
        <v>670</v>
      </c>
      <c r="C146" s="530">
        <v>0</v>
      </c>
      <c r="D146" s="530">
        <v>0</v>
      </c>
      <c r="E146" s="530">
        <v>158.34</v>
      </c>
      <c r="F146" s="530">
        <v>0</v>
      </c>
      <c r="G146" s="530">
        <v>0</v>
      </c>
      <c r="H146" s="530">
        <v>0</v>
      </c>
      <c r="I146" s="530">
        <v>0</v>
      </c>
      <c r="J146" s="530">
        <v>0</v>
      </c>
      <c r="K146" s="530">
        <v>0</v>
      </c>
      <c r="L146" s="530">
        <v>0</v>
      </c>
      <c r="M146" s="530">
        <f t="shared" si="22"/>
        <v>158.34</v>
      </c>
    </row>
    <row r="147" spans="1:13" s="545" customFormat="1" ht="12.75" x14ac:dyDescent="0.2">
      <c r="A147" s="513">
        <v>65800</v>
      </c>
      <c r="B147" s="553" t="s">
        <v>671</v>
      </c>
      <c r="C147" s="530">
        <v>193.38000000000002</v>
      </c>
      <c r="D147" s="530">
        <v>0</v>
      </c>
      <c r="E147" s="530">
        <v>-68.72</v>
      </c>
      <c r="F147" s="530">
        <v>0</v>
      </c>
      <c r="G147" s="530">
        <v>0</v>
      </c>
      <c r="H147" s="530">
        <v>0</v>
      </c>
      <c r="I147" s="530">
        <v>0</v>
      </c>
      <c r="J147" s="530">
        <v>0</v>
      </c>
      <c r="K147" s="530">
        <v>0</v>
      </c>
      <c r="L147" s="530">
        <v>0</v>
      </c>
      <c r="M147" s="530">
        <f t="shared" si="22"/>
        <v>124.66000000000003</v>
      </c>
    </row>
    <row r="148" spans="1:13" s="428" customFormat="1" ht="12.75" x14ac:dyDescent="0.2">
      <c r="A148" s="513">
        <v>65900</v>
      </c>
      <c r="B148" s="536" t="s">
        <v>672</v>
      </c>
      <c r="C148" s="537">
        <f t="shared" ref="C148:M148" si="23">SUM(C140:C147)</f>
        <v>193.38000000000002</v>
      </c>
      <c r="D148" s="537">
        <f t="shared" si="23"/>
        <v>0</v>
      </c>
      <c r="E148" s="537">
        <f t="shared" si="23"/>
        <v>105.46000000000001</v>
      </c>
      <c r="F148" s="537">
        <f t="shared" si="23"/>
        <v>0</v>
      </c>
      <c r="G148" s="537">
        <f t="shared" si="23"/>
        <v>0</v>
      </c>
      <c r="H148" s="537">
        <f t="shared" si="23"/>
        <v>0</v>
      </c>
      <c r="I148" s="537">
        <f t="shared" si="23"/>
        <v>226.68</v>
      </c>
      <c r="J148" s="537">
        <f t="shared" si="23"/>
        <v>0</v>
      </c>
      <c r="K148" s="537">
        <f t="shared" si="23"/>
        <v>0</v>
      </c>
      <c r="L148" s="537">
        <f t="shared" si="23"/>
        <v>0</v>
      </c>
      <c r="M148" s="537">
        <f t="shared" si="23"/>
        <v>525.52</v>
      </c>
    </row>
    <row r="149" spans="1:13" s="428" customFormat="1" ht="12.75" x14ac:dyDescent="0.2">
      <c r="A149" s="513"/>
      <c r="B149" s="516"/>
      <c r="C149" s="528"/>
      <c r="D149" s="528"/>
      <c r="E149" s="528"/>
      <c r="F149" s="528"/>
      <c r="G149" s="528"/>
      <c r="H149" s="528"/>
      <c r="I149" s="528"/>
      <c r="J149" s="528"/>
      <c r="K149" s="528"/>
      <c r="L149" s="528"/>
      <c r="M149" s="528"/>
    </row>
    <row r="150" spans="1:13" s="428" customFormat="1" ht="12.75" x14ac:dyDescent="0.2">
      <c r="A150" s="513"/>
      <c r="B150" s="516" t="s">
        <v>673</v>
      </c>
      <c r="C150" s="528"/>
      <c r="D150" s="528"/>
      <c r="E150" s="528"/>
      <c r="F150" s="528"/>
      <c r="G150" s="528"/>
      <c r="H150" s="528"/>
      <c r="I150" s="528"/>
      <c r="J150" s="528"/>
      <c r="K150" s="528"/>
      <c r="L150" s="528"/>
      <c r="M150" s="528"/>
    </row>
    <row r="151" spans="1:13" s="545" customFormat="1" ht="12.75" x14ac:dyDescent="0.2">
      <c r="A151" s="513">
        <v>66100</v>
      </c>
      <c r="B151" s="529" t="s">
        <v>674</v>
      </c>
      <c r="C151" s="530">
        <v>0</v>
      </c>
      <c r="D151" s="530">
        <v>0</v>
      </c>
      <c r="E151" s="530">
        <v>0</v>
      </c>
      <c r="F151" s="530">
        <v>0</v>
      </c>
      <c r="G151" s="530">
        <v>0</v>
      </c>
      <c r="H151" s="530">
        <v>0</v>
      </c>
      <c r="I151" s="530">
        <v>0</v>
      </c>
      <c r="J151" s="530">
        <v>0</v>
      </c>
      <c r="K151" s="530">
        <v>0</v>
      </c>
      <c r="L151" s="530">
        <v>0</v>
      </c>
      <c r="M151" s="530">
        <f t="shared" ref="M151:M182" si="24">SUM(C151:L151)</f>
        <v>0</v>
      </c>
    </row>
    <row r="152" spans="1:13" s="545" customFormat="1" ht="12.75" x14ac:dyDescent="0.2">
      <c r="A152" s="513">
        <v>66101</v>
      </c>
      <c r="B152" s="529" t="s">
        <v>675</v>
      </c>
      <c r="C152" s="530">
        <v>0</v>
      </c>
      <c r="D152" s="530">
        <v>0</v>
      </c>
      <c r="E152" s="530">
        <v>0</v>
      </c>
      <c r="F152" s="530">
        <v>0</v>
      </c>
      <c r="G152" s="530">
        <v>0</v>
      </c>
      <c r="H152" s="530">
        <v>0</v>
      </c>
      <c r="I152" s="530">
        <v>0</v>
      </c>
      <c r="J152" s="530">
        <v>0</v>
      </c>
      <c r="K152" s="530">
        <v>0</v>
      </c>
      <c r="L152" s="530">
        <v>0</v>
      </c>
      <c r="M152" s="530">
        <f t="shared" si="24"/>
        <v>0</v>
      </c>
    </row>
    <row r="153" spans="1:13" s="545" customFormat="1" ht="12.75" x14ac:dyDescent="0.2">
      <c r="A153" s="513">
        <v>66102</v>
      </c>
      <c r="B153" s="529" t="s">
        <v>676</v>
      </c>
      <c r="C153" s="530">
        <v>0</v>
      </c>
      <c r="D153" s="530">
        <v>0</v>
      </c>
      <c r="E153" s="530">
        <v>0</v>
      </c>
      <c r="F153" s="530">
        <v>0</v>
      </c>
      <c r="G153" s="530">
        <v>0</v>
      </c>
      <c r="H153" s="530">
        <v>0</v>
      </c>
      <c r="I153" s="530">
        <v>0</v>
      </c>
      <c r="J153" s="530">
        <v>0</v>
      </c>
      <c r="K153" s="530">
        <v>0</v>
      </c>
      <c r="L153" s="530">
        <v>0</v>
      </c>
      <c r="M153" s="530">
        <f t="shared" si="24"/>
        <v>0</v>
      </c>
    </row>
    <row r="154" spans="1:13" s="545" customFormat="1" ht="12.75" x14ac:dyDescent="0.2">
      <c r="A154" s="513">
        <v>66104</v>
      </c>
      <c r="B154" s="529" t="s">
        <v>677</v>
      </c>
      <c r="C154" s="530">
        <v>0</v>
      </c>
      <c r="D154" s="530">
        <v>0</v>
      </c>
      <c r="E154" s="530">
        <v>0</v>
      </c>
      <c r="F154" s="530">
        <v>0</v>
      </c>
      <c r="G154" s="530">
        <v>0</v>
      </c>
      <c r="H154" s="530">
        <v>0</v>
      </c>
      <c r="I154" s="530">
        <v>0</v>
      </c>
      <c r="J154" s="530">
        <v>0</v>
      </c>
      <c r="K154" s="530">
        <v>0</v>
      </c>
      <c r="L154" s="530">
        <v>0</v>
      </c>
      <c r="M154" s="530">
        <f t="shared" si="24"/>
        <v>0</v>
      </c>
    </row>
    <row r="155" spans="1:13" s="545" customFormat="1" ht="12.75" x14ac:dyDescent="0.2">
      <c r="A155" s="513">
        <v>66106</v>
      </c>
      <c r="B155" s="529" t="s">
        <v>678</v>
      </c>
      <c r="C155" s="530">
        <v>0</v>
      </c>
      <c r="D155" s="530">
        <v>0</v>
      </c>
      <c r="E155" s="530">
        <v>0</v>
      </c>
      <c r="F155" s="530">
        <v>0</v>
      </c>
      <c r="G155" s="530">
        <v>0</v>
      </c>
      <c r="H155" s="530">
        <v>0</v>
      </c>
      <c r="I155" s="530">
        <v>0</v>
      </c>
      <c r="J155" s="530">
        <v>0</v>
      </c>
      <c r="K155" s="530">
        <v>0</v>
      </c>
      <c r="L155" s="530">
        <v>0</v>
      </c>
      <c r="M155" s="530">
        <f t="shared" si="24"/>
        <v>0</v>
      </c>
    </row>
    <row r="156" spans="1:13" s="545" customFormat="1" ht="12.75" x14ac:dyDescent="0.2">
      <c r="A156" s="513">
        <v>66108</v>
      </c>
      <c r="B156" s="529" t="s">
        <v>679</v>
      </c>
      <c r="C156" s="530">
        <v>0</v>
      </c>
      <c r="D156" s="530">
        <v>0</v>
      </c>
      <c r="E156" s="530">
        <v>0</v>
      </c>
      <c r="F156" s="530">
        <v>0</v>
      </c>
      <c r="G156" s="530">
        <v>0</v>
      </c>
      <c r="H156" s="530">
        <v>0</v>
      </c>
      <c r="I156" s="530">
        <v>0</v>
      </c>
      <c r="J156" s="530">
        <v>0</v>
      </c>
      <c r="K156" s="530">
        <v>0</v>
      </c>
      <c r="L156" s="530">
        <v>0</v>
      </c>
      <c r="M156" s="530">
        <f t="shared" si="24"/>
        <v>0</v>
      </c>
    </row>
    <row r="157" spans="1:13" s="545" customFormat="1" ht="12.75" x14ac:dyDescent="0.2">
      <c r="A157" s="513">
        <v>66110</v>
      </c>
      <c r="B157" s="529" t="s">
        <v>680</v>
      </c>
      <c r="C157" s="530">
        <v>0</v>
      </c>
      <c r="D157" s="530">
        <v>0</v>
      </c>
      <c r="E157" s="530">
        <v>0</v>
      </c>
      <c r="F157" s="530">
        <v>0</v>
      </c>
      <c r="G157" s="530">
        <v>0</v>
      </c>
      <c r="H157" s="530">
        <v>0</v>
      </c>
      <c r="I157" s="530">
        <v>0</v>
      </c>
      <c r="J157" s="530">
        <v>0</v>
      </c>
      <c r="K157" s="530">
        <v>0</v>
      </c>
      <c r="L157" s="530">
        <v>0</v>
      </c>
      <c r="M157" s="530">
        <f t="shared" si="24"/>
        <v>0</v>
      </c>
    </row>
    <row r="158" spans="1:13" s="545" customFormat="1" ht="12.75" x14ac:dyDescent="0.2">
      <c r="A158" s="513">
        <v>66112</v>
      </c>
      <c r="B158" s="529" t="s">
        <v>681</v>
      </c>
      <c r="C158" s="530">
        <v>8.01</v>
      </c>
      <c r="D158" s="530">
        <v>0</v>
      </c>
      <c r="E158" s="530">
        <v>99.36</v>
      </c>
      <c r="F158" s="530">
        <v>35294.329999999994</v>
      </c>
      <c r="G158" s="530">
        <v>2542.9899999999998</v>
      </c>
      <c r="H158" s="530">
        <v>16283.11</v>
      </c>
      <c r="I158" s="530">
        <v>907.5100000000001</v>
      </c>
      <c r="J158" s="530">
        <v>0</v>
      </c>
      <c r="K158" s="530">
        <v>0</v>
      </c>
      <c r="L158" s="530">
        <v>0</v>
      </c>
      <c r="M158" s="530">
        <f t="shared" si="24"/>
        <v>55135.31</v>
      </c>
    </row>
    <row r="159" spans="1:13" s="549" customFormat="1" ht="12.75" x14ac:dyDescent="0.2">
      <c r="A159" s="546">
        <v>66114</v>
      </c>
      <c r="B159" s="547" t="s">
        <v>682</v>
      </c>
      <c r="C159" s="548">
        <v>0</v>
      </c>
      <c r="D159" s="548">
        <v>0</v>
      </c>
      <c r="E159" s="548">
        <v>0</v>
      </c>
      <c r="F159" s="548">
        <v>0</v>
      </c>
      <c r="G159" s="548">
        <v>0</v>
      </c>
      <c r="H159" s="548">
        <v>0</v>
      </c>
      <c r="I159" s="548">
        <v>0</v>
      </c>
      <c r="J159" s="548">
        <v>0</v>
      </c>
      <c r="K159" s="548">
        <v>0</v>
      </c>
      <c r="L159" s="548">
        <v>0</v>
      </c>
      <c r="M159" s="548">
        <f t="shared" si="24"/>
        <v>0</v>
      </c>
    </row>
    <row r="160" spans="1:13" s="549" customFormat="1" ht="12.75" x14ac:dyDescent="0.2">
      <c r="A160" s="546">
        <v>66118</v>
      </c>
      <c r="B160" s="547" t="s">
        <v>683</v>
      </c>
      <c r="C160" s="548">
        <v>0</v>
      </c>
      <c r="D160" s="548">
        <v>0</v>
      </c>
      <c r="E160" s="548">
        <v>0</v>
      </c>
      <c r="F160" s="548">
        <v>0</v>
      </c>
      <c r="G160" s="548">
        <v>0</v>
      </c>
      <c r="H160" s="548">
        <v>0</v>
      </c>
      <c r="I160" s="548">
        <v>0</v>
      </c>
      <c r="J160" s="548">
        <v>0</v>
      </c>
      <c r="K160" s="548">
        <v>0</v>
      </c>
      <c r="L160" s="548">
        <v>0</v>
      </c>
      <c r="M160" s="548">
        <f t="shared" si="24"/>
        <v>0</v>
      </c>
    </row>
    <row r="161" spans="1:13" s="545" customFormat="1" ht="12.75" x14ac:dyDescent="0.2">
      <c r="A161" s="513">
        <v>66122</v>
      </c>
      <c r="B161" s="529" t="s">
        <v>684</v>
      </c>
      <c r="C161" s="530">
        <v>100</v>
      </c>
      <c r="D161" s="530">
        <v>0</v>
      </c>
      <c r="E161" s="530">
        <v>0</v>
      </c>
      <c r="F161" s="530">
        <v>0</v>
      </c>
      <c r="G161" s="530">
        <v>0</v>
      </c>
      <c r="H161" s="530">
        <v>0</v>
      </c>
      <c r="I161" s="530">
        <v>0</v>
      </c>
      <c r="J161" s="530">
        <v>0</v>
      </c>
      <c r="K161" s="530">
        <v>0</v>
      </c>
      <c r="L161" s="530">
        <v>0</v>
      </c>
      <c r="M161" s="530">
        <f t="shared" si="24"/>
        <v>100</v>
      </c>
    </row>
    <row r="162" spans="1:13" s="545" customFormat="1" ht="12.75" x14ac:dyDescent="0.2">
      <c r="A162" s="513">
        <v>66126</v>
      </c>
      <c r="B162" s="529" t="s">
        <v>685</v>
      </c>
      <c r="C162" s="530">
        <v>0</v>
      </c>
      <c r="D162" s="530">
        <v>0</v>
      </c>
      <c r="E162" s="530">
        <v>0</v>
      </c>
      <c r="F162" s="530">
        <v>0</v>
      </c>
      <c r="G162" s="530">
        <v>0</v>
      </c>
      <c r="H162" s="530">
        <v>0</v>
      </c>
      <c r="I162" s="530">
        <v>0</v>
      </c>
      <c r="J162" s="530">
        <v>0</v>
      </c>
      <c r="K162" s="530">
        <v>0</v>
      </c>
      <c r="L162" s="530">
        <v>0</v>
      </c>
      <c r="M162" s="530">
        <f t="shared" si="24"/>
        <v>0</v>
      </c>
    </row>
    <row r="163" spans="1:13" s="545" customFormat="1" ht="12.75" x14ac:dyDescent="0.2">
      <c r="A163" s="513">
        <v>66127</v>
      </c>
      <c r="B163" s="529" t="s">
        <v>686</v>
      </c>
      <c r="C163" s="530">
        <v>905.00000000000011</v>
      </c>
      <c r="D163" s="530">
        <v>0</v>
      </c>
      <c r="E163" s="530">
        <v>0</v>
      </c>
      <c r="F163" s="530">
        <v>0</v>
      </c>
      <c r="G163" s="530">
        <v>0</v>
      </c>
      <c r="H163" s="530">
        <v>179.2</v>
      </c>
      <c r="I163" s="530">
        <v>0</v>
      </c>
      <c r="J163" s="530">
        <v>0</v>
      </c>
      <c r="K163" s="530">
        <v>0</v>
      </c>
      <c r="L163" s="530">
        <v>0</v>
      </c>
      <c r="M163" s="530">
        <f t="shared" si="24"/>
        <v>1084.2</v>
      </c>
    </row>
    <row r="164" spans="1:13" s="545" customFormat="1" ht="12.75" x14ac:dyDescent="0.2">
      <c r="A164" s="513">
        <v>66130</v>
      </c>
      <c r="B164" s="529" t="s">
        <v>687</v>
      </c>
      <c r="C164" s="530">
        <v>443.57</v>
      </c>
      <c r="D164" s="530">
        <v>0</v>
      </c>
      <c r="E164" s="530">
        <v>0</v>
      </c>
      <c r="F164" s="530">
        <v>217.79000000000002</v>
      </c>
      <c r="G164" s="530">
        <v>0</v>
      </c>
      <c r="H164" s="530">
        <v>217.79000000000002</v>
      </c>
      <c r="I164" s="530">
        <v>75.400000000000006</v>
      </c>
      <c r="J164" s="530">
        <v>0</v>
      </c>
      <c r="K164" s="530">
        <v>0</v>
      </c>
      <c r="L164" s="530">
        <v>0</v>
      </c>
      <c r="M164" s="530">
        <f t="shared" si="24"/>
        <v>954.55000000000007</v>
      </c>
    </row>
    <row r="165" spans="1:13" s="545" customFormat="1" ht="12.75" x14ac:dyDescent="0.2">
      <c r="A165" s="513">
        <v>66134</v>
      </c>
      <c r="B165" s="529" t="s">
        <v>688</v>
      </c>
      <c r="C165" s="530">
        <v>0</v>
      </c>
      <c r="D165" s="530">
        <v>0</v>
      </c>
      <c r="E165" s="530">
        <v>0</v>
      </c>
      <c r="F165" s="530">
        <v>0</v>
      </c>
      <c r="G165" s="530">
        <v>0</v>
      </c>
      <c r="H165" s="530">
        <v>0</v>
      </c>
      <c r="I165" s="530">
        <v>0</v>
      </c>
      <c r="J165" s="530">
        <v>0</v>
      </c>
      <c r="K165" s="530">
        <v>0</v>
      </c>
      <c r="L165" s="530">
        <v>0</v>
      </c>
      <c r="M165" s="530">
        <f t="shared" si="24"/>
        <v>0</v>
      </c>
    </row>
    <row r="166" spans="1:13" s="545" customFormat="1" ht="12.75" x14ac:dyDescent="0.2">
      <c r="A166" s="513">
        <v>66138</v>
      </c>
      <c r="B166" s="529" t="s">
        <v>689</v>
      </c>
      <c r="C166" s="530">
        <v>9534.5</v>
      </c>
      <c r="D166" s="530">
        <v>0</v>
      </c>
      <c r="E166" s="530">
        <v>0</v>
      </c>
      <c r="F166" s="530">
        <v>381.53</v>
      </c>
      <c r="G166" s="530">
        <v>0</v>
      </c>
      <c r="H166" s="530">
        <v>0</v>
      </c>
      <c r="I166" s="530">
        <v>2219.4700000000003</v>
      </c>
      <c r="J166" s="530">
        <v>0</v>
      </c>
      <c r="K166" s="530">
        <v>0</v>
      </c>
      <c r="L166" s="530">
        <v>0</v>
      </c>
      <c r="M166" s="530">
        <f t="shared" si="24"/>
        <v>12135.5</v>
      </c>
    </row>
    <row r="167" spans="1:13" s="545" customFormat="1" ht="12.75" x14ac:dyDescent="0.2">
      <c r="A167" s="513">
        <v>66140</v>
      </c>
      <c r="B167" s="529" t="s">
        <v>690</v>
      </c>
      <c r="C167" s="530">
        <v>5932.79</v>
      </c>
      <c r="D167" s="530">
        <v>0</v>
      </c>
      <c r="E167" s="530">
        <v>8362.2000000000007</v>
      </c>
      <c r="F167" s="530">
        <v>722.33</v>
      </c>
      <c r="G167" s="530">
        <v>0</v>
      </c>
      <c r="H167" s="530">
        <v>-1006</v>
      </c>
      <c r="I167" s="530">
        <v>934.65000000000009</v>
      </c>
      <c r="J167" s="530">
        <v>0</v>
      </c>
      <c r="K167" s="530">
        <v>974.48</v>
      </c>
      <c r="L167" s="530">
        <v>0</v>
      </c>
      <c r="M167" s="530">
        <f t="shared" si="24"/>
        <v>15920.45</v>
      </c>
    </row>
    <row r="168" spans="1:13" s="545" customFormat="1" ht="12.75" x14ac:dyDescent="0.2">
      <c r="A168" s="513" t="s">
        <v>691</v>
      </c>
      <c r="B168" s="529" t="s">
        <v>692</v>
      </c>
      <c r="C168" s="530">
        <v>456.43999999999994</v>
      </c>
      <c r="D168" s="530">
        <v>0</v>
      </c>
      <c r="E168" s="530">
        <v>0</v>
      </c>
      <c r="F168" s="530">
        <v>0</v>
      </c>
      <c r="G168" s="530">
        <v>0</v>
      </c>
      <c r="H168" s="530">
        <v>0</v>
      </c>
      <c r="I168" s="530">
        <v>345.59</v>
      </c>
      <c r="J168" s="530">
        <v>0</v>
      </c>
      <c r="K168" s="530">
        <v>0</v>
      </c>
      <c r="L168" s="530">
        <v>0</v>
      </c>
      <c r="M168" s="530">
        <f t="shared" si="24"/>
        <v>802.03</v>
      </c>
    </row>
    <row r="169" spans="1:13" s="545" customFormat="1" ht="12.75" x14ac:dyDescent="0.2">
      <c r="A169" s="513">
        <v>66154</v>
      </c>
      <c r="B169" s="529" t="s">
        <v>693</v>
      </c>
      <c r="C169" s="530">
        <v>0</v>
      </c>
      <c r="D169" s="530">
        <v>0</v>
      </c>
      <c r="E169" s="530">
        <v>0</v>
      </c>
      <c r="F169" s="530">
        <v>0</v>
      </c>
      <c r="G169" s="530">
        <v>0</v>
      </c>
      <c r="H169" s="530">
        <v>0</v>
      </c>
      <c r="I169" s="530">
        <v>0</v>
      </c>
      <c r="J169" s="530">
        <v>0</v>
      </c>
      <c r="K169" s="530">
        <v>0</v>
      </c>
      <c r="L169" s="530">
        <v>0</v>
      </c>
      <c r="M169" s="530">
        <f t="shared" si="24"/>
        <v>0</v>
      </c>
    </row>
    <row r="170" spans="1:13" s="545" customFormat="1" ht="12.75" x14ac:dyDescent="0.2">
      <c r="A170" s="513">
        <v>66156</v>
      </c>
      <c r="B170" s="529" t="s">
        <v>694</v>
      </c>
      <c r="C170" s="530">
        <v>0</v>
      </c>
      <c r="D170" s="530">
        <v>0</v>
      </c>
      <c r="E170" s="530">
        <v>0</v>
      </c>
      <c r="F170" s="530">
        <v>0</v>
      </c>
      <c r="G170" s="530">
        <v>0</v>
      </c>
      <c r="H170" s="530">
        <v>0</v>
      </c>
      <c r="I170" s="530">
        <v>0</v>
      </c>
      <c r="J170" s="530">
        <v>0</v>
      </c>
      <c r="K170" s="530">
        <v>0</v>
      </c>
      <c r="L170" s="530">
        <v>0</v>
      </c>
      <c r="M170" s="530">
        <f t="shared" si="24"/>
        <v>0</v>
      </c>
    </row>
    <row r="171" spans="1:13" s="545" customFormat="1" ht="12.75" x14ac:dyDescent="0.2">
      <c r="A171" s="513">
        <v>66157</v>
      </c>
      <c r="B171" s="529" t="s">
        <v>695</v>
      </c>
      <c r="C171" s="530">
        <v>0</v>
      </c>
      <c r="D171" s="530">
        <v>0</v>
      </c>
      <c r="E171" s="530">
        <v>0</v>
      </c>
      <c r="F171" s="530">
        <v>0</v>
      </c>
      <c r="G171" s="530">
        <v>0</v>
      </c>
      <c r="H171" s="530">
        <v>0</v>
      </c>
      <c r="I171" s="530">
        <v>0</v>
      </c>
      <c r="J171" s="530">
        <v>0</v>
      </c>
      <c r="K171" s="530">
        <v>0</v>
      </c>
      <c r="L171" s="530">
        <v>0</v>
      </c>
      <c r="M171" s="530">
        <f t="shared" si="24"/>
        <v>0</v>
      </c>
    </row>
    <row r="172" spans="1:13" s="545" customFormat="1" ht="12.75" x14ac:dyDescent="0.2">
      <c r="A172" s="513">
        <v>66158</v>
      </c>
      <c r="B172" s="529" t="s">
        <v>696</v>
      </c>
      <c r="C172" s="530">
        <v>0</v>
      </c>
      <c r="D172" s="530">
        <v>0</v>
      </c>
      <c r="E172" s="530">
        <v>0</v>
      </c>
      <c r="F172" s="530">
        <v>0</v>
      </c>
      <c r="G172" s="530">
        <v>0</v>
      </c>
      <c r="H172" s="530">
        <v>0</v>
      </c>
      <c r="I172" s="530">
        <v>0</v>
      </c>
      <c r="J172" s="530">
        <v>0</v>
      </c>
      <c r="K172" s="530">
        <v>0</v>
      </c>
      <c r="L172" s="530">
        <v>0</v>
      </c>
      <c r="M172" s="530">
        <f t="shared" si="24"/>
        <v>0</v>
      </c>
    </row>
    <row r="173" spans="1:13" s="545" customFormat="1" ht="12.75" x14ac:dyDescent="0.2">
      <c r="A173" s="513">
        <v>66159</v>
      </c>
      <c r="B173" s="529" t="s">
        <v>697</v>
      </c>
      <c r="C173" s="530">
        <v>0</v>
      </c>
      <c r="D173" s="530">
        <v>0</v>
      </c>
      <c r="E173" s="530">
        <v>0</v>
      </c>
      <c r="F173" s="530">
        <v>0</v>
      </c>
      <c r="G173" s="530">
        <v>0</v>
      </c>
      <c r="H173" s="530">
        <v>0</v>
      </c>
      <c r="I173" s="530">
        <v>0</v>
      </c>
      <c r="J173" s="530">
        <v>0</v>
      </c>
      <c r="K173" s="530">
        <v>0</v>
      </c>
      <c r="L173" s="530">
        <v>0</v>
      </c>
      <c r="M173" s="530">
        <f t="shared" si="24"/>
        <v>0</v>
      </c>
    </row>
    <row r="174" spans="1:13" s="545" customFormat="1" ht="12.75" x14ac:dyDescent="0.2">
      <c r="A174" s="513">
        <v>66160</v>
      </c>
      <c r="B174" s="529" t="s">
        <v>698</v>
      </c>
      <c r="C174" s="530">
        <v>0</v>
      </c>
      <c r="D174" s="530">
        <v>0</v>
      </c>
      <c r="E174" s="530">
        <v>0</v>
      </c>
      <c r="F174" s="530">
        <v>0</v>
      </c>
      <c r="G174" s="530">
        <v>0</v>
      </c>
      <c r="H174" s="530">
        <v>0</v>
      </c>
      <c r="I174" s="530">
        <v>0</v>
      </c>
      <c r="J174" s="530">
        <v>0</v>
      </c>
      <c r="K174" s="530">
        <v>0</v>
      </c>
      <c r="L174" s="530">
        <v>0</v>
      </c>
      <c r="M174" s="530">
        <f t="shared" si="24"/>
        <v>0</v>
      </c>
    </row>
    <row r="175" spans="1:13" s="545" customFormat="1" ht="12.75" x14ac:dyDescent="0.2">
      <c r="A175" s="513">
        <v>66162</v>
      </c>
      <c r="B175" s="529" t="s">
        <v>699</v>
      </c>
      <c r="C175" s="530">
        <v>0</v>
      </c>
      <c r="D175" s="530">
        <v>0</v>
      </c>
      <c r="E175" s="530">
        <v>0</v>
      </c>
      <c r="F175" s="530">
        <v>0</v>
      </c>
      <c r="G175" s="530">
        <v>0</v>
      </c>
      <c r="H175" s="530">
        <v>0</v>
      </c>
      <c r="I175" s="530">
        <v>0</v>
      </c>
      <c r="J175" s="530">
        <v>0</v>
      </c>
      <c r="K175" s="530">
        <v>0</v>
      </c>
      <c r="L175" s="530">
        <v>0</v>
      </c>
      <c r="M175" s="530">
        <f t="shared" si="24"/>
        <v>0</v>
      </c>
    </row>
    <row r="176" spans="1:13" s="545" customFormat="1" ht="12.75" x14ac:dyDescent="0.2">
      <c r="A176" s="513">
        <v>66164</v>
      </c>
      <c r="B176" s="529" t="s">
        <v>700</v>
      </c>
      <c r="C176" s="530">
        <v>0</v>
      </c>
      <c r="D176" s="530">
        <v>0</v>
      </c>
      <c r="E176" s="530">
        <v>0</v>
      </c>
      <c r="F176" s="530">
        <v>0</v>
      </c>
      <c r="G176" s="530">
        <v>0</v>
      </c>
      <c r="H176" s="530">
        <v>0</v>
      </c>
      <c r="I176" s="530">
        <v>0</v>
      </c>
      <c r="J176" s="530">
        <v>0</v>
      </c>
      <c r="K176" s="530">
        <v>0</v>
      </c>
      <c r="L176" s="530">
        <v>0</v>
      </c>
      <c r="M176" s="530">
        <f t="shared" si="24"/>
        <v>0</v>
      </c>
    </row>
    <row r="177" spans="1:13" s="545" customFormat="1" ht="12.75" x14ac:dyDescent="0.2">
      <c r="A177" s="513">
        <v>66166</v>
      </c>
      <c r="B177" s="529" t="s">
        <v>701</v>
      </c>
      <c r="C177" s="530">
        <v>0</v>
      </c>
      <c r="D177" s="530">
        <v>0</v>
      </c>
      <c r="E177" s="530">
        <v>0</v>
      </c>
      <c r="F177" s="530">
        <v>0</v>
      </c>
      <c r="G177" s="530">
        <v>0</v>
      </c>
      <c r="H177" s="530">
        <v>0</v>
      </c>
      <c r="I177" s="530">
        <v>0</v>
      </c>
      <c r="J177" s="530">
        <v>0</v>
      </c>
      <c r="K177" s="530">
        <v>0</v>
      </c>
      <c r="L177" s="530">
        <v>0</v>
      </c>
      <c r="M177" s="530">
        <f t="shared" si="24"/>
        <v>0</v>
      </c>
    </row>
    <row r="178" spans="1:13" s="545" customFormat="1" ht="12.75" x14ac:dyDescent="0.2">
      <c r="A178" s="513">
        <v>66168</v>
      </c>
      <c r="B178" s="529" t="s">
        <v>702</v>
      </c>
      <c r="C178" s="530">
        <v>0</v>
      </c>
      <c r="D178" s="530">
        <v>0</v>
      </c>
      <c r="E178" s="530">
        <v>0</v>
      </c>
      <c r="F178" s="530">
        <v>0</v>
      </c>
      <c r="G178" s="530">
        <v>0</v>
      </c>
      <c r="H178" s="530">
        <v>0</v>
      </c>
      <c r="I178" s="530">
        <v>0</v>
      </c>
      <c r="J178" s="530">
        <v>0</v>
      </c>
      <c r="K178" s="530">
        <v>0</v>
      </c>
      <c r="L178" s="530">
        <v>0</v>
      </c>
      <c r="M178" s="530">
        <f t="shared" si="24"/>
        <v>0</v>
      </c>
    </row>
    <row r="179" spans="1:13" s="545" customFormat="1" ht="12.75" x14ac:dyDescent="0.2">
      <c r="A179" s="513" t="s">
        <v>703</v>
      </c>
      <c r="B179" s="529" t="s">
        <v>704</v>
      </c>
      <c r="C179" s="530">
        <v>0</v>
      </c>
      <c r="D179" s="530">
        <v>0</v>
      </c>
      <c r="E179" s="530">
        <v>0</v>
      </c>
      <c r="F179" s="530">
        <v>30</v>
      </c>
      <c r="G179" s="530">
        <v>0</v>
      </c>
      <c r="H179" s="530">
        <v>0</v>
      </c>
      <c r="I179" s="530">
        <v>0</v>
      </c>
      <c r="J179" s="530">
        <v>0</v>
      </c>
      <c r="K179" s="530">
        <v>0</v>
      </c>
      <c r="L179" s="530">
        <v>0</v>
      </c>
      <c r="M179" s="530">
        <f t="shared" si="24"/>
        <v>30</v>
      </c>
    </row>
    <row r="180" spans="1:13" s="545" customFormat="1" ht="12.75" x14ac:dyDescent="0.2">
      <c r="A180" s="513">
        <v>66172</v>
      </c>
      <c r="B180" s="529" t="s">
        <v>705</v>
      </c>
      <c r="C180" s="530">
        <v>0</v>
      </c>
      <c r="D180" s="530">
        <v>0</v>
      </c>
      <c r="E180" s="530">
        <v>0</v>
      </c>
      <c r="F180" s="530">
        <v>50</v>
      </c>
      <c r="G180" s="530">
        <v>0</v>
      </c>
      <c r="H180" s="530">
        <v>0</v>
      </c>
      <c r="I180" s="530">
        <v>0</v>
      </c>
      <c r="J180" s="530">
        <v>0</v>
      </c>
      <c r="K180" s="530">
        <v>0</v>
      </c>
      <c r="L180" s="530">
        <v>0</v>
      </c>
      <c r="M180" s="530">
        <f t="shared" si="24"/>
        <v>50</v>
      </c>
    </row>
    <row r="181" spans="1:13" s="545" customFormat="1" ht="12.75" x14ac:dyDescent="0.2">
      <c r="A181" s="513">
        <v>66176</v>
      </c>
      <c r="B181" s="529" t="s">
        <v>706</v>
      </c>
      <c r="C181" s="530">
        <v>0</v>
      </c>
      <c r="D181" s="530">
        <v>0</v>
      </c>
      <c r="E181" s="530">
        <v>0</v>
      </c>
      <c r="F181" s="530">
        <v>0</v>
      </c>
      <c r="G181" s="530">
        <v>0</v>
      </c>
      <c r="H181" s="530">
        <v>0</v>
      </c>
      <c r="I181" s="530">
        <v>0</v>
      </c>
      <c r="J181" s="530">
        <v>0</v>
      </c>
      <c r="K181" s="530">
        <v>0</v>
      </c>
      <c r="L181" s="530">
        <v>0</v>
      </c>
      <c r="M181" s="530">
        <f t="shared" si="24"/>
        <v>0</v>
      </c>
    </row>
    <row r="182" spans="1:13" s="545" customFormat="1" ht="12.75" x14ac:dyDescent="0.2">
      <c r="A182" s="513">
        <v>66180</v>
      </c>
      <c r="B182" s="529" t="s">
        <v>707</v>
      </c>
      <c r="C182" s="530">
        <v>502.18</v>
      </c>
      <c r="D182" s="530">
        <v>0</v>
      </c>
      <c r="E182" s="530">
        <v>60.69</v>
      </c>
      <c r="F182" s="530">
        <v>502.67</v>
      </c>
      <c r="G182" s="530">
        <v>0</v>
      </c>
      <c r="H182" s="530">
        <v>242.25000000000003</v>
      </c>
      <c r="I182" s="530">
        <v>502.18</v>
      </c>
      <c r="J182" s="530">
        <v>0</v>
      </c>
      <c r="K182" s="530">
        <v>0</v>
      </c>
      <c r="L182" s="530">
        <v>0</v>
      </c>
      <c r="M182" s="530">
        <f t="shared" si="24"/>
        <v>1809.97</v>
      </c>
    </row>
    <row r="183" spans="1:13" s="545" customFormat="1" ht="12.75" x14ac:dyDescent="0.2">
      <c r="A183" s="513">
        <v>66220</v>
      </c>
      <c r="B183" s="529" t="s">
        <v>708</v>
      </c>
      <c r="C183" s="530">
        <v>0</v>
      </c>
      <c r="D183" s="530">
        <v>0</v>
      </c>
      <c r="E183" s="530">
        <v>0</v>
      </c>
      <c r="F183" s="530">
        <v>0</v>
      </c>
      <c r="G183" s="530">
        <v>0</v>
      </c>
      <c r="H183" s="530">
        <v>0</v>
      </c>
      <c r="I183" s="530">
        <v>0</v>
      </c>
      <c r="J183" s="530">
        <v>0</v>
      </c>
      <c r="K183" s="530">
        <v>0</v>
      </c>
      <c r="L183" s="530">
        <v>0</v>
      </c>
      <c r="M183" s="530">
        <f t="shared" ref="M183:M201" si="25">SUM(C183:L183)</f>
        <v>0</v>
      </c>
    </row>
    <row r="184" spans="1:13" s="545" customFormat="1" ht="12.75" x14ac:dyDescent="0.2">
      <c r="A184" s="513">
        <v>66230</v>
      </c>
      <c r="B184" s="529" t="s">
        <v>709</v>
      </c>
      <c r="C184" s="530">
        <v>0</v>
      </c>
      <c r="D184" s="530">
        <v>0</v>
      </c>
      <c r="E184" s="530">
        <v>0</v>
      </c>
      <c r="F184" s="530">
        <v>0</v>
      </c>
      <c r="G184" s="530">
        <v>0</v>
      </c>
      <c r="H184" s="530">
        <v>0</v>
      </c>
      <c r="I184" s="530">
        <v>0</v>
      </c>
      <c r="J184" s="530">
        <v>0</v>
      </c>
      <c r="K184" s="530">
        <v>0</v>
      </c>
      <c r="L184" s="530">
        <v>0</v>
      </c>
      <c r="M184" s="530">
        <f t="shared" si="25"/>
        <v>0</v>
      </c>
    </row>
    <row r="185" spans="1:13" s="545" customFormat="1" ht="12.75" x14ac:dyDescent="0.2">
      <c r="A185" s="513">
        <v>66240</v>
      </c>
      <c r="B185" s="529" t="s">
        <v>710</v>
      </c>
      <c r="C185" s="530">
        <v>0</v>
      </c>
      <c r="D185" s="530">
        <v>0</v>
      </c>
      <c r="E185" s="530">
        <v>0</v>
      </c>
      <c r="F185" s="530">
        <v>0</v>
      </c>
      <c r="G185" s="530">
        <v>0</v>
      </c>
      <c r="H185" s="530">
        <v>0</v>
      </c>
      <c r="I185" s="530">
        <v>0</v>
      </c>
      <c r="J185" s="530">
        <v>0</v>
      </c>
      <c r="K185" s="530">
        <v>0</v>
      </c>
      <c r="L185" s="530">
        <v>0</v>
      </c>
      <c r="M185" s="530">
        <f t="shared" si="25"/>
        <v>0</v>
      </c>
    </row>
    <row r="186" spans="1:13" s="545" customFormat="1" ht="12.75" x14ac:dyDescent="0.2">
      <c r="A186" s="513">
        <v>66250</v>
      </c>
      <c r="B186" s="529" t="s">
        <v>711</v>
      </c>
      <c r="C186" s="530">
        <v>0</v>
      </c>
      <c r="D186" s="530">
        <v>0</v>
      </c>
      <c r="E186" s="530">
        <v>0</v>
      </c>
      <c r="F186" s="530">
        <v>0</v>
      </c>
      <c r="G186" s="530">
        <v>0</v>
      </c>
      <c r="H186" s="530">
        <v>0</v>
      </c>
      <c r="I186" s="530">
        <v>0</v>
      </c>
      <c r="J186" s="530">
        <v>0</v>
      </c>
      <c r="K186" s="530">
        <v>0</v>
      </c>
      <c r="L186" s="530">
        <v>0</v>
      </c>
      <c r="M186" s="530">
        <f t="shared" si="25"/>
        <v>0</v>
      </c>
    </row>
    <row r="187" spans="1:13" s="545" customFormat="1" ht="12.75" x14ac:dyDescent="0.2">
      <c r="A187" s="513">
        <v>66260</v>
      </c>
      <c r="B187" s="529" t="s">
        <v>712</v>
      </c>
      <c r="C187" s="530">
        <v>0</v>
      </c>
      <c r="D187" s="530">
        <v>0</v>
      </c>
      <c r="E187" s="530">
        <v>0</v>
      </c>
      <c r="F187" s="530">
        <v>0</v>
      </c>
      <c r="G187" s="530">
        <v>0</v>
      </c>
      <c r="H187" s="530">
        <v>0</v>
      </c>
      <c r="I187" s="530">
        <v>0</v>
      </c>
      <c r="J187" s="530">
        <v>0</v>
      </c>
      <c r="K187" s="530">
        <v>0</v>
      </c>
      <c r="L187" s="530">
        <v>0</v>
      </c>
      <c r="M187" s="530">
        <f t="shared" si="25"/>
        <v>0</v>
      </c>
    </row>
    <row r="188" spans="1:13" s="545" customFormat="1" ht="12.75" x14ac:dyDescent="0.2">
      <c r="A188" s="513">
        <v>66270</v>
      </c>
      <c r="B188" s="529" t="s">
        <v>713</v>
      </c>
      <c r="C188" s="530">
        <v>0</v>
      </c>
      <c r="D188" s="530">
        <v>0</v>
      </c>
      <c r="E188" s="530">
        <v>0</v>
      </c>
      <c r="F188" s="530">
        <v>0</v>
      </c>
      <c r="G188" s="530">
        <v>0</v>
      </c>
      <c r="H188" s="530">
        <v>0</v>
      </c>
      <c r="I188" s="530">
        <v>0</v>
      </c>
      <c r="J188" s="530">
        <v>0</v>
      </c>
      <c r="K188" s="530">
        <v>0</v>
      </c>
      <c r="L188" s="530">
        <v>0</v>
      </c>
      <c r="M188" s="530">
        <f t="shared" si="25"/>
        <v>0</v>
      </c>
    </row>
    <row r="189" spans="1:13" s="545" customFormat="1" ht="12.75" x14ac:dyDescent="0.2">
      <c r="A189" s="513">
        <v>66275</v>
      </c>
      <c r="B189" s="529" t="s">
        <v>714</v>
      </c>
      <c r="C189" s="530">
        <v>0</v>
      </c>
      <c r="D189" s="530">
        <v>0</v>
      </c>
      <c r="E189" s="530">
        <v>0</v>
      </c>
      <c r="F189" s="530">
        <v>0</v>
      </c>
      <c r="G189" s="530">
        <v>0</v>
      </c>
      <c r="H189" s="530">
        <v>0</v>
      </c>
      <c r="I189" s="530">
        <v>0</v>
      </c>
      <c r="J189" s="530">
        <v>0</v>
      </c>
      <c r="K189" s="530">
        <v>0</v>
      </c>
      <c r="L189" s="530">
        <v>0</v>
      </c>
      <c r="M189" s="530">
        <f t="shared" si="25"/>
        <v>0</v>
      </c>
    </row>
    <row r="190" spans="1:13" s="545" customFormat="1" ht="12.75" x14ac:dyDescent="0.2">
      <c r="A190" s="513">
        <v>66278</v>
      </c>
      <c r="B190" s="529" t="s">
        <v>715</v>
      </c>
      <c r="C190" s="530">
        <v>0</v>
      </c>
      <c r="D190" s="530">
        <v>0</v>
      </c>
      <c r="E190" s="530">
        <v>0</v>
      </c>
      <c r="F190" s="530">
        <v>0</v>
      </c>
      <c r="G190" s="530">
        <v>0</v>
      </c>
      <c r="H190" s="530">
        <v>0</v>
      </c>
      <c r="I190" s="530">
        <v>0</v>
      </c>
      <c r="J190" s="530">
        <v>0</v>
      </c>
      <c r="K190" s="530">
        <v>0</v>
      </c>
      <c r="L190" s="530">
        <v>0</v>
      </c>
      <c r="M190" s="530">
        <f t="shared" si="25"/>
        <v>0</v>
      </c>
    </row>
    <row r="191" spans="1:13" s="545" customFormat="1" ht="12.75" x14ac:dyDescent="0.2">
      <c r="A191" s="513">
        <v>66280</v>
      </c>
      <c r="B191" s="529" t="s">
        <v>716</v>
      </c>
      <c r="C191" s="530">
        <v>0</v>
      </c>
      <c r="D191" s="530">
        <v>0</v>
      </c>
      <c r="E191" s="530">
        <v>0</v>
      </c>
      <c r="F191" s="530">
        <v>0</v>
      </c>
      <c r="G191" s="530">
        <v>0</v>
      </c>
      <c r="H191" s="530">
        <v>0</v>
      </c>
      <c r="I191" s="530">
        <v>0</v>
      </c>
      <c r="J191" s="530">
        <v>0</v>
      </c>
      <c r="K191" s="530">
        <v>0</v>
      </c>
      <c r="L191" s="530">
        <v>0</v>
      </c>
      <c r="M191" s="530">
        <f t="shared" si="25"/>
        <v>0</v>
      </c>
    </row>
    <row r="192" spans="1:13" s="545" customFormat="1" ht="12.75" x14ac:dyDescent="0.2">
      <c r="A192" s="513">
        <v>66282</v>
      </c>
      <c r="B192" s="529" t="s">
        <v>717</v>
      </c>
      <c r="C192" s="530">
        <v>0</v>
      </c>
      <c r="D192" s="530">
        <v>0</v>
      </c>
      <c r="E192" s="530">
        <v>0</v>
      </c>
      <c r="F192" s="530">
        <v>0</v>
      </c>
      <c r="G192" s="530">
        <v>0</v>
      </c>
      <c r="H192" s="530">
        <v>0</v>
      </c>
      <c r="I192" s="530">
        <v>0</v>
      </c>
      <c r="J192" s="530">
        <v>0</v>
      </c>
      <c r="K192" s="530">
        <v>0</v>
      </c>
      <c r="L192" s="530">
        <v>0</v>
      </c>
      <c r="M192" s="530">
        <f t="shared" si="25"/>
        <v>0</v>
      </c>
    </row>
    <row r="193" spans="1:13" s="545" customFormat="1" ht="12.75" x14ac:dyDescent="0.2">
      <c r="A193" s="513">
        <v>66284</v>
      </c>
      <c r="B193" s="529" t="s">
        <v>718</v>
      </c>
      <c r="C193" s="530">
        <v>0</v>
      </c>
      <c r="D193" s="530">
        <v>0</v>
      </c>
      <c r="E193" s="530">
        <v>0</v>
      </c>
      <c r="F193" s="530">
        <v>0</v>
      </c>
      <c r="G193" s="530">
        <v>0</v>
      </c>
      <c r="H193" s="530">
        <v>0</v>
      </c>
      <c r="I193" s="530">
        <v>0</v>
      </c>
      <c r="J193" s="530">
        <v>0</v>
      </c>
      <c r="K193" s="530">
        <v>0</v>
      </c>
      <c r="L193" s="530">
        <v>0</v>
      </c>
      <c r="M193" s="530">
        <f t="shared" si="25"/>
        <v>0</v>
      </c>
    </row>
    <row r="194" spans="1:13" s="545" customFormat="1" ht="12.75" x14ac:dyDescent="0.2">
      <c r="A194" s="513">
        <v>66400</v>
      </c>
      <c r="B194" s="529" t="s">
        <v>719</v>
      </c>
      <c r="C194" s="530">
        <v>0</v>
      </c>
      <c r="D194" s="530">
        <v>0</v>
      </c>
      <c r="E194" s="530">
        <v>0</v>
      </c>
      <c r="F194" s="530">
        <v>0</v>
      </c>
      <c r="G194" s="530">
        <v>0</v>
      </c>
      <c r="H194" s="530">
        <v>0</v>
      </c>
      <c r="I194" s="530">
        <v>0</v>
      </c>
      <c r="J194" s="530">
        <v>0</v>
      </c>
      <c r="K194" s="530">
        <v>0</v>
      </c>
      <c r="L194" s="530">
        <v>0</v>
      </c>
      <c r="M194" s="530">
        <f t="shared" si="25"/>
        <v>0</v>
      </c>
    </row>
    <row r="195" spans="1:13" s="545" customFormat="1" ht="12.75" x14ac:dyDescent="0.2">
      <c r="A195" s="513">
        <v>66450</v>
      </c>
      <c r="B195" s="529" t="s">
        <v>720</v>
      </c>
      <c r="C195" s="530">
        <v>0</v>
      </c>
      <c r="D195" s="530">
        <v>0</v>
      </c>
      <c r="E195" s="530">
        <v>0</v>
      </c>
      <c r="F195" s="530">
        <v>0</v>
      </c>
      <c r="G195" s="530">
        <v>0</v>
      </c>
      <c r="H195" s="530">
        <v>0</v>
      </c>
      <c r="I195" s="530">
        <v>0</v>
      </c>
      <c r="J195" s="530">
        <v>0</v>
      </c>
      <c r="K195" s="530">
        <v>0</v>
      </c>
      <c r="L195" s="530">
        <v>0</v>
      </c>
      <c r="M195" s="530">
        <f t="shared" si="25"/>
        <v>0</v>
      </c>
    </row>
    <row r="196" spans="1:13" s="545" customFormat="1" ht="12.75" x14ac:dyDescent="0.2">
      <c r="A196" s="513">
        <v>66500</v>
      </c>
      <c r="B196" s="529" t="s">
        <v>721</v>
      </c>
      <c r="C196" s="530">
        <v>0</v>
      </c>
      <c r="D196" s="530">
        <v>0</v>
      </c>
      <c r="E196" s="530">
        <v>0.02</v>
      </c>
      <c r="F196" s="530">
        <v>0</v>
      </c>
      <c r="G196" s="530">
        <v>0</v>
      </c>
      <c r="H196" s="530">
        <v>0</v>
      </c>
      <c r="I196" s="530">
        <v>0</v>
      </c>
      <c r="J196" s="530">
        <v>0</v>
      </c>
      <c r="K196" s="530">
        <v>0</v>
      </c>
      <c r="L196" s="530">
        <v>0</v>
      </c>
      <c r="M196" s="530">
        <f t="shared" si="25"/>
        <v>0.02</v>
      </c>
    </row>
    <row r="197" spans="1:13" s="545" customFormat="1" ht="12.75" x14ac:dyDescent="0.2">
      <c r="A197" s="513">
        <v>66501</v>
      </c>
      <c r="B197" s="529" t="s">
        <v>722</v>
      </c>
      <c r="C197" s="530">
        <v>0</v>
      </c>
      <c r="D197" s="530">
        <v>0</v>
      </c>
      <c r="E197" s="530">
        <v>0</v>
      </c>
      <c r="F197" s="530">
        <v>0</v>
      </c>
      <c r="G197" s="530">
        <v>0</v>
      </c>
      <c r="H197" s="530">
        <v>0</v>
      </c>
      <c r="I197" s="530">
        <v>0</v>
      </c>
      <c r="J197" s="530">
        <v>0</v>
      </c>
      <c r="K197" s="530">
        <v>0</v>
      </c>
      <c r="L197" s="530">
        <v>0</v>
      </c>
      <c r="M197" s="530">
        <f t="shared" si="25"/>
        <v>0</v>
      </c>
    </row>
    <row r="198" spans="1:13" s="545" customFormat="1" ht="12.75" x14ac:dyDescent="0.2">
      <c r="A198" s="513">
        <v>66580</v>
      </c>
      <c r="B198" s="529" t="s">
        <v>723</v>
      </c>
      <c r="C198" s="530">
        <v>0</v>
      </c>
      <c r="D198" s="530">
        <v>0</v>
      </c>
      <c r="E198" s="530">
        <v>0</v>
      </c>
      <c r="F198" s="530">
        <v>26795.4</v>
      </c>
      <c r="G198" s="530">
        <v>0</v>
      </c>
      <c r="H198" s="530">
        <v>0</v>
      </c>
      <c r="I198" s="530">
        <v>0</v>
      </c>
      <c r="J198" s="530">
        <v>0</v>
      </c>
      <c r="K198" s="530">
        <v>0</v>
      </c>
      <c r="L198" s="530">
        <v>0</v>
      </c>
      <c r="M198" s="530">
        <f t="shared" si="25"/>
        <v>26795.4</v>
      </c>
    </row>
    <row r="199" spans="1:13" s="545" customFormat="1" ht="12.75" x14ac:dyDescent="0.2">
      <c r="A199" s="513">
        <v>66582</v>
      </c>
      <c r="B199" s="529" t="s">
        <v>724</v>
      </c>
      <c r="C199" s="530">
        <v>0</v>
      </c>
      <c r="D199" s="530">
        <v>0</v>
      </c>
      <c r="E199" s="530">
        <v>0</v>
      </c>
      <c r="F199" s="530">
        <v>0</v>
      </c>
      <c r="G199" s="530">
        <v>0</v>
      </c>
      <c r="H199" s="530">
        <v>0</v>
      </c>
      <c r="I199" s="530">
        <v>0</v>
      </c>
      <c r="J199" s="530">
        <v>0</v>
      </c>
      <c r="K199" s="530">
        <v>0</v>
      </c>
      <c r="L199" s="530">
        <v>0</v>
      </c>
      <c r="M199" s="530">
        <f t="shared" si="25"/>
        <v>0</v>
      </c>
    </row>
    <row r="200" spans="1:13" s="545" customFormat="1" ht="12.75" x14ac:dyDescent="0.2">
      <c r="A200" s="513">
        <v>66583</v>
      </c>
      <c r="B200" s="529" t="s">
        <v>725</v>
      </c>
      <c r="C200" s="530">
        <v>0</v>
      </c>
      <c r="D200" s="530">
        <v>0</v>
      </c>
      <c r="E200" s="530">
        <v>0</v>
      </c>
      <c r="F200" s="530">
        <v>0</v>
      </c>
      <c r="G200" s="530">
        <v>0</v>
      </c>
      <c r="H200" s="530">
        <v>0</v>
      </c>
      <c r="I200" s="530">
        <v>0</v>
      </c>
      <c r="J200" s="530">
        <v>0</v>
      </c>
      <c r="K200" s="530">
        <v>0</v>
      </c>
      <c r="L200" s="530">
        <v>0</v>
      </c>
      <c r="M200" s="530">
        <f t="shared" si="25"/>
        <v>0</v>
      </c>
    </row>
    <row r="201" spans="1:13" s="545" customFormat="1" ht="12.75" x14ac:dyDescent="0.2">
      <c r="A201" s="513">
        <v>66585</v>
      </c>
      <c r="B201" s="553" t="s">
        <v>726</v>
      </c>
      <c r="C201" s="531">
        <v>0</v>
      </c>
      <c r="D201" s="531">
        <v>0</v>
      </c>
      <c r="E201" s="531">
        <v>0</v>
      </c>
      <c r="F201" s="531">
        <v>0</v>
      </c>
      <c r="G201" s="531">
        <v>0</v>
      </c>
      <c r="H201" s="531">
        <v>0</v>
      </c>
      <c r="I201" s="531">
        <v>0</v>
      </c>
      <c r="J201" s="531">
        <v>0</v>
      </c>
      <c r="K201" s="531">
        <v>0</v>
      </c>
      <c r="L201" s="531">
        <v>0</v>
      </c>
      <c r="M201" s="531">
        <f t="shared" si="25"/>
        <v>0</v>
      </c>
    </row>
    <row r="202" spans="1:13" s="428" customFormat="1" ht="12.75" x14ac:dyDescent="0.2">
      <c r="A202" s="513">
        <v>66600</v>
      </c>
      <c r="B202" s="532" t="s">
        <v>727</v>
      </c>
      <c r="C202" s="533">
        <f t="shared" ref="C202:M202" si="26">SUM(C151:C201)</f>
        <v>17882.489999999998</v>
      </c>
      <c r="D202" s="533">
        <f t="shared" si="26"/>
        <v>0</v>
      </c>
      <c r="E202" s="533">
        <f t="shared" si="26"/>
        <v>8522.2700000000023</v>
      </c>
      <c r="F202" s="533">
        <f t="shared" si="26"/>
        <v>63994.049999999996</v>
      </c>
      <c r="G202" s="533">
        <f t="shared" si="26"/>
        <v>2542.9899999999998</v>
      </c>
      <c r="H202" s="533">
        <f t="shared" si="26"/>
        <v>15916.350000000002</v>
      </c>
      <c r="I202" s="533">
        <f t="shared" si="26"/>
        <v>4984.8000000000011</v>
      </c>
      <c r="J202" s="533">
        <f t="shared" si="26"/>
        <v>0</v>
      </c>
      <c r="K202" s="533">
        <f t="shared" si="26"/>
        <v>974.48</v>
      </c>
      <c r="L202" s="533">
        <f t="shared" si="26"/>
        <v>0</v>
      </c>
      <c r="M202" s="533">
        <f t="shared" si="26"/>
        <v>114817.43</v>
      </c>
    </row>
    <row r="203" spans="1:13" s="428" customFormat="1" ht="12.75" x14ac:dyDescent="0.2">
      <c r="A203" s="513"/>
      <c r="B203" s="536"/>
      <c r="C203" s="537"/>
      <c r="D203" s="537"/>
      <c r="E203" s="537"/>
      <c r="F203" s="537"/>
      <c r="G203" s="537"/>
      <c r="H203" s="537"/>
      <c r="I203" s="537"/>
      <c r="J203" s="537"/>
      <c r="K203" s="537"/>
      <c r="L203" s="537"/>
      <c r="M203" s="537"/>
    </row>
    <row r="204" spans="1:13" s="428" customFormat="1" ht="12.75" x14ac:dyDescent="0.2">
      <c r="A204" s="513">
        <v>66690</v>
      </c>
      <c r="B204" s="536" t="s">
        <v>728</v>
      </c>
      <c r="C204" s="537">
        <f t="shared" ref="C204:M204" si="27">C202+C148+C137+C125+C116+C105+C76</f>
        <v>119561.16</v>
      </c>
      <c r="D204" s="537">
        <f t="shared" si="27"/>
        <v>0</v>
      </c>
      <c r="E204" s="537">
        <f t="shared" si="27"/>
        <v>19715.510000000002</v>
      </c>
      <c r="F204" s="537">
        <f t="shared" si="27"/>
        <v>117214.9</v>
      </c>
      <c r="G204" s="537">
        <f t="shared" si="27"/>
        <v>2542.9899999999998</v>
      </c>
      <c r="H204" s="537">
        <f t="shared" si="27"/>
        <v>17419.25</v>
      </c>
      <c r="I204" s="537">
        <f t="shared" si="27"/>
        <v>86012.79</v>
      </c>
      <c r="J204" s="537">
        <f t="shared" si="27"/>
        <v>0</v>
      </c>
      <c r="K204" s="537">
        <f t="shared" si="27"/>
        <v>974.48</v>
      </c>
      <c r="L204" s="537">
        <f t="shared" si="27"/>
        <v>0</v>
      </c>
      <c r="M204" s="537">
        <f t="shared" si="27"/>
        <v>363441.07999999996</v>
      </c>
    </row>
    <row r="205" spans="1:13" s="428" customFormat="1" ht="12.75" x14ac:dyDescent="0.2">
      <c r="A205" s="513" t="s">
        <v>729</v>
      </c>
      <c r="B205" s="516" t="s">
        <v>128</v>
      </c>
      <c r="C205" s="544" t="str">
        <f t="shared" ref="C205:M205" si="28">IF(ISERROR(C204/C23),"",(C204/C23))</f>
        <v/>
      </c>
      <c r="D205" s="544" t="str">
        <f t="shared" si="28"/>
        <v/>
      </c>
      <c r="E205" s="544" t="str">
        <f t="shared" si="28"/>
        <v/>
      </c>
      <c r="F205" s="544" t="str">
        <f t="shared" si="28"/>
        <v/>
      </c>
      <c r="G205" s="544" t="str">
        <f t="shared" si="28"/>
        <v/>
      </c>
      <c r="H205" s="544" t="str">
        <f t="shared" si="28"/>
        <v/>
      </c>
      <c r="I205" s="544" t="str">
        <f t="shared" si="28"/>
        <v/>
      </c>
      <c r="J205" s="544" t="str">
        <f t="shared" si="28"/>
        <v/>
      </c>
      <c r="K205" s="544" t="str">
        <f t="shared" si="28"/>
        <v/>
      </c>
      <c r="L205" s="544" t="str">
        <f t="shared" si="28"/>
        <v/>
      </c>
      <c r="M205" s="544" t="str">
        <f t="shared" si="28"/>
        <v/>
      </c>
    </row>
    <row r="206" spans="1:13" s="428" customFormat="1" x14ac:dyDescent="0.25">
      <c r="A206" s="513"/>
      <c r="B206" s="514"/>
      <c r="C206" s="561"/>
      <c r="D206" s="561"/>
      <c r="E206" s="561"/>
      <c r="F206" s="561"/>
      <c r="G206" s="561"/>
      <c r="H206" s="561"/>
      <c r="I206" s="561"/>
      <c r="J206" s="561"/>
      <c r="K206" s="561"/>
      <c r="L206" s="561"/>
      <c r="M206" s="561"/>
    </row>
    <row r="207" spans="1:13" s="428" customFormat="1" ht="12.75" x14ac:dyDescent="0.2">
      <c r="A207" s="513">
        <v>66695</v>
      </c>
      <c r="B207" s="536" t="s">
        <v>730</v>
      </c>
      <c r="C207" s="537">
        <f t="shared" ref="C207:M207" si="29">C68-C204+C195</f>
        <v>-119561.16</v>
      </c>
      <c r="D207" s="537">
        <f t="shared" si="29"/>
        <v>0</v>
      </c>
      <c r="E207" s="537">
        <f t="shared" si="29"/>
        <v>-19715.510000000002</v>
      </c>
      <c r="F207" s="537">
        <f t="shared" si="29"/>
        <v>-117214.9</v>
      </c>
      <c r="G207" s="537">
        <f t="shared" si="29"/>
        <v>-2542.9899999999998</v>
      </c>
      <c r="H207" s="537">
        <f t="shared" si="29"/>
        <v>-17419.25</v>
      </c>
      <c r="I207" s="537">
        <f t="shared" si="29"/>
        <v>-86012.79</v>
      </c>
      <c r="J207" s="537">
        <f t="shared" si="29"/>
        <v>0</v>
      </c>
      <c r="K207" s="537">
        <f t="shared" si="29"/>
        <v>-974.48</v>
      </c>
      <c r="L207" s="537">
        <f t="shared" si="29"/>
        <v>0</v>
      </c>
      <c r="M207" s="537">
        <f t="shared" si="29"/>
        <v>-363441.07999999996</v>
      </c>
    </row>
    <row r="208" spans="1:13" s="428" customFormat="1" ht="12.75" x14ac:dyDescent="0.2">
      <c r="A208" s="513"/>
      <c r="B208" s="516"/>
      <c r="C208" s="528"/>
      <c r="D208" s="528"/>
      <c r="E208" s="528"/>
      <c r="F208" s="528"/>
      <c r="G208" s="528"/>
      <c r="H208" s="528"/>
      <c r="I208" s="528"/>
      <c r="J208" s="528"/>
      <c r="K208" s="528"/>
      <c r="L208" s="528"/>
      <c r="M208" s="528"/>
    </row>
    <row r="209" spans="1:14" s="428" customFormat="1" ht="12.75" x14ac:dyDescent="0.2">
      <c r="A209" s="513"/>
      <c r="B209" s="516" t="s">
        <v>98</v>
      </c>
      <c r="C209" s="528"/>
      <c r="D209" s="528"/>
      <c r="E209" s="528"/>
      <c r="F209" s="528"/>
      <c r="G209" s="528"/>
      <c r="H209" s="528"/>
      <c r="I209" s="528"/>
      <c r="J209" s="528"/>
      <c r="K209" s="528"/>
      <c r="L209" s="528"/>
      <c r="M209" s="528"/>
    </row>
    <row r="210" spans="1:14" s="545" customFormat="1" ht="12.75" x14ac:dyDescent="0.2">
      <c r="A210" s="540" t="s">
        <v>731</v>
      </c>
      <c r="B210" s="529" t="s">
        <v>732</v>
      </c>
      <c r="C210" s="530">
        <v>0</v>
      </c>
      <c r="D210" s="530">
        <v>0</v>
      </c>
      <c r="E210" s="530">
        <v>-200501.91</v>
      </c>
      <c r="F210" s="530">
        <v>-57626.32</v>
      </c>
      <c r="G210" s="530">
        <v>-241.76</v>
      </c>
      <c r="H210" s="530">
        <v>-12187.75</v>
      </c>
      <c r="I210" s="530">
        <v>-8803.7099999999991</v>
      </c>
      <c r="J210" s="530">
        <v>0</v>
      </c>
      <c r="K210" s="530">
        <v>0</v>
      </c>
      <c r="L210" s="530">
        <v>0</v>
      </c>
      <c r="M210" s="530">
        <f>SUM(C210:L210)</f>
        <v>-279361.45</v>
      </c>
    </row>
    <row r="211" spans="1:14" s="545" customFormat="1" ht="12.75" x14ac:dyDescent="0.2">
      <c r="A211" s="513">
        <v>70003</v>
      </c>
      <c r="B211" s="529" t="s">
        <v>733</v>
      </c>
      <c r="C211" s="530">
        <v>0</v>
      </c>
      <c r="D211" s="530">
        <v>0</v>
      </c>
      <c r="E211" s="530">
        <v>0</v>
      </c>
      <c r="F211" s="530">
        <v>0</v>
      </c>
      <c r="G211" s="530">
        <v>0</v>
      </c>
      <c r="H211" s="530">
        <v>0</v>
      </c>
      <c r="I211" s="530">
        <v>0</v>
      </c>
      <c r="J211" s="530">
        <v>0</v>
      </c>
      <c r="K211" s="530">
        <v>0</v>
      </c>
      <c r="L211" s="530">
        <v>0</v>
      </c>
      <c r="M211" s="530">
        <f>SUM(C211:L211)</f>
        <v>0</v>
      </c>
    </row>
    <row r="212" spans="1:14" s="545" customFormat="1" ht="12.75" x14ac:dyDescent="0.2">
      <c r="A212" s="513">
        <v>70004</v>
      </c>
      <c r="B212" s="529" t="s">
        <v>734</v>
      </c>
      <c r="C212" s="530">
        <v>-4917</v>
      </c>
      <c r="D212" s="530">
        <v>0</v>
      </c>
      <c r="E212" s="530">
        <v>372.75</v>
      </c>
      <c r="F212" s="530">
        <v>-44738.5</v>
      </c>
      <c r="G212" s="530">
        <v>0</v>
      </c>
      <c r="H212" s="530">
        <v>-638</v>
      </c>
      <c r="I212" s="530">
        <v>-11985</v>
      </c>
      <c r="J212" s="530">
        <v>0</v>
      </c>
      <c r="K212" s="530">
        <v>0</v>
      </c>
      <c r="L212" s="530">
        <v>0</v>
      </c>
      <c r="M212" s="530">
        <f>SUM(C212:L212)</f>
        <v>-61905.75</v>
      </c>
      <c r="N212" s="580"/>
    </row>
    <row r="213" spans="1:14" s="545" customFormat="1" ht="12.75" x14ac:dyDescent="0.2">
      <c r="A213" s="513" t="s">
        <v>735</v>
      </c>
      <c r="B213" s="529" t="s">
        <v>736</v>
      </c>
      <c r="C213" s="530">
        <v>0</v>
      </c>
      <c r="D213" s="530">
        <v>0</v>
      </c>
      <c r="E213" s="530">
        <v>-286.96000000000004</v>
      </c>
      <c r="F213" s="530">
        <v>0</v>
      </c>
      <c r="G213" s="530">
        <v>0</v>
      </c>
      <c r="H213" s="530">
        <v>0</v>
      </c>
      <c r="I213" s="530">
        <v>0</v>
      </c>
      <c r="J213" s="530">
        <v>0</v>
      </c>
      <c r="K213" s="530">
        <v>0</v>
      </c>
      <c r="L213" s="530">
        <v>0</v>
      </c>
      <c r="M213" s="530">
        <f>SUM(C213:L213)</f>
        <v>-286.96000000000004</v>
      </c>
    </row>
    <row r="214" spans="1:14" s="428" customFormat="1" ht="12.75" x14ac:dyDescent="0.2">
      <c r="A214" s="513">
        <v>72000</v>
      </c>
      <c r="B214" s="536" t="s">
        <v>737</v>
      </c>
      <c r="C214" s="537">
        <f t="shared" ref="C214:M214" si="30">SUM(C210:C213)</f>
        <v>-4917</v>
      </c>
      <c r="D214" s="537">
        <f t="shared" si="30"/>
        <v>0</v>
      </c>
      <c r="E214" s="537">
        <f t="shared" si="30"/>
        <v>-200416.12</v>
      </c>
      <c r="F214" s="537">
        <f t="shared" si="30"/>
        <v>-102364.82</v>
      </c>
      <c r="G214" s="537">
        <f t="shared" si="30"/>
        <v>-241.76</v>
      </c>
      <c r="H214" s="537">
        <f t="shared" si="30"/>
        <v>-12825.75</v>
      </c>
      <c r="I214" s="537">
        <f t="shared" si="30"/>
        <v>-20788.71</v>
      </c>
      <c r="J214" s="537">
        <f t="shared" si="30"/>
        <v>0</v>
      </c>
      <c r="K214" s="537">
        <f t="shared" si="30"/>
        <v>0</v>
      </c>
      <c r="L214" s="537">
        <f t="shared" si="30"/>
        <v>0</v>
      </c>
      <c r="M214" s="537">
        <f t="shared" si="30"/>
        <v>-341554.16000000003</v>
      </c>
    </row>
    <row r="215" spans="1:14" s="428" customFormat="1" ht="12.75" x14ac:dyDescent="0.2">
      <c r="A215" s="513"/>
      <c r="B215" s="536"/>
      <c r="C215" s="537"/>
      <c r="D215" s="537"/>
      <c r="E215" s="537"/>
      <c r="F215" s="537"/>
      <c r="G215" s="537"/>
      <c r="H215" s="537"/>
      <c r="I215" s="537"/>
      <c r="J215" s="537"/>
      <c r="K215" s="537"/>
      <c r="L215" s="537"/>
      <c r="M215" s="537"/>
    </row>
    <row r="216" spans="1:14" s="428" customFormat="1" ht="12.75" x14ac:dyDescent="0.2">
      <c r="A216" s="513">
        <v>72999</v>
      </c>
      <c r="B216" s="536" t="s">
        <v>738</v>
      </c>
      <c r="C216" s="537">
        <f t="shared" ref="C216:M216" si="31">C204+C214</f>
        <v>114644.16</v>
      </c>
      <c r="D216" s="537">
        <f t="shared" si="31"/>
        <v>0</v>
      </c>
      <c r="E216" s="537">
        <f t="shared" si="31"/>
        <v>-180700.61</v>
      </c>
      <c r="F216" s="537">
        <f t="shared" si="31"/>
        <v>14850.079999999987</v>
      </c>
      <c r="G216" s="537">
        <f t="shared" si="31"/>
        <v>2301.2299999999996</v>
      </c>
      <c r="H216" s="537">
        <f t="shared" si="31"/>
        <v>4593.5</v>
      </c>
      <c r="I216" s="537">
        <f t="shared" si="31"/>
        <v>65224.079999999994</v>
      </c>
      <c r="J216" s="537">
        <f t="shared" si="31"/>
        <v>0</v>
      </c>
      <c r="K216" s="537">
        <f t="shared" si="31"/>
        <v>974.48</v>
      </c>
      <c r="L216" s="537">
        <f t="shared" si="31"/>
        <v>0</v>
      </c>
      <c r="M216" s="537">
        <f t="shared" si="31"/>
        <v>21886.919999999925</v>
      </c>
    </row>
    <row r="217" spans="1:14" s="428" customFormat="1" ht="12.75" x14ac:dyDescent="0.2">
      <c r="A217" s="513" t="s">
        <v>739</v>
      </c>
      <c r="B217" s="562" t="s">
        <v>128</v>
      </c>
      <c r="C217" s="544" t="str">
        <f t="shared" ref="C217:M217" si="32">IF(ISERROR(C216/C23),"",(C216/C23))</f>
        <v/>
      </c>
      <c r="D217" s="544" t="str">
        <f t="shared" si="32"/>
        <v/>
      </c>
      <c r="E217" s="544" t="str">
        <f t="shared" si="32"/>
        <v/>
      </c>
      <c r="F217" s="544" t="str">
        <f t="shared" si="32"/>
        <v/>
      </c>
      <c r="G217" s="544" t="str">
        <f t="shared" si="32"/>
        <v/>
      </c>
      <c r="H217" s="544" t="str">
        <f t="shared" si="32"/>
        <v/>
      </c>
      <c r="I217" s="544" t="str">
        <f t="shared" si="32"/>
        <v/>
      </c>
      <c r="J217" s="544" t="str">
        <f t="shared" si="32"/>
        <v/>
      </c>
      <c r="K217" s="544" t="str">
        <f t="shared" si="32"/>
        <v/>
      </c>
      <c r="L217" s="544" t="str">
        <f t="shared" si="32"/>
        <v/>
      </c>
      <c r="M217" s="544" t="str">
        <f t="shared" si="32"/>
        <v/>
      </c>
    </row>
    <row r="218" spans="1:14" s="428" customFormat="1" x14ac:dyDescent="0.25">
      <c r="A218" s="513"/>
      <c r="B218" s="534"/>
      <c r="C218" s="563"/>
      <c r="D218" s="563"/>
      <c r="E218" s="563"/>
      <c r="F218" s="563"/>
      <c r="G218" s="563"/>
      <c r="H218" s="563"/>
      <c r="I218" s="563"/>
      <c r="J218" s="563"/>
      <c r="K218" s="563"/>
      <c r="L218" s="563"/>
      <c r="M218" s="563"/>
    </row>
    <row r="219" spans="1:14" s="428" customFormat="1" ht="12.75" x14ac:dyDescent="0.2">
      <c r="A219" s="513">
        <v>75999</v>
      </c>
      <c r="B219" s="532" t="s">
        <v>740</v>
      </c>
      <c r="C219" s="533">
        <f t="shared" ref="C219:M219" si="33">C207-C214</f>
        <v>-114644.16</v>
      </c>
      <c r="D219" s="533">
        <f t="shared" si="33"/>
        <v>0</v>
      </c>
      <c r="E219" s="533">
        <f t="shared" si="33"/>
        <v>180700.61</v>
      </c>
      <c r="F219" s="533">
        <f t="shared" si="33"/>
        <v>-14850.079999999987</v>
      </c>
      <c r="G219" s="533">
        <f t="shared" si="33"/>
        <v>-2301.2299999999996</v>
      </c>
      <c r="H219" s="533">
        <f t="shared" si="33"/>
        <v>-4593.5</v>
      </c>
      <c r="I219" s="533">
        <f t="shared" si="33"/>
        <v>-65224.079999999994</v>
      </c>
      <c r="J219" s="533">
        <f t="shared" si="33"/>
        <v>0</v>
      </c>
      <c r="K219" s="533">
        <f t="shared" si="33"/>
        <v>-974.48</v>
      </c>
      <c r="L219" s="533">
        <f t="shared" si="33"/>
        <v>0</v>
      </c>
      <c r="M219" s="533">
        <f t="shared" si="33"/>
        <v>-21886.919999999925</v>
      </c>
    </row>
    <row r="220" spans="1:14" s="428" customFormat="1" ht="12.75" x14ac:dyDescent="0.2">
      <c r="A220" s="513" t="s">
        <v>741</v>
      </c>
      <c r="B220" s="516" t="s">
        <v>128</v>
      </c>
      <c r="C220" s="544" t="str">
        <f t="shared" ref="C220:M220" si="34">IF(ISERROR(C219/C23),"",(C219/C23))</f>
        <v/>
      </c>
      <c r="D220" s="544" t="str">
        <f t="shared" si="34"/>
        <v/>
      </c>
      <c r="E220" s="544" t="str">
        <f t="shared" si="34"/>
        <v/>
      </c>
      <c r="F220" s="544" t="str">
        <f t="shared" si="34"/>
        <v/>
      </c>
      <c r="G220" s="544" t="str">
        <f t="shared" si="34"/>
        <v/>
      </c>
      <c r="H220" s="544" t="str">
        <f t="shared" si="34"/>
        <v/>
      </c>
      <c r="I220" s="544" t="str">
        <f t="shared" si="34"/>
        <v/>
      </c>
      <c r="J220" s="544" t="str">
        <f t="shared" si="34"/>
        <v/>
      </c>
      <c r="K220" s="544" t="str">
        <f t="shared" si="34"/>
        <v/>
      </c>
      <c r="L220" s="544" t="str">
        <f t="shared" si="34"/>
        <v/>
      </c>
      <c r="M220" s="544" t="str">
        <f t="shared" si="34"/>
        <v/>
      </c>
    </row>
    <row r="221" spans="1:14" s="428" customFormat="1" x14ac:dyDescent="0.25">
      <c r="A221" s="513"/>
      <c r="B221" s="534"/>
      <c r="C221" s="563"/>
      <c r="D221" s="563"/>
      <c r="E221" s="563"/>
      <c r="F221" s="563"/>
      <c r="G221" s="563"/>
      <c r="H221" s="563"/>
      <c r="I221" s="563"/>
      <c r="J221" s="563"/>
      <c r="K221" s="563"/>
      <c r="L221" s="563"/>
      <c r="M221" s="563"/>
    </row>
    <row r="222" spans="1:14" s="428" customFormat="1" ht="12.75" x14ac:dyDescent="0.2">
      <c r="A222" s="513"/>
      <c r="B222" s="516" t="s">
        <v>462</v>
      </c>
      <c r="C222" s="528"/>
      <c r="D222" s="528"/>
      <c r="E222" s="528"/>
      <c r="F222" s="528"/>
      <c r="G222" s="528"/>
      <c r="H222" s="528"/>
      <c r="I222" s="528"/>
      <c r="J222" s="528"/>
      <c r="K222" s="528"/>
      <c r="L222" s="528"/>
      <c r="M222" s="528"/>
    </row>
    <row r="223" spans="1:14" s="545" customFormat="1" ht="12.75" x14ac:dyDescent="0.2">
      <c r="A223" s="513">
        <v>81100</v>
      </c>
      <c r="B223" s="529" t="s">
        <v>742</v>
      </c>
      <c r="C223" s="530">
        <v>0</v>
      </c>
      <c r="D223" s="530">
        <v>0</v>
      </c>
      <c r="E223" s="530">
        <v>0</v>
      </c>
      <c r="F223" s="530">
        <v>0</v>
      </c>
      <c r="G223" s="530">
        <v>0</v>
      </c>
      <c r="H223" s="530">
        <v>0</v>
      </c>
      <c r="I223" s="530">
        <v>0</v>
      </c>
      <c r="J223" s="530">
        <v>0</v>
      </c>
      <c r="K223" s="530">
        <v>0</v>
      </c>
      <c r="L223" s="530">
        <v>0</v>
      </c>
      <c r="M223" s="530">
        <f t="shared" ref="M223:M233" si="35">SUM(C223:L223)</f>
        <v>0</v>
      </c>
    </row>
    <row r="224" spans="1:14" s="545" customFormat="1" ht="12.75" x14ac:dyDescent="0.2">
      <c r="A224" s="513">
        <v>81200</v>
      </c>
      <c r="B224" s="529" t="s">
        <v>743</v>
      </c>
      <c r="C224" s="530">
        <v>0</v>
      </c>
      <c r="D224" s="530">
        <v>0</v>
      </c>
      <c r="E224" s="530">
        <v>0</v>
      </c>
      <c r="F224" s="530">
        <v>0</v>
      </c>
      <c r="G224" s="530">
        <v>0</v>
      </c>
      <c r="H224" s="530">
        <v>0</v>
      </c>
      <c r="I224" s="530">
        <v>0</v>
      </c>
      <c r="J224" s="530">
        <v>0</v>
      </c>
      <c r="K224" s="530">
        <v>0</v>
      </c>
      <c r="L224" s="530">
        <v>0</v>
      </c>
      <c r="M224" s="530">
        <f t="shared" si="35"/>
        <v>0</v>
      </c>
    </row>
    <row r="225" spans="1:13" s="545" customFormat="1" ht="12.75" x14ac:dyDescent="0.2">
      <c r="A225" s="513">
        <v>81201</v>
      </c>
      <c r="B225" s="529" t="s">
        <v>744</v>
      </c>
      <c r="C225" s="530">
        <v>0</v>
      </c>
      <c r="D225" s="530">
        <v>0</v>
      </c>
      <c r="E225" s="530">
        <v>0</v>
      </c>
      <c r="F225" s="530">
        <v>0</v>
      </c>
      <c r="G225" s="530">
        <v>0</v>
      </c>
      <c r="H225" s="530">
        <v>0</v>
      </c>
      <c r="I225" s="530">
        <v>0</v>
      </c>
      <c r="J225" s="530">
        <v>0</v>
      </c>
      <c r="K225" s="530">
        <v>0</v>
      </c>
      <c r="L225" s="530">
        <v>0</v>
      </c>
      <c r="M225" s="530">
        <f t="shared" si="35"/>
        <v>0</v>
      </c>
    </row>
    <row r="226" spans="1:13" s="545" customFormat="1" ht="12.75" x14ac:dyDescent="0.2">
      <c r="A226" s="513">
        <v>81250</v>
      </c>
      <c r="B226" s="529" t="s">
        <v>745</v>
      </c>
      <c r="C226" s="530">
        <v>0</v>
      </c>
      <c r="D226" s="530">
        <v>0</v>
      </c>
      <c r="E226" s="530">
        <v>1747.04</v>
      </c>
      <c r="F226" s="530">
        <v>0</v>
      </c>
      <c r="G226" s="530">
        <v>0</v>
      </c>
      <c r="H226" s="530">
        <v>0</v>
      </c>
      <c r="I226" s="530">
        <v>0</v>
      </c>
      <c r="J226" s="530">
        <v>0</v>
      </c>
      <c r="K226" s="530">
        <v>0</v>
      </c>
      <c r="L226" s="530">
        <v>0</v>
      </c>
      <c r="M226" s="530">
        <f t="shared" si="35"/>
        <v>1747.04</v>
      </c>
    </row>
    <row r="227" spans="1:13" s="545" customFormat="1" ht="12.75" x14ac:dyDescent="0.2">
      <c r="A227" s="513">
        <v>81252</v>
      </c>
      <c r="B227" s="529" t="s">
        <v>746</v>
      </c>
      <c r="C227" s="530">
        <v>0</v>
      </c>
      <c r="D227" s="530">
        <v>0</v>
      </c>
      <c r="E227" s="530">
        <v>0</v>
      </c>
      <c r="F227" s="530">
        <v>0</v>
      </c>
      <c r="G227" s="530">
        <v>0</v>
      </c>
      <c r="H227" s="530">
        <v>0</v>
      </c>
      <c r="I227" s="530">
        <v>0</v>
      </c>
      <c r="J227" s="530">
        <v>0</v>
      </c>
      <c r="K227" s="530">
        <v>0</v>
      </c>
      <c r="L227" s="530">
        <v>0</v>
      </c>
      <c r="M227" s="530">
        <f t="shared" si="35"/>
        <v>0</v>
      </c>
    </row>
    <row r="228" spans="1:13" s="545" customFormat="1" ht="12.75" x14ac:dyDescent="0.2">
      <c r="A228" s="513">
        <v>81300</v>
      </c>
      <c r="B228" s="529" t="s">
        <v>747</v>
      </c>
      <c r="C228" s="530">
        <v>134.42999999999998</v>
      </c>
      <c r="D228" s="530">
        <v>0</v>
      </c>
      <c r="E228" s="530">
        <v>174.96</v>
      </c>
      <c r="F228" s="530">
        <v>1027.74</v>
      </c>
      <c r="G228" s="530">
        <v>0</v>
      </c>
      <c r="H228" s="530">
        <v>140.01</v>
      </c>
      <c r="I228" s="530">
        <v>0</v>
      </c>
      <c r="J228" s="530">
        <v>0</v>
      </c>
      <c r="K228" s="530">
        <v>0</v>
      </c>
      <c r="L228" s="530">
        <v>0</v>
      </c>
      <c r="M228" s="530">
        <f t="shared" si="35"/>
        <v>1477.14</v>
      </c>
    </row>
    <row r="229" spans="1:13" s="545" customFormat="1" ht="12.75" x14ac:dyDescent="0.2">
      <c r="A229" s="513">
        <v>81301</v>
      </c>
      <c r="B229" s="529" t="s">
        <v>748</v>
      </c>
      <c r="C229" s="530">
        <v>0</v>
      </c>
      <c r="D229" s="530">
        <v>0</v>
      </c>
      <c r="E229" s="530">
        <v>0</v>
      </c>
      <c r="F229" s="530">
        <v>0</v>
      </c>
      <c r="G229" s="530">
        <v>652.24</v>
      </c>
      <c r="H229" s="530">
        <v>0</v>
      </c>
      <c r="I229" s="530">
        <v>0</v>
      </c>
      <c r="J229" s="530">
        <v>0</v>
      </c>
      <c r="K229" s="530">
        <v>0</v>
      </c>
      <c r="L229" s="530">
        <v>0</v>
      </c>
      <c r="M229" s="530">
        <f t="shared" si="35"/>
        <v>652.24</v>
      </c>
    </row>
    <row r="230" spans="1:13" s="545" customFormat="1" ht="12.75" x14ac:dyDescent="0.2">
      <c r="A230" s="513">
        <v>81302</v>
      </c>
      <c r="B230" s="529" t="s">
        <v>749</v>
      </c>
      <c r="C230" s="530">
        <v>0</v>
      </c>
      <c r="D230" s="530">
        <v>0</v>
      </c>
      <c r="E230" s="530">
        <v>0</v>
      </c>
      <c r="F230" s="530">
        <v>0</v>
      </c>
      <c r="G230" s="530">
        <v>0</v>
      </c>
      <c r="H230" s="530">
        <v>0</v>
      </c>
      <c r="I230" s="530">
        <v>0</v>
      </c>
      <c r="J230" s="530">
        <v>0</v>
      </c>
      <c r="K230" s="530">
        <v>0</v>
      </c>
      <c r="L230" s="530">
        <v>0</v>
      </c>
      <c r="M230" s="530">
        <f t="shared" si="35"/>
        <v>0</v>
      </c>
    </row>
    <row r="231" spans="1:13" s="545" customFormat="1" ht="12.75" x14ac:dyDescent="0.2">
      <c r="A231" s="513">
        <v>81303</v>
      </c>
      <c r="B231" s="529" t="s">
        <v>750</v>
      </c>
      <c r="C231" s="530">
        <v>0</v>
      </c>
      <c r="D231" s="530">
        <v>0</v>
      </c>
      <c r="E231" s="530">
        <v>0</v>
      </c>
      <c r="F231" s="530">
        <v>0</v>
      </c>
      <c r="G231" s="530">
        <v>0</v>
      </c>
      <c r="H231" s="530">
        <v>0</v>
      </c>
      <c r="I231" s="530">
        <v>0</v>
      </c>
      <c r="J231" s="530">
        <v>0</v>
      </c>
      <c r="K231" s="530">
        <v>0</v>
      </c>
      <c r="L231" s="530">
        <v>0</v>
      </c>
      <c r="M231" s="530">
        <f t="shared" si="35"/>
        <v>0</v>
      </c>
    </row>
    <row r="232" spans="1:13" s="545" customFormat="1" ht="12.75" x14ac:dyDescent="0.2">
      <c r="A232" s="513">
        <v>81401</v>
      </c>
      <c r="B232" s="529" t="s">
        <v>751</v>
      </c>
      <c r="C232" s="530">
        <v>0</v>
      </c>
      <c r="D232" s="530">
        <v>0</v>
      </c>
      <c r="E232" s="530">
        <v>22.83</v>
      </c>
      <c r="F232" s="530">
        <v>0</v>
      </c>
      <c r="G232" s="530">
        <v>0</v>
      </c>
      <c r="H232" s="530">
        <v>0</v>
      </c>
      <c r="I232" s="530">
        <v>0</v>
      </c>
      <c r="J232" s="530">
        <v>0</v>
      </c>
      <c r="K232" s="530">
        <v>0</v>
      </c>
      <c r="L232" s="530">
        <v>0</v>
      </c>
      <c r="M232" s="530">
        <f t="shared" si="35"/>
        <v>22.83</v>
      </c>
    </row>
    <row r="233" spans="1:13" s="545" customFormat="1" ht="12.75" x14ac:dyDescent="0.2">
      <c r="A233" s="513">
        <v>81610</v>
      </c>
      <c r="B233" s="529" t="s">
        <v>752</v>
      </c>
      <c r="C233" s="530">
        <v>0</v>
      </c>
      <c r="D233" s="530">
        <v>0</v>
      </c>
      <c r="E233" s="530">
        <v>0</v>
      </c>
      <c r="F233" s="530">
        <v>0</v>
      </c>
      <c r="G233" s="530">
        <v>0</v>
      </c>
      <c r="H233" s="530">
        <v>0</v>
      </c>
      <c r="I233" s="530">
        <v>0</v>
      </c>
      <c r="J233" s="530">
        <v>0</v>
      </c>
      <c r="K233" s="530">
        <v>0</v>
      </c>
      <c r="L233" s="530">
        <v>0</v>
      </c>
      <c r="M233" s="530">
        <f t="shared" si="35"/>
        <v>0</v>
      </c>
    </row>
    <row r="234" spans="1:13" s="428" customFormat="1" ht="12.75" x14ac:dyDescent="0.2">
      <c r="A234" s="513">
        <v>82950</v>
      </c>
      <c r="B234" s="536" t="s">
        <v>753</v>
      </c>
      <c r="C234" s="537">
        <f t="shared" ref="C234:M234" si="36">SUM(C223:C233)</f>
        <v>134.42999999999998</v>
      </c>
      <c r="D234" s="537">
        <f t="shared" si="36"/>
        <v>0</v>
      </c>
      <c r="E234" s="537">
        <f t="shared" si="36"/>
        <v>1944.83</v>
      </c>
      <c r="F234" s="537">
        <f t="shared" si="36"/>
        <v>1027.74</v>
      </c>
      <c r="G234" s="537">
        <f t="shared" si="36"/>
        <v>652.24</v>
      </c>
      <c r="H234" s="537">
        <f t="shared" si="36"/>
        <v>140.01</v>
      </c>
      <c r="I234" s="537">
        <f t="shared" si="36"/>
        <v>0</v>
      </c>
      <c r="J234" s="537">
        <f t="shared" si="36"/>
        <v>0</v>
      </c>
      <c r="K234" s="537">
        <f t="shared" si="36"/>
        <v>0</v>
      </c>
      <c r="L234" s="537">
        <f t="shared" si="36"/>
        <v>0</v>
      </c>
      <c r="M234" s="537">
        <f t="shared" si="36"/>
        <v>3899.25</v>
      </c>
    </row>
    <row r="235" spans="1:13" s="428" customFormat="1" ht="12.75" x14ac:dyDescent="0.2">
      <c r="A235" s="513"/>
      <c r="B235" s="516"/>
      <c r="C235" s="528"/>
      <c r="D235" s="528"/>
      <c r="E235" s="528"/>
      <c r="F235" s="528"/>
      <c r="G235" s="528"/>
      <c r="H235" s="528"/>
      <c r="I235" s="528"/>
      <c r="J235" s="528"/>
      <c r="K235" s="528"/>
      <c r="L235" s="528"/>
      <c r="M235" s="528"/>
    </row>
    <row r="236" spans="1:13" s="428" customFormat="1" ht="12.75" x14ac:dyDescent="0.2">
      <c r="A236" s="513"/>
      <c r="B236" s="516" t="s">
        <v>754</v>
      </c>
      <c r="C236" s="528"/>
      <c r="D236" s="528"/>
      <c r="E236" s="528"/>
      <c r="F236" s="528"/>
      <c r="G236" s="528"/>
      <c r="H236" s="528"/>
      <c r="I236" s="528"/>
      <c r="J236" s="528"/>
      <c r="K236" s="528"/>
      <c r="L236" s="528"/>
      <c r="M236" s="528"/>
    </row>
    <row r="237" spans="1:13" s="545" customFormat="1" ht="12.75" x14ac:dyDescent="0.2">
      <c r="A237" s="513">
        <v>83200</v>
      </c>
      <c r="B237" s="553" t="s">
        <v>755</v>
      </c>
      <c r="C237" s="530">
        <v>0</v>
      </c>
      <c r="D237" s="530">
        <v>0</v>
      </c>
      <c r="E237" s="530">
        <v>0</v>
      </c>
      <c r="F237" s="530">
        <v>0</v>
      </c>
      <c r="G237" s="530">
        <v>0</v>
      </c>
      <c r="H237" s="530">
        <v>0</v>
      </c>
      <c r="I237" s="530">
        <v>0</v>
      </c>
      <c r="J237" s="530">
        <v>0</v>
      </c>
      <c r="K237" s="530">
        <v>0</v>
      </c>
      <c r="L237" s="530">
        <v>0</v>
      </c>
      <c r="M237" s="530">
        <f>SUM(C237:L237)</f>
        <v>0</v>
      </c>
    </row>
    <row r="238" spans="1:13" s="428" customFormat="1" ht="12.75" x14ac:dyDescent="0.2">
      <c r="A238" s="513">
        <v>83799</v>
      </c>
      <c r="B238" s="536" t="s">
        <v>756</v>
      </c>
      <c r="C238" s="537">
        <f t="shared" ref="C238:M238" si="37">SUM(C237)</f>
        <v>0</v>
      </c>
      <c r="D238" s="537">
        <f t="shared" si="37"/>
        <v>0</v>
      </c>
      <c r="E238" s="537">
        <f t="shared" si="37"/>
        <v>0</v>
      </c>
      <c r="F238" s="537">
        <f t="shared" si="37"/>
        <v>0</v>
      </c>
      <c r="G238" s="537">
        <f t="shared" si="37"/>
        <v>0</v>
      </c>
      <c r="H238" s="537">
        <f t="shared" si="37"/>
        <v>0</v>
      </c>
      <c r="I238" s="537">
        <f t="shared" si="37"/>
        <v>0</v>
      </c>
      <c r="J238" s="537">
        <f t="shared" si="37"/>
        <v>0</v>
      </c>
      <c r="K238" s="537">
        <f t="shared" si="37"/>
        <v>0</v>
      </c>
      <c r="L238" s="537">
        <f t="shared" si="37"/>
        <v>0</v>
      </c>
      <c r="M238" s="537">
        <f t="shared" si="37"/>
        <v>0</v>
      </c>
    </row>
    <row r="239" spans="1:13" s="428" customFormat="1" ht="12.75" x14ac:dyDescent="0.2">
      <c r="A239" s="513"/>
      <c r="B239" s="516"/>
      <c r="C239" s="528"/>
      <c r="D239" s="528"/>
      <c r="E239" s="528"/>
      <c r="F239" s="528"/>
      <c r="G239" s="528"/>
      <c r="H239" s="528"/>
      <c r="I239" s="528"/>
      <c r="J239" s="528"/>
      <c r="K239" s="528"/>
      <c r="L239" s="528"/>
      <c r="M239" s="528"/>
    </row>
    <row r="240" spans="1:13" s="428" customFormat="1" ht="12.75" x14ac:dyDescent="0.2">
      <c r="A240" s="513"/>
      <c r="B240" s="516" t="s">
        <v>757</v>
      </c>
      <c r="C240" s="528"/>
      <c r="D240" s="528"/>
      <c r="E240" s="528"/>
      <c r="F240" s="528"/>
      <c r="G240" s="528"/>
      <c r="H240" s="528"/>
      <c r="I240" s="528"/>
      <c r="J240" s="528"/>
      <c r="K240" s="528"/>
      <c r="L240" s="528"/>
      <c r="M240" s="528"/>
    </row>
    <row r="241" spans="1:13" s="545" customFormat="1" ht="12.75" x14ac:dyDescent="0.2">
      <c r="A241" s="513">
        <v>83905</v>
      </c>
      <c r="B241" s="529" t="s">
        <v>758</v>
      </c>
      <c r="C241" s="530">
        <v>0</v>
      </c>
      <c r="D241" s="530">
        <v>0</v>
      </c>
      <c r="E241" s="530">
        <v>0</v>
      </c>
      <c r="F241" s="530">
        <v>0</v>
      </c>
      <c r="G241" s="530">
        <v>0</v>
      </c>
      <c r="H241" s="530">
        <v>0</v>
      </c>
      <c r="I241" s="530">
        <v>0</v>
      </c>
      <c r="J241" s="530">
        <v>0</v>
      </c>
      <c r="K241" s="530">
        <v>0</v>
      </c>
      <c r="L241" s="530">
        <v>0</v>
      </c>
      <c r="M241" s="530">
        <f>SUM(C241:L241)</f>
        <v>0</v>
      </c>
    </row>
    <row r="242" spans="1:13" s="545" customFormat="1" ht="12.75" x14ac:dyDescent="0.2">
      <c r="A242" s="513">
        <v>83929</v>
      </c>
      <c r="B242" s="529" t="s">
        <v>759</v>
      </c>
      <c r="C242" s="530">
        <v>0</v>
      </c>
      <c r="D242" s="530">
        <v>0</v>
      </c>
      <c r="E242" s="530">
        <v>0</v>
      </c>
      <c r="F242" s="530">
        <v>0</v>
      </c>
      <c r="G242" s="530">
        <v>0</v>
      </c>
      <c r="H242" s="530">
        <v>0</v>
      </c>
      <c r="I242" s="530">
        <v>0</v>
      </c>
      <c r="J242" s="530">
        <v>0</v>
      </c>
      <c r="K242" s="530">
        <v>0</v>
      </c>
      <c r="L242" s="530">
        <v>0</v>
      </c>
      <c r="M242" s="530">
        <f>SUM(C242:L242)</f>
        <v>0</v>
      </c>
    </row>
    <row r="243" spans="1:13" s="428" customFormat="1" ht="12.75" x14ac:dyDescent="0.2">
      <c r="A243" s="513"/>
      <c r="B243" s="516"/>
      <c r="C243" s="528"/>
      <c r="D243" s="528"/>
      <c r="E243" s="528"/>
      <c r="F243" s="528"/>
      <c r="G243" s="528"/>
      <c r="H243" s="528"/>
      <c r="I243" s="528"/>
      <c r="J243" s="528"/>
      <c r="K243" s="528"/>
      <c r="L243" s="528"/>
      <c r="M243" s="528"/>
    </row>
    <row r="244" spans="1:13" s="428" customFormat="1" ht="12.75" x14ac:dyDescent="0.2">
      <c r="A244" s="513">
        <v>84000</v>
      </c>
      <c r="B244" s="536" t="s">
        <v>760</v>
      </c>
      <c r="C244" s="537">
        <f t="shared" ref="C244:M244" si="38">C234+C238+C241+C242</f>
        <v>134.42999999999998</v>
      </c>
      <c r="D244" s="537">
        <f t="shared" si="38"/>
        <v>0</v>
      </c>
      <c r="E244" s="537">
        <f t="shared" si="38"/>
        <v>1944.83</v>
      </c>
      <c r="F244" s="537">
        <f t="shared" si="38"/>
        <v>1027.74</v>
      </c>
      <c r="G244" s="537">
        <f t="shared" si="38"/>
        <v>652.24</v>
      </c>
      <c r="H244" s="537">
        <f t="shared" si="38"/>
        <v>140.01</v>
      </c>
      <c r="I244" s="537">
        <f t="shared" si="38"/>
        <v>0</v>
      </c>
      <c r="J244" s="537">
        <f t="shared" si="38"/>
        <v>0</v>
      </c>
      <c r="K244" s="537">
        <f t="shared" si="38"/>
        <v>0</v>
      </c>
      <c r="L244" s="537">
        <f t="shared" si="38"/>
        <v>0</v>
      </c>
      <c r="M244" s="537">
        <f t="shared" si="38"/>
        <v>3899.25</v>
      </c>
    </row>
    <row r="245" spans="1:13" s="428" customFormat="1" ht="12.75" x14ac:dyDescent="0.2">
      <c r="A245" s="513"/>
      <c r="B245" s="536"/>
      <c r="C245" s="537"/>
      <c r="D245" s="537"/>
      <c r="E245" s="537"/>
      <c r="F245" s="537"/>
      <c r="G245" s="537"/>
      <c r="H245" s="537"/>
      <c r="I245" s="537"/>
      <c r="J245" s="537"/>
      <c r="K245" s="537"/>
      <c r="L245" s="537"/>
      <c r="M245" s="537"/>
    </row>
    <row r="246" spans="1:13" s="428" customFormat="1" ht="12.75" x14ac:dyDescent="0.2">
      <c r="A246" s="513">
        <v>85000</v>
      </c>
      <c r="B246" s="536" t="s">
        <v>761</v>
      </c>
      <c r="C246" s="537">
        <f t="shared" ref="C246:M246" si="39">C219-C234-C238-C195</f>
        <v>-114778.59</v>
      </c>
      <c r="D246" s="537">
        <f t="shared" si="39"/>
        <v>0</v>
      </c>
      <c r="E246" s="537">
        <f t="shared" si="39"/>
        <v>178755.78</v>
      </c>
      <c r="F246" s="537">
        <f t="shared" si="39"/>
        <v>-15877.819999999987</v>
      </c>
      <c r="G246" s="537">
        <f t="shared" si="39"/>
        <v>-2953.4699999999993</v>
      </c>
      <c r="H246" s="537">
        <f t="shared" si="39"/>
        <v>-4733.51</v>
      </c>
      <c r="I246" s="537">
        <f t="shared" si="39"/>
        <v>-65224.079999999994</v>
      </c>
      <c r="J246" s="537">
        <f t="shared" si="39"/>
        <v>0</v>
      </c>
      <c r="K246" s="537">
        <f t="shared" si="39"/>
        <v>-974.48</v>
      </c>
      <c r="L246" s="537">
        <f t="shared" si="39"/>
        <v>0</v>
      </c>
      <c r="M246" s="537">
        <f t="shared" si="39"/>
        <v>-25786.169999999925</v>
      </c>
    </row>
    <row r="247" spans="1:13" s="428" customFormat="1" ht="12.75" x14ac:dyDescent="0.2">
      <c r="A247" s="513" t="s">
        <v>762</v>
      </c>
      <c r="B247" s="516" t="s">
        <v>128</v>
      </c>
      <c r="C247" s="544" t="str">
        <f t="shared" ref="C247:M247" si="40">IF(ISERROR(C246/C23),"",(C246/C23))</f>
        <v/>
      </c>
      <c r="D247" s="544" t="str">
        <f t="shared" si="40"/>
        <v/>
      </c>
      <c r="E247" s="544" t="str">
        <f t="shared" si="40"/>
        <v/>
      </c>
      <c r="F247" s="544" t="str">
        <f t="shared" si="40"/>
        <v/>
      </c>
      <c r="G247" s="544" t="str">
        <f t="shared" si="40"/>
        <v/>
      </c>
      <c r="H247" s="544" t="str">
        <f t="shared" si="40"/>
        <v/>
      </c>
      <c r="I247" s="544" t="str">
        <f t="shared" si="40"/>
        <v/>
      </c>
      <c r="J247" s="544" t="str">
        <f t="shared" si="40"/>
        <v/>
      </c>
      <c r="K247" s="544" t="str">
        <f t="shared" si="40"/>
        <v/>
      </c>
      <c r="L247" s="544" t="str">
        <f t="shared" si="40"/>
        <v/>
      </c>
      <c r="M247" s="544" t="str">
        <f t="shared" si="40"/>
        <v/>
      </c>
    </row>
    <row r="248" spans="1:13" s="428" customFormat="1" x14ac:dyDescent="0.25">
      <c r="A248" s="513"/>
      <c r="B248" s="534"/>
      <c r="C248" s="563"/>
      <c r="D248" s="563"/>
      <c r="E248" s="563"/>
      <c r="F248" s="563"/>
      <c r="G248" s="563"/>
      <c r="H248" s="563"/>
      <c r="I248" s="563"/>
      <c r="J248" s="563"/>
      <c r="K248" s="563"/>
      <c r="L248" s="563"/>
      <c r="M248" s="563"/>
    </row>
    <row r="249" spans="1:13" s="428" customFormat="1" ht="12.75" x14ac:dyDescent="0.2">
      <c r="A249" s="513"/>
      <c r="B249" s="516" t="s">
        <v>763</v>
      </c>
      <c r="C249" s="528"/>
      <c r="D249" s="528"/>
      <c r="E249" s="528"/>
      <c r="F249" s="528"/>
      <c r="G249" s="528"/>
      <c r="H249" s="528"/>
      <c r="I249" s="528"/>
      <c r="J249" s="528"/>
      <c r="K249" s="528"/>
      <c r="L249" s="528"/>
      <c r="M249" s="528"/>
    </row>
    <row r="250" spans="1:13" s="545" customFormat="1" ht="12.75" x14ac:dyDescent="0.2">
      <c r="A250" s="513">
        <v>85505</v>
      </c>
      <c r="B250" s="529" t="s">
        <v>764</v>
      </c>
      <c r="C250" s="530">
        <v>0</v>
      </c>
      <c r="D250" s="530">
        <v>0</v>
      </c>
      <c r="E250" s="530">
        <v>0</v>
      </c>
      <c r="F250" s="530">
        <v>0</v>
      </c>
      <c r="G250" s="530">
        <v>0</v>
      </c>
      <c r="H250" s="530">
        <v>0</v>
      </c>
      <c r="I250" s="530">
        <v>0</v>
      </c>
      <c r="J250" s="530">
        <v>0</v>
      </c>
      <c r="K250" s="530">
        <v>0</v>
      </c>
      <c r="L250" s="530">
        <v>0</v>
      </c>
      <c r="M250" s="530">
        <f t="shared" ref="M250:M260" si="41">SUM(C250:L250)</f>
        <v>0</v>
      </c>
    </row>
    <row r="251" spans="1:13" s="545" customFormat="1" ht="12.75" x14ac:dyDescent="0.2">
      <c r="A251" s="513">
        <v>85506</v>
      </c>
      <c r="B251" s="529" t="s">
        <v>765</v>
      </c>
      <c r="C251" s="530">
        <v>0</v>
      </c>
      <c r="D251" s="530">
        <v>0</v>
      </c>
      <c r="E251" s="530">
        <v>0</v>
      </c>
      <c r="F251" s="530">
        <v>0</v>
      </c>
      <c r="G251" s="530">
        <v>0</v>
      </c>
      <c r="H251" s="530">
        <v>0</v>
      </c>
      <c r="I251" s="530">
        <v>0</v>
      </c>
      <c r="J251" s="530">
        <v>0</v>
      </c>
      <c r="K251" s="530">
        <v>0</v>
      </c>
      <c r="L251" s="530">
        <v>0</v>
      </c>
      <c r="M251" s="530">
        <f t="shared" si="41"/>
        <v>0</v>
      </c>
    </row>
    <row r="252" spans="1:13" s="545" customFormat="1" ht="12.75" x14ac:dyDescent="0.2">
      <c r="A252" s="513">
        <v>85510</v>
      </c>
      <c r="B252" s="529" t="s">
        <v>766</v>
      </c>
      <c r="C252" s="530">
        <v>0</v>
      </c>
      <c r="D252" s="530">
        <v>0</v>
      </c>
      <c r="E252" s="530">
        <v>0</v>
      </c>
      <c r="F252" s="530">
        <v>0</v>
      </c>
      <c r="G252" s="530">
        <v>0</v>
      </c>
      <c r="H252" s="530">
        <v>0</v>
      </c>
      <c r="I252" s="530">
        <v>0</v>
      </c>
      <c r="J252" s="530">
        <v>0</v>
      </c>
      <c r="K252" s="530">
        <v>0</v>
      </c>
      <c r="L252" s="530">
        <v>0</v>
      </c>
      <c r="M252" s="530">
        <f t="shared" si="41"/>
        <v>0</v>
      </c>
    </row>
    <row r="253" spans="1:13" s="545" customFormat="1" ht="12.75" x14ac:dyDescent="0.2">
      <c r="A253" s="513">
        <v>85520</v>
      </c>
      <c r="B253" s="529" t="s">
        <v>767</v>
      </c>
      <c r="C253" s="530">
        <v>0</v>
      </c>
      <c r="D253" s="530">
        <v>0</v>
      </c>
      <c r="E253" s="530">
        <v>0</v>
      </c>
      <c r="F253" s="530">
        <v>0</v>
      </c>
      <c r="G253" s="530">
        <v>0</v>
      </c>
      <c r="H253" s="530">
        <v>0</v>
      </c>
      <c r="I253" s="530">
        <v>0</v>
      </c>
      <c r="J253" s="530">
        <v>0</v>
      </c>
      <c r="K253" s="530">
        <v>0</v>
      </c>
      <c r="L253" s="530">
        <v>0</v>
      </c>
      <c r="M253" s="530">
        <f t="shared" si="41"/>
        <v>0</v>
      </c>
    </row>
    <row r="254" spans="1:13" s="545" customFormat="1" ht="12.75" x14ac:dyDescent="0.2">
      <c r="A254" s="513">
        <v>85530</v>
      </c>
      <c r="B254" s="529" t="s">
        <v>768</v>
      </c>
      <c r="C254" s="530">
        <v>0</v>
      </c>
      <c r="D254" s="530">
        <v>0</v>
      </c>
      <c r="E254" s="530">
        <v>0</v>
      </c>
      <c r="F254" s="530">
        <v>0</v>
      </c>
      <c r="G254" s="530">
        <v>0</v>
      </c>
      <c r="H254" s="530">
        <v>0</v>
      </c>
      <c r="I254" s="530">
        <v>0</v>
      </c>
      <c r="J254" s="530">
        <v>0</v>
      </c>
      <c r="K254" s="530">
        <v>0</v>
      </c>
      <c r="L254" s="530">
        <v>0</v>
      </c>
      <c r="M254" s="530">
        <f t="shared" si="41"/>
        <v>0</v>
      </c>
    </row>
    <row r="255" spans="1:13" s="545" customFormat="1" ht="12.75" x14ac:dyDescent="0.2">
      <c r="A255" s="513">
        <v>85540</v>
      </c>
      <c r="B255" s="529" t="s">
        <v>769</v>
      </c>
      <c r="C255" s="530">
        <v>0</v>
      </c>
      <c r="D255" s="530">
        <v>0</v>
      </c>
      <c r="E255" s="530">
        <v>0</v>
      </c>
      <c r="F255" s="530">
        <v>0</v>
      </c>
      <c r="G255" s="530">
        <v>0</v>
      </c>
      <c r="H255" s="530">
        <v>0</v>
      </c>
      <c r="I255" s="530">
        <v>0</v>
      </c>
      <c r="J255" s="530">
        <v>0</v>
      </c>
      <c r="K255" s="530">
        <v>0</v>
      </c>
      <c r="L255" s="530">
        <v>0</v>
      </c>
      <c r="M255" s="530">
        <f t="shared" si="41"/>
        <v>0</v>
      </c>
    </row>
    <row r="256" spans="1:13" s="545" customFormat="1" ht="12.75" x14ac:dyDescent="0.2">
      <c r="A256" s="513">
        <v>85545</v>
      </c>
      <c r="B256" s="529" t="s">
        <v>770</v>
      </c>
      <c r="C256" s="530">
        <v>0</v>
      </c>
      <c r="D256" s="530">
        <v>0</v>
      </c>
      <c r="E256" s="530">
        <v>0</v>
      </c>
      <c r="F256" s="530">
        <v>0</v>
      </c>
      <c r="G256" s="530">
        <v>0</v>
      </c>
      <c r="H256" s="530">
        <v>0</v>
      </c>
      <c r="I256" s="530">
        <v>0</v>
      </c>
      <c r="J256" s="530">
        <v>0</v>
      </c>
      <c r="K256" s="530">
        <v>0</v>
      </c>
      <c r="L256" s="530">
        <v>0</v>
      </c>
      <c r="M256" s="530">
        <f t="shared" si="41"/>
        <v>0</v>
      </c>
    </row>
    <row r="257" spans="1:13" s="545" customFormat="1" ht="12.75" x14ac:dyDescent="0.2">
      <c r="A257" s="513">
        <v>85546</v>
      </c>
      <c r="B257" s="529" t="s">
        <v>771</v>
      </c>
      <c r="C257" s="530">
        <v>0</v>
      </c>
      <c r="D257" s="530">
        <v>0</v>
      </c>
      <c r="E257" s="530">
        <v>0</v>
      </c>
      <c r="F257" s="530">
        <v>0</v>
      </c>
      <c r="G257" s="530">
        <v>0</v>
      </c>
      <c r="H257" s="530">
        <v>0</v>
      </c>
      <c r="I257" s="530">
        <v>0</v>
      </c>
      <c r="J257" s="530">
        <v>0</v>
      </c>
      <c r="K257" s="530">
        <v>0</v>
      </c>
      <c r="L257" s="530">
        <v>0</v>
      </c>
      <c r="M257" s="530">
        <f t="shared" si="41"/>
        <v>0</v>
      </c>
    </row>
    <row r="258" spans="1:13" s="545" customFormat="1" ht="12.75" x14ac:dyDescent="0.2">
      <c r="A258" s="513">
        <v>85550</v>
      </c>
      <c r="B258" s="529" t="s">
        <v>772</v>
      </c>
      <c r="C258" s="530">
        <v>0</v>
      </c>
      <c r="D258" s="530">
        <v>0</v>
      </c>
      <c r="E258" s="530">
        <v>0</v>
      </c>
      <c r="F258" s="530">
        <v>0</v>
      </c>
      <c r="G258" s="530">
        <v>0</v>
      </c>
      <c r="H258" s="530">
        <v>0</v>
      </c>
      <c r="I258" s="530">
        <v>0</v>
      </c>
      <c r="J258" s="530">
        <v>0</v>
      </c>
      <c r="K258" s="530">
        <v>0</v>
      </c>
      <c r="L258" s="530">
        <v>0</v>
      </c>
      <c r="M258" s="530">
        <f t="shared" si="41"/>
        <v>0</v>
      </c>
    </row>
    <row r="259" spans="1:13" s="545" customFormat="1" ht="12.75" x14ac:dyDescent="0.2">
      <c r="A259" s="513">
        <v>85554</v>
      </c>
      <c r="B259" s="529" t="s">
        <v>773</v>
      </c>
      <c r="C259" s="530">
        <v>0</v>
      </c>
      <c r="D259" s="530">
        <v>0</v>
      </c>
      <c r="E259" s="530">
        <v>0</v>
      </c>
      <c r="F259" s="530">
        <v>0</v>
      </c>
      <c r="G259" s="530">
        <v>0</v>
      </c>
      <c r="H259" s="530">
        <v>0</v>
      </c>
      <c r="I259" s="530">
        <v>0</v>
      </c>
      <c r="J259" s="530">
        <v>0</v>
      </c>
      <c r="K259" s="530">
        <v>0</v>
      </c>
      <c r="L259" s="530">
        <v>0</v>
      </c>
      <c r="M259" s="530">
        <f t="shared" si="41"/>
        <v>0</v>
      </c>
    </row>
    <row r="260" spans="1:13" s="545" customFormat="1" ht="12.75" x14ac:dyDescent="0.2">
      <c r="A260" s="513">
        <v>85560</v>
      </c>
      <c r="B260" s="529" t="s">
        <v>774</v>
      </c>
      <c r="C260" s="530">
        <v>0</v>
      </c>
      <c r="D260" s="530">
        <v>0</v>
      </c>
      <c r="E260" s="530">
        <v>0</v>
      </c>
      <c r="F260" s="530">
        <v>0</v>
      </c>
      <c r="G260" s="530">
        <v>0</v>
      </c>
      <c r="H260" s="530">
        <v>0</v>
      </c>
      <c r="I260" s="530">
        <v>0</v>
      </c>
      <c r="J260" s="530">
        <v>0</v>
      </c>
      <c r="K260" s="530">
        <v>0</v>
      </c>
      <c r="L260" s="530">
        <v>0</v>
      </c>
      <c r="M260" s="530">
        <f t="shared" si="41"/>
        <v>0</v>
      </c>
    </row>
    <row r="261" spans="1:13" s="428" customFormat="1" ht="12.75" x14ac:dyDescent="0.2">
      <c r="A261" s="513">
        <v>85950</v>
      </c>
      <c r="B261" s="536" t="s">
        <v>775</v>
      </c>
      <c r="C261" s="537">
        <f t="shared" ref="C261:M261" si="42">SUM(C250:C260)</f>
        <v>0</v>
      </c>
      <c r="D261" s="537">
        <f t="shared" si="42"/>
        <v>0</v>
      </c>
      <c r="E261" s="537">
        <f t="shared" si="42"/>
        <v>0</v>
      </c>
      <c r="F261" s="537">
        <f t="shared" si="42"/>
        <v>0</v>
      </c>
      <c r="G261" s="537">
        <f t="shared" si="42"/>
        <v>0</v>
      </c>
      <c r="H261" s="537">
        <f t="shared" si="42"/>
        <v>0</v>
      </c>
      <c r="I261" s="537">
        <f t="shared" si="42"/>
        <v>0</v>
      </c>
      <c r="J261" s="537">
        <f t="shared" si="42"/>
        <v>0</v>
      </c>
      <c r="K261" s="537">
        <f t="shared" si="42"/>
        <v>0</v>
      </c>
      <c r="L261" s="537">
        <f t="shared" si="42"/>
        <v>0</v>
      </c>
      <c r="M261" s="537">
        <f t="shared" si="42"/>
        <v>0</v>
      </c>
    </row>
    <row r="262" spans="1:13" s="428" customFormat="1" ht="12.75" x14ac:dyDescent="0.2">
      <c r="A262" s="513"/>
      <c r="B262" s="516"/>
      <c r="C262" s="528"/>
      <c r="D262" s="528"/>
      <c r="E262" s="528"/>
      <c r="F262" s="528"/>
      <c r="G262" s="528"/>
      <c r="H262" s="528"/>
      <c r="I262" s="528"/>
      <c r="J262" s="528"/>
      <c r="K262" s="528"/>
      <c r="L262" s="528"/>
      <c r="M262" s="528"/>
    </row>
    <row r="263" spans="1:13" s="428" customFormat="1" ht="12.75" x14ac:dyDescent="0.2">
      <c r="A263" s="513"/>
      <c r="B263" s="516" t="s">
        <v>776</v>
      </c>
      <c r="C263" s="528"/>
      <c r="D263" s="528"/>
      <c r="E263" s="528"/>
      <c r="F263" s="528"/>
      <c r="G263" s="528"/>
      <c r="H263" s="528"/>
      <c r="I263" s="528"/>
      <c r="J263" s="528"/>
      <c r="K263" s="528"/>
      <c r="L263" s="528"/>
      <c r="M263" s="528"/>
    </row>
    <row r="264" spans="1:13" s="428" customFormat="1" ht="12.75" x14ac:dyDescent="0.2">
      <c r="A264" s="513">
        <v>86100</v>
      </c>
      <c r="B264" s="516" t="s">
        <v>777</v>
      </c>
      <c r="C264" s="528"/>
      <c r="D264" s="528"/>
      <c r="E264" s="528"/>
      <c r="F264" s="528"/>
      <c r="G264" s="528"/>
      <c r="H264" s="528"/>
      <c r="I264" s="528"/>
      <c r="J264" s="528"/>
      <c r="K264" s="528"/>
      <c r="L264" s="528"/>
      <c r="M264" s="528"/>
    </row>
    <row r="265" spans="1:13" s="545" customFormat="1" ht="12.75" x14ac:dyDescent="0.2">
      <c r="A265" s="513" t="s">
        <v>778</v>
      </c>
      <c r="B265" s="553" t="s">
        <v>779</v>
      </c>
      <c r="C265" s="530">
        <v>0</v>
      </c>
      <c r="D265" s="530">
        <v>0</v>
      </c>
      <c r="E265" s="530">
        <v>-12355</v>
      </c>
      <c r="F265" s="530">
        <v>0</v>
      </c>
      <c r="G265" s="530">
        <v>0</v>
      </c>
      <c r="H265" s="530">
        <v>0</v>
      </c>
      <c r="I265" s="530">
        <v>0</v>
      </c>
      <c r="J265" s="530">
        <v>0</v>
      </c>
      <c r="K265" s="530">
        <v>0</v>
      </c>
      <c r="L265" s="530">
        <v>0</v>
      </c>
      <c r="M265" s="530">
        <f>SUM(C265:L265)</f>
        <v>-12355</v>
      </c>
    </row>
    <row r="266" spans="1:13" s="427" customFormat="1" x14ac:dyDescent="0.25">
      <c r="A266" s="513">
        <v>86300</v>
      </c>
      <c r="B266" s="537" t="s">
        <v>780</v>
      </c>
      <c r="C266" s="537">
        <f t="shared" ref="C266:M266" si="43">SUM(C265)</f>
        <v>0</v>
      </c>
      <c r="D266" s="537">
        <f t="shared" si="43"/>
        <v>0</v>
      </c>
      <c r="E266" s="537">
        <f t="shared" si="43"/>
        <v>-12355</v>
      </c>
      <c r="F266" s="537">
        <f t="shared" si="43"/>
        <v>0</v>
      </c>
      <c r="G266" s="537">
        <f t="shared" si="43"/>
        <v>0</v>
      </c>
      <c r="H266" s="537">
        <f t="shared" si="43"/>
        <v>0</v>
      </c>
      <c r="I266" s="537">
        <f t="shared" si="43"/>
        <v>0</v>
      </c>
      <c r="J266" s="537">
        <f t="shared" si="43"/>
        <v>0</v>
      </c>
      <c r="K266" s="537">
        <f t="shared" si="43"/>
        <v>0</v>
      </c>
      <c r="L266" s="537">
        <f t="shared" si="43"/>
        <v>0</v>
      </c>
      <c r="M266" s="537">
        <f t="shared" si="43"/>
        <v>-12355</v>
      </c>
    </row>
    <row r="267" spans="1:13" s="428" customFormat="1" ht="12.75" x14ac:dyDescent="0.2">
      <c r="A267" s="513"/>
      <c r="B267" s="565"/>
      <c r="C267" s="537"/>
      <c r="D267" s="537"/>
      <c r="E267" s="537"/>
      <c r="F267" s="537"/>
      <c r="G267" s="537"/>
      <c r="H267" s="537"/>
      <c r="I267" s="537"/>
      <c r="J267" s="537"/>
      <c r="K267" s="537"/>
      <c r="L267" s="537"/>
      <c r="M267" s="537"/>
    </row>
    <row r="268" spans="1:13" s="428" customFormat="1" ht="12.75" x14ac:dyDescent="0.2">
      <c r="A268" s="513">
        <v>99999</v>
      </c>
      <c r="B268" s="565" t="s">
        <v>781</v>
      </c>
      <c r="C268" s="537">
        <f t="shared" ref="C268:M268" si="44">-C261+C246-C266</f>
        <v>-114778.59</v>
      </c>
      <c r="D268" s="537">
        <f t="shared" si="44"/>
        <v>0</v>
      </c>
      <c r="E268" s="537">
        <f t="shared" si="44"/>
        <v>191110.78</v>
      </c>
      <c r="F268" s="537">
        <f t="shared" si="44"/>
        <v>-15877.819999999987</v>
      </c>
      <c r="G268" s="537">
        <f t="shared" si="44"/>
        <v>-2953.4699999999993</v>
      </c>
      <c r="H268" s="537">
        <f t="shared" si="44"/>
        <v>-4733.51</v>
      </c>
      <c r="I268" s="537">
        <f t="shared" si="44"/>
        <v>-65224.079999999994</v>
      </c>
      <c r="J268" s="537">
        <f t="shared" si="44"/>
        <v>0</v>
      </c>
      <c r="K268" s="537">
        <f t="shared" si="44"/>
        <v>-974.48</v>
      </c>
      <c r="L268" s="537">
        <f t="shared" si="44"/>
        <v>0</v>
      </c>
      <c r="M268" s="537">
        <f t="shared" si="44"/>
        <v>-13431.169999999925</v>
      </c>
    </row>
    <row r="269" spans="1:13" s="428" customFormat="1" ht="12.75" x14ac:dyDescent="0.2">
      <c r="A269" s="513"/>
      <c r="B269" s="566" t="s">
        <v>128</v>
      </c>
      <c r="C269" s="544" t="str">
        <f t="shared" ref="C269:M269" si="45">IF(ISERROR(C268/C23),"",(C268/C23))</f>
        <v/>
      </c>
      <c r="D269" s="544" t="str">
        <f t="shared" si="45"/>
        <v/>
      </c>
      <c r="E269" s="544" t="str">
        <f t="shared" si="45"/>
        <v/>
      </c>
      <c r="F269" s="544" t="str">
        <f t="shared" si="45"/>
        <v/>
      </c>
      <c r="G269" s="544" t="str">
        <f t="shared" si="45"/>
        <v/>
      </c>
      <c r="H269" s="544" t="str">
        <f t="shared" si="45"/>
        <v/>
      </c>
      <c r="I269" s="544" t="str">
        <f t="shared" si="45"/>
        <v/>
      </c>
      <c r="J269" s="544" t="str">
        <f t="shared" si="45"/>
        <v/>
      </c>
      <c r="K269" s="544" t="str">
        <f t="shared" si="45"/>
        <v/>
      </c>
      <c r="L269" s="544" t="str">
        <f t="shared" si="45"/>
        <v/>
      </c>
      <c r="M269" s="544" t="str">
        <f t="shared" si="45"/>
        <v/>
      </c>
    </row>
    <row r="270" spans="1:13" s="428" customFormat="1" ht="12.75" x14ac:dyDescent="0.2">
      <c r="A270" s="513">
        <v>99999</v>
      </c>
      <c r="B270" s="581" t="s">
        <v>96</v>
      </c>
      <c r="C270" s="568">
        <v>0</v>
      </c>
      <c r="D270" s="568">
        <v>0</v>
      </c>
      <c r="E270" s="568">
        <v>0</v>
      </c>
      <c r="F270" s="568">
        <v>0</v>
      </c>
      <c r="G270" s="568">
        <v>0</v>
      </c>
      <c r="H270" s="568">
        <v>0</v>
      </c>
      <c r="I270" s="568">
        <v>0</v>
      </c>
      <c r="J270" s="568">
        <v>0</v>
      </c>
      <c r="K270" s="568">
        <v>0</v>
      </c>
      <c r="L270" s="568">
        <v>0</v>
      </c>
      <c r="M270" s="568">
        <v>-7.6397554948925972E-11</v>
      </c>
    </row>
    <row r="271" spans="1:13" s="428" customFormat="1" x14ac:dyDescent="0.25">
      <c r="A271" s="513"/>
      <c r="B271" s="569"/>
      <c r="C271" s="563"/>
      <c r="D271" s="563"/>
      <c r="E271" s="563"/>
      <c r="F271" s="563"/>
      <c r="G271" s="563"/>
      <c r="H271" s="563"/>
      <c r="I271" s="563"/>
      <c r="J271" s="563"/>
      <c r="K271" s="563"/>
      <c r="L271" s="563"/>
      <c r="M271" s="563"/>
    </row>
    <row r="272" spans="1:13" s="428" customFormat="1" x14ac:dyDescent="0.25">
      <c r="A272" s="513"/>
      <c r="B272" s="516" t="s">
        <v>786</v>
      </c>
      <c r="C272" s="427"/>
      <c r="D272" s="427"/>
      <c r="E272" s="427"/>
      <c r="F272" s="427">
        <f>SUM(F105,F151:F197,F199:F201,F212,F234)-F198</f>
        <v>19913.339999999982</v>
      </c>
      <c r="G272" s="427"/>
      <c r="H272" s="427"/>
      <c r="I272" s="427"/>
      <c r="J272" s="427"/>
      <c r="K272" s="427"/>
      <c r="L272" s="427"/>
      <c r="M272" s="427">
        <f>SUM(C272:L272)</f>
        <v>19913.339999999982</v>
      </c>
    </row>
    <row r="273" spans="1:14" s="428" customFormat="1" ht="15.75" thickBot="1" x14ac:dyDescent="0.3">
      <c r="A273" s="513"/>
      <c r="B273" s="516" t="s">
        <v>787</v>
      </c>
      <c r="C273" s="427"/>
      <c r="D273" s="427"/>
      <c r="E273" s="427"/>
      <c r="F273" s="427">
        <f>F198</f>
        <v>26795.4</v>
      </c>
      <c r="G273" s="427"/>
      <c r="H273" s="427"/>
      <c r="I273" s="427"/>
      <c r="J273" s="427"/>
      <c r="K273" s="427"/>
      <c r="L273" s="427"/>
      <c r="M273" s="427">
        <f>SUM(C273:L273)</f>
        <v>26795.4</v>
      </c>
    </row>
    <row r="274" spans="1:14" s="428" customFormat="1" ht="15.75" thickBot="1" x14ac:dyDescent="0.3">
      <c r="A274" s="513"/>
      <c r="B274" s="582" t="s">
        <v>788</v>
      </c>
      <c r="C274" s="571">
        <f t="shared" ref="C274:M274" si="46">C246+C210+C195+C272+C273</f>
        <v>-114778.59</v>
      </c>
      <c r="D274" s="571">
        <f t="shared" si="46"/>
        <v>0</v>
      </c>
      <c r="E274" s="571">
        <f t="shared" si="46"/>
        <v>-21746.130000000005</v>
      </c>
      <c r="F274" s="571">
        <f t="shared" si="46"/>
        <v>-26795.4</v>
      </c>
      <c r="G274" s="571">
        <f t="shared" si="46"/>
        <v>-3195.2299999999996</v>
      </c>
      <c r="H274" s="571">
        <f t="shared" si="46"/>
        <v>-16921.260000000002</v>
      </c>
      <c r="I274" s="571">
        <f t="shared" si="46"/>
        <v>-74027.789999999994</v>
      </c>
      <c r="J274" s="571">
        <f t="shared" si="46"/>
        <v>0</v>
      </c>
      <c r="K274" s="571">
        <f t="shared" si="46"/>
        <v>-974.48</v>
      </c>
      <c r="L274" s="571">
        <f t="shared" si="46"/>
        <v>0</v>
      </c>
      <c r="M274" s="571">
        <f t="shared" si="46"/>
        <v>-258438.87999999998</v>
      </c>
    </row>
    <row r="275" spans="1:14" s="428" customFormat="1" x14ac:dyDescent="0.25">
      <c r="A275" s="513"/>
      <c r="B275" s="413"/>
      <c r="C275" s="427"/>
      <c r="D275" s="427"/>
      <c r="E275" s="427"/>
      <c r="F275" s="427"/>
      <c r="G275" s="427"/>
      <c r="H275" s="427"/>
      <c r="I275" s="427"/>
      <c r="J275" s="427"/>
      <c r="K275" s="427"/>
      <c r="L275" s="427"/>
      <c r="M275" s="427"/>
    </row>
    <row r="276" spans="1:14" s="428" customFormat="1" x14ac:dyDescent="0.25">
      <c r="A276" s="513"/>
      <c r="B276" s="413"/>
      <c r="C276" s="427"/>
      <c r="D276" s="427"/>
      <c r="E276" s="427"/>
      <c r="F276" s="427"/>
      <c r="G276" s="427"/>
      <c r="H276" s="427"/>
      <c r="I276" s="427"/>
      <c r="J276" s="427"/>
      <c r="K276" s="427"/>
      <c r="L276" s="427"/>
      <c r="M276" s="427"/>
    </row>
    <row r="277" spans="1:14" s="428" customFormat="1" x14ac:dyDescent="0.25">
      <c r="A277" s="513"/>
      <c r="B277" s="413"/>
      <c r="C277" s="427"/>
      <c r="D277" s="427"/>
      <c r="E277" s="427"/>
      <c r="F277" s="427"/>
      <c r="G277" s="427"/>
      <c r="H277" s="427"/>
      <c r="I277" s="427"/>
      <c r="J277" s="427"/>
      <c r="K277" s="427"/>
      <c r="L277" s="427"/>
      <c r="M277" s="427"/>
      <c r="N277" s="427"/>
    </row>
    <row r="278" spans="1:14" s="428" customFormat="1" x14ac:dyDescent="0.25">
      <c r="A278" s="513"/>
      <c r="B278" s="413"/>
      <c r="C278" s="427"/>
      <c r="D278" s="427"/>
      <c r="E278" s="427"/>
      <c r="F278" s="427"/>
      <c r="G278" s="427"/>
      <c r="H278" s="427"/>
      <c r="I278" s="427"/>
      <c r="J278" s="427"/>
      <c r="K278" s="427"/>
      <c r="L278" s="427"/>
      <c r="M278" s="427"/>
      <c r="N278" s="427"/>
    </row>
    <row r="279" spans="1:14" s="428" customFormat="1" x14ac:dyDescent="0.25">
      <c r="A279" s="513"/>
      <c r="B279" s="413"/>
      <c r="C279" s="427"/>
      <c r="D279" s="427"/>
      <c r="E279" s="427"/>
      <c r="F279" s="427"/>
      <c r="G279" s="427"/>
      <c r="H279" s="427"/>
      <c r="I279" s="427"/>
      <c r="J279" s="427"/>
      <c r="K279" s="427"/>
      <c r="L279" s="427"/>
      <c r="M279" s="427"/>
      <c r="N279" s="427"/>
    </row>
    <row r="280" spans="1:14" s="428" customFormat="1" x14ac:dyDescent="0.25">
      <c r="A280" s="513"/>
      <c r="B280" s="413"/>
      <c r="C280" s="427"/>
      <c r="D280" s="427"/>
      <c r="E280" s="427"/>
      <c r="F280" s="427"/>
      <c r="G280" s="427"/>
      <c r="H280" s="427"/>
      <c r="I280" s="427"/>
      <c r="J280" s="427"/>
      <c r="K280" s="427"/>
      <c r="L280" s="427"/>
      <c r="M280" s="427"/>
      <c r="N280" s="427"/>
    </row>
    <row r="281" spans="1:14" s="428" customFormat="1" x14ac:dyDescent="0.25">
      <c r="A281" s="513"/>
      <c r="B281" s="413"/>
      <c r="C281" s="427"/>
      <c r="D281" s="427"/>
      <c r="E281" s="427"/>
      <c r="F281" s="427"/>
      <c r="G281" s="427"/>
      <c r="H281" s="427"/>
      <c r="I281" s="427"/>
      <c r="J281" s="427"/>
      <c r="K281" s="427"/>
      <c r="L281" s="427"/>
      <c r="M281" s="427"/>
      <c r="N281" s="427"/>
    </row>
    <row r="282" spans="1:14" s="428" customFormat="1" x14ac:dyDescent="0.25">
      <c r="A282" s="513"/>
      <c r="B282" s="413"/>
      <c r="C282" s="427"/>
      <c r="D282" s="427"/>
      <c r="E282" s="427"/>
      <c r="F282" s="427"/>
      <c r="G282" s="427"/>
      <c r="H282" s="427"/>
      <c r="I282" s="427"/>
      <c r="J282" s="427"/>
      <c r="K282" s="427"/>
      <c r="L282" s="427"/>
      <c r="M282" s="427"/>
      <c r="N282" s="427"/>
    </row>
    <row r="283" spans="1:14" s="428" customFormat="1" x14ac:dyDescent="0.25">
      <c r="A283" s="513"/>
      <c r="B283" s="413"/>
      <c r="C283" s="427"/>
      <c r="D283" s="427"/>
      <c r="E283" s="427"/>
      <c r="F283" s="427"/>
      <c r="G283" s="427"/>
      <c r="H283" s="427"/>
      <c r="I283" s="427"/>
      <c r="J283" s="427"/>
      <c r="K283" s="427"/>
      <c r="L283" s="427"/>
      <c r="M283" s="427"/>
      <c r="N283" s="427"/>
    </row>
    <row r="284" spans="1:14" s="428" customFormat="1" x14ac:dyDescent="0.25">
      <c r="A284" s="513"/>
      <c r="B284" s="413"/>
      <c r="C284" s="427"/>
      <c r="D284" s="427"/>
      <c r="E284" s="427"/>
      <c r="F284" s="427"/>
      <c r="G284" s="427"/>
      <c r="H284" s="427"/>
      <c r="I284" s="427"/>
      <c r="J284" s="427"/>
      <c r="K284" s="427"/>
      <c r="L284" s="427"/>
      <c r="M284" s="427"/>
      <c r="N284" s="427"/>
    </row>
    <row r="285" spans="1:14" s="428" customFormat="1" x14ac:dyDescent="0.25">
      <c r="A285" s="513"/>
      <c r="B285" s="413"/>
      <c r="C285" s="427"/>
      <c r="D285" s="427"/>
      <c r="E285" s="427"/>
      <c r="F285" s="427"/>
      <c r="G285" s="427"/>
      <c r="H285" s="427"/>
      <c r="I285" s="427"/>
      <c r="J285" s="427"/>
      <c r="K285" s="427"/>
      <c r="L285" s="427"/>
      <c r="M285" s="427"/>
      <c r="N285" s="427"/>
    </row>
    <row r="286" spans="1:14" s="428" customFormat="1" x14ac:dyDescent="0.25">
      <c r="A286" s="513"/>
      <c r="B286" s="413"/>
      <c r="C286" s="427"/>
      <c r="D286" s="427"/>
      <c r="E286" s="427"/>
      <c r="F286" s="427"/>
      <c r="G286" s="427"/>
      <c r="H286" s="427"/>
      <c r="I286" s="427"/>
      <c r="J286" s="427"/>
      <c r="K286" s="427"/>
      <c r="L286" s="427"/>
      <c r="M286" s="427"/>
      <c r="N286" s="427"/>
    </row>
    <row r="287" spans="1:14" s="428" customFormat="1" x14ac:dyDescent="0.25">
      <c r="A287" s="513"/>
      <c r="B287" s="413"/>
      <c r="C287" s="427"/>
      <c r="D287" s="427"/>
      <c r="E287" s="427"/>
      <c r="F287" s="427"/>
      <c r="G287" s="427"/>
      <c r="H287" s="427"/>
      <c r="I287" s="427"/>
      <c r="J287" s="427"/>
      <c r="K287" s="427"/>
      <c r="L287" s="427"/>
      <c r="M287" s="427"/>
      <c r="N287" s="427"/>
    </row>
    <row r="288" spans="1:14" s="428" customFormat="1" x14ac:dyDescent="0.25">
      <c r="A288" s="513"/>
      <c r="B288" s="413"/>
      <c r="C288" s="427"/>
      <c r="D288" s="427"/>
      <c r="E288" s="427"/>
      <c r="F288" s="427"/>
      <c r="G288" s="427"/>
      <c r="H288" s="427"/>
      <c r="I288" s="427"/>
      <c r="J288" s="427"/>
      <c r="K288" s="427"/>
      <c r="L288" s="427"/>
      <c r="M288" s="427"/>
      <c r="N288" s="427"/>
    </row>
    <row r="289" spans="1:14" s="428" customFormat="1" x14ac:dyDescent="0.25">
      <c r="A289" s="513"/>
      <c r="B289" s="413"/>
      <c r="C289" s="427"/>
      <c r="D289" s="427"/>
      <c r="E289" s="427"/>
      <c r="F289" s="427"/>
      <c r="G289" s="427"/>
      <c r="H289" s="427"/>
      <c r="I289" s="427"/>
      <c r="J289" s="427"/>
      <c r="K289" s="427"/>
      <c r="L289" s="427"/>
      <c r="M289" s="427"/>
      <c r="N289" s="427"/>
    </row>
    <row r="290" spans="1:14" s="428" customFormat="1" x14ac:dyDescent="0.25">
      <c r="A290" s="513"/>
      <c r="B290" s="413"/>
      <c r="C290" s="427"/>
      <c r="D290" s="427"/>
      <c r="E290" s="427"/>
      <c r="F290" s="427"/>
      <c r="G290" s="427"/>
      <c r="H290" s="427"/>
      <c r="I290" s="427"/>
      <c r="J290" s="427"/>
      <c r="K290" s="427"/>
      <c r="L290" s="427"/>
      <c r="M290" s="427"/>
      <c r="N290" s="427"/>
    </row>
    <row r="291" spans="1:14" s="428" customFormat="1" x14ac:dyDescent="0.25">
      <c r="A291" s="513"/>
      <c r="B291" s="413"/>
      <c r="C291" s="427"/>
      <c r="D291" s="427"/>
      <c r="E291" s="427"/>
      <c r="F291" s="427"/>
      <c r="G291" s="427"/>
      <c r="H291" s="427"/>
      <c r="I291" s="427"/>
      <c r="J291" s="427"/>
      <c r="K291" s="427"/>
      <c r="L291" s="427"/>
      <c r="M291" s="427"/>
      <c r="N291" s="427"/>
    </row>
  </sheetData>
  <pageMargins left="0.75" right="0.75" top="1" bottom="1" header="0.5" footer="0.5"/>
  <pageSetup orientation="landscape" r:id="rId1"/>
  <headerFooter alignWithMargins="0">
    <oddHeader>&amp;R&amp;D
akim
Page &amp;P</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BV643"/>
  <sheetViews>
    <sheetView zoomScale="85" zoomScaleNormal="85" workbookViewId="0">
      <pane xSplit="7" ySplit="2" topLeftCell="H3" activePane="bottomRight" state="frozen"/>
      <selection activeCell="F9" sqref="F9"/>
      <selection pane="topRight" activeCell="F9" sqref="F9"/>
      <selection pane="bottomLeft" activeCell="F9" sqref="F9"/>
      <selection pane="bottomRight" activeCell="BE23" sqref="BE23"/>
    </sheetView>
  </sheetViews>
  <sheetFormatPr defaultRowHeight="15" outlineLevelRow="1" outlineLevelCol="1" x14ac:dyDescent="0.25"/>
  <cols>
    <col min="1" max="1" width="36.28515625" style="177" customWidth="1"/>
    <col min="2" max="2" width="19.140625" style="3" customWidth="1"/>
    <col min="3" max="3" width="11.28515625" style="643" customWidth="1"/>
    <col min="4" max="7" width="13" style="177" customWidth="1"/>
    <col min="8" max="8" width="13.28515625" style="177" customWidth="1"/>
    <col min="9" max="9" width="11.7109375" style="343" customWidth="1"/>
    <col min="10" max="20" width="11.7109375" style="177" hidden="1" customWidth="1" outlineLevel="1"/>
    <col min="21" max="21" width="13.28515625" style="177" hidden="1" customWidth="1" outlineLevel="1"/>
    <col min="22" max="22" width="11.7109375" style="177" hidden="1" customWidth="1" outlineLevel="1"/>
    <col min="23" max="23" width="13.28515625" style="177" hidden="1" customWidth="1" outlineLevel="1"/>
    <col min="24" max="24" width="14.140625" style="177" hidden="1" customWidth="1" outlineLevel="1"/>
    <col min="25" max="50" width="11.7109375" style="177" hidden="1" customWidth="1" outlineLevel="1"/>
    <col min="51" max="51" width="10.5703125" style="177" hidden="1" customWidth="1" outlineLevel="1"/>
    <col min="52" max="52" width="10.28515625" style="177" hidden="1" customWidth="1" outlineLevel="1"/>
    <col min="53" max="53" width="10.5703125" style="177" hidden="1" customWidth="1" outlineLevel="1"/>
    <col min="54" max="54" width="11.140625" style="177" hidden="1" customWidth="1" outlineLevel="1"/>
    <col min="55" max="55" width="14.28515625" style="241" customWidth="1" collapsed="1"/>
    <col min="56" max="60" width="10.5703125" style="177" customWidth="1" outlineLevel="1"/>
    <col min="61" max="61" width="12.42578125" style="177" customWidth="1" outlineLevel="1"/>
    <col min="62" max="62" width="9" style="177" customWidth="1" outlineLevel="1"/>
    <col min="63" max="63" width="10.5703125" style="177" customWidth="1" outlineLevel="1"/>
    <col min="64" max="64" width="15" style="177" customWidth="1"/>
    <col min="65" max="65" width="11.5703125" style="631" customWidth="1"/>
    <col min="66" max="66" width="10.5703125" style="177" hidden="1" customWidth="1" outlineLevel="1"/>
    <col min="67" max="67" width="0" style="177" hidden="1" customWidth="1" outlineLevel="1"/>
    <col min="68" max="70" width="15.28515625" style="204" hidden="1" customWidth="1" outlineLevel="1"/>
    <col min="71" max="71" width="9.140625" style="177" collapsed="1"/>
    <col min="72" max="72" width="9.140625" style="177"/>
    <col min="73" max="73" width="9.140625" style="31"/>
    <col min="74" max="16384" width="9.140625" style="177"/>
  </cols>
  <sheetData>
    <row r="1" spans="1:74" x14ac:dyDescent="0.25">
      <c r="A1" s="638" t="s">
        <v>842</v>
      </c>
      <c r="B1" s="27"/>
      <c r="C1" s="639"/>
      <c r="D1" s="49"/>
      <c r="E1" s="69"/>
      <c r="F1" s="69"/>
      <c r="G1" s="69"/>
      <c r="H1" s="243" t="s">
        <v>841</v>
      </c>
      <c r="I1" s="666"/>
      <c r="J1" s="23" t="s">
        <v>12</v>
      </c>
      <c r="K1" s="19" t="s">
        <v>12</v>
      </c>
      <c r="L1" s="19" t="s">
        <v>8</v>
      </c>
      <c r="M1" s="19" t="s">
        <v>8</v>
      </c>
      <c r="N1" s="19" t="s">
        <v>8</v>
      </c>
      <c r="O1" s="19" t="s">
        <v>8</v>
      </c>
      <c r="P1" s="19" t="s">
        <v>8</v>
      </c>
      <c r="Q1" s="19" t="s">
        <v>8</v>
      </c>
      <c r="R1" s="19" t="s">
        <v>8</v>
      </c>
      <c r="S1" s="19" t="s">
        <v>8</v>
      </c>
      <c r="T1" s="19" t="s">
        <v>8</v>
      </c>
      <c r="U1" s="19" t="s">
        <v>47</v>
      </c>
      <c r="V1" s="19" t="s">
        <v>164</v>
      </c>
      <c r="W1" s="19" t="s">
        <v>165</v>
      </c>
      <c r="X1" s="19" t="s">
        <v>12</v>
      </c>
      <c r="Y1" s="19" t="s">
        <v>12</v>
      </c>
      <c r="Z1" s="641" t="s">
        <v>8</v>
      </c>
      <c r="AA1" s="641" t="s">
        <v>8</v>
      </c>
      <c r="AB1" s="19" t="s">
        <v>8</v>
      </c>
      <c r="AC1" s="19" t="s">
        <v>8</v>
      </c>
      <c r="AD1" s="19" t="s">
        <v>8</v>
      </c>
      <c r="AE1" s="19" t="s">
        <v>8</v>
      </c>
      <c r="AF1" s="641" t="s">
        <v>8</v>
      </c>
      <c r="AG1" s="19" t="s">
        <v>12</v>
      </c>
      <c r="AH1" s="19" t="s">
        <v>214</v>
      </c>
      <c r="AI1" s="641" t="s">
        <v>12</v>
      </c>
      <c r="AJ1" s="19" t="s">
        <v>8</v>
      </c>
      <c r="AK1" s="19" t="s">
        <v>8</v>
      </c>
      <c r="AL1" s="19" t="s">
        <v>8</v>
      </c>
      <c r="AM1" s="19" t="s">
        <v>12</v>
      </c>
      <c r="AN1" s="19" t="s">
        <v>12</v>
      </c>
      <c r="AO1" s="19" t="s">
        <v>12</v>
      </c>
      <c r="AP1" s="641" t="s">
        <v>12</v>
      </c>
      <c r="AQ1" s="19" t="s">
        <v>12</v>
      </c>
      <c r="AR1" s="641" t="s">
        <v>12</v>
      </c>
      <c r="AS1" s="19" t="s">
        <v>12</v>
      </c>
      <c r="AT1" s="19" t="s">
        <v>12</v>
      </c>
      <c r="AU1" s="19" t="s">
        <v>12</v>
      </c>
      <c r="AV1" s="19" t="s">
        <v>12</v>
      </c>
      <c r="AW1" s="19" t="s">
        <v>18</v>
      </c>
      <c r="AX1" s="19" t="s">
        <v>16</v>
      </c>
      <c r="AY1" s="642" t="s">
        <v>844</v>
      </c>
      <c r="AZ1" s="642" t="s">
        <v>845</v>
      </c>
      <c r="BA1" s="642" t="s">
        <v>846</v>
      </c>
      <c r="BB1" s="19" t="s">
        <v>265</v>
      </c>
    </row>
    <row r="2" spans="1:74" s="643" customFormat="1" ht="90" x14ac:dyDescent="0.25">
      <c r="A2" s="643" t="s">
        <v>847</v>
      </c>
      <c r="B2" s="644" t="s">
        <v>98</v>
      </c>
      <c r="C2" s="644" t="s">
        <v>848</v>
      </c>
      <c r="D2" s="645" t="s">
        <v>1040</v>
      </c>
      <c r="E2" s="645" t="s">
        <v>1041</v>
      </c>
      <c r="F2" s="645" t="s">
        <v>161</v>
      </c>
      <c r="G2" s="646" t="s">
        <v>851</v>
      </c>
      <c r="H2" s="647" t="s">
        <v>2</v>
      </c>
      <c r="I2" s="647" t="s">
        <v>852</v>
      </c>
      <c r="J2" s="648" t="s">
        <v>72</v>
      </c>
      <c r="K2" s="648" t="s">
        <v>73</v>
      </c>
      <c r="L2" s="648" t="s">
        <v>74</v>
      </c>
      <c r="M2" s="648" t="s">
        <v>75</v>
      </c>
      <c r="N2" s="648" t="s">
        <v>76</v>
      </c>
      <c r="O2" s="648" t="s">
        <v>77</v>
      </c>
      <c r="P2" s="648" t="s">
        <v>78</v>
      </c>
      <c r="Q2" s="648" t="s">
        <v>79</v>
      </c>
      <c r="R2" s="648" t="s">
        <v>80</v>
      </c>
      <c r="S2" s="648" t="s">
        <v>81</v>
      </c>
      <c r="T2" s="648" t="s">
        <v>82</v>
      </c>
      <c r="U2" s="648" t="s">
        <v>83</v>
      </c>
      <c r="V2" s="648" t="s">
        <v>87</v>
      </c>
      <c r="W2" s="648" t="s">
        <v>86</v>
      </c>
      <c r="X2" s="648" t="s">
        <v>88</v>
      </c>
      <c r="Y2" s="648" t="s">
        <v>89</v>
      </c>
      <c r="Z2" s="648" t="s">
        <v>90</v>
      </c>
      <c r="AA2" s="648" t="s">
        <v>91</v>
      </c>
      <c r="AB2" s="648" t="s">
        <v>141</v>
      </c>
      <c r="AC2" s="648" t="s">
        <v>142</v>
      </c>
      <c r="AD2" s="648" t="s">
        <v>92</v>
      </c>
      <c r="AE2" s="648" t="s">
        <v>93</v>
      </c>
      <c r="AF2" s="648" t="s">
        <v>94</v>
      </c>
      <c r="AG2" s="648" t="s">
        <v>95</v>
      </c>
      <c r="AH2" s="648" t="s">
        <v>40</v>
      </c>
      <c r="AI2" s="648" t="s">
        <v>39</v>
      </c>
      <c r="AJ2" s="648" t="s">
        <v>38</v>
      </c>
      <c r="AK2" s="648" t="s">
        <v>37</v>
      </c>
      <c r="AL2" s="648" t="s">
        <v>36</v>
      </c>
      <c r="AM2" s="648" t="s">
        <v>35</v>
      </c>
      <c r="AN2" s="648" t="s">
        <v>34</v>
      </c>
      <c r="AO2" s="648" t="s">
        <v>33</v>
      </c>
      <c r="AP2" s="648" t="s">
        <v>32</v>
      </c>
      <c r="AQ2" s="648" t="s">
        <v>31</v>
      </c>
      <c r="AR2" s="648" t="s">
        <v>29</v>
      </c>
      <c r="AS2" s="648" t="s">
        <v>28</v>
      </c>
      <c r="AT2" s="648" t="s">
        <v>27</v>
      </c>
      <c r="AU2" s="648" t="s">
        <v>24</v>
      </c>
      <c r="AV2" s="648" t="s">
        <v>23</v>
      </c>
      <c r="AW2" s="649" t="s">
        <v>19</v>
      </c>
      <c r="AX2" s="648" t="s">
        <v>17</v>
      </c>
      <c r="AY2" s="648" t="s">
        <v>109</v>
      </c>
      <c r="AZ2" s="648" t="s">
        <v>114</v>
      </c>
      <c r="BA2" s="648" t="s">
        <v>110</v>
      </c>
      <c r="BB2" s="650" t="s">
        <v>837</v>
      </c>
      <c r="BC2" s="647" t="s">
        <v>853</v>
      </c>
      <c r="BD2" s="648" t="s">
        <v>122</v>
      </c>
      <c r="BE2" s="648" t="s">
        <v>123</v>
      </c>
      <c r="BF2" s="648" t="s">
        <v>1015</v>
      </c>
      <c r="BG2" s="648" t="s">
        <v>124</v>
      </c>
      <c r="BH2" s="648" t="s">
        <v>125</v>
      </c>
      <c r="BI2" s="648" t="s">
        <v>126</v>
      </c>
      <c r="BJ2" s="648" t="s">
        <v>127</v>
      </c>
      <c r="BK2" s="650" t="s">
        <v>1</v>
      </c>
      <c r="BL2" s="643" t="s">
        <v>3</v>
      </c>
      <c r="BM2" s="651" t="s">
        <v>96</v>
      </c>
      <c r="BP2" s="652"/>
      <c r="BQ2" s="652"/>
      <c r="BR2" s="652"/>
      <c r="BU2" s="1245"/>
    </row>
    <row r="3" spans="1:74" outlineLevel="1" x14ac:dyDescent="0.25">
      <c r="A3" s="199" t="s">
        <v>854</v>
      </c>
      <c r="B3" s="653"/>
      <c r="C3" s="654" t="s">
        <v>118</v>
      </c>
      <c r="D3" s="655">
        <f>D5+D7+D8+D11+D12+D13+D15+D16+D17+D19+D20+D9+D43</f>
        <v>3407551</v>
      </c>
      <c r="E3" s="655">
        <f>E6+E10+E14+E18+E50</f>
        <v>254269</v>
      </c>
      <c r="F3" s="655">
        <f>F21*'Assumptions (3)'!$B$4</f>
        <v>878527</v>
      </c>
      <c r="G3" s="656"/>
      <c r="H3" s="657"/>
      <c r="I3" s="658"/>
      <c r="J3" s="659"/>
      <c r="K3" s="660"/>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61"/>
      <c r="AX3" s="656"/>
      <c r="AY3" s="656"/>
      <c r="AZ3" s="656"/>
      <c r="BA3" s="656"/>
      <c r="BB3" s="656"/>
      <c r="BC3" s="658"/>
      <c r="BD3" s="656"/>
      <c r="BE3" s="656"/>
      <c r="BF3" s="656"/>
      <c r="BG3" s="656"/>
      <c r="BH3" s="656"/>
      <c r="BI3" s="656"/>
      <c r="BJ3" s="656"/>
      <c r="BK3" s="656"/>
    </row>
    <row r="4" spans="1:74" outlineLevel="1" x14ac:dyDescent="0.25">
      <c r="A4" s="1"/>
      <c r="B4" s="653"/>
      <c r="C4" s="653"/>
      <c r="D4" s="656"/>
      <c r="E4" s="656"/>
      <c r="F4" s="656"/>
      <c r="G4" s="656"/>
      <c r="H4" s="657"/>
      <c r="I4" s="658"/>
      <c r="J4" s="656"/>
      <c r="K4" s="660"/>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6"/>
      <c r="AO4" s="656"/>
      <c r="AP4" s="656"/>
      <c r="AQ4" s="656"/>
      <c r="AR4" s="656"/>
      <c r="AS4" s="656"/>
      <c r="AT4" s="656"/>
      <c r="AU4" s="656"/>
      <c r="AV4" s="656"/>
      <c r="AW4" s="661"/>
      <c r="AX4" s="656"/>
      <c r="AY4" s="656"/>
      <c r="AZ4" s="656"/>
      <c r="BA4" s="656"/>
      <c r="BB4" s="656"/>
      <c r="BC4" s="658"/>
      <c r="BD4" s="656"/>
      <c r="BE4" s="656"/>
      <c r="BF4" s="656"/>
      <c r="BG4" s="656"/>
      <c r="BH4" s="656"/>
      <c r="BI4" s="656"/>
      <c r="BJ4" s="656"/>
      <c r="BK4" s="656"/>
      <c r="BP4" s="218" t="s">
        <v>444</v>
      </c>
      <c r="BQ4" s="218" t="s">
        <v>855</v>
      </c>
      <c r="BR4" s="218" t="s">
        <v>856</v>
      </c>
      <c r="BV4" s="31" t="s">
        <v>182</v>
      </c>
    </row>
    <row r="5" spans="1:74" outlineLevel="1" x14ac:dyDescent="0.25">
      <c r="A5" s="177" t="s">
        <v>822</v>
      </c>
      <c r="B5" s="3" t="s">
        <v>132</v>
      </c>
      <c r="C5" s="662"/>
      <c r="D5" s="1125">
        <v>301462</v>
      </c>
      <c r="E5" s="664">
        <f>D5/'Assumptions (3)'!$B$4</f>
        <v>226799.57869395125</v>
      </c>
      <c r="F5" s="665">
        <f>51322/'Assumptions (3)'!$B$4</f>
        <v>38611.194703581103</v>
      </c>
      <c r="G5" s="665"/>
      <c r="H5" s="242"/>
      <c r="I5" s="666">
        <f>SUM(J5:BB5)</f>
        <v>86367.218758673916</v>
      </c>
      <c r="J5" s="73">
        <v>542.70345715582278</v>
      </c>
      <c r="K5" s="73">
        <v>160.97248189699172</v>
      </c>
      <c r="L5" s="73">
        <v>169.01791690915769</v>
      </c>
      <c r="M5" s="73">
        <v>161.61995611874002</v>
      </c>
      <c r="N5" s="73">
        <v>282.83228875944093</v>
      </c>
      <c r="O5" s="73">
        <v>647.67425400162551</v>
      </c>
      <c r="P5" s="73">
        <v>78.351521075132041</v>
      </c>
      <c r="Q5" s="73">
        <v>207.46973531021285</v>
      </c>
      <c r="R5" s="73">
        <v>177.45347371971593</v>
      </c>
      <c r="S5" s="73">
        <v>182.55630895276022</v>
      </c>
      <c r="T5" s="73">
        <v>661.25528116220278</v>
      </c>
      <c r="U5" s="73">
        <v>527.93408853178585</v>
      </c>
      <c r="V5" s="73">
        <v>418.9224165773897</v>
      </c>
      <c r="W5" s="73">
        <v>671.81058187333019</v>
      </c>
      <c r="X5" s="73">
        <v>16.610423345084033</v>
      </c>
      <c r="Y5" s="73">
        <v>13.10242753854806</v>
      </c>
      <c r="Z5" s="73">
        <v>63.352622388467942</v>
      </c>
      <c r="AA5" s="73">
        <v>57.907513966978868</v>
      </c>
      <c r="AB5" s="73">
        <v>34.838599014969432</v>
      </c>
      <c r="AC5" s="73">
        <v>35.63287075080855</v>
      </c>
      <c r="AD5" s="73">
        <v>202.17434935397696</v>
      </c>
      <c r="AE5" s="73">
        <v>81.089008779167202</v>
      </c>
      <c r="AF5" s="73">
        <v>210.99012413065398</v>
      </c>
      <c r="AG5" s="73">
        <v>655.44190178083124</v>
      </c>
      <c r="AH5" s="73">
        <v>5367.2674290987779</v>
      </c>
      <c r="AI5" s="73">
        <v>37.278447252890423</v>
      </c>
      <c r="AJ5" s="73">
        <v>790.99004039629062</v>
      </c>
      <c r="AK5" s="73">
        <v>680.12779056918339</v>
      </c>
      <c r="AL5" s="73">
        <v>0</v>
      </c>
      <c r="AM5" s="73">
        <v>82.947819781082003</v>
      </c>
      <c r="AN5" s="73">
        <v>140.27261530094282</v>
      </c>
      <c r="AO5" s="73">
        <v>826.96616005115425</v>
      </c>
      <c r="AP5" s="73">
        <v>125.24841899275664</v>
      </c>
      <c r="AQ5" s="73">
        <v>785.93257680746865</v>
      </c>
      <c r="AR5" s="73">
        <v>2.3744170555882205</v>
      </c>
      <c r="AS5" s="73">
        <v>1158.2954836363283</v>
      </c>
      <c r="AT5" s="73">
        <v>960.92155853553299</v>
      </c>
      <c r="AU5" s="73">
        <v>1343.3754701855983</v>
      </c>
      <c r="AV5" s="73">
        <v>1888.1191946170513</v>
      </c>
      <c r="AW5" s="73">
        <v>4835.7154951408238</v>
      </c>
      <c r="AX5" s="73">
        <v>50.370529242406107</v>
      </c>
      <c r="AY5" s="73">
        <v>15562.336627117185</v>
      </c>
      <c r="AZ5" s="73">
        <v>523.37371310372635</v>
      </c>
      <c r="BA5" s="73">
        <v>9437.6261038633202</v>
      </c>
      <c r="BB5" s="73">
        <v>35505.965264832019</v>
      </c>
      <c r="BC5" s="666">
        <f>SUM(BD5:BK5)</f>
        <v>140432.35993527737</v>
      </c>
      <c r="BD5" s="73">
        <v>22555.001815247422</v>
      </c>
      <c r="BE5" s="73">
        <v>20570.09614556516</v>
      </c>
      <c r="BF5" s="73">
        <v>12594.510596106835</v>
      </c>
      <c r="BG5" s="73">
        <v>23276.295214242673</v>
      </c>
      <c r="BH5" s="73">
        <v>18233.461474709264</v>
      </c>
      <c r="BI5" s="73">
        <v>13276.591655878705</v>
      </c>
      <c r="BJ5" s="73">
        <v>7488.2909012538094</v>
      </c>
      <c r="BK5" s="73">
        <v>22438.112132273483</v>
      </c>
      <c r="BL5" s="76">
        <f>BC5+I5+H5</f>
        <v>226799.57869395131</v>
      </c>
      <c r="BM5" s="667">
        <f>BL5-E5</f>
        <v>0</v>
      </c>
      <c r="BO5" s="668" t="s">
        <v>857</v>
      </c>
      <c r="BP5" s="204">
        <f>E5</f>
        <v>226799.57869395125</v>
      </c>
      <c r="BQ5" s="204">
        <f>G69</f>
        <v>238090.88173337348</v>
      </c>
      <c r="BR5" s="204">
        <f>BQ5-BP5</f>
        <v>11291.30303942223</v>
      </c>
      <c r="BV5" s="1254"/>
    </row>
    <row r="6" spans="1:74" outlineLevel="1" x14ac:dyDescent="0.25">
      <c r="A6" s="177" t="s">
        <v>823</v>
      </c>
      <c r="B6" s="3" t="s">
        <v>132</v>
      </c>
      <c r="C6" s="662"/>
      <c r="D6" s="664">
        <f>E6*'Assumptions (3)'!$B$4</f>
        <v>152564.24679999999</v>
      </c>
      <c r="E6" s="1125">
        <v>114779</v>
      </c>
      <c r="F6" s="665"/>
      <c r="G6" s="665"/>
      <c r="H6" s="242"/>
      <c r="I6" s="666">
        <f t="shared" ref="I6" si="0">SUM(J6:BB6)</f>
        <v>43708.824588597956</v>
      </c>
      <c r="J6" s="73">
        <v>274.65200979471433</v>
      </c>
      <c r="K6" s="73">
        <v>81.465144715225065</v>
      </c>
      <c r="L6" s="73">
        <v>85.536788016236301</v>
      </c>
      <c r="M6" s="73">
        <v>81.792819237929237</v>
      </c>
      <c r="N6" s="73">
        <v>143.136100421626</v>
      </c>
      <c r="O6" s="73">
        <v>327.77575526437784</v>
      </c>
      <c r="P6" s="73">
        <v>39.652230790155457</v>
      </c>
      <c r="Q6" s="73">
        <v>104.99652991553825</v>
      </c>
      <c r="R6" s="73">
        <v>89.805864620058429</v>
      </c>
      <c r="S6" s="73">
        <v>92.388313531940881</v>
      </c>
      <c r="T6" s="73">
        <v>334.64885761068956</v>
      </c>
      <c r="U6" s="73">
        <v>267.17751018999547</v>
      </c>
      <c r="V6" s="73">
        <v>212.0087538487945</v>
      </c>
      <c r="W6" s="73">
        <v>339.99069672388015</v>
      </c>
      <c r="X6" s="73">
        <v>8.4062227633064275</v>
      </c>
      <c r="Y6" s="73">
        <v>6.6308920814900807</v>
      </c>
      <c r="Z6" s="73">
        <v>32.06157033888659</v>
      </c>
      <c r="AA6" s="73">
        <v>29.305903405512506</v>
      </c>
      <c r="AB6" s="73">
        <v>17.631159543445055</v>
      </c>
      <c r="AC6" s="73">
        <v>18.033125526331204</v>
      </c>
      <c r="AD6" s="73">
        <v>102.31663470510235</v>
      </c>
      <c r="AE6" s="73">
        <v>41.037621816853303</v>
      </c>
      <c r="AF6" s="73">
        <v>106.77813246854241</v>
      </c>
      <c r="AG6" s="73">
        <v>331.7068156727949</v>
      </c>
      <c r="AH6" s="73">
        <v>2716.2730715467537</v>
      </c>
      <c r="AI6" s="73">
        <v>18.865920835829247</v>
      </c>
      <c r="AJ6" s="73">
        <v>400.30517856101812</v>
      </c>
      <c r="AK6" s="73">
        <v>344.19987957333132</v>
      </c>
      <c r="AL6" s="73">
        <v>0</v>
      </c>
      <c r="AM6" s="73">
        <v>41.97833109513941</v>
      </c>
      <c r="AN6" s="73">
        <v>70.989331657238722</v>
      </c>
      <c r="AO6" s="73">
        <v>418.51201590015523</v>
      </c>
      <c r="AP6" s="73">
        <v>63.385868555641281</v>
      </c>
      <c r="AQ6" s="73">
        <v>397.74569138470054</v>
      </c>
      <c r="AR6" s="73">
        <v>1.2016478019614101</v>
      </c>
      <c r="AS6" s="73">
        <v>586.19155327310955</v>
      </c>
      <c r="AT6" s="73">
        <v>486.30432297223433</v>
      </c>
      <c r="AU6" s="73">
        <v>679.85705255873586</v>
      </c>
      <c r="AV6" s="73">
        <v>955.54160323812971</v>
      </c>
      <c r="AW6" s="73">
        <v>2447.2646378490449</v>
      </c>
      <c r="AX6" s="73">
        <v>25.491577229584699</v>
      </c>
      <c r="AY6" s="73">
        <v>7875.8057929828165</v>
      </c>
      <c r="AZ6" s="73">
        <v>264.86958998012784</v>
      </c>
      <c r="BA6" s="73">
        <v>4776.2050212495305</v>
      </c>
      <c r="BB6" s="73">
        <v>17968.901047349449</v>
      </c>
      <c r="BC6" s="666">
        <f>SUM(BD6:BK6)</f>
        <v>71070.175411402044</v>
      </c>
      <c r="BD6" s="73">
        <v>11414.662091792186</v>
      </c>
      <c r="BE6" s="73">
        <v>10410.13867436603</v>
      </c>
      <c r="BF6" s="73">
        <v>6373.8448723542542</v>
      </c>
      <c r="BG6" s="73">
        <v>11779.695111341987</v>
      </c>
      <c r="BH6" s="73">
        <v>9227.6118265182213</v>
      </c>
      <c r="BI6" s="73">
        <v>6719.0332647242421</v>
      </c>
      <c r="BJ6" s="73">
        <v>3789.6831480222399</v>
      </c>
      <c r="BK6" s="73">
        <v>11355.506422282895</v>
      </c>
      <c r="BL6" s="76">
        <f t="shared" ref="BL6" si="1">BC6+I6+H6</f>
        <v>114779</v>
      </c>
      <c r="BM6" s="667">
        <f t="shared" ref="BM6:BM20" si="2">BL6-E6</f>
        <v>0</v>
      </c>
      <c r="BO6" s="668" t="s">
        <v>857</v>
      </c>
      <c r="BP6" s="204">
        <f t="shared" ref="BP6:BP58" si="3">E6</f>
        <v>114779</v>
      </c>
      <c r="BQ6" s="204">
        <f t="shared" ref="BQ6:BQ58" si="4">G70</f>
        <v>121665.74</v>
      </c>
      <c r="BR6" s="204">
        <f t="shared" ref="BR6:BR58" si="5">BQ6-BP6</f>
        <v>6886.7400000000052</v>
      </c>
      <c r="BV6" s="1254"/>
    </row>
    <row r="7" spans="1:74" outlineLevel="1" x14ac:dyDescent="0.25">
      <c r="A7" s="177" t="s">
        <v>470</v>
      </c>
      <c r="B7" s="3" t="s">
        <v>132</v>
      </c>
      <c r="C7" s="662"/>
      <c r="D7" s="1125">
        <v>81200</v>
      </c>
      <c r="E7" s="664">
        <f>D7/'Assumptions (3)'!$B$4</f>
        <v>61089.377068913636</v>
      </c>
      <c r="F7" s="665">
        <f>6136/'Assumptions (3)'!$B$4</f>
        <v>4616.3105627445084</v>
      </c>
      <c r="G7" s="664"/>
      <c r="H7" s="242"/>
      <c r="I7" s="666">
        <f t="shared" ref="I7:I20" si="6">SUM(J7:BB7)</f>
        <v>23263.357116997577</v>
      </c>
      <c r="J7" s="73">
        <v>146.17935501341069</v>
      </c>
      <c r="K7" s="73">
        <v>43.35858426612883</v>
      </c>
      <c r="L7" s="73">
        <v>45.525654487211007</v>
      </c>
      <c r="M7" s="73">
        <v>43.532984047215535</v>
      </c>
      <c r="N7" s="73">
        <v>76.182012483386316</v>
      </c>
      <c r="O7" s="73">
        <v>174.45366057722694</v>
      </c>
      <c r="P7" s="73">
        <v>21.104296764768765</v>
      </c>
      <c r="Q7" s="73">
        <v>55.882806148666454</v>
      </c>
      <c r="R7" s="73">
        <v>47.797805580938672</v>
      </c>
      <c r="S7" s="73">
        <v>49.17227473765891</v>
      </c>
      <c r="T7" s="73">
        <v>178.11176476760212</v>
      </c>
      <c r="U7" s="73">
        <v>142.20116627893736</v>
      </c>
      <c r="V7" s="73">
        <v>112.83843478144524</v>
      </c>
      <c r="W7" s="73">
        <v>180.95487739122814</v>
      </c>
      <c r="X7" s="73">
        <v>4.4740842149950026</v>
      </c>
      <c r="Y7" s="73">
        <v>3.5291914607151234</v>
      </c>
      <c r="Z7" s="73">
        <v>17.064283186416851</v>
      </c>
      <c r="AA7" s="73">
        <v>15.597621372241557</v>
      </c>
      <c r="AB7" s="73">
        <v>9.3839165135755689</v>
      </c>
      <c r="AC7" s="73">
        <v>9.5978567944406077</v>
      </c>
      <c r="AD7" s="73">
        <v>54.456472681608069</v>
      </c>
      <c r="AE7" s="73">
        <v>21.841650068228756</v>
      </c>
      <c r="AF7" s="73">
        <v>56.831037010996759</v>
      </c>
      <c r="AG7" s="73">
        <v>176.54590769186001</v>
      </c>
      <c r="AH7" s="73">
        <v>1445.6950303614412</v>
      </c>
      <c r="AI7" s="73">
        <v>10.041099431884291</v>
      </c>
      <c r="AJ7" s="73">
        <v>213.0563430222675</v>
      </c>
      <c r="AK7" s="73">
        <v>183.19515094511976</v>
      </c>
      <c r="AL7" s="73">
        <v>0</v>
      </c>
      <c r="AM7" s="73">
        <v>22.342328274289493</v>
      </c>
      <c r="AN7" s="73">
        <v>37.782992093320409</v>
      </c>
      <c r="AO7" s="73">
        <v>222.74665528708005</v>
      </c>
      <c r="AP7" s="73">
        <v>33.73616449904744</v>
      </c>
      <c r="AQ7" s="73">
        <v>211.69409490007516</v>
      </c>
      <c r="AR7" s="73">
        <v>0.63955876665637301</v>
      </c>
      <c r="AS7" s="73">
        <v>311.99153880512256</v>
      </c>
      <c r="AT7" s="73">
        <v>258.82807966869882</v>
      </c>
      <c r="AU7" s="73">
        <v>361.84357623538153</v>
      </c>
      <c r="AV7" s="73">
        <v>508.57248543068306</v>
      </c>
      <c r="AW7" s="73">
        <v>1302.5193828921551</v>
      </c>
      <c r="AX7" s="73">
        <v>13.567504277432565</v>
      </c>
      <c r="AY7" s="73">
        <v>4191.7778496855844</v>
      </c>
      <c r="AZ7" s="73">
        <v>140.97281084854004</v>
      </c>
      <c r="BA7" s="73">
        <v>2542.0624809551509</v>
      </c>
      <c r="BB7" s="73">
        <v>9563.6742922967405</v>
      </c>
      <c r="BC7" s="666">
        <f t="shared" ref="BC7:BC20" si="7">SUM(BD7:BK7)</f>
        <v>37826.019951916074</v>
      </c>
      <c r="BD7" s="73">
        <v>6075.2802920371087</v>
      </c>
      <c r="BE7" s="73">
        <v>5540.6379809723658</v>
      </c>
      <c r="BF7" s="73">
        <v>3392.3819930998766</v>
      </c>
      <c r="BG7" s="73">
        <v>6269.563564882159</v>
      </c>
      <c r="BH7" s="73">
        <v>4911.2560513311546</v>
      </c>
      <c r="BI7" s="73">
        <v>3576.1032649466629</v>
      </c>
      <c r="BJ7" s="73">
        <v>2017.0012180036267</v>
      </c>
      <c r="BK7" s="73">
        <v>6043.7955866431157</v>
      </c>
      <c r="BL7" s="76">
        <f>BC7+I7+H7</f>
        <v>61089.377068913651</v>
      </c>
      <c r="BM7" s="667">
        <f t="shared" si="2"/>
        <v>0</v>
      </c>
      <c r="BO7" s="668" t="s">
        <v>857</v>
      </c>
      <c r="BP7" s="204">
        <f t="shared" si="3"/>
        <v>61089.377068913636</v>
      </c>
      <c r="BQ7" s="204">
        <f t="shared" si="4"/>
        <v>64477.761059283788</v>
      </c>
      <c r="BR7" s="204">
        <f t="shared" si="5"/>
        <v>3388.3839903701519</v>
      </c>
      <c r="BU7" s="1251" t="s">
        <v>470</v>
      </c>
      <c r="BV7" s="1254">
        <f t="shared" ref="BV7:BV20" si="8">+BC7-BK7</f>
        <v>31782.224365272959</v>
      </c>
    </row>
    <row r="8" spans="1:74" outlineLevel="1" x14ac:dyDescent="0.25">
      <c r="A8" s="177" t="s">
        <v>471</v>
      </c>
      <c r="B8" s="3" t="s">
        <v>858</v>
      </c>
      <c r="C8" s="662"/>
      <c r="D8" s="1125">
        <v>846550</v>
      </c>
      <c r="E8" s="664">
        <f>D8/'Assumptions (3)'!$B$4</f>
        <v>636886.84923262114</v>
      </c>
      <c r="F8" s="665">
        <f>325728/'Assumptions (3)'!$B$4</f>
        <v>245055.67258501356</v>
      </c>
      <c r="G8" s="665"/>
      <c r="H8" s="637">
        <f>E8*'Assumptions (3)'!$B$18</f>
        <v>12737.736984652423</v>
      </c>
      <c r="I8" s="666">
        <f t="shared" si="6"/>
        <v>237681.31857200008</v>
      </c>
      <c r="J8" s="73">
        <v>1493.5119498383096</v>
      </c>
      <c r="K8" s="73">
        <v>442.9939078852405</v>
      </c>
      <c r="L8" s="73">
        <v>465.13482697075744</v>
      </c>
      <c r="M8" s="73">
        <v>444.77574744171062</v>
      </c>
      <c r="N8" s="73">
        <v>778.35030805978408</v>
      </c>
      <c r="O8" s="73">
        <v>1782.3900422957936</v>
      </c>
      <c r="P8" s="73">
        <v>215.62223617845686</v>
      </c>
      <c r="Q8" s="73">
        <v>570.95366692426728</v>
      </c>
      <c r="R8" s="73">
        <v>488.34935552035415</v>
      </c>
      <c r="S8" s="73">
        <v>502.39228319682076</v>
      </c>
      <c r="T8" s="73">
        <v>1819.7648297380947</v>
      </c>
      <c r="U8" s="73">
        <v>1452.8668641276565</v>
      </c>
      <c r="V8" s="73">
        <v>1152.868342671771</v>
      </c>
      <c r="W8" s="73">
        <v>1848.8128623944986</v>
      </c>
      <c r="X8" s="73">
        <v>45.711641285220921</v>
      </c>
      <c r="Y8" s="73">
        <v>36.057688305997779</v>
      </c>
      <c r="Z8" s="73">
        <v>174.34548710384189</v>
      </c>
      <c r="AA8" s="73">
        <v>159.36062863568554</v>
      </c>
      <c r="AB8" s="73">
        <v>95.875313227537546</v>
      </c>
      <c r="AC8" s="73">
        <v>98.061137388510119</v>
      </c>
      <c r="AD8" s="73">
        <v>556.38084248328812</v>
      </c>
      <c r="AE8" s="73">
        <v>223.15576216691957</v>
      </c>
      <c r="AF8" s="73">
        <v>580.64172529588814</v>
      </c>
      <c r="AG8" s="73">
        <v>1803.7664949927732</v>
      </c>
      <c r="AH8" s="73">
        <v>14770.641199426458</v>
      </c>
      <c r="AI8" s="73">
        <v>102.5897397731578</v>
      </c>
      <c r="AJ8" s="73">
        <v>2176.7929832732821</v>
      </c>
      <c r="AK8" s="73">
        <v>1871.7016986692033</v>
      </c>
      <c r="AL8" s="73">
        <v>0</v>
      </c>
      <c r="AM8" s="73">
        <v>228.27118276585927</v>
      </c>
      <c r="AN8" s="73">
        <v>386.02817878655645</v>
      </c>
      <c r="AO8" s="73">
        <v>2275.7987366085226</v>
      </c>
      <c r="AP8" s="73">
        <v>344.68181102875906</v>
      </c>
      <c r="AQ8" s="73">
        <v>2162.8749176958795</v>
      </c>
      <c r="AR8" s="73">
        <v>6.5343608920528746</v>
      </c>
      <c r="AS8" s="73">
        <v>3187.612172807475</v>
      </c>
      <c r="AT8" s="73">
        <v>2644.4420274219979</v>
      </c>
      <c r="AU8" s="73">
        <v>3696.9495797145437</v>
      </c>
      <c r="AV8" s="73">
        <v>5196.0763151541605</v>
      </c>
      <c r="AW8" s="73">
        <v>13307.818077778409</v>
      </c>
      <c r="AX8" s="73">
        <v>138.61895728004097</v>
      </c>
      <c r="AY8" s="73">
        <v>42827.322018205719</v>
      </c>
      <c r="AZ8" s="73">
        <v>1440.3167778738293</v>
      </c>
      <c r="BA8" s="73">
        <v>25972.208539255309</v>
      </c>
      <c r="BB8" s="73">
        <v>97711.895353459724</v>
      </c>
      <c r="BC8" s="666">
        <f t="shared" si="7"/>
        <v>386467.79367596866</v>
      </c>
      <c r="BD8" s="73">
        <v>62071.033997531202</v>
      </c>
      <c r="BE8" s="73">
        <v>56608.602723353601</v>
      </c>
      <c r="BF8" s="73">
        <v>34659.908334156724</v>
      </c>
      <c r="BG8" s="73">
        <v>64056.022846477477</v>
      </c>
      <c r="BH8" s="73">
        <v>50178.218399621925</v>
      </c>
      <c r="BI8" s="73">
        <v>36536.985401007209</v>
      </c>
      <c r="BJ8" s="73">
        <v>20607.666668459984</v>
      </c>
      <c r="BK8" s="73">
        <v>61749.355305360528</v>
      </c>
      <c r="BL8" s="76">
        <f>BC8+I8+H8</f>
        <v>636886.84923262126</v>
      </c>
      <c r="BM8" s="667">
        <f t="shared" si="2"/>
        <v>0</v>
      </c>
      <c r="BO8" s="668" t="s">
        <v>857</v>
      </c>
      <c r="BP8" s="204">
        <f t="shared" si="3"/>
        <v>636886.84923262114</v>
      </c>
      <c r="BQ8" s="204">
        <f t="shared" si="4"/>
        <v>660396.71983147762</v>
      </c>
      <c r="BR8" s="204">
        <f t="shared" si="5"/>
        <v>23509.870598856476</v>
      </c>
      <c r="BU8" s="1251" t="s">
        <v>1049</v>
      </c>
      <c r="BV8" s="1254">
        <f t="shared" si="8"/>
        <v>324718.43837060814</v>
      </c>
    </row>
    <row r="9" spans="1:74" outlineLevel="1" x14ac:dyDescent="0.25">
      <c r="A9" s="69" t="s">
        <v>472</v>
      </c>
      <c r="B9" s="3" t="s">
        <v>859</v>
      </c>
      <c r="C9" s="662"/>
      <c r="D9" s="1125">
        <v>99934.35555555555</v>
      </c>
      <c r="E9" s="664">
        <f>D9/'Assumptions (3)'!$B$4</f>
        <v>75183.836560002674</v>
      </c>
      <c r="F9" s="664"/>
      <c r="G9" s="664"/>
      <c r="H9" s="637"/>
      <c r="I9" s="666">
        <f t="shared" si="6"/>
        <v>28630.647802289401</v>
      </c>
      <c r="J9" s="73">
        <v>179.90566057625574</v>
      </c>
      <c r="K9" s="73">
        <v>53.3622189216359</v>
      </c>
      <c r="L9" s="73">
        <v>56.029272689954652</v>
      </c>
      <c r="M9" s="73">
        <v>53.576855987300064</v>
      </c>
      <c r="N9" s="73">
        <v>93.75862466074507</v>
      </c>
      <c r="O9" s="73">
        <v>214.70337615877835</v>
      </c>
      <c r="P9" s="73">
        <v>25.973451929068503</v>
      </c>
      <c r="Q9" s="73">
        <v>68.776012550529785</v>
      </c>
      <c r="R9" s="73">
        <v>58.825651449517764</v>
      </c>
      <c r="S9" s="73">
        <v>60.517236294441723</v>
      </c>
      <c r="T9" s="73">
        <v>219.20547326247564</v>
      </c>
      <c r="U9" s="73">
        <v>175.00962944992611</v>
      </c>
      <c r="V9" s="73">
        <v>138.87236775592751</v>
      </c>
      <c r="W9" s="73">
        <v>222.70454503358317</v>
      </c>
      <c r="X9" s="73">
        <v>5.5063389498375521</v>
      </c>
      <c r="Y9" s="73">
        <v>4.3434418012159552</v>
      </c>
      <c r="Z9" s="73">
        <v>21.001331813449138</v>
      </c>
      <c r="AA9" s="73">
        <v>19.196283744267486</v>
      </c>
      <c r="AB9" s="73">
        <v>11.548961199154066</v>
      </c>
      <c r="AC9" s="73">
        <v>11.812261495898181</v>
      </c>
      <c r="AD9" s="73">
        <v>67.020597330852439</v>
      </c>
      <c r="AE9" s="73">
        <v>26.880926401950695</v>
      </c>
      <c r="AF9" s="73">
        <v>69.943017971033086</v>
      </c>
      <c r="AG9" s="73">
        <v>217.27834373345598</v>
      </c>
      <c r="AH9" s="73">
        <v>1779.2438570078812</v>
      </c>
      <c r="AI9" s="73">
        <v>12.357768482692261</v>
      </c>
      <c r="AJ9" s="73">
        <v>262.21241794277938</v>
      </c>
      <c r="AK9" s="73">
        <v>225.46169150989246</v>
      </c>
      <c r="AL9" s="73">
        <v>0</v>
      </c>
      <c r="AM9" s="73">
        <v>27.497120415046648</v>
      </c>
      <c r="AN9" s="73">
        <v>46.500233569047118</v>
      </c>
      <c r="AO9" s="73">
        <v>274.13846611169737</v>
      </c>
      <c r="AP9" s="73">
        <v>41.519727316853668</v>
      </c>
      <c r="AQ9" s="73">
        <v>260.53587375314811</v>
      </c>
      <c r="AR9" s="73">
        <v>0.7871169111540709</v>
      </c>
      <c r="AS9" s="73">
        <v>383.97380996645353</v>
      </c>
      <c r="AT9" s="73">
        <v>318.54454853908135</v>
      </c>
      <c r="AU9" s="73">
        <v>445.3276428940934</v>
      </c>
      <c r="AV9" s="73">
        <v>625.90965005914381</v>
      </c>
      <c r="AW9" s="73">
        <v>1603.0349153688107</v>
      </c>
      <c r="AX9" s="73">
        <v>16.697780744611659</v>
      </c>
      <c r="AY9" s="73">
        <v>5158.8992369505077</v>
      </c>
      <c r="AZ9" s="73">
        <v>173.49786949512412</v>
      </c>
      <c r="BA9" s="73">
        <v>3128.563741578937</v>
      </c>
      <c r="BB9" s="73">
        <v>11770.19245251119</v>
      </c>
      <c r="BC9" s="666">
        <f t="shared" si="7"/>
        <v>46553.188757713287</v>
      </c>
      <c r="BD9" s="73">
        <v>7476.9608473410808</v>
      </c>
      <c r="BE9" s="73">
        <v>6818.9665762944305</v>
      </c>
      <c r="BF9" s="73">
        <v>4175.0678359446702</v>
      </c>
      <c r="BG9" s="73">
        <v>7716.0688974272171</v>
      </c>
      <c r="BH9" s="73">
        <v>6044.3744884002626</v>
      </c>
      <c r="BI9" s="73">
        <v>4401.1770342680156</v>
      </c>
      <c r="BJ9" s="73">
        <v>2482.3610452704806</v>
      </c>
      <c r="BK9" s="73">
        <v>7438.2120327671255</v>
      </c>
      <c r="BL9" s="76">
        <f t="shared" ref="BL9:BL18" si="9">BC9+I9+H9</f>
        <v>75183.836560002688</v>
      </c>
      <c r="BM9" s="667">
        <f t="shared" si="2"/>
        <v>0</v>
      </c>
      <c r="BO9" s="668" t="s">
        <v>857</v>
      </c>
      <c r="BP9" s="204">
        <f t="shared" si="3"/>
        <v>75183.836560002674</v>
      </c>
      <c r="BQ9" s="204">
        <f t="shared" si="4"/>
        <v>79694.866753602837</v>
      </c>
      <c r="BR9" s="204">
        <f t="shared" si="5"/>
        <v>4511.0301936001633</v>
      </c>
      <c r="BU9" s="1251" t="s">
        <v>472</v>
      </c>
      <c r="BV9" s="1254">
        <f t="shared" si="8"/>
        <v>39114.976724946158</v>
      </c>
    </row>
    <row r="10" spans="1:74" outlineLevel="1" x14ac:dyDescent="0.25">
      <c r="A10" s="69" t="s">
        <v>860</v>
      </c>
      <c r="B10" s="27" t="s">
        <v>861</v>
      </c>
      <c r="C10" s="662"/>
      <c r="D10" s="664">
        <f>E10*'Assumptions (3)'!$B$4</f>
        <v>28904.783199999998</v>
      </c>
      <c r="E10" s="1125">
        <v>21746</v>
      </c>
      <c r="F10" s="665"/>
      <c r="G10" s="665"/>
      <c r="H10" s="637"/>
      <c r="I10" s="666">
        <f t="shared" si="6"/>
        <v>21746</v>
      </c>
      <c r="J10" s="73">
        <v>135.20551331340749</v>
      </c>
      <c r="K10" s="73">
        <v>38.994118073900104</v>
      </c>
      <c r="L10" s="73">
        <v>40.287274788155699</v>
      </c>
      <c r="M10" s="73">
        <v>41.397164687684004</v>
      </c>
      <c r="N10" s="73">
        <v>68.877618169450258</v>
      </c>
      <c r="O10" s="73">
        <v>161.91834078640471</v>
      </c>
      <c r="P10" s="73">
        <v>19.745635536135154</v>
      </c>
      <c r="Q10" s="73">
        <v>52.879071079467323</v>
      </c>
      <c r="R10" s="73">
        <v>45.389843396062624</v>
      </c>
      <c r="S10" s="73">
        <v>46.558878784531792</v>
      </c>
      <c r="T10" s="73">
        <v>169.51584708674235</v>
      </c>
      <c r="U10" s="73">
        <v>135.06118190289257</v>
      </c>
      <c r="V10" s="73">
        <v>105.46764437514437</v>
      </c>
      <c r="W10" s="73">
        <v>170.10192121264319</v>
      </c>
      <c r="X10" s="73">
        <v>4.1216321254979675</v>
      </c>
      <c r="Y10" s="73">
        <v>3.1844695368976148</v>
      </c>
      <c r="Z10" s="73">
        <v>15.025310424451805</v>
      </c>
      <c r="AA10" s="73">
        <v>13.648080783374384</v>
      </c>
      <c r="AB10" s="73">
        <v>8.1670574502474338</v>
      </c>
      <c r="AC10" s="73">
        <v>8.6392938666427703</v>
      </c>
      <c r="AD10" s="73">
        <v>50.999715207649075</v>
      </c>
      <c r="AE10" s="73">
        <v>20.051483853835094</v>
      </c>
      <c r="AF10" s="73">
        <v>52.693659288834951</v>
      </c>
      <c r="AG10" s="73">
        <v>170.71895807116357</v>
      </c>
      <c r="AH10" s="73">
        <v>1299.1315266472341</v>
      </c>
      <c r="AI10" s="73">
        <v>9.5068113126696261</v>
      </c>
      <c r="AJ10" s="73">
        <v>203.82573938300291</v>
      </c>
      <c r="AK10" s="73">
        <v>173.32200054141936</v>
      </c>
      <c r="AL10" s="73">
        <v>0</v>
      </c>
      <c r="AM10" s="73">
        <v>19.717476223875501</v>
      </c>
      <c r="AN10" s="73">
        <v>33.97389350164589</v>
      </c>
      <c r="AO10" s="73">
        <v>211.53698322596262</v>
      </c>
      <c r="AP10" s="73">
        <v>31.685530898456268</v>
      </c>
      <c r="AQ10" s="73">
        <v>203.11272515486843</v>
      </c>
      <c r="AR10" s="73">
        <v>0.54975155661210762</v>
      </c>
      <c r="AS10" s="73">
        <v>298.40762034306249</v>
      </c>
      <c r="AT10" s="73">
        <v>249.64307784192016</v>
      </c>
      <c r="AU10" s="73">
        <v>341.92534666968413</v>
      </c>
      <c r="AV10" s="73">
        <v>484.98740333134913</v>
      </c>
      <c r="AW10" s="73">
        <v>1237.6877909909012</v>
      </c>
      <c r="AX10" s="73">
        <v>11.662347519453958</v>
      </c>
      <c r="AY10" s="73">
        <v>3984.3550577458318</v>
      </c>
      <c r="AZ10" s="73">
        <v>131.68265445699623</v>
      </c>
      <c r="BA10" s="73">
        <v>2305.1778935745115</v>
      </c>
      <c r="BB10" s="73">
        <v>8935.4586552793298</v>
      </c>
      <c r="BC10" s="666">
        <f t="shared" si="7"/>
        <v>0</v>
      </c>
      <c r="BD10" s="73">
        <v>0</v>
      </c>
      <c r="BE10" s="73">
        <v>0</v>
      </c>
      <c r="BF10" s="73">
        <v>0</v>
      </c>
      <c r="BG10" s="73">
        <v>0</v>
      </c>
      <c r="BH10" s="73">
        <v>0</v>
      </c>
      <c r="BI10" s="73">
        <v>0</v>
      </c>
      <c r="BJ10" s="73">
        <v>0</v>
      </c>
      <c r="BK10" s="73">
        <v>0</v>
      </c>
      <c r="BL10" s="76">
        <f t="shared" si="9"/>
        <v>21746</v>
      </c>
      <c r="BM10" s="667">
        <f t="shared" si="2"/>
        <v>0</v>
      </c>
      <c r="BO10" s="668" t="s">
        <v>857</v>
      </c>
      <c r="BP10" s="204">
        <f t="shared" si="3"/>
        <v>21746</v>
      </c>
      <c r="BQ10" s="204">
        <f t="shared" si="4"/>
        <v>23050.760000000002</v>
      </c>
      <c r="BR10" s="204">
        <f t="shared" si="5"/>
        <v>1304.760000000002</v>
      </c>
      <c r="BU10" s="1251" t="s">
        <v>1050</v>
      </c>
      <c r="BV10" s="1254">
        <f t="shared" si="8"/>
        <v>0</v>
      </c>
    </row>
    <row r="11" spans="1:74" outlineLevel="1" x14ac:dyDescent="0.25">
      <c r="A11" s="177" t="s">
        <v>473</v>
      </c>
      <c r="B11" s="3" t="s">
        <v>858</v>
      </c>
      <c r="C11" s="662"/>
      <c r="D11" s="1125">
        <v>937188</v>
      </c>
      <c r="E11" s="664">
        <f>D11/'Assumptions (3)'!$B$4</f>
        <v>705076.73788745108</v>
      </c>
      <c r="F11" s="665">
        <f>273729/'Assumptions (3)'!$B$4</f>
        <v>205935.14896178152</v>
      </c>
      <c r="G11" s="665"/>
      <c r="H11" s="637">
        <f>E11*'Assumptions (3)'!$B$18</f>
        <v>14101.534757749021</v>
      </c>
      <c r="I11" s="666">
        <f t="shared" si="6"/>
        <v>263129.26535922941</v>
      </c>
      <c r="J11" s="73">
        <v>1653.4185544209624</v>
      </c>
      <c r="K11" s="73">
        <v>490.42416223867787</v>
      </c>
      <c r="L11" s="73">
        <v>514.93565438434848</v>
      </c>
      <c r="M11" s="73">
        <v>492.39677891843587</v>
      </c>
      <c r="N11" s="73">
        <v>861.68633690854983</v>
      </c>
      <c r="O11" s="73">
        <v>1973.2261047299155</v>
      </c>
      <c r="P11" s="73">
        <v>238.70837195631165</v>
      </c>
      <c r="Q11" s="73">
        <v>632.08425396895666</v>
      </c>
      <c r="R11" s="73">
        <v>540.63570468538137</v>
      </c>
      <c r="S11" s="73">
        <v>556.18217365148189</v>
      </c>
      <c r="T11" s="73">
        <v>2014.602517574373</v>
      </c>
      <c r="U11" s="73">
        <v>1608.4217006178844</v>
      </c>
      <c r="V11" s="73">
        <v>1276.3030846752958</v>
      </c>
      <c r="W11" s="73">
        <v>2046.7606507374346</v>
      </c>
      <c r="X11" s="73">
        <v>50.605872863757163</v>
      </c>
      <c r="Y11" s="73">
        <v>39.918295184125505</v>
      </c>
      <c r="Z11" s="73">
        <v>193.01222416617489</v>
      </c>
      <c r="AA11" s="73">
        <v>176.42297422458316</v>
      </c>
      <c r="AB11" s="73">
        <v>106.14044421840347</v>
      </c>
      <c r="AC11" s="73">
        <v>108.56029912806453</v>
      </c>
      <c r="AD11" s="73">
        <v>615.95115351157972</v>
      </c>
      <c r="AE11" s="73">
        <v>247.04849380862444</v>
      </c>
      <c r="AF11" s="73">
        <v>642.8095886204037</v>
      </c>
      <c r="AG11" s="73">
        <v>1996.8912809748829</v>
      </c>
      <c r="AH11" s="73">
        <v>16352.096963449392</v>
      </c>
      <c r="AI11" s="73">
        <v>113.57376769065762</v>
      </c>
      <c r="AJ11" s="73">
        <v>2409.8567862594305</v>
      </c>
      <c r="AK11" s="73">
        <v>2072.1001377029038</v>
      </c>
      <c r="AL11" s="73">
        <v>0</v>
      </c>
      <c r="AM11" s="73">
        <v>252.71160975012711</v>
      </c>
      <c r="AN11" s="73">
        <v>427.35925440979889</v>
      </c>
      <c r="AO11" s="73">
        <v>2519.4628390108892</v>
      </c>
      <c r="AP11" s="73">
        <v>381.58603403747048</v>
      </c>
      <c r="AQ11" s="73">
        <v>2394.448548066347</v>
      </c>
      <c r="AR11" s="73">
        <v>7.2339786376483959</v>
      </c>
      <c r="AS11" s="73">
        <v>3528.9018687721832</v>
      </c>
      <c r="AT11" s="73">
        <v>2927.5758487928265</v>
      </c>
      <c r="AU11" s="73">
        <v>4092.7727632313668</v>
      </c>
      <c r="AV11" s="73">
        <v>5752.4072643632353</v>
      </c>
      <c r="AW11" s="73">
        <v>14732.653013616433</v>
      </c>
      <c r="AX11" s="73">
        <v>153.46054377811947</v>
      </c>
      <c r="AY11" s="73">
        <v>47412.736716789528</v>
      </c>
      <c r="AZ11" s="73">
        <v>1594.5279078873289</v>
      </c>
      <c r="BA11" s="73">
        <v>28752.988218637533</v>
      </c>
      <c r="BB11" s="73">
        <v>108173.66461817754</v>
      </c>
      <c r="BC11" s="666">
        <f t="shared" si="7"/>
        <v>427845.93777047272</v>
      </c>
      <c r="BD11" s="73">
        <v>68716.82500747536</v>
      </c>
      <c r="BE11" s="73">
        <v>62669.544822035685</v>
      </c>
      <c r="BF11" s="73">
        <v>38370.858392146562</v>
      </c>
      <c r="BG11" s="73">
        <v>70914.341668471476</v>
      </c>
      <c r="BH11" s="73">
        <v>55550.675264904457</v>
      </c>
      <c r="BI11" s="73">
        <v>40448.909425313497</v>
      </c>
      <c r="BJ11" s="73">
        <v>22814.078211187378</v>
      </c>
      <c r="BK11" s="73">
        <v>68360.704978938302</v>
      </c>
      <c r="BL11" s="76">
        <f t="shared" si="9"/>
        <v>705076.73788745119</v>
      </c>
      <c r="BM11" s="667">
        <f t="shared" si="2"/>
        <v>0</v>
      </c>
      <c r="BO11" s="668" t="s">
        <v>857</v>
      </c>
      <c r="BP11" s="204">
        <f t="shared" si="3"/>
        <v>705076.73788745108</v>
      </c>
      <c r="BQ11" s="204">
        <f t="shared" si="4"/>
        <v>735025.23322299123</v>
      </c>
      <c r="BR11" s="204">
        <f t="shared" si="5"/>
        <v>29948.495335540152</v>
      </c>
      <c r="BU11" s="1251" t="s">
        <v>1139</v>
      </c>
      <c r="BV11" s="1254">
        <f t="shared" si="8"/>
        <v>359485.23279153439</v>
      </c>
    </row>
    <row r="12" spans="1:74" outlineLevel="1" x14ac:dyDescent="0.25">
      <c r="A12" s="177" t="s">
        <v>474</v>
      </c>
      <c r="B12" s="3" t="s">
        <v>132</v>
      </c>
      <c r="C12" s="662"/>
      <c r="D12" s="1125">
        <v>151155</v>
      </c>
      <c r="E12" s="664">
        <f>D12/'Assumptions (3)'!$B$4</f>
        <v>113718.77821245862</v>
      </c>
      <c r="F12" s="664"/>
      <c r="G12" s="664"/>
      <c r="H12" s="242"/>
      <c r="I12" s="666">
        <f t="shared" si="6"/>
        <v>43305.083066745909</v>
      </c>
      <c r="J12" s="73">
        <v>272.11502964349864</v>
      </c>
      <c r="K12" s="73">
        <v>80.712645378653974</v>
      </c>
      <c r="L12" s="73">
        <v>84.746678620866746</v>
      </c>
      <c r="M12" s="73">
        <v>81.037293148483542</v>
      </c>
      <c r="N12" s="73">
        <v>141.81394208037264</v>
      </c>
      <c r="O12" s="73">
        <v>324.74806729742289</v>
      </c>
      <c r="P12" s="73">
        <v>39.285960313776144</v>
      </c>
      <c r="Q12" s="73">
        <v>104.02666950002066</v>
      </c>
      <c r="R12" s="73">
        <v>88.97632146042838</v>
      </c>
      <c r="S12" s="73">
        <v>91.534916108015182</v>
      </c>
      <c r="T12" s="73">
        <v>331.55768230845933</v>
      </c>
      <c r="U12" s="73">
        <v>264.70957252331004</v>
      </c>
      <c r="V12" s="73">
        <v>210.05041390873589</v>
      </c>
      <c r="W12" s="73">
        <v>336.85017847378191</v>
      </c>
      <c r="X12" s="73">
        <v>8.3285738856843547</v>
      </c>
      <c r="Y12" s="73">
        <v>6.5696420596600307</v>
      </c>
      <c r="Z12" s="73">
        <v>31.76541533303989</v>
      </c>
      <c r="AA12" s="73">
        <v>29.035202691147443</v>
      </c>
      <c r="AB12" s="73">
        <v>17.468299268590087</v>
      </c>
      <c r="AC12" s="73">
        <v>17.866552263099386</v>
      </c>
      <c r="AD12" s="73">
        <v>101.37152867227177</v>
      </c>
      <c r="AE12" s="73">
        <v>40.658554385013758</v>
      </c>
      <c r="AF12" s="73">
        <v>105.7918152635125</v>
      </c>
      <c r="AG12" s="73">
        <v>328.64281622122041</v>
      </c>
      <c r="AH12" s="73">
        <v>2691.1826639690103</v>
      </c>
      <c r="AI12" s="73">
        <v>18.691654983084607</v>
      </c>
      <c r="AJ12" s="73">
        <v>396.60753115185764</v>
      </c>
      <c r="AK12" s="73">
        <v>341.0204808018421</v>
      </c>
      <c r="AL12" s="73">
        <v>0</v>
      </c>
      <c r="AM12" s="73">
        <v>41.590574264781132</v>
      </c>
      <c r="AN12" s="73">
        <v>70.333598151057231</v>
      </c>
      <c r="AO12" s="73">
        <v>414.64619063939142</v>
      </c>
      <c r="AP12" s="73">
        <v>62.800368778984186</v>
      </c>
      <c r="AQ12" s="73">
        <v>394.07168614065097</v>
      </c>
      <c r="AR12" s="73">
        <v>1.1905480957382273</v>
      </c>
      <c r="AS12" s="73">
        <v>580.77686019813177</v>
      </c>
      <c r="AT12" s="73">
        <v>481.8122953487952</v>
      </c>
      <c r="AU12" s="73">
        <v>673.57716460417601</v>
      </c>
      <c r="AV12" s="73">
        <v>946.71519747875482</v>
      </c>
      <c r="AW12" s="73">
        <v>2424.6590803086665</v>
      </c>
      <c r="AX12" s="73">
        <v>25.256109717430043</v>
      </c>
      <c r="AY12" s="73">
        <v>7803.0564146456209</v>
      </c>
      <c r="AZ12" s="73">
        <v>262.42297073658955</v>
      </c>
      <c r="BA12" s="73">
        <v>4732.0868757238395</v>
      </c>
      <c r="BB12" s="73">
        <v>17802.921030198446</v>
      </c>
      <c r="BC12" s="666">
        <f t="shared" si="7"/>
        <v>70413.695145712729</v>
      </c>
      <c r="BD12" s="73">
        <v>11309.224046094449</v>
      </c>
      <c r="BE12" s="73">
        <v>10313.97948292953</v>
      </c>
      <c r="BF12" s="73">
        <v>6314.9692138794562</v>
      </c>
      <c r="BG12" s="73">
        <v>11670.88522967688</v>
      </c>
      <c r="BH12" s="73">
        <v>9142.3757196916322</v>
      </c>
      <c r="BI12" s="73">
        <v>6656.9690765149362</v>
      </c>
      <c r="BJ12" s="73">
        <v>3754.6775752135245</v>
      </c>
      <c r="BK12" s="73">
        <v>11250.614801712318</v>
      </c>
      <c r="BL12" s="76">
        <f t="shared" si="9"/>
        <v>113718.77821245864</v>
      </c>
      <c r="BM12" s="667">
        <f t="shared" si="2"/>
        <v>0</v>
      </c>
      <c r="BO12" s="668" t="s">
        <v>857</v>
      </c>
      <c r="BP12" s="204">
        <f t="shared" si="3"/>
        <v>113718.77821245862</v>
      </c>
      <c r="BQ12" s="204">
        <f t="shared" si="4"/>
        <v>120541.90490520615</v>
      </c>
      <c r="BR12" s="204">
        <f t="shared" si="5"/>
        <v>6823.1266927475226</v>
      </c>
      <c r="BU12" s="1251" t="s">
        <v>474</v>
      </c>
      <c r="BV12" s="1254">
        <f t="shared" si="8"/>
        <v>59163.080344000409</v>
      </c>
    </row>
    <row r="13" spans="1:74" outlineLevel="1" x14ac:dyDescent="0.25">
      <c r="A13" s="177" t="s">
        <v>475</v>
      </c>
      <c r="B13" s="3" t="s">
        <v>132</v>
      </c>
      <c r="C13" s="662"/>
      <c r="D13" s="1125">
        <v>280266</v>
      </c>
      <c r="E13" s="664">
        <f>D13/'Assumptions (3)'!$B$4</f>
        <v>210853.14474872104</v>
      </c>
      <c r="F13" s="665">
        <f>8495/'Assumptions (3)'!$B$4</f>
        <v>6391.0622931086373</v>
      </c>
      <c r="G13" s="665"/>
      <c r="H13" s="242"/>
      <c r="I13" s="666">
        <f t="shared" si="6"/>
        <v>80294.68036640939</v>
      </c>
      <c r="J13" s="73">
        <v>504.54560482990837</v>
      </c>
      <c r="K13" s="73">
        <v>149.65439627993672</v>
      </c>
      <c r="L13" s="73">
        <v>157.13415123784088</v>
      </c>
      <c r="M13" s="73">
        <v>150.25634614503582</v>
      </c>
      <c r="N13" s="73">
        <v>262.94615653532941</v>
      </c>
      <c r="O13" s="73">
        <v>602.13583294750106</v>
      </c>
      <c r="P13" s="73">
        <v>72.84257188515619</v>
      </c>
      <c r="Q13" s="73">
        <v>192.88239591209546</v>
      </c>
      <c r="R13" s="73">
        <v>164.97659826289848</v>
      </c>
      <c r="S13" s="73">
        <v>169.72064965055065</v>
      </c>
      <c r="T13" s="73">
        <v>614.76196877286668</v>
      </c>
      <c r="U13" s="73">
        <v>490.81468064449081</v>
      </c>
      <c r="V13" s="73">
        <v>389.46769411892279</v>
      </c>
      <c r="W13" s="73">
        <v>624.57511905086142</v>
      </c>
      <c r="X13" s="73">
        <v>15.442533086204303</v>
      </c>
      <c r="Y13" s="73">
        <v>12.181186871044147</v>
      </c>
      <c r="Z13" s="73">
        <v>58.89825605325499</v>
      </c>
      <c r="AA13" s="73">
        <v>53.835996939810983</v>
      </c>
      <c r="AB13" s="73">
        <v>32.389073221598153</v>
      </c>
      <c r="AC13" s="73">
        <v>33.127499166880433</v>
      </c>
      <c r="AD13" s="73">
        <v>187.95933217467444</v>
      </c>
      <c r="AE13" s="73">
        <v>75.387584951012315</v>
      </c>
      <c r="AF13" s="73">
        <v>196.15526377985242</v>
      </c>
      <c r="AG13" s="73">
        <v>609.35733208333534</v>
      </c>
      <c r="AH13" s="73">
        <v>4989.8911746216709</v>
      </c>
      <c r="AI13" s="73">
        <v>34.657374056360624</v>
      </c>
      <c r="AJ13" s="73">
        <v>735.37498809702981</v>
      </c>
      <c r="AK13" s="73">
        <v>632.30753909833663</v>
      </c>
      <c r="AL13" s="73">
        <v>0</v>
      </c>
      <c r="AM13" s="73">
        <v>77.115701676379544</v>
      </c>
      <c r="AN13" s="73">
        <v>130.40995150278988</v>
      </c>
      <c r="AO13" s="73">
        <v>768.82160210207849</v>
      </c>
      <c r="AP13" s="73">
        <v>116.44211674248805</v>
      </c>
      <c r="AQ13" s="73">
        <v>730.67311824217313</v>
      </c>
      <c r="AR13" s="73">
        <v>2.2074701637403327</v>
      </c>
      <c r="AS13" s="73">
        <v>1076.8549336792671</v>
      </c>
      <c r="AT13" s="73">
        <v>893.35850463580721</v>
      </c>
      <c r="AU13" s="73">
        <v>1248.9218194234659</v>
      </c>
      <c r="AV13" s="73">
        <v>1755.3642389373867</v>
      </c>
      <c r="AW13" s="73">
        <v>4495.7130217444919</v>
      </c>
      <c r="AX13" s="73">
        <v>46.828942781021127</v>
      </c>
      <c r="AY13" s="73">
        <v>14468.138064285466</v>
      </c>
      <c r="AZ13" s="73">
        <v>486.57494834084878</v>
      </c>
      <c r="BA13" s="73">
        <v>8774.060139007097</v>
      </c>
      <c r="BB13" s="73">
        <v>33009.516492670424</v>
      </c>
      <c r="BC13" s="666">
        <f t="shared" si="7"/>
        <v>130558.46438231168</v>
      </c>
      <c r="BD13" s="73">
        <v>20969.144166601876</v>
      </c>
      <c r="BE13" s="73">
        <v>19123.79857604927</v>
      </c>
      <c r="BF13" s="73">
        <v>11708.981917218349</v>
      </c>
      <c r="BG13" s="73">
        <v>21639.722931961365</v>
      </c>
      <c r="BH13" s="73">
        <v>16951.454291654893</v>
      </c>
      <c r="BI13" s="73">
        <v>12343.105389821938</v>
      </c>
      <c r="BJ13" s="73">
        <v>6961.7840315887242</v>
      </c>
      <c r="BK13" s="73">
        <v>20860.473077415263</v>
      </c>
      <c r="BL13" s="76">
        <f t="shared" si="9"/>
        <v>210853.14474872107</v>
      </c>
      <c r="BM13" s="667">
        <f t="shared" si="2"/>
        <v>0</v>
      </c>
      <c r="BO13" s="668" t="s">
        <v>857</v>
      </c>
      <c r="BP13" s="204">
        <f t="shared" si="3"/>
        <v>210853.14474872104</v>
      </c>
      <c r="BQ13" s="204">
        <f t="shared" si="4"/>
        <v>223120.86969605778</v>
      </c>
      <c r="BR13" s="204">
        <f t="shared" si="5"/>
        <v>12267.724947336741</v>
      </c>
      <c r="BU13" s="1251" t="s">
        <v>1051</v>
      </c>
      <c r="BV13" s="1254">
        <f t="shared" si="8"/>
        <v>109697.99130489642</v>
      </c>
    </row>
    <row r="14" spans="1:74" s="643" customFormat="1" ht="30" outlineLevel="1" x14ac:dyDescent="0.25">
      <c r="A14" s="669" t="s">
        <v>827</v>
      </c>
      <c r="B14" s="670" t="s">
        <v>862</v>
      </c>
      <c r="C14" s="662"/>
      <c r="D14" s="671">
        <f>E14*'Assumptions (3)'!$B$4</f>
        <v>22491.393199999999</v>
      </c>
      <c r="E14" s="1126">
        <v>16921</v>
      </c>
      <c r="F14" s="673"/>
      <c r="G14" s="673"/>
      <c r="H14" s="674"/>
      <c r="I14" s="675">
        <f t="shared" si="6"/>
        <v>16921</v>
      </c>
      <c r="J14" s="676">
        <v>0</v>
      </c>
      <c r="K14" s="676">
        <v>0</v>
      </c>
      <c r="L14" s="676">
        <v>0</v>
      </c>
      <c r="M14" s="676">
        <v>0</v>
      </c>
      <c r="N14" s="676">
        <v>0</v>
      </c>
      <c r="O14" s="676">
        <v>0</v>
      </c>
      <c r="P14" s="676">
        <v>0</v>
      </c>
      <c r="Q14" s="676">
        <v>0</v>
      </c>
      <c r="R14" s="676">
        <v>0</v>
      </c>
      <c r="S14" s="676">
        <v>0</v>
      </c>
      <c r="T14" s="676">
        <v>0</v>
      </c>
      <c r="U14" s="676">
        <v>0</v>
      </c>
      <c r="V14" s="676">
        <v>0</v>
      </c>
      <c r="W14" s="676">
        <v>0</v>
      </c>
      <c r="X14" s="676">
        <v>0</v>
      </c>
      <c r="Y14" s="676">
        <v>0</v>
      </c>
      <c r="Z14" s="676">
        <v>0</v>
      </c>
      <c r="AA14" s="676">
        <v>0</v>
      </c>
      <c r="AB14" s="676">
        <v>0</v>
      </c>
      <c r="AC14" s="676">
        <v>0</v>
      </c>
      <c r="AD14" s="676">
        <v>0</v>
      </c>
      <c r="AE14" s="676">
        <v>0</v>
      </c>
      <c r="AF14" s="676">
        <v>0</v>
      </c>
      <c r="AG14" s="676">
        <v>0</v>
      </c>
      <c r="AH14" s="676">
        <v>0</v>
      </c>
      <c r="AI14" s="676">
        <v>0</v>
      </c>
      <c r="AJ14" s="676">
        <v>0</v>
      </c>
      <c r="AK14" s="676">
        <v>0</v>
      </c>
      <c r="AL14" s="676">
        <v>0</v>
      </c>
      <c r="AM14" s="676">
        <v>0</v>
      </c>
      <c r="AN14" s="676">
        <v>0</v>
      </c>
      <c r="AO14" s="676">
        <v>0</v>
      </c>
      <c r="AP14" s="676">
        <v>0</v>
      </c>
      <c r="AQ14" s="676">
        <v>0</v>
      </c>
      <c r="AR14" s="676">
        <v>0</v>
      </c>
      <c r="AS14" s="676">
        <v>0</v>
      </c>
      <c r="AT14" s="676">
        <v>0</v>
      </c>
      <c r="AU14" s="676">
        <v>0</v>
      </c>
      <c r="AV14" s="676">
        <v>0</v>
      </c>
      <c r="AW14" s="676">
        <v>0</v>
      </c>
      <c r="AX14" s="676">
        <v>0</v>
      </c>
      <c r="AY14" s="676">
        <v>4592.8428571428576</v>
      </c>
      <c r="AZ14" s="676">
        <v>392.80892857142857</v>
      </c>
      <c r="BA14" s="676">
        <v>3323.7678571428569</v>
      </c>
      <c r="BB14" s="676">
        <v>8611.5803571428569</v>
      </c>
      <c r="BC14" s="675">
        <f t="shared" si="7"/>
        <v>0</v>
      </c>
      <c r="BD14" s="676">
        <v>0</v>
      </c>
      <c r="BE14" s="676">
        <v>0</v>
      </c>
      <c r="BF14" s="676">
        <v>0</v>
      </c>
      <c r="BG14" s="676">
        <v>0</v>
      </c>
      <c r="BH14" s="676">
        <v>0</v>
      </c>
      <c r="BI14" s="676">
        <v>0</v>
      </c>
      <c r="BJ14" s="676">
        <v>0</v>
      </c>
      <c r="BK14" s="676">
        <v>0</v>
      </c>
      <c r="BL14" s="677">
        <f t="shared" si="9"/>
        <v>16921</v>
      </c>
      <c r="BM14" s="678">
        <f t="shared" si="2"/>
        <v>0</v>
      </c>
      <c r="BO14" s="679" t="s">
        <v>863</v>
      </c>
      <c r="BP14" s="652">
        <f t="shared" si="3"/>
        <v>16921</v>
      </c>
      <c r="BQ14" s="652">
        <f t="shared" si="4"/>
        <v>16921</v>
      </c>
      <c r="BR14" s="652">
        <f t="shared" si="5"/>
        <v>0</v>
      </c>
      <c r="BU14" s="1251" t="s">
        <v>1052</v>
      </c>
      <c r="BV14" s="1254">
        <f t="shared" si="8"/>
        <v>0</v>
      </c>
    </row>
    <row r="15" spans="1:74" outlineLevel="1" x14ac:dyDescent="0.25">
      <c r="A15" s="177" t="s">
        <v>476</v>
      </c>
      <c r="B15" s="3" t="s">
        <v>132</v>
      </c>
      <c r="C15" s="662"/>
      <c r="D15" s="1125">
        <v>209989</v>
      </c>
      <c r="E15" s="664">
        <f>D15/'Assumptions (3)'!$B$4</f>
        <v>157981.49262714415</v>
      </c>
      <c r="F15" s="665">
        <f>64919/'Assumptions (3)'!$B$4</f>
        <v>48840.656033704487</v>
      </c>
      <c r="G15" s="665"/>
      <c r="H15" s="242"/>
      <c r="I15" s="666">
        <f t="shared" si="6"/>
        <v>60160.703172921232</v>
      </c>
      <c r="J15" s="73">
        <v>378.030253447181</v>
      </c>
      <c r="K15" s="73">
        <v>112.12839595394244</v>
      </c>
      <c r="L15" s="73">
        <v>117.73259433639103</v>
      </c>
      <c r="M15" s="73">
        <v>112.57940624495988</v>
      </c>
      <c r="N15" s="73">
        <v>197.01212585435724</v>
      </c>
      <c r="O15" s="73">
        <v>451.1496272284644</v>
      </c>
      <c r="P15" s="73">
        <v>54.577218883460937</v>
      </c>
      <c r="Q15" s="73">
        <v>144.51692832946205</v>
      </c>
      <c r="R15" s="73">
        <v>123.60853936127747</v>
      </c>
      <c r="S15" s="73">
        <v>127.16301477692434</v>
      </c>
      <c r="T15" s="73">
        <v>460.60974595793101</v>
      </c>
      <c r="U15" s="73">
        <v>367.74237322349478</v>
      </c>
      <c r="V15" s="73">
        <v>291.80825223301605</v>
      </c>
      <c r="W15" s="73">
        <v>467.96223828210105</v>
      </c>
      <c r="X15" s="73">
        <v>11.570301357421005</v>
      </c>
      <c r="Y15" s="73">
        <v>9.1267412025136458</v>
      </c>
      <c r="Z15" s="73">
        <v>44.129455197444436</v>
      </c>
      <c r="AA15" s="73">
        <v>40.336562984428966</v>
      </c>
      <c r="AB15" s="73">
        <v>24.267478383857391</v>
      </c>
      <c r="AC15" s="73">
        <v>24.820743231623016</v>
      </c>
      <c r="AD15" s="73">
        <v>140.82832810268715</v>
      </c>
      <c r="AE15" s="73">
        <v>56.484067194301574</v>
      </c>
      <c r="AF15" s="73">
        <v>146.96912107022411</v>
      </c>
      <c r="AG15" s="73">
        <v>456.56032771312795</v>
      </c>
      <c r="AH15" s="73">
        <v>3738.6706124454272</v>
      </c>
      <c r="AI15" s="73">
        <v>25.96700035224077</v>
      </c>
      <c r="AJ15" s="73">
        <v>550.97892136579958</v>
      </c>
      <c r="AK15" s="73">
        <v>473.75574571200434</v>
      </c>
      <c r="AL15" s="73">
        <v>0</v>
      </c>
      <c r="AM15" s="73">
        <v>57.778856797903643</v>
      </c>
      <c r="AN15" s="73">
        <v>97.709516338476107</v>
      </c>
      <c r="AO15" s="73">
        <v>576.03876104776668</v>
      </c>
      <c r="AP15" s="73">
        <v>87.244131120572334</v>
      </c>
      <c r="AQ15" s="73">
        <v>547.45605041837291</v>
      </c>
      <c r="AR15" s="73">
        <v>1.6539446533424274</v>
      </c>
      <c r="AS15" s="73">
        <v>806.83240445996159</v>
      </c>
      <c r="AT15" s="73">
        <v>669.34790174323155</v>
      </c>
      <c r="AU15" s="73">
        <v>935.75333411442762</v>
      </c>
      <c r="AV15" s="73">
        <v>1315.2047739298484</v>
      </c>
      <c r="AW15" s="73">
        <v>3368.4081612578912</v>
      </c>
      <c r="AX15" s="73">
        <v>35.086535168889</v>
      </c>
      <c r="AY15" s="73">
        <v>10840.236931990468</v>
      </c>
      <c r="AZ15" s="73">
        <v>364.56575834081372</v>
      </c>
      <c r="BA15" s="73">
        <v>6573.9551516415167</v>
      </c>
      <c r="BB15" s="73">
        <v>24732.34483947168</v>
      </c>
      <c r="BC15" s="666">
        <f t="shared" si="7"/>
        <v>97820.789454222948</v>
      </c>
      <c r="BD15" s="73">
        <v>15711.108783800251</v>
      </c>
      <c r="BE15" s="73">
        <v>14328.485578650319</v>
      </c>
      <c r="BF15" s="73">
        <v>8772.9421471557871</v>
      </c>
      <c r="BG15" s="73">
        <v>16213.539204754181</v>
      </c>
      <c r="BH15" s="73">
        <v>12700.858952746032</v>
      </c>
      <c r="BI15" s="73">
        <v>9248.0584790995654</v>
      </c>
      <c r="BJ15" s="73">
        <v>5216.10922127295</v>
      </c>
      <c r="BK15" s="73">
        <v>15629.687086743857</v>
      </c>
      <c r="BL15" s="76">
        <f t="shared" si="9"/>
        <v>157981.49262714418</v>
      </c>
      <c r="BM15" s="667">
        <f t="shared" si="2"/>
        <v>0</v>
      </c>
      <c r="BO15" s="668" t="s">
        <v>857</v>
      </c>
      <c r="BP15" s="204">
        <f t="shared" si="3"/>
        <v>157981.49262714415</v>
      </c>
      <c r="BQ15" s="204">
        <f t="shared" si="4"/>
        <v>164529.94282275054</v>
      </c>
      <c r="BR15" s="204">
        <f t="shared" si="5"/>
        <v>6548.4501956063905</v>
      </c>
      <c r="BU15" s="1251" t="s">
        <v>1133</v>
      </c>
      <c r="BV15" s="1254">
        <f t="shared" si="8"/>
        <v>82191.102367479092</v>
      </c>
    </row>
    <row r="16" spans="1:74" outlineLevel="1" x14ac:dyDescent="0.25">
      <c r="A16" s="177" t="s">
        <v>477</v>
      </c>
      <c r="B16" s="3" t="s">
        <v>858</v>
      </c>
      <c r="C16" s="662"/>
      <c r="D16" s="1125">
        <v>47159</v>
      </c>
      <c r="E16" s="664">
        <f>D16/'Assumptions (3)'!$B$4</f>
        <v>35479.235630454408</v>
      </c>
      <c r="F16" s="665">
        <f>39/'Assumptions (3)'!$B$4</f>
        <v>29.340956966596451</v>
      </c>
      <c r="G16" s="664"/>
      <c r="H16" s="637">
        <f>E16*'Assumptions (3)'!$B$18</f>
        <v>709.58471260908823</v>
      </c>
      <c r="I16" s="666">
        <f t="shared" si="6"/>
        <v>13240.580358557621</v>
      </c>
      <c r="J16" s="73">
        <v>83.199492106106959</v>
      </c>
      <c r="K16" s="73">
        <v>24.677986772145836</v>
      </c>
      <c r="L16" s="73">
        <v>25.911397206442562</v>
      </c>
      <c r="M16" s="73">
        <v>24.777248211687002</v>
      </c>
      <c r="N16" s="73">
        <v>43.359780494703628</v>
      </c>
      <c r="O16" s="73">
        <v>99.292105610569166</v>
      </c>
      <c r="P16" s="73">
        <v>12.011728823979501</v>
      </c>
      <c r="Q16" s="73">
        <v>31.80627721750815</v>
      </c>
      <c r="R16" s="73">
        <v>27.204615506448977</v>
      </c>
      <c r="S16" s="73">
        <v>27.986908845642752</v>
      </c>
      <c r="T16" s="73">
        <v>101.37415345297833</v>
      </c>
      <c r="U16" s="73">
        <v>80.935264834204901</v>
      </c>
      <c r="V16" s="73">
        <v>64.223162450012467</v>
      </c>
      <c r="W16" s="73">
        <v>102.99234041422498</v>
      </c>
      <c r="X16" s="73">
        <v>2.5464713145942159</v>
      </c>
      <c r="Y16" s="73">
        <v>2.0086758287431921</v>
      </c>
      <c r="Z16" s="73">
        <v>9.7123133026165966</v>
      </c>
      <c r="AA16" s="73">
        <v>8.8775475587151327</v>
      </c>
      <c r="AB16" s="73">
        <v>5.3409531586999508</v>
      </c>
      <c r="AC16" s="73">
        <v>5.4627194827296073</v>
      </c>
      <c r="AD16" s="73">
        <v>30.994464769558071</v>
      </c>
      <c r="AE16" s="73">
        <v>12.431401084436549</v>
      </c>
      <c r="AF16" s="73">
        <v>32.345972622088226</v>
      </c>
      <c r="AG16" s="73">
        <v>100.48292969979823</v>
      </c>
      <c r="AH16" s="73">
        <v>822.83228199604559</v>
      </c>
      <c r="AI16" s="73">
        <v>5.7149956150993431</v>
      </c>
      <c r="AJ16" s="73">
        <v>121.26322166225825</v>
      </c>
      <c r="AK16" s="73">
        <v>104.26741528266606</v>
      </c>
      <c r="AL16" s="73">
        <v>0</v>
      </c>
      <c r="AM16" s="73">
        <v>12.716367264845735</v>
      </c>
      <c r="AN16" s="73">
        <v>21.504580808452207</v>
      </c>
      <c r="AO16" s="73">
        <v>126.77856313238595</v>
      </c>
      <c r="AP16" s="73">
        <v>19.201287019438013</v>
      </c>
      <c r="AQ16" s="73">
        <v>120.48788405129052</v>
      </c>
      <c r="AR16" s="73">
        <v>0.36401148816764695</v>
      </c>
      <c r="AS16" s="73">
        <v>177.57321180961279</v>
      </c>
      <c r="AT16" s="73">
        <v>147.31467907529859</v>
      </c>
      <c r="AU16" s="73">
        <v>205.94701462377671</v>
      </c>
      <c r="AV16" s="73">
        <v>289.45929117755009</v>
      </c>
      <c r="AW16" s="73">
        <v>741.34238111151376</v>
      </c>
      <c r="AX16" s="73">
        <v>7.7220854129932697</v>
      </c>
      <c r="AY16" s="73">
        <v>2385.7937263676845</v>
      </c>
      <c r="AZ16" s="73">
        <v>80.23613363386913</v>
      </c>
      <c r="BA16" s="73">
        <v>1446.8411582337028</v>
      </c>
      <c r="BB16" s="73">
        <v>5443.2641580223344</v>
      </c>
      <c r="BC16" s="666">
        <f t="shared" si="7"/>
        <v>21529.070559287706</v>
      </c>
      <c r="BD16" s="73">
        <v>3457.8086259400793</v>
      </c>
      <c r="BE16" s="73">
        <v>3153.5114238150522</v>
      </c>
      <c r="BF16" s="73">
        <v>1930.8093049796198</v>
      </c>
      <c r="BG16" s="73">
        <v>3568.3869605067998</v>
      </c>
      <c r="BH16" s="73">
        <v>2795.2921877122089</v>
      </c>
      <c r="BI16" s="73">
        <v>2035.3761674160994</v>
      </c>
      <c r="BJ16" s="73">
        <v>1147.9971087566055</v>
      </c>
      <c r="BK16" s="73">
        <v>3439.8887801612391</v>
      </c>
      <c r="BL16" s="76">
        <f t="shared" si="9"/>
        <v>35479.235630454416</v>
      </c>
      <c r="BM16" s="667">
        <f t="shared" si="2"/>
        <v>0</v>
      </c>
      <c r="BO16" s="668" t="s">
        <v>857</v>
      </c>
      <c r="BP16" s="204">
        <f t="shared" si="3"/>
        <v>35479.235630454408</v>
      </c>
      <c r="BQ16" s="204">
        <f t="shared" si="4"/>
        <v>37606.22931086368</v>
      </c>
      <c r="BR16" s="204">
        <f t="shared" si="5"/>
        <v>2126.9936804092722</v>
      </c>
      <c r="BU16" s="1251" t="s">
        <v>477</v>
      </c>
      <c r="BV16" s="1254">
        <f t="shared" si="8"/>
        <v>18089.181779126466</v>
      </c>
    </row>
    <row r="17" spans="1:74" outlineLevel="1" x14ac:dyDescent="0.25">
      <c r="A17" s="69" t="s">
        <v>479</v>
      </c>
      <c r="B17" s="3" t="s">
        <v>132</v>
      </c>
      <c r="C17" s="662"/>
      <c r="D17" s="1125">
        <v>19409</v>
      </c>
      <c r="E17" s="664">
        <f>D17/'Assumptions (3)'!$B$4</f>
        <v>14602.016250376168</v>
      </c>
      <c r="F17" s="665"/>
      <c r="G17" s="665"/>
      <c r="H17" s="242"/>
      <c r="I17" s="666">
        <f t="shared" si="6"/>
        <v>5560.5726389631272</v>
      </c>
      <c r="J17" s="73">
        <v>34.940826372602068</v>
      </c>
      <c r="K17" s="73">
        <v>10.363876379572591</v>
      </c>
      <c r="L17" s="73">
        <v>10.881864876136435</v>
      </c>
      <c r="M17" s="73">
        <v>10.405562652369536</v>
      </c>
      <c r="N17" s="73">
        <v>18.209565028202526</v>
      </c>
      <c r="O17" s="73">
        <v>41.699151454967954</v>
      </c>
      <c r="P17" s="73">
        <v>5.0444987180713916</v>
      </c>
      <c r="Q17" s="73">
        <v>13.357504735707725</v>
      </c>
      <c r="R17" s="73">
        <v>11.424970548281266</v>
      </c>
      <c r="S17" s="73">
        <v>11.75350591604953</v>
      </c>
      <c r="T17" s="73">
        <v>42.573537467664899</v>
      </c>
      <c r="U17" s="73">
        <v>33.989931481624325</v>
      </c>
      <c r="V17" s="73">
        <v>26.971443111737322</v>
      </c>
      <c r="W17" s="73">
        <v>43.253118414856495</v>
      </c>
      <c r="X17" s="73">
        <v>1.0694273464142612</v>
      </c>
      <c r="Y17" s="73">
        <v>0.84357237759876647</v>
      </c>
      <c r="Z17" s="73">
        <v>4.0788260143493185</v>
      </c>
      <c r="AA17" s="73">
        <v>3.7282541036186747</v>
      </c>
      <c r="AB17" s="73">
        <v>2.2430102907880323</v>
      </c>
      <c r="AC17" s="73">
        <v>2.2941478143263274</v>
      </c>
      <c r="AD17" s="73">
        <v>13.016572392577968</v>
      </c>
      <c r="AE17" s="73">
        <v>5.2207461351508861</v>
      </c>
      <c r="AF17" s="73">
        <v>13.584157602788624</v>
      </c>
      <c r="AG17" s="73">
        <v>42.19925520186343</v>
      </c>
      <c r="AH17" s="73">
        <v>345.56028133356176</v>
      </c>
      <c r="AI17" s="73">
        <v>2.4000948137123426</v>
      </c>
      <c r="AJ17" s="73">
        <v>50.926238444817606</v>
      </c>
      <c r="AK17" s="73">
        <v>43.788604491303325</v>
      </c>
      <c r="AL17" s="73">
        <v>0</v>
      </c>
      <c r="AM17" s="73">
        <v>5.3404217915724725</v>
      </c>
      <c r="AN17" s="73">
        <v>9.0311587874292591</v>
      </c>
      <c r="AO17" s="73">
        <v>53.242485621514</v>
      </c>
      <c r="AP17" s="73">
        <v>8.0638573492858594</v>
      </c>
      <c r="AQ17" s="73">
        <v>50.600624235413285</v>
      </c>
      <c r="AR17" s="73">
        <v>0.152871873177753</v>
      </c>
      <c r="AS17" s="73">
        <v>74.574430747150544</v>
      </c>
      <c r="AT17" s="73">
        <v>61.866923624258327</v>
      </c>
      <c r="AU17" s="73">
        <v>86.490418363947285</v>
      </c>
      <c r="AV17" s="73">
        <v>121.5626030754203</v>
      </c>
      <c r="AW17" s="73">
        <v>311.33742244524433</v>
      </c>
      <c r="AX17" s="73">
        <v>3.2430011147868063</v>
      </c>
      <c r="AY17" s="73">
        <v>1001.9484764106836</v>
      </c>
      <c r="AZ17" s="73">
        <v>33.696321253193517</v>
      </c>
      <c r="BA17" s="73">
        <v>607.62180656229714</v>
      </c>
      <c r="BB17" s="73">
        <v>2285.9772701870374</v>
      </c>
      <c r="BC17" s="666">
        <f t="shared" si="7"/>
        <v>9041.4436114130422</v>
      </c>
      <c r="BD17" s="73">
        <v>1452.1565909870474</v>
      </c>
      <c r="BE17" s="73">
        <v>1324.3625932597615</v>
      </c>
      <c r="BF17" s="73">
        <v>810.87120817826974</v>
      </c>
      <c r="BG17" s="73">
        <v>1498.5955570295298</v>
      </c>
      <c r="BH17" s="73">
        <v>1173.9232598557435</v>
      </c>
      <c r="BI17" s="73">
        <v>854.78556981957865</v>
      </c>
      <c r="BJ17" s="73">
        <v>482.11793891911816</v>
      </c>
      <c r="BK17" s="73">
        <v>1444.6308933639932</v>
      </c>
      <c r="BL17" s="76">
        <f t="shared" si="9"/>
        <v>14602.016250376169</v>
      </c>
      <c r="BM17" s="667">
        <f t="shared" si="2"/>
        <v>0</v>
      </c>
      <c r="BO17" s="668" t="s">
        <v>857</v>
      </c>
      <c r="BP17" s="204">
        <f t="shared" si="3"/>
        <v>14602.016250376168</v>
      </c>
      <c r="BQ17" s="204">
        <f t="shared" si="4"/>
        <v>15478.137225398739</v>
      </c>
      <c r="BR17" s="204">
        <f t="shared" si="5"/>
        <v>876.12097502257166</v>
      </c>
      <c r="BU17" s="1251" t="s">
        <v>1053</v>
      </c>
      <c r="BV17" s="1254">
        <f t="shared" si="8"/>
        <v>7596.8127180490492</v>
      </c>
    </row>
    <row r="18" spans="1:74" outlineLevel="1" x14ac:dyDescent="0.25">
      <c r="A18" s="69" t="s">
        <v>864</v>
      </c>
      <c r="B18" s="3" t="s">
        <v>132</v>
      </c>
      <c r="C18" s="662"/>
      <c r="D18" s="664">
        <f>E18*'Assumptions (3)'!$B$4</f>
        <v>98398.017599999992</v>
      </c>
      <c r="E18" s="1125">
        <v>74028</v>
      </c>
      <c r="F18" s="665"/>
      <c r="G18" s="665"/>
      <c r="H18" s="242"/>
      <c r="I18" s="666">
        <f t="shared" si="6"/>
        <v>28190.49535755434</v>
      </c>
      <c r="J18" s="73">
        <v>177.13988605130828</v>
      </c>
      <c r="K18" s="73">
        <v>52.541856375980629</v>
      </c>
      <c r="L18" s="73">
        <v>55.167908269508715</v>
      </c>
      <c r="M18" s="73">
        <v>52.753193724857553</v>
      </c>
      <c r="N18" s="73">
        <v>92.317229127385048</v>
      </c>
      <c r="O18" s="73">
        <v>211.40263994904436</v>
      </c>
      <c r="P18" s="73">
        <v>25.574149809055911</v>
      </c>
      <c r="Q18" s="73">
        <v>67.718686489579667</v>
      </c>
      <c r="R18" s="73">
        <v>57.921296980228831</v>
      </c>
      <c r="S18" s="73">
        <v>59.586876293943313</v>
      </c>
      <c r="T18" s="73">
        <v>215.8355241917435</v>
      </c>
      <c r="U18" s="73">
        <v>172.31912391940151</v>
      </c>
      <c r="V18" s="73">
        <v>136.73741738400369</v>
      </c>
      <c r="W18" s="73">
        <v>219.28080308310231</v>
      </c>
      <c r="X18" s="73">
        <v>5.4216874055537003</v>
      </c>
      <c r="Y18" s="73">
        <v>4.2766680229706457</v>
      </c>
      <c r="Z18" s="73">
        <v>20.678468439758984</v>
      </c>
      <c r="AA18" s="73">
        <v>18.901170225418237</v>
      </c>
      <c r="AB18" s="73">
        <v>11.371413574627333</v>
      </c>
      <c r="AC18" s="73">
        <v>11.630666031793675</v>
      </c>
      <c r="AD18" s="73">
        <v>65.990258095551596</v>
      </c>
      <c r="AE18" s="73">
        <v>26.467673249096233</v>
      </c>
      <c r="AF18" s="73">
        <v>68.867750985644221</v>
      </c>
      <c r="AG18" s="73">
        <v>213.93802133339426</v>
      </c>
      <c r="AH18" s="73">
        <v>1751.8907024844534</v>
      </c>
      <c r="AI18" s="73">
        <v>12.16778668253572</v>
      </c>
      <c r="AJ18" s="73">
        <v>258.18130283862945</v>
      </c>
      <c r="AK18" s="73">
        <v>221.99556264695261</v>
      </c>
      <c r="AL18" s="73">
        <v>0</v>
      </c>
      <c r="AM18" s="73">
        <v>27.074394221163978</v>
      </c>
      <c r="AN18" s="73">
        <v>45.785363558857178</v>
      </c>
      <c r="AO18" s="73">
        <v>269.92400624728123</v>
      </c>
      <c r="AP18" s="73">
        <v>40.881424977016813</v>
      </c>
      <c r="AQ18" s="73">
        <v>256.53053295312395</v>
      </c>
      <c r="AR18" s="73">
        <v>0.77501619184344916</v>
      </c>
      <c r="AS18" s="73">
        <v>378.07079958617652</v>
      </c>
      <c r="AT18" s="73">
        <v>313.64741303712844</v>
      </c>
      <c r="AU18" s="73">
        <v>438.48141111891636</v>
      </c>
      <c r="AV18" s="73">
        <v>616.28724596408983</v>
      </c>
      <c r="AW18" s="73">
        <v>1578.3907039675298</v>
      </c>
      <c r="AX18" s="73">
        <v>16.44107789013405</v>
      </c>
      <c r="AY18" s="73">
        <v>5079.5890471508892</v>
      </c>
      <c r="AZ18" s="73">
        <v>170.83060496300632</v>
      </c>
      <c r="BA18" s="73">
        <v>3080.4668564202534</v>
      </c>
      <c r="BB18" s="73">
        <v>11589.243735641407</v>
      </c>
      <c r="BC18" s="666">
        <f t="shared" si="7"/>
        <v>45837.504642445674</v>
      </c>
      <c r="BD18" s="73">
        <v>7362.0140037044403</v>
      </c>
      <c r="BE18" s="73">
        <v>6714.1353887555078</v>
      </c>
      <c r="BF18" s="73">
        <v>4110.882550036511</v>
      </c>
      <c r="BG18" s="73">
        <v>7597.4461330245485</v>
      </c>
      <c r="BH18" s="73">
        <v>5951.4514701599674</v>
      </c>
      <c r="BI18" s="73">
        <v>4333.515665069448</v>
      </c>
      <c r="BJ18" s="73">
        <v>2444.1985387726882</v>
      </c>
      <c r="BK18" s="73">
        <v>7323.8608929225566</v>
      </c>
      <c r="BL18" s="76">
        <f t="shared" si="9"/>
        <v>74028.000000000015</v>
      </c>
      <c r="BM18" s="667">
        <f t="shared" si="2"/>
        <v>0</v>
      </c>
      <c r="BO18" s="668" t="s">
        <v>857</v>
      </c>
      <c r="BP18" s="204">
        <f t="shared" si="3"/>
        <v>74028</v>
      </c>
      <c r="BQ18" s="204">
        <f t="shared" si="4"/>
        <v>78469.680000000008</v>
      </c>
      <c r="BR18" s="204">
        <f t="shared" si="5"/>
        <v>4441.6800000000076</v>
      </c>
      <c r="BU18" s="1251" t="s">
        <v>1054</v>
      </c>
      <c r="BV18" s="1254">
        <f t="shared" si="8"/>
        <v>38513.643749523115</v>
      </c>
    </row>
    <row r="19" spans="1:74" outlineLevel="1" x14ac:dyDescent="0.25">
      <c r="A19" s="177" t="s">
        <v>480</v>
      </c>
      <c r="B19" s="3" t="s">
        <v>132</v>
      </c>
      <c r="C19" s="662"/>
      <c r="D19" s="1125">
        <v>44091</v>
      </c>
      <c r="E19" s="664">
        <f>D19/'Assumptions (3)'!$B$4</f>
        <v>33171.080349082156</v>
      </c>
      <c r="F19" s="664"/>
      <c r="G19" s="664"/>
      <c r="H19" s="242"/>
      <c r="I19" s="666">
        <f t="shared" si="6"/>
        <v>12631.831017802218</v>
      </c>
      <c r="J19" s="73">
        <v>79.374309629264658</v>
      </c>
      <c r="K19" s="73">
        <v>23.543390872880373</v>
      </c>
      <c r="L19" s="73">
        <v>24.720093990093847</v>
      </c>
      <c r="M19" s="73">
        <v>23.638088665342121</v>
      </c>
      <c r="N19" s="73">
        <v>41.366269857204259</v>
      </c>
      <c r="O19" s="73">
        <v>94.727048626976767</v>
      </c>
      <c r="P19" s="73">
        <v>11.459477200189898</v>
      </c>
      <c r="Q19" s="73">
        <v>30.343950811586854</v>
      </c>
      <c r="R19" s="73">
        <v>25.953855244694175</v>
      </c>
      <c r="S19" s="73">
        <v>26.70018184061723</v>
      </c>
      <c r="T19" s="73">
        <v>96.713372172023952</v>
      </c>
      <c r="U19" s="73">
        <v>77.214182541928906</v>
      </c>
      <c r="V19" s="73">
        <v>61.270436304786969</v>
      </c>
      <c r="W19" s="73">
        <v>98.257161318431528</v>
      </c>
      <c r="X19" s="73">
        <v>2.4293946690067076</v>
      </c>
      <c r="Y19" s="73">
        <v>1.9163248853988979</v>
      </c>
      <c r="Z19" s="73">
        <v>9.2657796794618896</v>
      </c>
      <c r="AA19" s="73">
        <v>8.4693931517672709</v>
      </c>
      <c r="AB19" s="73">
        <v>5.0953973275869506</v>
      </c>
      <c r="AC19" s="73">
        <v>5.2115653192571534</v>
      </c>
      <c r="AD19" s="73">
        <v>29.569462278384005</v>
      </c>
      <c r="AE19" s="73">
        <v>11.859854595545247</v>
      </c>
      <c r="AF19" s="73">
        <v>30.858833163200224</v>
      </c>
      <c r="AG19" s="73">
        <v>95.863123350268467</v>
      </c>
      <c r="AH19" s="73">
        <v>785.00171901066881</v>
      </c>
      <c r="AI19" s="73">
        <v>5.4522427961971713</v>
      </c>
      <c r="AJ19" s="73">
        <v>115.68801995313788</v>
      </c>
      <c r="AK19" s="73">
        <v>99.473613304449202</v>
      </c>
      <c r="AL19" s="73">
        <v>0</v>
      </c>
      <c r="AM19" s="73">
        <v>12.131719161843572</v>
      </c>
      <c r="AN19" s="73">
        <v>20.515885522002343</v>
      </c>
      <c r="AO19" s="73">
        <v>120.9497879096385</v>
      </c>
      <c r="AP19" s="73">
        <v>18.318488040979073</v>
      </c>
      <c r="AQ19" s="73">
        <v>114.94832928866026</v>
      </c>
      <c r="AR19" s="73">
        <v>0.347275684490716</v>
      </c>
      <c r="AS19" s="73">
        <v>169.40910021498348</v>
      </c>
      <c r="AT19" s="73">
        <v>140.5417347373473</v>
      </c>
      <c r="AU19" s="73">
        <v>196.4783881748055</v>
      </c>
      <c r="AV19" s="73">
        <v>276.1511016640917</v>
      </c>
      <c r="AW19" s="73">
        <v>707.25840038298043</v>
      </c>
      <c r="AX19" s="73">
        <v>7.3670545701512227</v>
      </c>
      <c r="AY19" s="73">
        <v>2276.1043986513187</v>
      </c>
      <c r="AZ19" s="73">
        <v>76.54719461974112</v>
      </c>
      <c r="BA19" s="73">
        <v>1380.3211434457335</v>
      </c>
      <c r="BB19" s="73">
        <v>5193.0044731730986</v>
      </c>
      <c r="BC19" s="666">
        <f t="shared" si="7"/>
        <v>20539.249331279942</v>
      </c>
      <c r="BD19" s="73">
        <v>3298.8323073424654</v>
      </c>
      <c r="BE19" s="73">
        <v>3008.5254829932583</v>
      </c>
      <c r="BF19" s="73">
        <v>1842.038355391215</v>
      </c>
      <c r="BG19" s="73">
        <v>3404.3266889066408</v>
      </c>
      <c r="BH19" s="73">
        <v>2666.7757458034721</v>
      </c>
      <c r="BI19" s="73">
        <v>1941.7976484576764</v>
      </c>
      <c r="BJ19" s="73">
        <v>1095.2167574260825</v>
      </c>
      <c r="BK19" s="73">
        <v>3281.7363449591335</v>
      </c>
      <c r="BL19" s="76">
        <f>BC19+I19+H19</f>
        <v>33171.080349082156</v>
      </c>
      <c r="BM19" s="667">
        <f t="shared" si="2"/>
        <v>0</v>
      </c>
      <c r="BO19" s="668" t="s">
        <v>857</v>
      </c>
      <c r="BP19" s="204">
        <f t="shared" si="3"/>
        <v>33171.080349082156</v>
      </c>
      <c r="BQ19" s="204">
        <f t="shared" si="4"/>
        <v>35161.345170027089</v>
      </c>
      <c r="BR19" s="204">
        <f t="shared" si="5"/>
        <v>1990.2648209449326</v>
      </c>
      <c r="BU19" s="1251" t="s">
        <v>480</v>
      </c>
      <c r="BV19" s="1254">
        <f t="shared" si="8"/>
        <v>17257.512986320809</v>
      </c>
    </row>
    <row r="20" spans="1:74" outlineLevel="1" x14ac:dyDescent="0.25">
      <c r="A20" s="177" t="s">
        <v>481</v>
      </c>
      <c r="B20" s="3" t="s">
        <v>132</v>
      </c>
      <c r="C20" s="662"/>
      <c r="D20" s="1127">
        <v>344016</v>
      </c>
      <c r="E20" s="681">
        <f>D20/'Assumptions (3)'!$B$4</f>
        <v>258814.32440565756</v>
      </c>
      <c r="F20" s="682">
        <f>148159/'Assumptions (3)'!$B$4</f>
        <v>111464.79085164009</v>
      </c>
      <c r="G20" s="682"/>
      <c r="H20" s="683"/>
      <c r="I20" s="684">
        <f t="shared" si="6"/>
        <v>98558.707659618696</v>
      </c>
      <c r="J20" s="78">
        <v>619.31080042233361</v>
      </c>
      <c r="K20" s="78">
        <v>183.69515671054896</v>
      </c>
      <c r="L20" s="78">
        <v>192.87627529645792</v>
      </c>
      <c r="M20" s="78">
        <v>184.43402758604557</v>
      </c>
      <c r="N20" s="78">
        <v>322.75654195178112</v>
      </c>
      <c r="O20" s="78">
        <v>739.09914405339055</v>
      </c>
      <c r="P20" s="78">
        <v>89.411524086560249</v>
      </c>
      <c r="Q20" s="78">
        <v>236.75590443398571</v>
      </c>
      <c r="R20" s="78">
        <v>202.50258478734236</v>
      </c>
      <c r="S20" s="78">
        <v>208.32572987870034</v>
      </c>
      <c r="T20" s="78">
        <v>754.59725207255428</v>
      </c>
      <c r="U20" s="78">
        <v>602.45660614057772</v>
      </c>
      <c r="V20" s="78">
        <v>478.05698250952793</v>
      </c>
      <c r="W20" s="78">
        <v>766.64252586971361</v>
      </c>
      <c r="X20" s="78">
        <v>18.955129991449766</v>
      </c>
      <c r="Y20" s="78">
        <v>14.951949871297709</v>
      </c>
      <c r="Z20" s="78">
        <v>72.29539956475837</v>
      </c>
      <c r="AA20" s="78">
        <v>66.08166642848586</v>
      </c>
      <c r="AB20" s="78">
        <v>39.756372208549422</v>
      </c>
      <c r="AC20" s="78">
        <v>40.662762352170937</v>
      </c>
      <c r="AD20" s="78">
        <v>230.71302839945912</v>
      </c>
      <c r="AE20" s="78">
        <v>92.535432141278122</v>
      </c>
      <c r="AF20" s="78">
        <v>240.77322695043179</v>
      </c>
      <c r="AG20" s="78">
        <v>747.96326330693239</v>
      </c>
      <c r="AH20" s="78">
        <v>6124.9042064633204</v>
      </c>
      <c r="AI20" s="78">
        <v>42.540626381269789</v>
      </c>
      <c r="AJ20" s="78">
        <v>902.64520814222135</v>
      </c>
      <c r="AK20" s="78">
        <v>776.13378137360007</v>
      </c>
      <c r="AL20" s="78">
        <v>0</v>
      </c>
      <c r="AM20" s="78">
        <v>94.656630586305099</v>
      </c>
      <c r="AN20" s="78">
        <v>160.07332275832161</v>
      </c>
      <c r="AO20" s="78">
        <v>943.69967198571601</v>
      </c>
      <c r="AP20" s="78">
        <v>142.92832963428947</v>
      </c>
      <c r="AQ20" s="78">
        <v>896.87383929980615</v>
      </c>
      <c r="AR20" s="78">
        <v>2.7095868062815125</v>
      </c>
      <c r="AS20" s="78">
        <v>1321.7990297239292</v>
      </c>
      <c r="AT20" s="78">
        <v>1096.5640474791514</v>
      </c>
      <c r="AU20" s="78">
        <v>1533.0046763816626</v>
      </c>
      <c r="AV20" s="78">
        <v>2154.6437456640624</v>
      </c>
      <c r="AW20" s="78">
        <v>5518.3190643476319</v>
      </c>
      <c r="AX20" s="78">
        <v>57.480770338734509</v>
      </c>
      <c r="AY20" s="78">
        <v>17759.096659328028</v>
      </c>
      <c r="AZ20" s="78">
        <v>597.25249380383445</v>
      </c>
      <c r="BA20" s="78">
        <v>10769.829636062404</v>
      </c>
      <c r="BB20" s="78">
        <v>40517.943046043794</v>
      </c>
      <c r="BC20" s="684">
        <f t="shared" si="7"/>
        <v>160255.6167460389</v>
      </c>
      <c r="BD20" s="78">
        <v>25738.837745633475</v>
      </c>
      <c r="BE20" s="78">
        <v>23473.745266775732</v>
      </c>
      <c r="BF20" s="78">
        <v>14372.33600662866</v>
      </c>
      <c r="BG20" s="78">
        <v>26561.948021385477</v>
      </c>
      <c r="BH20" s="78">
        <v>20807.274159541113</v>
      </c>
      <c r="BI20" s="78">
        <v>15150.698778249893</v>
      </c>
      <c r="BJ20" s="78">
        <v>8545.3287070533952</v>
      </c>
      <c r="BK20" s="78">
        <v>25605.448060771159</v>
      </c>
      <c r="BL20" s="685">
        <f>BC20+I20+H20</f>
        <v>258814.32440565759</v>
      </c>
      <c r="BM20" s="667">
        <f t="shared" si="2"/>
        <v>0</v>
      </c>
      <c r="BO20" s="668" t="s">
        <v>857</v>
      </c>
      <c r="BP20" s="204">
        <f t="shared" si="3"/>
        <v>258814.32440565756</v>
      </c>
      <c r="BQ20" s="204">
        <f t="shared" si="4"/>
        <v>267655.29641889862</v>
      </c>
      <c r="BR20" s="204">
        <f t="shared" si="5"/>
        <v>8840.9720132410584</v>
      </c>
      <c r="BU20" s="1251" t="s">
        <v>481</v>
      </c>
      <c r="BV20" s="1254">
        <f t="shared" si="8"/>
        <v>134650.16868526774</v>
      </c>
    </row>
    <row r="21" spans="1:74" s="1" customFormat="1" outlineLevel="1" x14ac:dyDescent="0.25">
      <c r="A21" s="1" t="s">
        <v>865</v>
      </c>
      <c r="B21" s="35"/>
      <c r="C21" s="686"/>
      <c r="D21" s="687">
        <f t="shared" ref="D21:AK21" si="10">SUM(D5:D20)</f>
        <v>3664777.7963555548</v>
      </c>
      <c r="E21" s="687">
        <f>SUM(E5:E20)</f>
        <v>2757130.4516668343</v>
      </c>
      <c r="F21" s="687">
        <f>SUM(F5:F20)</f>
        <v>660944.17694854049</v>
      </c>
      <c r="G21" s="687"/>
      <c r="H21" s="688">
        <f t="shared" si="10"/>
        <v>27548.856455010533</v>
      </c>
      <c r="I21" s="666">
        <f t="shared" si="10"/>
        <v>1063390.2858363609</v>
      </c>
      <c r="J21" s="687">
        <f t="shared" si="10"/>
        <v>6574.232702615087</v>
      </c>
      <c r="K21" s="687">
        <f t="shared" si="10"/>
        <v>1948.8883227214615</v>
      </c>
      <c r="L21" s="687">
        <f t="shared" si="10"/>
        <v>2045.6383520795591</v>
      </c>
      <c r="M21" s="687">
        <f t="shared" si="10"/>
        <v>1958.9734728177966</v>
      </c>
      <c r="N21" s="687">
        <f t="shared" si="10"/>
        <v>3424.6049003923181</v>
      </c>
      <c r="O21" s="687">
        <f t="shared" si="10"/>
        <v>7846.3951509824583</v>
      </c>
      <c r="P21" s="687">
        <f t="shared" si="10"/>
        <v>949.36487395027871</v>
      </c>
      <c r="Q21" s="687">
        <f t="shared" si="10"/>
        <v>2514.4503933275846</v>
      </c>
      <c r="R21" s="687">
        <f t="shared" si="10"/>
        <v>2150.8264811236286</v>
      </c>
      <c r="S21" s="687">
        <f t="shared" si="10"/>
        <v>2212.5392524600798</v>
      </c>
      <c r="T21" s="687">
        <f t="shared" si="10"/>
        <v>8015.1278075984028</v>
      </c>
      <c r="U21" s="687">
        <f t="shared" si="10"/>
        <v>6398.8538764081104</v>
      </c>
      <c r="V21" s="687">
        <f t="shared" si="10"/>
        <v>5075.8668467065118</v>
      </c>
      <c r="W21" s="687">
        <f t="shared" si="10"/>
        <v>8140.9496202736709</v>
      </c>
      <c r="X21" s="687">
        <f t="shared" si="10"/>
        <v>201.19973460402741</v>
      </c>
      <c r="Y21" s="687">
        <f t="shared" si="10"/>
        <v>158.64116702821715</v>
      </c>
      <c r="Z21" s="687">
        <f t="shared" si="10"/>
        <v>766.68674300637349</v>
      </c>
      <c r="AA21" s="687">
        <f t="shared" si="10"/>
        <v>700.70480021603612</v>
      </c>
      <c r="AB21" s="687">
        <f t="shared" si="10"/>
        <v>421.51744860162995</v>
      </c>
      <c r="AC21" s="687">
        <f t="shared" si="10"/>
        <v>431.41350061257646</v>
      </c>
      <c r="AD21" s="687">
        <f t="shared" si="10"/>
        <v>2449.7427401592213</v>
      </c>
      <c r="AE21" s="687">
        <f t="shared" si="10"/>
        <v>982.15026063141374</v>
      </c>
      <c r="AF21" s="687">
        <f t="shared" si="10"/>
        <v>2556.0334262240954</v>
      </c>
      <c r="AG21" s="687">
        <f t="shared" si="10"/>
        <v>7947.3567718277027</v>
      </c>
      <c r="AH21" s="687">
        <f t="shared" si="10"/>
        <v>64980.282719862094</v>
      </c>
      <c r="AI21" s="687">
        <f t="shared" si="10"/>
        <v>451.80533046028154</v>
      </c>
      <c r="AJ21" s="687">
        <f t="shared" si="10"/>
        <v>9588.704920493823</v>
      </c>
      <c r="AK21" s="687">
        <f t="shared" si="10"/>
        <v>8242.8510922222085</v>
      </c>
      <c r="AL21" s="687">
        <f t="shared" ref="AL21:BK21" si="11">SUM(AL5:AL20)</f>
        <v>0</v>
      </c>
      <c r="AM21" s="687">
        <f t="shared" si="11"/>
        <v>1003.8705340702146</v>
      </c>
      <c r="AN21" s="687">
        <f t="shared" si="11"/>
        <v>1698.2698767459358</v>
      </c>
      <c r="AO21" s="687">
        <f t="shared" si="11"/>
        <v>10023.262924881234</v>
      </c>
      <c r="AP21" s="687">
        <f t="shared" si="11"/>
        <v>1517.7235589920385</v>
      </c>
      <c r="AQ21" s="687">
        <f t="shared" si="11"/>
        <v>9527.9864923919777</v>
      </c>
      <c r="AR21" s="687">
        <f t="shared" si="11"/>
        <v>28.721556578455512</v>
      </c>
      <c r="AS21" s="687">
        <f t="shared" si="11"/>
        <v>14041.264818022946</v>
      </c>
      <c r="AT21" s="687">
        <f t="shared" si="11"/>
        <v>11650.712963453308</v>
      </c>
      <c r="AU21" s="687">
        <f t="shared" si="11"/>
        <v>16280.705658294582</v>
      </c>
      <c r="AV21" s="687">
        <f t="shared" si="11"/>
        <v>22887.002114084957</v>
      </c>
      <c r="AW21" s="687">
        <f t="shared" si="11"/>
        <v>58612.121549202529</v>
      </c>
      <c r="AX21" s="687">
        <f t="shared" si="11"/>
        <v>609.2948170657894</v>
      </c>
      <c r="AY21" s="687">
        <f t="shared" si="11"/>
        <v>193220.03987545019</v>
      </c>
      <c r="AZ21" s="687">
        <f t="shared" si="11"/>
        <v>6734.1766779089985</v>
      </c>
      <c r="BA21" s="687">
        <f t="shared" si="11"/>
        <v>117603.782623354</v>
      </c>
      <c r="BB21" s="687">
        <f t="shared" si="11"/>
        <v>438815.54708645714</v>
      </c>
      <c r="BC21" s="666">
        <f t="shared" si="11"/>
        <v>1666191.3093754624</v>
      </c>
      <c r="BD21" s="687">
        <f t="shared" si="11"/>
        <v>267608.89032152848</v>
      </c>
      <c r="BE21" s="687">
        <f t="shared" si="11"/>
        <v>244058.53071581566</v>
      </c>
      <c r="BF21" s="687">
        <f t="shared" si="11"/>
        <v>149430.40272727681</v>
      </c>
      <c r="BG21" s="687">
        <f t="shared" si="11"/>
        <v>276166.8380300884</v>
      </c>
      <c r="BH21" s="687">
        <f t="shared" si="11"/>
        <v>216335.00329265033</v>
      </c>
      <c r="BI21" s="687">
        <f t="shared" si="11"/>
        <v>157523.10682058751</v>
      </c>
      <c r="BJ21" s="687">
        <f t="shared" si="11"/>
        <v>88846.511071200628</v>
      </c>
      <c r="BK21" s="687">
        <f t="shared" si="11"/>
        <v>266222.02639631496</v>
      </c>
      <c r="BL21" s="687">
        <f>BC21+I21+H21</f>
        <v>2757130.4516668338</v>
      </c>
      <c r="BM21" s="689">
        <f>BL21-E21</f>
        <v>0</v>
      </c>
      <c r="BO21" s="690"/>
      <c r="BP21" s="691">
        <f t="shared" si="3"/>
        <v>2757130.4516668343</v>
      </c>
      <c r="BQ21" s="691">
        <f t="shared" si="4"/>
        <v>2881886.368149932</v>
      </c>
      <c r="BR21" s="691">
        <f t="shared" si="5"/>
        <v>124755.91648309771</v>
      </c>
      <c r="BU21" s="930"/>
    </row>
    <row r="22" spans="1:74" outlineLevel="1" x14ac:dyDescent="0.25">
      <c r="D22" s="76"/>
      <c r="E22" s="76"/>
      <c r="F22" s="76"/>
      <c r="G22" s="76"/>
      <c r="H22" s="692">
        <f>H21/$E$21</f>
        <v>9.9918581793457615E-3</v>
      </c>
      <c r="I22" s="692">
        <f>I21/$E$21</f>
        <v>0.38568733125902116</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80"/>
      <c r="BC22" s="692">
        <f>BC21/$E$21</f>
        <v>0.60432081056163289</v>
      </c>
      <c r="BD22" s="77">
        <f>BD21/$BC$21</f>
        <v>0.16061114279958416</v>
      </c>
      <c r="BE22" s="77">
        <f t="shared" ref="BE22:BK22" si="12">BE21/$BC$21</f>
        <v>0.14647689574572081</v>
      </c>
      <c r="BF22" s="77">
        <f t="shared" si="12"/>
        <v>8.9683820751224386E-2</v>
      </c>
      <c r="BG22" s="77">
        <f t="shared" si="12"/>
        <v>0.16574737635236128</v>
      </c>
      <c r="BH22" s="77">
        <f t="shared" si="12"/>
        <v>0.12983803364917265</v>
      </c>
      <c r="BI22" s="77">
        <f t="shared" si="12"/>
        <v>9.4540828495637635E-2</v>
      </c>
      <c r="BJ22" s="77">
        <f t="shared" si="12"/>
        <v>5.3323115161669474E-2</v>
      </c>
      <c r="BK22" s="77">
        <f t="shared" si="12"/>
        <v>0.15977878704462983</v>
      </c>
      <c r="BL22" s="80">
        <f>BC22+I22+H22</f>
        <v>0.99999999999999989</v>
      </c>
      <c r="BM22" s="667">
        <f>BL22-1</f>
        <v>0</v>
      </c>
      <c r="BO22" s="668"/>
      <c r="BP22" s="204">
        <f t="shared" si="3"/>
        <v>0</v>
      </c>
      <c r="BQ22" s="204">
        <f t="shared" si="4"/>
        <v>0</v>
      </c>
      <c r="BR22" s="204">
        <f t="shared" si="5"/>
        <v>0</v>
      </c>
    </row>
    <row r="23" spans="1:74" outlineLevel="1" x14ac:dyDescent="0.25">
      <c r="D23" s="76"/>
      <c r="E23" s="76"/>
      <c r="F23" s="76"/>
      <c r="G23" s="76"/>
      <c r="H23" s="242" t="s">
        <v>866</v>
      </c>
      <c r="I23" s="692">
        <f>I22/(I22+BC22)</f>
        <v>0.38957995895844938</v>
      </c>
      <c r="BB23" s="177" t="s">
        <v>866</v>
      </c>
      <c r="BC23" s="692">
        <f>BC22/(BC22+I22)</f>
        <v>0.61042004104155057</v>
      </c>
      <c r="BD23" s="77"/>
      <c r="BL23" s="80">
        <f>BC23+I23</f>
        <v>1</v>
      </c>
      <c r="BM23" s="667">
        <f>BL23-1</f>
        <v>0</v>
      </c>
      <c r="BO23" s="668"/>
      <c r="BP23" s="204">
        <f t="shared" si="3"/>
        <v>0</v>
      </c>
      <c r="BQ23" s="204">
        <f t="shared" si="4"/>
        <v>0</v>
      </c>
      <c r="BR23" s="204">
        <f t="shared" si="5"/>
        <v>0</v>
      </c>
    </row>
    <row r="24" spans="1:74" outlineLevel="1" x14ac:dyDescent="0.25">
      <c r="A24" s="199" t="s">
        <v>867</v>
      </c>
      <c r="D24" s="76"/>
      <c r="E24" s="76"/>
      <c r="F24" s="76"/>
      <c r="G24" s="76"/>
      <c r="H24" s="692"/>
      <c r="I24" s="692"/>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7">
        <f>AY14/SUM($AY$14:$BB$14)</f>
        <v>0.27142857142857146</v>
      </c>
      <c r="AZ24" s="77">
        <f>AZ14/SUM($AY$14:$BB$14)</f>
        <v>2.3214285714285715E-2</v>
      </c>
      <c r="BA24" s="77">
        <f>BA14/SUM($AY$14:$BB$14)</f>
        <v>0.19642857142857142</v>
      </c>
      <c r="BB24" s="77">
        <f>BB14/SUM($AY$14:$BB$14)</f>
        <v>0.5089285714285714</v>
      </c>
      <c r="BC24" s="692"/>
      <c r="BD24" s="76"/>
      <c r="BE24" s="76"/>
      <c r="BF24" s="76"/>
      <c r="BG24" s="76"/>
      <c r="BH24" s="76"/>
      <c r="BI24" s="76"/>
      <c r="BJ24" s="76"/>
      <c r="BK24" s="76"/>
      <c r="BL24" s="80"/>
      <c r="BM24" s="667"/>
      <c r="BO24" s="668"/>
      <c r="BP24" s="204">
        <f t="shared" si="3"/>
        <v>0</v>
      </c>
      <c r="BQ24" s="204">
        <f t="shared" si="4"/>
        <v>0</v>
      </c>
      <c r="BR24" s="204">
        <f t="shared" si="5"/>
        <v>0</v>
      </c>
    </row>
    <row r="25" spans="1:74" outlineLevel="1" x14ac:dyDescent="0.25">
      <c r="A25" s="199"/>
      <c r="D25" s="76"/>
      <c r="E25" s="76"/>
      <c r="F25" s="76"/>
      <c r="G25" s="76"/>
      <c r="H25" s="692"/>
      <c r="I25" s="692"/>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80"/>
      <c r="BC25" s="692"/>
      <c r="BD25" s="77"/>
      <c r="BE25" s="77"/>
      <c r="BF25" s="77"/>
      <c r="BG25" s="77"/>
      <c r="BH25" s="77"/>
      <c r="BI25" s="77"/>
      <c r="BJ25" s="77"/>
      <c r="BK25" s="77"/>
      <c r="BL25" s="80"/>
      <c r="BM25" s="667"/>
      <c r="BO25" s="668"/>
      <c r="BP25" s="204">
        <f t="shared" si="3"/>
        <v>0</v>
      </c>
      <c r="BQ25" s="204">
        <f t="shared" si="4"/>
        <v>0</v>
      </c>
      <c r="BR25" s="204">
        <f t="shared" si="5"/>
        <v>0</v>
      </c>
    </row>
    <row r="26" spans="1:74" outlineLevel="1" x14ac:dyDescent="0.25">
      <c r="A26" s="693" t="s">
        <v>421</v>
      </c>
      <c r="B26" s="3" t="s">
        <v>868</v>
      </c>
      <c r="D26" s="664">
        <f>E26*'Assumptions (3)'!$B$4</f>
        <v>0</v>
      </c>
      <c r="E26" s="1125">
        <v>0</v>
      </c>
      <c r="F26" s="665"/>
      <c r="G26" s="665"/>
      <c r="H26" s="692"/>
      <c r="I26" s="666">
        <f t="shared" ref="I26:I29" si="13">SUM(J26:BB26)</f>
        <v>0</v>
      </c>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f>E26</f>
        <v>0</v>
      </c>
      <c r="BC26" s="694">
        <f>SUM(BD26:BK26)</f>
        <v>0</v>
      </c>
      <c r="BD26" s="73"/>
      <c r="BE26" s="73"/>
      <c r="BF26" s="73"/>
      <c r="BG26" s="73"/>
      <c r="BH26" s="73"/>
      <c r="BI26" s="73"/>
      <c r="BJ26" s="73"/>
      <c r="BK26" s="73"/>
      <c r="BL26" s="695">
        <f t="shared" ref="BL26:BL29" si="14">BC26+I26+H26</f>
        <v>0</v>
      </c>
      <c r="BM26" s="667">
        <f>BL26-E26</f>
        <v>0</v>
      </c>
      <c r="BO26" s="679" t="s">
        <v>863</v>
      </c>
      <c r="BP26" s="204">
        <f t="shared" si="3"/>
        <v>0</v>
      </c>
      <c r="BQ26" s="204">
        <f t="shared" si="4"/>
        <v>0</v>
      </c>
      <c r="BR26" s="204">
        <f t="shared" si="5"/>
        <v>0</v>
      </c>
      <c r="BU26" s="1251" t="s">
        <v>421</v>
      </c>
    </row>
    <row r="27" spans="1:74" outlineLevel="1" x14ac:dyDescent="0.25">
      <c r="A27" s="693" t="s">
        <v>315</v>
      </c>
      <c r="B27" s="3" t="s">
        <v>334</v>
      </c>
      <c r="C27" s="662"/>
      <c r="D27" s="664">
        <f>E27*'Assumptions (3)'!$B$4</f>
        <v>-34060.75</v>
      </c>
      <c r="E27" s="1125">
        <v>-25625</v>
      </c>
      <c r="F27" s="665"/>
      <c r="G27" s="665"/>
      <c r="H27" s="692"/>
      <c r="I27" s="6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694">
        <f>SUM(BD27:BK27)</f>
        <v>-25625</v>
      </c>
      <c r="BD27" s="73"/>
      <c r="BE27" s="73"/>
      <c r="BF27" s="73"/>
      <c r="BG27" s="73"/>
      <c r="BH27" s="73"/>
      <c r="BI27" s="73"/>
      <c r="BJ27" s="73"/>
      <c r="BK27" s="73">
        <f>E27</f>
        <v>-25625</v>
      </c>
      <c r="BL27" s="695">
        <f t="shared" si="14"/>
        <v>-25625</v>
      </c>
      <c r="BM27" s="667"/>
      <c r="BO27" s="679" t="s">
        <v>863</v>
      </c>
      <c r="BP27" s="204">
        <f t="shared" si="3"/>
        <v>-25625</v>
      </c>
      <c r="BQ27" s="204">
        <f t="shared" si="4"/>
        <v>-25625</v>
      </c>
      <c r="BR27" s="204">
        <f t="shared" si="5"/>
        <v>0</v>
      </c>
      <c r="BU27" s="1251" t="s">
        <v>315</v>
      </c>
    </row>
    <row r="28" spans="1:74" outlineLevel="1" x14ac:dyDescent="0.25">
      <c r="A28" s="177" t="s">
        <v>482</v>
      </c>
      <c r="B28" s="3" t="s">
        <v>132</v>
      </c>
      <c r="D28" s="696">
        <v>0</v>
      </c>
      <c r="E28" s="664">
        <f>D28/'Assumptions (3)'!$B$4</f>
        <v>0</v>
      </c>
      <c r="F28" s="664"/>
      <c r="G28" s="664"/>
      <c r="H28" s="692"/>
      <c r="I28" s="666">
        <f t="shared" si="13"/>
        <v>0</v>
      </c>
      <c r="J28" s="73">
        <v>0</v>
      </c>
      <c r="K28" s="73">
        <v>0</v>
      </c>
      <c r="L28" s="73">
        <v>0</v>
      </c>
      <c r="M28" s="73">
        <v>0</v>
      </c>
      <c r="N28" s="73">
        <v>0</v>
      </c>
      <c r="O28" s="73">
        <v>0</v>
      </c>
      <c r="P28" s="73">
        <v>0</v>
      </c>
      <c r="Q28" s="73">
        <v>0</v>
      </c>
      <c r="R28" s="73">
        <v>0</v>
      </c>
      <c r="S28" s="73">
        <v>0</v>
      </c>
      <c r="T28" s="73">
        <v>0</v>
      </c>
      <c r="U28" s="73">
        <v>0</v>
      </c>
      <c r="V28" s="73">
        <v>0</v>
      </c>
      <c r="W28" s="73">
        <v>0</v>
      </c>
      <c r="X28" s="73">
        <v>0</v>
      </c>
      <c r="Y28" s="73">
        <v>0</v>
      </c>
      <c r="Z28" s="73">
        <v>0</v>
      </c>
      <c r="AA28" s="73">
        <v>0</v>
      </c>
      <c r="AB28" s="73">
        <v>0</v>
      </c>
      <c r="AC28" s="73">
        <v>0</v>
      </c>
      <c r="AD28" s="73">
        <v>0</v>
      </c>
      <c r="AE28" s="73">
        <v>0</v>
      </c>
      <c r="AF28" s="73">
        <v>0</v>
      </c>
      <c r="AG28" s="73">
        <v>0</v>
      </c>
      <c r="AH28" s="73">
        <v>0</v>
      </c>
      <c r="AI28" s="73">
        <v>0</v>
      </c>
      <c r="AJ28" s="73">
        <v>0</v>
      </c>
      <c r="AK28" s="73">
        <v>0</v>
      </c>
      <c r="AL28" s="73">
        <v>0</v>
      </c>
      <c r="AM28" s="73">
        <v>0</v>
      </c>
      <c r="AN28" s="73">
        <v>0</v>
      </c>
      <c r="AO28" s="73">
        <v>0</v>
      </c>
      <c r="AP28" s="73">
        <v>0</v>
      </c>
      <c r="AQ28" s="73">
        <v>0</v>
      </c>
      <c r="AR28" s="73">
        <v>0</v>
      </c>
      <c r="AS28" s="73">
        <v>0</v>
      </c>
      <c r="AT28" s="73">
        <v>0</v>
      </c>
      <c r="AU28" s="73">
        <v>0</v>
      </c>
      <c r="AV28" s="73">
        <v>0</v>
      </c>
      <c r="AW28" s="73">
        <v>0</v>
      </c>
      <c r="AX28" s="73">
        <v>0</v>
      </c>
      <c r="AY28" s="73">
        <v>0</v>
      </c>
      <c r="AZ28" s="73">
        <v>0</v>
      </c>
      <c r="BA28" s="73">
        <v>0</v>
      </c>
      <c r="BB28" s="73">
        <v>0</v>
      </c>
      <c r="BC28" s="694">
        <f t="shared" ref="BC28:BC29" si="15">SUM(BD28:BK28)</f>
        <v>0</v>
      </c>
      <c r="BD28" s="73">
        <v>0</v>
      </c>
      <c r="BE28" s="73">
        <v>0</v>
      </c>
      <c r="BF28" s="73">
        <v>0</v>
      </c>
      <c r="BG28" s="73">
        <v>0</v>
      </c>
      <c r="BH28" s="73">
        <v>0</v>
      </c>
      <c r="BI28" s="73">
        <v>0</v>
      </c>
      <c r="BJ28" s="73">
        <v>0</v>
      </c>
      <c r="BK28" s="73">
        <v>0</v>
      </c>
      <c r="BL28" s="695">
        <f t="shared" si="14"/>
        <v>0</v>
      </c>
      <c r="BM28" s="667">
        <f>BL28-E28</f>
        <v>0</v>
      </c>
      <c r="BO28" s="679" t="s">
        <v>863</v>
      </c>
      <c r="BP28" s="204">
        <f t="shared" si="3"/>
        <v>0</v>
      </c>
      <c r="BQ28" s="204">
        <f t="shared" si="4"/>
        <v>0</v>
      </c>
      <c r="BR28" s="204">
        <f t="shared" si="5"/>
        <v>0</v>
      </c>
    </row>
    <row r="29" spans="1:74" outlineLevel="1" x14ac:dyDescent="0.25">
      <c r="D29" s="685"/>
      <c r="E29" s="685"/>
      <c r="F29" s="685"/>
      <c r="G29" s="685"/>
      <c r="H29" s="697"/>
      <c r="I29" s="684">
        <f t="shared" si="13"/>
        <v>0</v>
      </c>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5"/>
      <c r="AQ29" s="685"/>
      <c r="AR29" s="685"/>
      <c r="AS29" s="685"/>
      <c r="AT29" s="685"/>
      <c r="AU29" s="685"/>
      <c r="AV29" s="685"/>
      <c r="AW29" s="685"/>
      <c r="AX29" s="685"/>
      <c r="AY29" s="685"/>
      <c r="AZ29" s="685"/>
      <c r="BA29" s="685"/>
      <c r="BB29" s="91"/>
      <c r="BC29" s="684">
        <f t="shared" si="15"/>
        <v>0</v>
      </c>
      <c r="BD29" s="685"/>
      <c r="BE29" s="685"/>
      <c r="BF29" s="685"/>
      <c r="BG29" s="685"/>
      <c r="BH29" s="685"/>
      <c r="BI29" s="685"/>
      <c r="BJ29" s="685"/>
      <c r="BK29" s="685"/>
      <c r="BL29" s="685">
        <f t="shared" si="14"/>
        <v>0</v>
      </c>
      <c r="BM29" s="667">
        <f>BL29-E29</f>
        <v>0</v>
      </c>
      <c r="BO29" s="643"/>
      <c r="BP29" s="204">
        <f t="shared" si="3"/>
        <v>0</v>
      </c>
      <c r="BQ29" s="204">
        <f t="shared" si="4"/>
        <v>0</v>
      </c>
      <c r="BR29" s="204">
        <f t="shared" si="5"/>
        <v>0</v>
      </c>
    </row>
    <row r="30" spans="1:74" s="1" customFormat="1" outlineLevel="1" x14ac:dyDescent="0.25">
      <c r="A30" s="1" t="s">
        <v>869</v>
      </c>
      <c r="B30" s="35"/>
      <c r="C30" s="686"/>
      <c r="D30" s="687">
        <f t="shared" ref="D30:AK30" si="16">SUM(D26:D29)</f>
        <v>-34060.75</v>
      </c>
      <c r="E30" s="687">
        <f t="shared" si="16"/>
        <v>-25625</v>
      </c>
      <c r="F30" s="687"/>
      <c r="G30" s="687"/>
      <c r="H30" s="688">
        <f t="shared" si="16"/>
        <v>0</v>
      </c>
      <c r="I30" s="688">
        <f t="shared" si="16"/>
        <v>0</v>
      </c>
      <c r="J30" s="698">
        <f t="shared" si="16"/>
        <v>0</v>
      </c>
      <c r="K30" s="698">
        <f t="shared" si="16"/>
        <v>0</v>
      </c>
      <c r="L30" s="698">
        <f t="shared" si="16"/>
        <v>0</v>
      </c>
      <c r="M30" s="698">
        <f t="shared" si="16"/>
        <v>0</v>
      </c>
      <c r="N30" s="698">
        <f t="shared" si="16"/>
        <v>0</v>
      </c>
      <c r="O30" s="698">
        <f t="shared" si="16"/>
        <v>0</v>
      </c>
      <c r="P30" s="698">
        <f t="shared" si="16"/>
        <v>0</v>
      </c>
      <c r="Q30" s="698">
        <f t="shared" si="16"/>
        <v>0</v>
      </c>
      <c r="R30" s="698">
        <f t="shared" si="16"/>
        <v>0</v>
      </c>
      <c r="S30" s="698">
        <f t="shared" si="16"/>
        <v>0</v>
      </c>
      <c r="T30" s="698">
        <f t="shared" si="16"/>
        <v>0</v>
      </c>
      <c r="U30" s="698">
        <f t="shared" si="16"/>
        <v>0</v>
      </c>
      <c r="V30" s="698">
        <f t="shared" si="16"/>
        <v>0</v>
      </c>
      <c r="W30" s="698">
        <f t="shared" si="16"/>
        <v>0</v>
      </c>
      <c r="X30" s="698">
        <f t="shared" si="16"/>
        <v>0</v>
      </c>
      <c r="Y30" s="698">
        <f t="shared" si="16"/>
        <v>0</v>
      </c>
      <c r="Z30" s="698">
        <f t="shared" si="16"/>
        <v>0</v>
      </c>
      <c r="AA30" s="698">
        <f t="shared" si="16"/>
        <v>0</v>
      </c>
      <c r="AB30" s="698">
        <f t="shared" si="16"/>
        <v>0</v>
      </c>
      <c r="AC30" s="698">
        <f t="shared" si="16"/>
        <v>0</v>
      </c>
      <c r="AD30" s="698">
        <f t="shared" si="16"/>
        <v>0</v>
      </c>
      <c r="AE30" s="698">
        <f t="shared" si="16"/>
        <v>0</v>
      </c>
      <c r="AF30" s="698">
        <f t="shared" si="16"/>
        <v>0</v>
      </c>
      <c r="AG30" s="698">
        <f t="shared" si="16"/>
        <v>0</v>
      </c>
      <c r="AH30" s="698">
        <f t="shared" si="16"/>
        <v>0</v>
      </c>
      <c r="AI30" s="698">
        <f t="shared" si="16"/>
        <v>0</v>
      </c>
      <c r="AJ30" s="698">
        <f t="shared" si="16"/>
        <v>0</v>
      </c>
      <c r="AK30" s="698">
        <f t="shared" si="16"/>
        <v>0</v>
      </c>
      <c r="AL30" s="698">
        <f t="shared" ref="AL30:BL30" si="17">SUM(AL26:AL29)</f>
        <v>0</v>
      </c>
      <c r="AM30" s="698">
        <f t="shared" si="17"/>
        <v>0</v>
      </c>
      <c r="AN30" s="698">
        <f t="shared" si="17"/>
        <v>0</v>
      </c>
      <c r="AO30" s="698">
        <f t="shared" si="17"/>
        <v>0</v>
      </c>
      <c r="AP30" s="698">
        <f t="shared" si="17"/>
        <v>0</v>
      </c>
      <c r="AQ30" s="698">
        <f t="shared" si="17"/>
        <v>0</v>
      </c>
      <c r="AR30" s="698">
        <f t="shared" si="17"/>
        <v>0</v>
      </c>
      <c r="AS30" s="698">
        <f t="shared" si="17"/>
        <v>0</v>
      </c>
      <c r="AT30" s="698">
        <f t="shared" si="17"/>
        <v>0</v>
      </c>
      <c r="AU30" s="698">
        <f t="shared" si="17"/>
        <v>0</v>
      </c>
      <c r="AV30" s="698">
        <f t="shared" si="17"/>
        <v>0</v>
      </c>
      <c r="AW30" s="698">
        <f t="shared" si="17"/>
        <v>0</v>
      </c>
      <c r="AX30" s="698">
        <f t="shared" si="17"/>
        <v>0</v>
      </c>
      <c r="AY30" s="698">
        <f t="shared" si="17"/>
        <v>0</v>
      </c>
      <c r="AZ30" s="698">
        <f t="shared" si="17"/>
        <v>0</v>
      </c>
      <c r="BA30" s="698">
        <f t="shared" si="17"/>
        <v>0</v>
      </c>
      <c r="BB30" s="698">
        <f t="shared" si="17"/>
        <v>0</v>
      </c>
      <c r="BC30" s="688">
        <f t="shared" si="17"/>
        <v>-25625</v>
      </c>
      <c r="BD30" s="698">
        <f t="shared" si="17"/>
        <v>0</v>
      </c>
      <c r="BE30" s="698">
        <f t="shared" si="17"/>
        <v>0</v>
      </c>
      <c r="BF30" s="698">
        <f t="shared" si="17"/>
        <v>0</v>
      </c>
      <c r="BG30" s="698">
        <f t="shared" si="17"/>
        <v>0</v>
      </c>
      <c r="BH30" s="698">
        <f t="shared" si="17"/>
        <v>0</v>
      </c>
      <c r="BI30" s="698">
        <f t="shared" si="17"/>
        <v>0</v>
      </c>
      <c r="BJ30" s="698">
        <f t="shared" si="17"/>
        <v>0</v>
      </c>
      <c r="BK30" s="698">
        <f t="shared" si="17"/>
        <v>-25625</v>
      </c>
      <c r="BL30" s="698">
        <f t="shared" si="17"/>
        <v>-25625</v>
      </c>
      <c r="BM30" s="689">
        <f>BL30-E30</f>
        <v>0</v>
      </c>
      <c r="BO30" s="686"/>
      <c r="BP30" s="691">
        <f t="shared" si="3"/>
        <v>-25625</v>
      </c>
      <c r="BQ30" s="691">
        <f t="shared" si="4"/>
        <v>-25625</v>
      </c>
      <c r="BR30" s="691">
        <f t="shared" si="5"/>
        <v>0</v>
      </c>
      <c r="BU30" s="930"/>
    </row>
    <row r="31" spans="1:74" outlineLevel="1" x14ac:dyDescent="0.25">
      <c r="D31" s="76"/>
      <c r="E31" s="76"/>
      <c r="F31" s="76"/>
      <c r="G31" s="76"/>
      <c r="H31" s="692"/>
      <c r="I31" s="692"/>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80"/>
      <c r="BC31" s="692"/>
      <c r="BE31" s="76"/>
      <c r="BF31" s="76"/>
      <c r="BG31" s="76"/>
      <c r="BH31" s="76"/>
      <c r="BI31" s="76"/>
      <c r="BJ31" s="76"/>
      <c r="BK31" s="76"/>
      <c r="BL31" s="80"/>
      <c r="BM31" s="667"/>
      <c r="BO31" s="643"/>
      <c r="BP31" s="204">
        <f t="shared" si="3"/>
        <v>0</v>
      </c>
      <c r="BQ31" s="204">
        <f t="shared" si="4"/>
        <v>0</v>
      </c>
      <c r="BR31" s="204">
        <f t="shared" si="5"/>
        <v>0</v>
      </c>
    </row>
    <row r="32" spans="1:74" outlineLevel="1" x14ac:dyDescent="0.25">
      <c r="D32" s="76"/>
      <c r="E32" s="76"/>
      <c r="F32" s="76"/>
      <c r="G32" s="76"/>
      <c r="H32" s="692"/>
      <c r="I32" s="692"/>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80"/>
      <c r="BC32" s="692"/>
      <c r="BD32" s="76"/>
      <c r="BE32" s="76"/>
      <c r="BF32" s="76"/>
      <c r="BG32" s="76"/>
      <c r="BH32" s="76"/>
      <c r="BI32" s="76"/>
      <c r="BJ32" s="76"/>
      <c r="BK32" s="76"/>
      <c r="BL32" s="80"/>
      <c r="BM32" s="667"/>
      <c r="BO32" s="643"/>
      <c r="BP32" s="204">
        <f t="shared" si="3"/>
        <v>0</v>
      </c>
      <c r="BQ32" s="204">
        <f t="shared" si="4"/>
        <v>0</v>
      </c>
      <c r="BR32" s="204">
        <f t="shared" si="5"/>
        <v>0</v>
      </c>
    </row>
    <row r="33" spans="1:73" s="699" customFormat="1" outlineLevel="1" x14ac:dyDescent="0.25">
      <c r="A33" s="699" t="s">
        <v>870</v>
      </c>
      <c r="B33" s="700"/>
      <c r="C33" s="701"/>
      <c r="D33" s="702">
        <f t="shared" ref="D33:BL33" si="18">D21+D30</f>
        <v>3630717.0463555548</v>
      </c>
      <c r="E33" s="702">
        <f t="shared" si="18"/>
        <v>2731505.4516668343</v>
      </c>
      <c r="F33" s="702"/>
      <c r="G33" s="702"/>
      <c r="H33" s="702">
        <f t="shared" si="18"/>
        <v>27548.856455010533</v>
      </c>
      <c r="I33" s="702">
        <f t="shared" si="18"/>
        <v>1063390.2858363609</v>
      </c>
      <c r="J33" s="702">
        <f t="shared" si="18"/>
        <v>6574.232702615087</v>
      </c>
      <c r="K33" s="702">
        <f t="shared" si="18"/>
        <v>1948.8883227214615</v>
      </c>
      <c r="L33" s="702">
        <f t="shared" si="18"/>
        <v>2045.6383520795591</v>
      </c>
      <c r="M33" s="702">
        <f t="shared" si="18"/>
        <v>1958.9734728177966</v>
      </c>
      <c r="N33" s="702">
        <f t="shared" si="18"/>
        <v>3424.6049003923181</v>
      </c>
      <c r="O33" s="702">
        <f t="shared" si="18"/>
        <v>7846.3951509824583</v>
      </c>
      <c r="P33" s="702">
        <f t="shared" si="18"/>
        <v>949.36487395027871</v>
      </c>
      <c r="Q33" s="702">
        <f t="shared" si="18"/>
        <v>2514.4503933275846</v>
      </c>
      <c r="R33" s="702">
        <f t="shared" si="18"/>
        <v>2150.8264811236286</v>
      </c>
      <c r="S33" s="702">
        <f t="shared" si="18"/>
        <v>2212.5392524600798</v>
      </c>
      <c r="T33" s="702">
        <f t="shared" si="18"/>
        <v>8015.1278075984028</v>
      </c>
      <c r="U33" s="702">
        <f t="shared" si="18"/>
        <v>6398.8538764081104</v>
      </c>
      <c r="V33" s="702">
        <f t="shared" si="18"/>
        <v>5075.8668467065118</v>
      </c>
      <c r="W33" s="702">
        <f t="shared" si="18"/>
        <v>8140.9496202736709</v>
      </c>
      <c r="X33" s="702">
        <f t="shared" si="18"/>
        <v>201.19973460402741</v>
      </c>
      <c r="Y33" s="702">
        <f t="shared" si="18"/>
        <v>158.64116702821715</v>
      </c>
      <c r="Z33" s="702">
        <f t="shared" si="18"/>
        <v>766.68674300637349</v>
      </c>
      <c r="AA33" s="702">
        <f t="shared" si="18"/>
        <v>700.70480021603612</v>
      </c>
      <c r="AB33" s="702">
        <f t="shared" si="18"/>
        <v>421.51744860162995</v>
      </c>
      <c r="AC33" s="702">
        <f t="shared" si="18"/>
        <v>431.41350061257646</v>
      </c>
      <c r="AD33" s="702">
        <f t="shared" si="18"/>
        <v>2449.7427401592213</v>
      </c>
      <c r="AE33" s="702">
        <f t="shared" si="18"/>
        <v>982.15026063141374</v>
      </c>
      <c r="AF33" s="702">
        <f t="shared" si="18"/>
        <v>2556.0334262240954</v>
      </c>
      <c r="AG33" s="702">
        <f t="shared" si="18"/>
        <v>7947.3567718277027</v>
      </c>
      <c r="AH33" s="702">
        <f t="shared" si="18"/>
        <v>64980.282719862094</v>
      </c>
      <c r="AI33" s="702">
        <f t="shared" si="18"/>
        <v>451.80533046028154</v>
      </c>
      <c r="AJ33" s="702">
        <f t="shared" si="18"/>
        <v>9588.704920493823</v>
      </c>
      <c r="AK33" s="702">
        <f t="shared" si="18"/>
        <v>8242.8510922222085</v>
      </c>
      <c r="AL33" s="702">
        <f t="shared" si="18"/>
        <v>0</v>
      </c>
      <c r="AM33" s="702">
        <f t="shared" si="18"/>
        <v>1003.8705340702146</v>
      </c>
      <c r="AN33" s="702">
        <f t="shared" si="18"/>
        <v>1698.2698767459358</v>
      </c>
      <c r="AO33" s="702">
        <f t="shared" si="18"/>
        <v>10023.262924881234</v>
      </c>
      <c r="AP33" s="702">
        <f t="shared" si="18"/>
        <v>1517.7235589920385</v>
      </c>
      <c r="AQ33" s="702">
        <f t="shared" si="18"/>
        <v>9527.9864923919777</v>
      </c>
      <c r="AR33" s="702">
        <f t="shared" si="18"/>
        <v>28.721556578455512</v>
      </c>
      <c r="AS33" s="702">
        <f t="shared" si="18"/>
        <v>14041.264818022946</v>
      </c>
      <c r="AT33" s="702">
        <f t="shared" si="18"/>
        <v>11650.712963453308</v>
      </c>
      <c r="AU33" s="702">
        <f t="shared" si="18"/>
        <v>16280.705658294582</v>
      </c>
      <c r="AV33" s="702">
        <f t="shared" si="18"/>
        <v>22887.002114084957</v>
      </c>
      <c r="AW33" s="702">
        <f t="shared" si="18"/>
        <v>58612.121549202529</v>
      </c>
      <c r="AX33" s="702">
        <f t="shared" si="18"/>
        <v>609.2948170657894</v>
      </c>
      <c r="AY33" s="702">
        <f t="shared" si="18"/>
        <v>193220.03987545019</v>
      </c>
      <c r="AZ33" s="702">
        <f t="shared" si="18"/>
        <v>6734.1766779089985</v>
      </c>
      <c r="BA33" s="702">
        <f t="shared" si="18"/>
        <v>117603.782623354</v>
      </c>
      <c r="BB33" s="702">
        <f t="shared" si="18"/>
        <v>438815.54708645714</v>
      </c>
      <c r="BC33" s="702">
        <f t="shared" si="18"/>
        <v>1640566.3093754624</v>
      </c>
      <c r="BD33" s="702">
        <f t="shared" si="18"/>
        <v>267608.89032152848</v>
      </c>
      <c r="BE33" s="702">
        <f t="shared" si="18"/>
        <v>244058.53071581566</v>
      </c>
      <c r="BF33" s="702">
        <f t="shared" si="18"/>
        <v>149430.40272727681</v>
      </c>
      <c r="BG33" s="702">
        <f t="shared" si="18"/>
        <v>276166.8380300884</v>
      </c>
      <c r="BH33" s="702">
        <f t="shared" si="18"/>
        <v>216335.00329265033</v>
      </c>
      <c r="BI33" s="702">
        <f t="shared" si="18"/>
        <v>157523.10682058751</v>
      </c>
      <c r="BJ33" s="702">
        <f t="shared" si="18"/>
        <v>88846.511071200628</v>
      </c>
      <c r="BK33" s="702">
        <f t="shared" si="18"/>
        <v>240597.02639631496</v>
      </c>
      <c r="BL33" s="702">
        <f t="shared" si="18"/>
        <v>2731505.4516668338</v>
      </c>
      <c r="BM33" s="703">
        <f>BL33-E33</f>
        <v>0</v>
      </c>
      <c r="BO33" s="701"/>
      <c r="BP33" s="704">
        <f t="shared" si="3"/>
        <v>2731505.4516668343</v>
      </c>
      <c r="BQ33" s="704">
        <f t="shared" si="4"/>
        <v>2856261.368149932</v>
      </c>
      <c r="BR33" s="704">
        <f t="shared" si="5"/>
        <v>124755.91648309771</v>
      </c>
      <c r="BU33" s="1246"/>
    </row>
    <row r="34" spans="1:73" outlineLevel="1" x14ac:dyDescent="0.25">
      <c r="D34" s="76"/>
      <c r="E34" s="76"/>
      <c r="F34" s="76"/>
      <c r="G34" s="76"/>
      <c r="H34" s="692"/>
      <c r="I34" s="692"/>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80"/>
      <c r="BC34" s="692"/>
      <c r="BD34" s="77">
        <f>BD33/$BC$33</f>
        <v>0.16311982563106697</v>
      </c>
      <c r="BE34" s="77">
        <f t="shared" ref="BE34:BK34" si="19">BE33/$BC$33</f>
        <v>0.148764807201682</v>
      </c>
      <c r="BF34" s="77">
        <f t="shared" si="19"/>
        <v>9.1084646730410182E-2</v>
      </c>
      <c r="BG34" s="77">
        <f t="shared" si="19"/>
        <v>0.16833628513023699</v>
      </c>
      <c r="BH34" s="77">
        <f t="shared" si="19"/>
        <v>0.13186605262850098</v>
      </c>
      <c r="BI34" s="77">
        <f t="shared" si="19"/>
        <v>9.60175190239973E-2</v>
      </c>
      <c r="BJ34" s="77">
        <f t="shared" si="19"/>
        <v>5.4156001231686325E-2</v>
      </c>
      <c r="BK34" s="77">
        <f t="shared" si="19"/>
        <v>0.14665486242241951</v>
      </c>
      <c r="BL34" s="77"/>
      <c r="BM34" s="667"/>
      <c r="BO34" s="643"/>
      <c r="BP34" s="204">
        <f t="shared" si="3"/>
        <v>0</v>
      </c>
      <c r="BQ34" s="204">
        <f t="shared" si="4"/>
        <v>0</v>
      </c>
      <c r="BR34" s="204">
        <f t="shared" si="5"/>
        <v>0</v>
      </c>
    </row>
    <row r="35" spans="1:73" outlineLevel="1" x14ac:dyDescent="0.25">
      <c r="A35" s="199" t="s">
        <v>871</v>
      </c>
      <c r="H35" s="242"/>
      <c r="I35" s="241"/>
      <c r="BO35" s="643"/>
      <c r="BP35" s="204">
        <f t="shared" si="3"/>
        <v>0</v>
      </c>
      <c r="BQ35" s="204">
        <f t="shared" si="4"/>
        <v>0</v>
      </c>
      <c r="BR35" s="204">
        <f t="shared" si="5"/>
        <v>0</v>
      </c>
    </row>
    <row r="36" spans="1:73" outlineLevel="1" x14ac:dyDescent="0.25">
      <c r="A36" s="1"/>
      <c r="H36" s="242"/>
      <c r="I36" s="241"/>
      <c r="BO36" s="643"/>
      <c r="BP36" s="204">
        <f t="shared" si="3"/>
        <v>0</v>
      </c>
      <c r="BQ36" s="204">
        <f t="shared" si="4"/>
        <v>0</v>
      </c>
      <c r="BR36" s="204">
        <f t="shared" si="5"/>
        <v>0</v>
      </c>
    </row>
    <row r="37" spans="1:73" outlineLevel="1" x14ac:dyDescent="0.25">
      <c r="A37" s="343" t="s">
        <v>872</v>
      </c>
      <c r="H37" s="242"/>
      <c r="I37" s="705"/>
      <c r="AY37" s="706"/>
      <c r="AZ37" s="706"/>
      <c r="BA37" s="706"/>
      <c r="BC37" s="694"/>
      <c r="BO37" s="643"/>
      <c r="BP37" s="204">
        <f t="shared" si="3"/>
        <v>0</v>
      </c>
      <c r="BQ37" s="204">
        <f t="shared" si="4"/>
        <v>0</v>
      </c>
      <c r="BR37" s="204">
        <f t="shared" si="5"/>
        <v>0</v>
      </c>
    </row>
    <row r="38" spans="1:73" outlineLevel="1" x14ac:dyDescent="0.25">
      <c r="A38" s="707" t="s">
        <v>873</v>
      </c>
      <c r="B38" s="19" t="s">
        <v>861</v>
      </c>
      <c r="C38" s="708"/>
      <c r="D38" s="1125"/>
      <c r="E38" s="664">
        <f>D38/'Assumptions (3)'!$B$4</f>
        <v>0</v>
      </c>
      <c r="F38" s="664"/>
      <c r="G38" s="664"/>
      <c r="H38" s="242"/>
      <c r="I38" s="694">
        <f t="shared" ref="I38:I40" si="20">SUM(J38:BB38)</f>
        <v>0</v>
      </c>
      <c r="J38" s="73">
        <v>0</v>
      </c>
      <c r="K38" s="73">
        <v>0</v>
      </c>
      <c r="L38" s="73">
        <v>0</v>
      </c>
      <c r="M38" s="73">
        <v>0</v>
      </c>
      <c r="N38" s="73">
        <v>0</v>
      </c>
      <c r="O38" s="73">
        <v>0</v>
      </c>
      <c r="P38" s="73">
        <v>0</v>
      </c>
      <c r="Q38" s="73">
        <v>0</v>
      </c>
      <c r="R38" s="73">
        <v>0</v>
      </c>
      <c r="S38" s="73">
        <v>0</v>
      </c>
      <c r="T38" s="73">
        <v>0</v>
      </c>
      <c r="U38" s="73">
        <v>0</v>
      </c>
      <c r="V38" s="73">
        <v>0</v>
      </c>
      <c r="W38" s="73">
        <v>0</v>
      </c>
      <c r="X38" s="73">
        <v>0</v>
      </c>
      <c r="Y38" s="73">
        <v>0</v>
      </c>
      <c r="Z38" s="73">
        <v>0</v>
      </c>
      <c r="AA38" s="73">
        <v>0</v>
      </c>
      <c r="AB38" s="73">
        <v>0</v>
      </c>
      <c r="AC38" s="73">
        <v>0</v>
      </c>
      <c r="AD38" s="73">
        <v>0</v>
      </c>
      <c r="AE38" s="73">
        <v>0</v>
      </c>
      <c r="AF38" s="73">
        <v>0</v>
      </c>
      <c r="AG38" s="73">
        <v>0</v>
      </c>
      <c r="AH38" s="73">
        <v>0</v>
      </c>
      <c r="AI38" s="73">
        <v>0</v>
      </c>
      <c r="AJ38" s="73">
        <v>0</v>
      </c>
      <c r="AK38" s="73">
        <v>0</v>
      </c>
      <c r="AL38" s="73">
        <v>0</v>
      </c>
      <c r="AM38" s="73">
        <v>0</v>
      </c>
      <c r="AN38" s="73">
        <v>0</v>
      </c>
      <c r="AO38" s="73">
        <v>0</v>
      </c>
      <c r="AP38" s="73">
        <v>0</v>
      </c>
      <c r="AQ38" s="73">
        <v>0</v>
      </c>
      <c r="AR38" s="73">
        <v>0</v>
      </c>
      <c r="AS38" s="73">
        <v>0</v>
      </c>
      <c r="AT38" s="73">
        <v>0</v>
      </c>
      <c r="AU38" s="73">
        <v>0</v>
      </c>
      <c r="AV38" s="73">
        <v>0</v>
      </c>
      <c r="AW38" s="73">
        <v>0</v>
      </c>
      <c r="AX38" s="73">
        <v>0</v>
      </c>
      <c r="AY38" s="73">
        <v>0</v>
      </c>
      <c r="AZ38" s="73">
        <v>0</v>
      </c>
      <c r="BA38" s="73">
        <v>0</v>
      </c>
      <c r="BB38" s="73">
        <v>0</v>
      </c>
      <c r="BC38" s="666">
        <f t="shared" ref="BC38:BC48" si="21">SUM(BD38:BK38)</f>
        <v>0</v>
      </c>
      <c r="BL38" s="76">
        <f t="shared" ref="BL38:BL41" si="22">BC38+I38+H38</f>
        <v>0</v>
      </c>
      <c r="BM38" s="667">
        <f t="shared" ref="BM38:BM43" si="23">BL38-E38</f>
        <v>0</v>
      </c>
      <c r="BO38" s="709" t="s">
        <v>857</v>
      </c>
      <c r="BP38" s="204">
        <f t="shared" si="3"/>
        <v>0</v>
      </c>
      <c r="BQ38" s="204">
        <f t="shared" si="4"/>
        <v>0</v>
      </c>
      <c r="BR38" s="204">
        <f t="shared" si="5"/>
        <v>0</v>
      </c>
    </row>
    <row r="39" spans="1:73" outlineLevel="1" x14ac:dyDescent="0.25">
      <c r="A39" s="71" t="s">
        <v>874</v>
      </c>
      <c r="B39" s="19" t="s">
        <v>875</v>
      </c>
      <c r="C39" s="710"/>
      <c r="D39" s="1125">
        <v>173746</v>
      </c>
      <c r="E39" s="664">
        <f>D39/'Assumptions (3)'!$B$4</f>
        <v>130714.7156184171</v>
      </c>
      <c r="F39" s="664"/>
      <c r="G39" s="664"/>
      <c r="H39" s="242"/>
      <c r="I39" s="694">
        <f t="shared" si="20"/>
        <v>130714.71561841713</v>
      </c>
      <c r="J39" s="73">
        <v>3360.3752993980247</v>
      </c>
      <c r="K39" s="73">
        <v>856.15455040399922</v>
      </c>
      <c r="L39" s="73">
        <v>815.85758356433325</v>
      </c>
      <c r="M39" s="73">
        <v>1144.194851654257</v>
      </c>
      <c r="N39" s="73">
        <v>1550.4112047355773</v>
      </c>
      <c r="O39" s="73">
        <v>4510.9676463101787</v>
      </c>
      <c r="P39" s="73">
        <v>573.20331643669169</v>
      </c>
      <c r="Q39" s="73">
        <v>1621.2999642719296</v>
      </c>
      <c r="R39" s="73">
        <v>1414.8243902888003</v>
      </c>
      <c r="S39" s="73">
        <v>1431.7764093222854</v>
      </c>
      <c r="T39" s="73">
        <v>5337.8412180122741</v>
      </c>
      <c r="U39" s="73">
        <v>4213.3364790409387</v>
      </c>
      <c r="V39" s="73">
        <v>2153.5399858677306</v>
      </c>
      <c r="W39" s="73">
        <v>3533.644001293972</v>
      </c>
      <c r="X39" s="73">
        <v>125.48205591106687</v>
      </c>
      <c r="Y39" s="73">
        <v>88.137297603122207</v>
      </c>
      <c r="Z39" s="73">
        <v>365.65657102670195</v>
      </c>
      <c r="AA39" s="73">
        <v>320.27801773689339</v>
      </c>
      <c r="AB39" s="73">
        <v>185.53972121060451</v>
      </c>
      <c r="AC39" s="73">
        <v>236.26963160145854</v>
      </c>
      <c r="AD39" s="73">
        <v>1662.7461605169806</v>
      </c>
      <c r="AE39" s="73">
        <v>601.27206408680422</v>
      </c>
      <c r="AF39" s="73">
        <v>1204.2092363988356</v>
      </c>
      <c r="AG39" s="73">
        <v>2326.9541418744093</v>
      </c>
      <c r="AH39" s="73">
        <v>32089.501629162576</v>
      </c>
      <c r="AI39" s="73">
        <v>323.34945946314394</v>
      </c>
      <c r="AJ39" s="73">
        <v>5629.2227231371335</v>
      </c>
      <c r="AK39" s="73">
        <v>4496.5702061667553</v>
      </c>
      <c r="AL39" s="73">
        <v>0</v>
      </c>
      <c r="AM39" s="73">
        <v>486.03553281215557</v>
      </c>
      <c r="AN39" s="73">
        <v>612.72474421649645</v>
      </c>
      <c r="AO39" s="73">
        <v>5608.4942607375433</v>
      </c>
      <c r="AP39" s="73">
        <v>786.80329626946479</v>
      </c>
      <c r="AQ39" s="73">
        <v>2850.3064977042527</v>
      </c>
      <c r="AR39" s="73">
        <v>11.528200355591872</v>
      </c>
      <c r="AS39" s="73">
        <v>4247.5150201683127</v>
      </c>
      <c r="AT39" s="73">
        <v>3419.7450220021778</v>
      </c>
      <c r="AU39" s="73">
        <v>5156.4746020573457</v>
      </c>
      <c r="AV39" s="73">
        <v>6976.4851793660446</v>
      </c>
      <c r="AW39" s="73">
        <v>18141.429923466094</v>
      </c>
      <c r="AX39" s="73">
        <v>244.55752276417309</v>
      </c>
      <c r="BC39" s="666">
        <f t="shared" si="21"/>
        <v>0</v>
      </c>
      <c r="BD39" s="71"/>
      <c r="BE39" s="71"/>
      <c r="BF39" s="71"/>
      <c r="BG39" s="71"/>
      <c r="BH39" s="71"/>
      <c r="BI39" s="71"/>
      <c r="BJ39" s="71"/>
      <c r="BK39" s="71"/>
      <c r="BL39" s="76">
        <f t="shared" si="22"/>
        <v>130714.71561841713</v>
      </c>
      <c r="BM39" s="667">
        <f t="shared" si="23"/>
        <v>0</v>
      </c>
      <c r="BO39" s="711" t="s">
        <v>863</v>
      </c>
      <c r="BP39" s="204">
        <f t="shared" si="3"/>
        <v>130714.7156184171</v>
      </c>
      <c r="BQ39" s="204">
        <f t="shared" si="4"/>
        <v>130714.7156184171</v>
      </c>
      <c r="BR39" s="204">
        <f t="shared" si="5"/>
        <v>0</v>
      </c>
    </row>
    <row r="40" spans="1:73" outlineLevel="1" x14ac:dyDescent="0.25">
      <c r="A40" s="71" t="s">
        <v>876</v>
      </c>
      <c r="B40" s="19" t="s">
        <v>875</v>
      </c>
      <c r="C40" s="710"/>
      <c r="D40" s="1127">
        <v>433486</v>
      </c>
      <c r="E40" s="681">
        <f>D40/'Assumptions (3)'!$B$4</f>
        <v>326125.48901594948</v>
      </c>
      <c r="F40" s="681"/>
      <c r="G40" s="681"/>
      <c r="H40" s="683"/>
      <c r="I40" s="684">
        <f t="shared" si="20"/>
        <v>326125.48901594954</v>
      </c>
      <c r="J40" s="78">
        <v>8383.9377426522187</v>
      </c>
      <c r="K40" s="78">
        <v>2136.0549965836799</v>
      </c>
      <c r="L40" s="78">
        <v>2035.516446243186</v>
      </c>
      <c r="M40" s="78">
        <v>2854.6985223498518</v>
      </c>
      <c r="N40" s="78">
        <v>3868.1843121338416</v>
      </c>
      <c r="O40" s="78">
        <v>11254.597637519219</v>
      </c>
      <c r="P40" s="78">
        <v>1430.1083928773942</v>
      </c>
      <c r="Q40" s="78">
        <v>4045.0475769938976</v>
      </c>
      <c r="R40" s="78">
        <v>3529.9032245273611</v>
      </c>
      <c r="S40" s="78">
        <v>3572.1975099943611</v>
      </c>
      <c r="T40" s="78">
        <v>13317.598323019056</v>
      </c>
      <c r="U40" s="78">
        <v>10512.025467944819</v>
      </c>
      <c r="V40" s="78">
        <v>5372.9549705539066</v>
      </c>
      <c r="W40" s="78">
        <v>8816.2329120953509</v>
      </c>
      <c r="X40" s="78">
        <v>313.07031234482946</v>
      </c>
      <c r="Y40" s="78">
        <v>219.8973477880759</v>
      </c>
      <c r="Z40" s="78">
        <v>912.29153101700717</v>
      </c>
      <c r="AA40" s="78">
        <v>799.07472285229574</v>
      </c>
      <c r="AB40" s="78">
        <v>462.91063730215433</v>
      </c>
      <c r="AC40" s="78">
        <v>589.47876511913864</v>
      </c>
      <c r="AD40" s="78">
        <v>4148.4533867707105</v>
      </c>
      <c r="AE40" s="78">
        <v>1500.1382591411166</v>
      </c>
      <c r="AF40" s="78">
        <v>3004.4308648808355</v>
      </c>
      <c r="AG40" s="78">
        <v>5805.6130394056272</v>
      </c>
      <c r="AH40" s="78">
        <v>80061.409777601613</v>
      </c>
      <c r="AI40" s="78">
        <v>806.73778840859893</v>
      </c>
      <c r="AJ40" s="78">
        <v>14044.577954956221</v>
      </c>
      <c r="AK40" s="78">
        <v>11218.676875383619</v>
      </c>
      <c r="AL40" s="78">
        <v>0</v>
      </c>
      <c r="AM40" s="78">
        <v>1212.6299251586227</v>
      </c>
      <c r="AN40" s="78">
        <v>1528.7120191050853</v>
      </c>
      <c r="AO40" s="78">
        <v>13992.861666513616</v>
      </c>
      <c r="AP40" s="78">
        <v>1963.0277168203311</v>
      </c>
      <c r="AQ40" s="78">
        <v>7111.3462322230489</v>
      </c>
      <c r="AR40" s="78">
        <v>28.762178463642897</v>
      </c>
      <c r="AS40" s="78">
        <v>10597.298907788849</v>
      </c>
      <c r="AT40" s="78">
        <v>8532.0616912483511</v>
      </c>
      <c r="AU40" s="78">
        <v>12865.099336660589</v>
      </c>
      <c r="AV40" s="78">
        <v>17405.918147541062</v>
      </c>
      <c r="AW40" s="78">
        <v>45261.795332287496</v>
      </c>
      <c r="AX40" s="78">
        <v>610.156563678878</v>
      </c>
      <c r="AY40" s="79"/>
      <c r="AZ40" s="79"/>
      <c r="BA40" s="79"/>
      <c r="BB40" s="79"/>
      <c r="BC40" s="684">
        <f t="shared" si="21"/>
        <v>0</v>
      </c>
      <c r="BD40" s="79"/>
      <c r="BE40" s="79"/>
      <c r="BF40" s="79"/>
      <c r="BG40" s="79"/>
      <c r="BH40" s="79"/>
      <c r="BI40" s="79"/>
      <c r="BJ40" s="79"/>
      <c r="BK40" s="79"/>
      <c r="BL40" s="685">
        <f t="shared" si="22"/>
        <v>326125.48901594954</v>
      </c>
      <c r="BM40" s="667">
        <f t="shared" si="23"/>
        <v>0</v>
      </c>
      <c r="BO40" s="711" t="s">
        <v>863</v>
      </c>
      <c r="BP40" s="204">
        <f t="shared" si="3"/>
        <v>326125.48901594948</v>
      </c>
      <c r="BQ40" s="204">
        <f t="shared" si="4"/>
        <v>326125.48901594948</v>
      </c>
      <c r="BR40" s="204">
        <f t="shared" si="5"/>
        <v>0</v>
      </c>
    </row>
    <row r="41" spans="1:73" outlineLevel="1" x14ac:dyDescent="0.25">
      <c r="A41" s="177" t="s">
        <v>877</v>
      </c>
      <c r="D41" s="76">
        <f>SUM(D38:D40)</f>
        <v>607232</v>
      </c>
      <c r="E41" s="76">
        <f>SUM(E38:E40)</f>
        <v>456840.20463436656</v>
      </c>
      <c r="F41" s="76"/>
      <c r="G41" s="76"/>
      <c r="H41" s="637">
        <f>SUM(H38:H40)</f>
        <v>0</v>
      </c>
      <c r="I41" s="666">
        <f>SUM(I38:I40)</f>
        <v>456840.20463436667</v>
      </c>
      <c r="J41" s="73">
        <f>SUM(J38:J40)</f>
        <v>11744.313042050244</v>
      </c>
      <c r="K41" s="73">
        <f t="shared" ref="K41:BB41" si="24">SUM(K38:K40)</f>
        <v>2992.209546987679</v>
      </c>
      <c r="L41" s="73">
        <f t="shared" si="24"/>
        <v>2851.374029807519</v>
      </c>
      <c r="M41" s="73">
        <f t="shared" si="24"/>
        <v>3998.8933740041089</v>
      </c>
      <c r="N41" s="73">
        <f t="shared" si="24"/>
        <v>5418.595516869419</v>
      </c>
      <c r="O41" s="73">
        <f t="shared" si="24"/>
        <v>15765.565283829397</v>
      </c>
      <c r="P41" s="73">
        <f t="shared" si="24"/>
        <v>2003.3117093140859</v>
      </c>
      <c r="Q41" s="73">
        <f t="shared" si="24"/>
        <v>5666.3475412658272</v>
      </c>
      <c r="R41" s="73">
        <f t="shared" si="24"/>
        <v>4944.7276148161618</v>
      </c>
      <c r="S41" s="73">
        <f t="shared" si="24"/>
        <v>5003.9739193166461</v>
      </c>
      <c r="T41" s="73">
        <f t="shared" si="24"/>
        <v>18655.43954103133</v>
      </c>
      <c r="U41" s="73">
        <f t="shared" si="24"/>
        <v>14725.361946985759</v>
      </c>
      <c r="V41" s="73">
        <f t="shared" si="24"/>
        <v>7526.4949564216367</v>
      </c>
      <c r="W41" s="73">
        <f t="shared" si="24"/>
        <v>12349.876913389322</v>
      </c>
      <c r="X41" s="73">
        <f t="shared" si="24"/>
        <v>438.55236825589634</v>
      </c>
      <c r="Y41" s="73">
        <f t="shared" si="24"/>
        <v>308.03464539119813</v>
      </c>
      <c r="Z41" s="73">
        <f t="shared" si="24"/>
        <v>1277.9481020437092</v>
      </c>
      <c r="AA41" s="73">
        <f t="shared" si="24"/>
        <v>1119.3527405891891</v>
      </c>
      <c r="AB41" s="73">
        <f t="shared" si="24"/>
        <v>648.45035851275884</v>
      </c>
      <c r="AC41" s="73">
        <f t="shared" si="24"/>
        <v>825.74839672059716</v>
      </c>
      <c r="AD41" s="73">
        <f t="shared" si="24"/>
        <v>5811.1995472876915</v>
      </c>
      <c r="AE41" s="73">
        <f t="shared" si="24"/>
        <v>2101.4103232279208</v>
      </c>
      <c r="AF41" s="73">
        <f t="shared" si="24"/>
        <v>4208.6401012796714</v>
      </c>
      <c r="AG41" s="73">
        <f t="shared" si="24"/>
        <v>8132.5671812800365</v>
      </c>
      <c r="AH41" s="73">
        <f t="shared" si="24"/>
        <v>112150.91140676419</v>
      </c>
      <c r="AI41" s="73">
        <f t="shared" si="24"/>
        <v>1130.0872478717429</v>
      </c>
      <c r="AJ41" s="73">
        <f t="shared" si="24"/>
        <v>19673.800678093354</v>
      </c>
      <c r="AK41" s="73">
        <f t="shared" si="24"/>
        <v>15715.247081550373</v>
      </c>
      <c r="AL41" s="73">
        <f t="shared" si="24"/>
        <v>0</v>
      </c>
      <c r="AM41" s="73">
        <f t="shared" si="24"/>
        <v>1698.6654579707783</v>
      </c>
      <c r="AN41" s="73">
        <f t="shared" si="24"/>
        <v>2141.4367633215816</v>
      </c>
      <c r="AO41" s="73">
        <f t="shared" si="24"/>
        <v>19601.355927251159</v>
      </c>
      <c r="AP41" s="73">
        <f t="shared" si="24"/>
        <v>2749.8310130897958</v>
      </c>
      <c r="AQ41" s="73">
        <f t="shared" si="24"/>
        <v>9961.6527299273021</v>
      </c>
      <c r="AR41" s="73">
        <f t="shared" si="24"/>
        <v>40.290378819234768</v>
      </c>
      <c r="AS41" s="73">
        <f t="shared" si="24"/>
        <v>14844.813927957162</v>
      </c>
      <c r="AT41" s="73">
        <f t="shared" si="24"/>
        <v>11951.806713250529</v>
      </c>
      <c r="AU41" s="73">
        <f t="shared" si="24"/>
        <v>18021.573938717935</v>
      </c>
      <c r="AV41" s="73">
        <f t="shared" si="24"/>
        <v>24382.403326907108</v>
      </c>
      <c r="AW41" s="73">
        <f t="shared" si="24"/>
        <v>63403.22525575359</v>
      </c>
      <c r="AX41" s="73">
        <f t="shared" si="24"/>
        <v>854.71408644305109</v>
      </c>
      <c r="AY41" s="73">
        <f t="shared" si="24"/>
        <v>0</v>
      </c>
      <c r="AZ41" s="73">
        <f t="shared" si="24"/>
        <v>0</v>
      </c>
      <c r="BA41" s="73">
        <f t="shared" si="24"/>
        <v>0</v>
      </c>
      <c r="BB41" s="73">
        <f t="shared" si="24"/>
        <v>0</v>
      </c>
      <c r="BC41" s="666">
        <f t="shared" si="21"/>
        <v>0</v>
      </c>
      <c r="BL41" s="76">
        <f t="shared" si="22"/>
        <v>456840.20463436667</v>
      </c>
      <c r="BM41" s="667">
        <f t="shared" si="23"/>
        <v>0</v>
      </c>
      <c r="BO41" s="712"/>
      <c r="BP41" s="204">
        <f t="shared" si="3"/>
        <v>456840.20463436656</v>
      </c>
      <c r="BQ41" s="204">
        <f t="shared" si="4"/>
        <v>456840.20463436656</v>
      </c>
      <c r="BR41" s="204">
        <f t="shared" si="5"/>
        <v>0</v>
      </c>
    </row>
    <row r="42" spans="1:73" outlineLevel="1" x14ac:dyDescent="0.25">
      <c r="D42" s="76"/>
      <c r="E42" s="76"/>
      <c r="F42" s="76"/>
      <c r="G42" s="76"/>
      <c r="H42" s="242"/>
      <c r="I42" s="666"/>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BC42" s="666"/>
      <c r="BL42" s="76"/>
      <c r="BM42" s="667"/>
      <c r="BO42" s="712"/>
      <c r="BP42" s="204">
        <f t="shared" si="3"/>
        <v>0</v>
      </c>
      <c r="BQ42" s="204">
        <f t="shared" si="4"/>
        <v>0</v>
      </c>
      <c r="BR42" s="204">
        <f t="shared" si="5"/>
        <v>0</v>
      </c>
    </row>
    <row r="43" spans="1:73" outlineLevel="1" x14ac:dyDescent="0.25">
      <c r="A43" s="343" t="s">
        <v>878</v>
      </c>
      <c r="B43" s="3" t="s">
        <v>875</v>
      </c>
      <c r="C43" s="662"/>
      <c r="D43" s="1125">
        <v>45131.644444444442</v>
      </c>
      <c r="E43" s="664">
        <f>D43/'Assumptions (3)'!$B$4</f>
        <v>33953.990704517339</v>
      </c>
      <c r="F43" s="664"/>
      <c r="G43" s="664"/>
      <c r="H43" s="242"/>
      <c r="I43" s="694">
        <f t="shared" ref="I43" si="25">SUM(J43:BB43)</f>
        <v>33953.990704517346</v>
      </c>
      <c r="J43" s="73">
        <v>872.87916390780333</v>
      </c>
      <c r="K43" s="73">
        <v>222.39166805754655</v>
      </c>
      <c r="L43" s="73">
        <v>211.92427093993018</v>
      </c>
      <c r="M43" s="73">
        <v>297.21199463598464</v>
      </c>
      <c r="N43" s="73">
        <v>402.72931310538848</v>
      </c>
      <c r="O43" s="73">
        <v>1171.7529492112819</v>
      </c>
      <c r="P43" s="73">
        <v>148.89325953862044</v>
      </c>
      <c r="Q43" s="73">
        <v>421.14312574281541</v>
      </c>
      <c r="R43" s="73">
        <v>367.50976329723864</v>
      </c>
      <c r="S43" s="73">
        <v>371.91315960929597</v>
      </c>
      <c r="T43" s="73">
        <v>1386.5386941410463</v>
      </c>
      <c r="U43" s="73">
        <v>1094.44133330772</v>
      </c>
      <c r="V43" s="73">
        <v>559.39590516660144</v>
      </c>
      <c r="W43" s="73">
        <v>917.88682709037062</v>
      </c>
      <c r="X43" s="73">
        <v>32.59477358636267</v>
      </c>
      <c r="Y43" s="73">
        <v>22.894231681410201</v>
      </c>
      <c r="Z43" s="73">
        <v>94.981653404117836</v>
      </c>
      <c r="AA43" s="73">
        <v>83.194281421574843</v>
      </c>
      <c r="AB43" s="73">
        <v>48.195139617593206</v>
      </c>
      <c r="AC43" s="73">
        <v>61.37256113209456</v>
      </c>
      <c r="AD43" s="73">
        <v>431.90904261288034</v>
      </c>
      <c r="AE43" s="73">
        <v>156.18429782983702</v>
      </c>
      <c r="AF43" s="73">
        <v>312.80111826383455</v>
      </c>
      <c r="AG43" s="73">
        <v>604.44135099284676</v>
      </c>
      <c r="AH43" s="73">
        <v>8335.455077681132</v>
      </c>
      <c r="AI43" s="73">
        <v>83.992108225765847</v>
      </c>
      <c r="AJ43" s="73">
        <v>1462.2269199821144</v>
      </c>
      <c r="AK43" s="73">
        <v>1168.0131212471092</v>
      </c>
      <c r="AL43" s="73">
        <v>0</v>
      </c>
      <c r="AM43" s="73">
        <v>126.25086536809086</v>
      </c>
      <c r="AN43" s="73">
        <v>159.15920538194882</v>
      </c>
      <c r="AO43" s="73">
        <v>1456.8425681415058</v>
      </c>
      <c r="AP43" s="73">
        <v>204.37723236765373</v>
      </c>
      <c r="AQ43" s="73">
        <v>740.38550189401792</v>
      </c>
      <c r="AR43" s="73">
        <v>2.9945244180176256</v>
      </c>
      <c r="AS43" s="73">
        <v>1103.3194298727658</v>
      </c>
      <c r="AT43" s="73">
        <v>888.30083238555778</v>
      </c>
      <c r="AU43" s="73">
        <v>1339.427545536935</v>
      </c>
      <c r="AV43" s="73">
        <v>1812.1870350228755</v>
      </c>
      <c r="AW43" s="73">
        <v>4712.353464365664</v>
      </c>
      <c r="AX43" s="73">
        <v>63.52539433199491</v>
      </c>
      <c r="AY43" s="73"/>
      <c r="AZ43" s="73"/>
      <c r="BA43" s="73"/>
      <c r="BB43" s="73"/>
      <c r="BC43" s="666">
        <f t="shared" si="21"/>
        <v>0</v>
      </c>
      <c r="BL43" s="76">
        <f>BC43+I43+H43</f>
        <v>33953.990704517346</v>
      </c>
      <c r="BM43" s="667">
        <f t="shared" si="23"/>
        <v>0</v>
      </c>
      <c r="BO43" s="679" t="s">
        <v>863</v>
      </c>
      <c r="BP43" s="204">
        <f t="shared" si="3"/>
        <v>33953.990704517339</v>
      </c>
      <c r="BQ43" s="204">
        <f t="shared" si="4"/>
        <v>33953.990704517339</v>
      </c>
      <c r="BR43" s="204">
        <f t="shared" si="5"/>
        <v>0</v>
      </c>
    </row>
    <row r="44" spans="1:73" outlineLevel="1" x14ac:dyDescent="0.25">
      <c r="D44" s="76"/>
      <c r="E44" s="76"/>
      <c r="F44" s="76"/>
      <c r="G44" s="76"/>
      <c r="H44" s="242"/>
      <c r="I44" s="241"/>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BL44" s="73"/>
      <c r="BM44" s="667"/>
      <c r="BO44" s="712"/>
      <c r="BP44" s="204">
        <f t="shared" si="3"/>
        <v>0</v>
      </c>
      <c r="BQ44" s="204">
        <f t="shared" si="4"/>
        <v>0</v>
      </c>
      <c r="BR44" s="204">
        <f t="shared" si="5"/>
        <v>0</v>
      </c>
    </row>
    <row r="45" spans="1:73" outlineLevel="1" x14ac:dyDescent="0.25">
      <c r="A45" s="343" t="s">
        <v>879</v>
      </c>
      <c r="B45" s="3" t="s">
        <v>116</v>
      </c>
      <c r="C45" s="662"/>
      <c r="D45" s="1125">
        <v>349421</v>
      </c>
      <c r="E45" s="713">
        <f>D45/'Assumptions (3)'!$B$4</f>
        <v>262880.68010833586</v>
      </c>
      <c r="F45" s="713"/>
      <c r="G45" s="713"/>
      <c r="H45" s="242"/>
      <c r="I45" s="694">
        <f t="shared" ref="I45:I57" si="26">SUM(J45:BB45)</f>
        <v>262880.68010833592</v>
      </c>
      <c r="J45" s="73">
        <v>0</v>
      </c>
      <c r="K45" s="73">
        <v>0</v>
      </c>
      <c r="L45" s="73">
        <v>0</v>
      </c>
      <c r="M45" s="73">
        <v>0</v>
      </c>
      <c r="N45" s="73">
        <v>0</v>
      </c>
      <c r="O45" s="73">
        <v>0</v>
      </c>
      <c r="P45" s="73">
        <v>0</v>
      </c>
      <c r="Q45" s="73">
        <v>0</v>
      </c>
      <c r="R45" s="73">
        <v>0</v>
      </c>
      <c r="S45" s="73">
        <v>0</v>
      </c>
      <c r="T45" s="73">
        <v>0</v>
      </c>
      <c r="U45" s="73">
        <v>0</v>
      </c>
      <c r="V45" s="73">
        <v>0</v>
      </c>
      <c r="W45" s="73">
        <v>0</v>
      </c>
      <c r="X45" s="73">
        <v>0</v>
      </c>
      <c r="Y45" s="73">
        <v>0</v>
      </c>
      <c r="Z45" s="73">
        <v>0</v>
      </c>
      <c r="AA45" s="73">
        <v>0</v>
      </c>
      <c r="AB45" s="73">
        <v>0</v>
      </c>
      <c r="AC45" s="73">
        <v>0</v>
      </c>
      <c r="AD45" s="73">
        <v>0</v>
      </c>
      <c r="AE45" s="73">
        <v>0</v>
      </c>
      <c r="AF45" s="73">
        <v>20361.669765689461</v>
      </c>
      <c r="AG45" s="73">
        <v>0</v>
      </c>
      <c r="AH45" s="73">
        <v>0</v>
      </c>
      <c r="AI45" s="73">
        <v>0</v>
      </c>
      <c r="AJ45" s="73">
        <v>74159.664305237529</v>
      </c>
      <c r="AK45" s="73">
        <v>64436.328905008566</v>
      </c>
      <c r="AL45" s="73">
        <v>0</v>
      </c>
      <c r="AM45" s="73">
        <v>0</v>
      </c>
      <c r="AN45" s="73">
        <v>13903.635996196756</v>
      </c>
      <c r="AO45" s="73">
        <v>78072.650524791214</v>
      </c>
      <c r="AP45" s="73">
        <v>11946.730611412362</v>
      </c>
      <c r="AQ45" s="73">
        <v>0</v>
      </c>
      <c r="AR45" s="73">
        <v>0</v>
      </c>
      <c r="AS45" s="73">
        <v>0</v>
      </c>
      <c r="AT45" s="73">
        <v>0</v>
      </c>
      <c r="AU45" s="73">
        <v>0</v>
      </c>
      <c r="AV45" s="73">
        <v>0</v>
      </c>
      <c r="AW45" s="73">
        <v>0</v>
      </c>
      <c r="AX45" s="73">
        <v>0</v>
      </c>
      <c r="BC45" s="666">
        <f t="shared" si="21"/>
        <v>0</v>
      </c>
      <c r="BL45" s="76">
        <f>BC45+I45+H45</f>
        <v>262880.68010833592</v>
      </c>
      <c r="BM45" s="667">
        <f>BL45-E45</f>
        <v>0</v>
      </c>
      <c r="BO45" s="679" t="s">
        <v>863</v>
      </c>
      <c r="BP45" s="204">
        <f t="shared" si="3"/>
        <v>262880.68010833586</v>
      </c>
      <c r="BQ45" s="204">
        <f t="shared" si="4"/>
        <v>262880.68010833586</v>
      </c>
      <c r="BR45" s="204">
        <f t="shared" si="5"/>
        <v>0</v>
      </c>
    </row>
    <row r="46" spans="1:73" outlineLevel="1" x14ac:dyDescent="0.25">
      <c r="A46" s="343" t="s">
        <v>25</v>
      </c>
      <c r="B46" s="3" t="s">
        <v>117</v>
      </c>
      <c r="C46" s="662"/>
      <c r="D46" s="1125">
        <v>113910</v>
      </c>
      <c r="E46" s="713">
        <f>D46/'Assumptions (3)'!$B$4</f>
        <v>85698.16430935901</v>
      </c>
      <c r="F46" s="713"/>
      <c r="G46" s="713"/>
      <c r="H46" s="242"/>
      <c r="I46" s="694">
        <f t="shared" si="26"/>
        <v>85698.164309359025</v>
      </c>
      <c r="J46" s="73">
        <v>2655.8257978933161</v>
      </c>
      <c r="K46" s="73">
        <v>647.74009891243441</v>
      </c>
      <c r="L46" s="73">
        <v>597.35962875150085</v>
      </c>
      <c r="M46" s="73">
        <v>933.80118275645304</v>
      </c>
      <c r="N46" s="73">
        <v>1184.0373794741993</v>
      </c>
      <c r="O46" s="73">
        <v>3637.4609540956399</v>
      </c>
      <c r="P46" s="73">
        <v>466.88590543820868</v>
      </c>
      <c r="Q46" s="73">
        <v>1337.3463152866263</v>
      </c>
      <c r="R46" s="73">
        <v>1171.2924190620022</v>
      </c>
      <c r="S46" s="73">
        <v>1181.7991535375356</v>
      </c>
      <c r="T46" s="73">
        <v>4428.8098983636573</v>
      </c>
      <c r="U46" s="73">
        <v>3488.7175154702086</v>
      </c>
      <c r="V46" s="73">
        <v>1652.8561968114379</v>
      </c>
      <c r="W46" s="73">
        <v>2733.4275441765867</v>
      </c>
      <c r="X46" s="73">
        <v>102.06106749810995</v>
      </c>
      <c r="Y46" s="73">
        <v>69.876962016211593</v>
      </c>
      <c r="Z46" s="73">
        <v>278.56030268535199</v>
      </c>
      <c r="AA46" s="73">
        <v>240.94332435941473</v>
      </c>
      <c r="AB46" s="73">
        <v>137.95126069703252</v>
      </c>
      <c r="AC46" s="73">
        <v>186.6772037918513</v>
      </c>
      <c r="AD46" s="73">
        <v>1375.000024633712</v>
      </c>
      <c r="AE46" s="73">
        <v>487.15862990746223</v>
      </c>
      <c r="AF46" s="73">
        <v>0</v>
      </c>
      <c r="AG46" s="73">
        <v>1673.8390865199131</v>
      </c>
      <c r="AH46" s="73">
        <v>24863.753353574994</v>
      </c>
      <c r="AI46" s="73">
        <v>269.96139882332858</v>
      </c>
      <c r="AJ46" s="73">
        <v>0</v>
      </c>
      <c r="AK46" s="73">
        <v>0</v>
      </c>
      <c r="AL46" s="73">
        <v>0</v>
      </c>
      <c r="AM46" s="73">
        <v>371.85618888064698</v>
      </c>
      <c r="AN46" s="73">
        <v>0</v>
      </c>
      <c r="AO46" s="73">
        <v>0</v>
      </c>
      <c r="AP46" s="73">
        <v>0</v>
      </c>
      <c r="AQ46" s="73">
        <v>2048.2060431152204</v>
      </c>
      <c r="AR46" s="73">
        <v>8.306899835249105</v>
      </c>
      <c r="AS46" s="73">
        <v>3053.3867213591284</v>
      </c>
      <c r="AT46" s="73">
        <v>2455.7988214215934</v>
      </c>
      <c r="AU46" s="73">
        <v>3716.4977715290447</v>
      </c>
      <c r="AV46" s="73">
        <v>5012.9331627538395</v>
      </c>
      <c r="AW46" s="73">
        <v>13051.814761903093</v>
      </c>
      <c r="AX46" s="73">
        <v>176.22133402402488</v>
      </c>
      <c r="BC46" s="666">
        <f t="shared" si="21"/>
        <v>0</v>
      </c>
      <c r="BL46" s="76">
        <f>BC46+I46+H46</f>
        <v>85698.164309359025</v>
      </c>
      <c r="BM46" s="667">
        <f>BL46-E46</f>
        <v>0</v>
      </c>
      <c r="BO46" s="679" t="s">
        <v>863</v>
      </c>
      <c r="BP46" s="204">
        <f t="shared" si="3"/>
        <v>85698.16430935901</v>
      </c>
      <c r="BQ46" s="204">
        <f t="shared" si="4"/>
        <v>85698.16430935901</v>
      </c>
      <c r="BR46" s="204">
        <f t="shared" si="5"/>
        <v>0</v>
      </c>
    </row>
    <row r="47" spans="1:73" outlineLevel="1" x14ac:dyDescent="0.25">
      <c r="A47" s="343" t="s">
        <v>9</v>
      </c>
      <c r="B47" s="3" t="s">
        <v>875</v>
      </c>
      <c r="C47" s="662"/>
      <c r="D47" s="1125">
        <v>20894</v>
      </c>
      <c r="E47" s="713">
        <f>D47/'Assumptions (3)'!$B$4</f>
        <v>15719.229611796571</v>
      </c>
      <c r="F47" s="713"/>
      <c r="G47" s="713"/>
      <c r="H47" s="242"/>
      <c r="I47" s="694">
        <f t="shared" si="26"/>
        <v>15719.229611796576</v>
      </c>
      <c r="J47" s="73">
        <v>404.10531180932128</v>
      </c>
      <c r="K47" s="73">
        <v>102.95772665926791</v>
      </c>
      <c r="L47" s="73">
        <v>98.111774377500367</v>
      </c>
      <c r="M47" s="73">
        <v>137.59630282403077</v>
      </c>
      <c r="N47" s="73">
        <v>186.4462589742794</v>
      </c>
      <c r="O47" s="73">
        <v>542.47095186079036</v>
      </c>
      <c r="P47" s="73">
        <v>68.931141399676747</v>
      </c>
      <c r="Q47" s="73">
        <v>194.9710580588773</v>
      </c>
      <c r="R47" s="73">
        <v>170.1411302170651</v>
      </c>
      <c r="S47" s="73">
        <v>172.17971231786532</v>
      </c>
      <c r="T47" s="73">
        <v>641.90746497270993</v>
      </c>
      <c r="U47" s="73">
        <v>506.67901645552348</v>
      </c>
      <c r="V47" s="73">
        <v>258.97611723274412</v>
      </c>
      <c r="W47" s="73">
        <v>424.94191384570723</v>
      </c>
      <c r="X47" s="73">
        <v>15.089970855189939</v>
      </c>
      <c r="Y47" s="73">
        <v>10.599039380012405</v>
      </c>
      <c r="Z47" s="73">
        <v>43.972398760442886</v>
      </c>
      <c r="AA47" s="73">
        <v>38.515355188577871</v>
      </c>
      <c r="AB47" s="73">
        <v>22.31226580741065</v>
      </c>
      <c r="AC47" s="73">
        <v>28.412842210358079</v>
      </c>
      <c r="AD47" s="73">
        <v>199.95521207879196</v>
      </c>
      <c r="AE47" s="73">
        <v>72.306576882516367</v>
      </c>
      <c r="AF47" s="73">
        <v>144.81339302957923</v>
      </c>
      <c r="AG47" s="73">
        <v>279.83021099952748</v>
      </c>
      <c r="AH47" s="73">
        <v>3858.9552970412146</v>
      </c>
      <c r="AI47" s="73">
        <v>38.884714502911891</v>
      </c>
      <c r="AJ47" s="73">
        <v>676.94784097030879</v>
      </c>
      <c r="AK47" s="73">
        <v>540.73957321404919</v>
      </c>
      <c r="AL47" s="73">
        <v>0</v>
      </c>
      <c r="AM47" s="73">
        <v>58.448691898387175</v>
      </c>
      <c r="AN47" s="73">
        <v>73.683830451690838</v>
      </c>
      <c r="AO47" s="73">
        <v>674.45511887381713</v>
      </c>
      <c r="AP47" s="73">
        <v>94.617821833332556</v>
      </c>
      <c r="AQ47" s="73">
        <v>342.7664749866625</v>
      </c>
      <c r="AR47" s="73">
        <v>1.3863353299053596</v>
      </c>
      <c r="AS47" s="73">
        <v>510.78919129877363</v>
      </c>
      <c r="AT47" s="73">
        <v>411.24487752071127</v>
      </c>
      <c r="AU47" s="73">
        <v>620.09704013552073</v>
      </c>
      <c r="AV47" s="73">
        <v>838.96424284688067</v>
      </c>
      <c r="AW47" s="73">
        <v>2181.6159037957741</v>
      </c>
      <c r="AX47" s="73">
        <v>29.409510898867499</v>
      </c>
      <c r="BC47" s="666">
        <f t="shared" si="21"/>
        <v>0</v>
      </c>
      <c r="BL47" s="76">
        <f>BC47+I47+H47</f>
        <v>15719.229611796576</v>
      </c>
      <c r="BM47" s="667">
        <f>BL47-E47</f>
        <v>0</v>
      </c>
      <c r="BO47" s="679" t="s">
        <v>863</v>
      </c>
      <c r="BP47" s="204">
        <f t="shared" si="3"/>
        <v>15719.229611796571</v>
      </c>
      <c r="BQ47" s="204">
        <f t="shared" si="4"/>
        <v>15719.229611796571</v>
      </c>
      <c r="BR47" s="204">
        <f t="shared" si="5"/>
        <v>0</v>
      </c>
    </row>
    <row r="48" spans="1:73" outlineLevel="1" x14ac:dyDescent="0.25">
      <c r="A48" s="343" t="s">
        <v>880</v>
      </c>
      <c r="B48" s="3" t="s">
        <v>861</v>
      </c>
      <c r="C48" s="662"/>
      <c r="D48" s="1125">
        <v>422974</v>
      </c>
      <c r="E48" s="713">
        <f>D48/'Assumptions (3)'!$B$4</f>
        <v>318216.97261510685</v>
      </c>
      <c r="F48" s="713"/>
      <c r="G48" s="713"/>
      <c r="H48" s="242"/>
      <c r="I48" s="694">
        <f t="shared" si="26"/>
        <v>318216.9726151069</v>
      </c>
      <c r="J48" s="73">
        <v>1978.5104905483331</v>
      </c>
      <c r="K48" s="73">
        <v>570.61483506265574</v>
      </c>
      <c r="L48" s="73">
        <v>589.53805840153711</v>
      </c>
      <c r="M48" s="73">
        <v>605.77947308763953</v>
      </c>
      <c r="N48" s="73">
        <v>1007.9107484053038</v>
      </c>
      <c r="O48" s="73">
        <v>2369.4088207445457</v>
      </c>
      <c r="P48" s="73">
        <v>288.944926086186</v>
      </c>
      <c r="Q48" s="73">
        <v>773.79830376193968</v>
      </c>
      <c r="R48" s="73">
        <v>664.2057644150118</v>
      </c>
      <c r="S48" s="73">
        <v>681.3126761320442</v>
      </c>
      <c r="T48" s="73">
        <v>2480.5858397051657</v>
      </c>
      <c r="U48" s="73">
        <v>1976.3984375497439</v>
      </c>
      <c r="V48" s="73">
        <v>1543.3456498622802</v>
      </c>
      <c r="W48" s="73">
        <v>2489.1620713832767</v>
      </c>
      <c r="X48" s="73">
        <v>60.313312664817957</v>
      </c>
      <c r="Y48" s="73">
        <v>46.599478314015926</v>
      </c>
      <c r="Z48" s="73">
        <v>219.87072546083232</v>
      </c>
      <c r="AA48" s="73">
        <v>199.71723300339428</v>
      </c>
      <c r="AB48" s="73">
        <v>119.51146403896772</v>
      </c>
      <c r="AC48" s="73">
        <v>126.42186791940232</v>
      </c>
      <c r="AD48" s="73">
        <v>746.29701911205348</v>
      </c>
      <c r="AE48" s="73">
        <v>293.42051358447986</v>
      </c>
      <c r="AF48" s="73">
        <v>771.08510691184404</v>
      </c>
      <c r="AG48" s="73">
        <v>2498.1913917691086</v>
      </c>
      <c r="AH48" s="73">
        <v>19010.654899223988</v>
      </c>
      <c r="AI48" s="73">
        <v>139.11656006349574</v>
      </c>
      <c r="AJ48" s="73">
        <v>2982.6547285705392</v>
      </c>
      <c r="AK48" s="73">
        <v>2536.2826404802895</v>
      </c>
      <c r="AL48" s="73">
        <v>0</v>
      </c>
      <c r="AM48" s="73">
        <v>288.53286082829078</v>
      </c>
      <c r="AN48" s="73">
        <v>497.1520986867381</v>
      </c>
      <c r="AO48" s="73">
        <v>3095.4961095511107</v>
      </c>
      <c r="AP48" s="73">
        <v>463.66567268505383</v>
      </c>
      <c r="AQ48" s="73">
        <v>2972.2209371096519</v>
      </c>
      <c r="AR48" s="73">
        <v>8.0447105690953471</v>
      </c>
      <c r="AS48" s="73">
        <v>4366.7051205209009</v>
      </c>
      <c r="AT48" s="73">
        <v>3653.1161806848754</v>
      </c>
      <c r="AU48" s="73">
        <v>5003.5155282625674</v>
      </c>
      <c r="AV48" s="73">
        <v>7096.9936192662417</v>
      </c>
      <c r="AW48" s="73">
        <v>18111.52680455273</v>
      </c>
      <c r="AX48" s="73">
        <v>170.65929004074033</v>
      </c>
      <c r="AY48" s="73">
        <v>58304.48837945221</v>
      </c>
      <c r="AZ48" s="73">
        <v>1926.959240652375</v>
      </c>
      <c r="BA48" s="73">
        <v>33732.490142212358</v>
      </c>
      <c r="BB48" s="73">
        <v>130755.75288376906</v>
      </c>
      <c r="BC48" s="666">
        <f t="shared" si="21"/>
        <v>0</v>
      </c>
      <c r="BL48" s="76">
        <f>BC48+I48+H48</f>
        <v>318216.9726151069</v>
      </c>
      <c r="BM48" s="667">
        <f>BL48-E48</f>
        <v>0</v>
      </c>
      <c r="BO48" s="712" t="s">
        <v>857</v>
      </c>
      <c r="BP48" s="204">
        <f t="shared" si="3"/>
        <v>318216.97261510685</v>
      </c>
      <c r="BQ48" s="204">
        <f t="shared" si="4"/>
        <v>337309.99097201327</v>
      </c>
      <c r="BR48" s="204">
        <f t="shared" si="5"/>
        <v>19093.018356906425</v>
      </c>
    </row>
    <row r="49" spans="1:73" outlineLevel="1" x14ac:dyDescent="0.25">
      <c r="H49" s="242"/>
      <c r="I49" s="241"/>
      <c r="BL49" s="76"/>
      <c r="BM49" s="667"/>
      <c r="BO49" s="668"/>
      <c r="BP49" s="204">
        <f t="shared" si="3"/>
        <v>0</v>
      </c>
      <c r="BQ49" s="204">
        <f t="shared" si="4"/>
        <v>0</v>
      </c>
      <c r="BR49" s="204">
        <f t="shared" si="5"/>
        <v>0</v>
      </c>
    </row>
    <row r="50" spans="1:73" s="721" customFormat="1" ht="30" outlineLevel="1" x14ac:dyDescent="0.25">
      <c r="A50" s="714" t="s">
        <v>881</v>
      </c>
      <c r="B50" s="670" t="s">
        <v>882</v>
      </c>
      <c r="C50" s="662"/>
      <c r="D50" s="715">
        <f>E50*'Assumptions (3)'!B4</f>
        <v>35615.913999999997</v>
      </c>
      <c r="E50" s="1126">
        <v>26795</v>
      </c>
      <c r="F50" s="716"/>
      <c r="G50" s="716"/>
      <c r="H50" s="717"/>
      <c r="I50" s="718">
        <f>SUM(J50:BB50)</f>
        <v>26795</v>
      </c>
      <c r="J50" s="715"/>
      <c r="K50" s="715"/>
      <c r="L50" s="715"/>
      <c r="M50" s="715"/>
      <c r="N50" s="715"/>
      <c r="O50" s="715"/>
      <c r="P50" s="715"/>
      <c r="Q50" s="715"/>
      <c r="R50" s="715"/>
      <c r="S50" s="715"/>
      <c r="T50" s="715"/>
      <c r="U50" s="715"/>
      <c r="V50" s="715"/>
      <c r="W50" s="715"/>
      <c r="X50" s="715"/>
      <c r="Y50" s="715"/>
      <c r="Z50" s="715"/>
      <c r="AA50" s="715"/>
      <c r="AB50" s="715"/>
      <c r="AC50" s="715"/>
      <c r="AD50" s="715"/>
      <c r="AE50" s="715"/>
      <c r="AF50" s="715"/>
      <c r="AG50" s="715"/>
      <c r="AH50" s="715"/>
      <c r="AI50" s="715"/>
      <c r="AJ50" s="715"/>
      <c r="AK50" s="715"/>
      <c r="AL50" s="715"/>
      <c r="AM50" s="715"/>
      <c r="AN50" s="715"/>
      <c r="AO50" s="715"/>
      <c r="AP50" s="715"/>
      <c r="AQ50" s="715"/>
      <c r="AR50" s="715"/>
      <c r="AS50" s="715"/>
      <c r="AT50" s="715"/>
      <c r="AU50" s="715"/>
      <c r="AV50" s="715"/>
      <c r="AW50" s="715"/>
      <c r="AX50" s="715"/>
      <c r="AY50" s="715">
        <v>6871.223222083343</v>
      </c>
      <c r="AZ50" s="715">
        <v>280.55526040109538</v>
      </c>
      <c r="BA50" s="715">
        <v>4307.2478811439096</v>
      </c>
      <c r="BB50" s="715">
        <v>15335.973636371653</v>
      </c>
      <c r="BC50" s="719">
        <f t="shared" ref="BC50" si="27">SUM(BD50:BK50)</f>
        <v>0</v>
      </c>
      <c r="BD50" s="715"/>
      <c r="BE50" s="715"/>
      <c r="BF50" s="715"/>
      <c r="BG50" s="715"/>
      <c r="BH50" s="715"/>
      <c r="BI50" s="715"/>
      <c r="BJ50" s="715"/>
      <c r="BK50" s="715"/>
      <c r="BL50" s="720">
        <f>BC50+I50+H50</f>
        <v>26795</v>
      </c>
      <c r="BM50" s="678">
        <f>BL50-E50</f>
        <v>0</v>
      </c>
      <c r="BO50" s="722" t="s">
        <v>863</v>
      </c>
      <c r="BP50" s="723">
        <f t="shared" si="3"/>
        <v>26795</v>
      </c>
      <c r="BQ50" s="723">
        <f t="shared" si="4"/>
        <v>26795</v>
      </c>
      <c r="BR50" s="723">
        <f t="shared" si="5"/>
        <v>0</v>
      </c>
      <c r="BU50" s="1247"/>
    </row>
    <row r="51" spans="1:73" s="721" customFormat="1" outlineLevel="1" x14ac:dyDescent="0.25">
      <c r="A51" s="714"/>
      <c r="B51" s="670"/>
      <c r="C51" s="670"/>
      <c r="D51" s="715"/>
      <c r="E51" s="716"/>
      <c r="F51" s="716"/>
      <c r="G51" s="716"/>
      <c r="H51" s="717"/>
      <c r="I51" s="718"/>
      <c r="J51" s="715"/>
      <c r="K51" s="715"/>
      <c r="L51" s="715"/>
      <c r="M51" s="715"/>
      <c r="N51" s="715"/>
      <c r="O51" s="715"/>
      <c r="P51" s="715"/>
      <c r="Q51" s="715"/>
      <c r="R51" s="715"/>
      <c r="S51" s="715"/>
      <c r="T51" s="715"/>
      <c r="U51" s="715"/>
      <c r="V51" s="715"/>
      <c r="W51" s="715"/>
      <c r="X51" s="715"/>
      <c r="Y51" s="715"/>
      <c r="Z51" s="715"/>
      <c r="AA51" s="715"/>
      <c r="AB51" s="715"/>
      <c r="AC51" s="715"/>
      <c r="AD51" s="715"/>
      <c r="AE51" s="715"/>
      <c r="AF51" s="715"/>
      <c r="AG51" s="715"/>
      <c r="AH51" s="715"/>
      <c r="AI51" s="715"/>
      <c r="AJ51" s="715"/>
      <c r="AK51" s="715"/>
      <c r="AL51" s="715"/>
      <c r="AM51" s="715"/>
      <c r="AN51" s="715"/>
      <c r="AO51" s="715"/>
      <c r="AP51" s="715"/>
      <c r="AQ51" s="715"/>
      <c r="AR51" s="715"/>
      <c r="AS51" s="715"/>
      <c r="AT51" s="715"/>
      <c r="AU51" s="715"/>
      <c r="AV51" s="715"/>
      <c r="AW51" s="715"/>
      <c r="AX51" s="715"/>
      <c r="AY51" s="715"/>
      <c r="AZ51" s="715"/>
      <c r="BA51" s="715"/>
      <c r="BB51" s="715"/>
      <c r="BC51" s="719"/>
      <c r="BD51" s="715"/>
      <c r="BE51" s="715"/>
      <c r="BF51" s="715"/>
      <c r="BG51" s="715"/>
      <c r="BH51" s="715"/>
      <c r="BI51" s="715"/>
      <c r="BJ51" s="715"/>
      <c r="BK51" s="715"/>
      <c r="BL51" s="720"/>
      <c r="BM51" s="678"/>
      <c r="BO51" s="724"/>
      <c r="BP51" s="723">
        <f t="shared" si="3"/>
        <v>0</v>
      </c>
      <c r="BQ51" s="723">
        <f t="shared" si="4"/>
        <v>0</v>
      </c>
      <c r="BR51" s="723">
        <f t="shared" si="5"/>
        <v>0</v>
      </c>
      <c r="BU51" s="1247"/>
    </row>
    <row r="52" spans="1:73" s="730" customFormat="1" outlineLevel="1" x14ac:dyDescent="0.25">
      <c r="A52" s="725" t="s">
        <v>883</v>
      </c>
      <c r="B52" s="726"/>
      <c r="C52" s="727"/>
      <c r="D52" s="728">
        <f t="shared" ref="D52:AK52" si="28">D50+SUM(D45:D48)+D41+D43</f>
        <v>1595178.5584444443</v>
      </c>
      <c r="E52" s="728">
        <f t="shared" si="28"/>
        <v>1200104.2419834821</v>
      </c>
      <c r="F52" s="728"/>
      <c r="G52" s="728"/>
      <c r="H52" s="728">
        <f t="shared" si="28"/>
        <v>0</v>
      </c>
      <c r="I52" s="728">
        <f t="shared" si="28"/>
        <v>1200104.2419834826</v>
      </c>
      <c r="J52" s="728">
        <f t="shared" si="28"/>
        <v>17655.633806209018</v>
      </c>
      <c r="K52" s="728">
        <f t="shared" si="28"/>
        <v>4535.9138756795837</v>
      </c>
      <c r="L52" s="728">
        <f t="shared" si="28"/>
        <v>4348.3077622779883</v>
      </c>
      <c r="M52" s="728">
        <f t="shared" si="28"/>
        <v>5973.2823273082167</v>
      </c>
      <c r="N52" s="728">
        <f t="shared" si="28"/>
        <v>8199.719216828591</v>
      </c>
      <c r="O52" s="728">
        <f t="shared" si="28"/>
        <v>23486.658959741653</v>
      </c>
      <c r="P52" s="728">
        <f t="shared" si="28"/>
        <v>2976.9669417767777</v>
      </c>
      <c r="Q52" s="728">
        <f t="shared" si="28"/>
        <v>8393.6063441160859</v>
      </c>
      <c r="R52" s="728">
        <f t="shared" si="28"/>
        <v>7317.8766918074789</v>
      </c>
      <c r="S52" s="728">
        <f t="shared" si="28"/>
        <v>7411.178620913387</v>
      </c>
      <c r="T52" s="728">
        <f t="shared" si="28"/>
        <v>27593.281438213911</v>
      </c>
      <c r="U52" s="728">
        <f t="shared" si="28"/>
        <v>21791.598249768955</v>
      </c>
      <c r="V52" s="728">
        <f t="shared" si="28"/>
        <v>11541.0688254947</v>
      </c>
      <c r="W52" s="728">
        <f t="shared" si="28"/>
        <v>18915.29526988526</v>
      </c>
      <c r="X52" s="728">
        <f t="shared" si="28"/>
        <v>648.61149286037676</v>
      </c>
      <c r="Y52" s="728">
        <f t="shared" si="28"/>
        <v>458.00435678284822</v>
      </c>
      <c r="Z52" s="728">
        <f t="shared" si="28"/>
        <v>1915.3331823544543</v>
      </c>
      <c r="AA52" s="728">
        <f t="shared" si="28"/>
        <v>1681.7229345621508</v>
      </c>
      <c r="AB52" s="728">
        <f t="shared" si="28"/>
        <v>976.42048867376297</v>
      </c>
      <c r="AC52" s="728">
        <f t="shared" si="28"/>
        <v>1228.6328717743033</v>
      </c>
      <c r="AD52" s="728">
        <f t="shared" si="28"/>
        <v>8564.3608457251285</v>
      </c>
      <c r="AE52" s="728">
        <f t="shared" si="28"/>
        <v>3110.4803414322159</v>
      </c>
      <c r="AF52" s="728">
        <f t="shared" si="28"/>
        <v>25799.009485174389</v>
      </c>
      <c r="AG52" s="728">
        <f t="shared" si="28"/>
        <v>13188.869221561434</v>
      </c>
      <c r="AH52" s="728">
        <f t="shared" si="28"/>
        <v>168219.73003428555</v>
      </c>
      <c r="AI52" s="728">
        <f t="shared" si="28"/>
        <v>1662.0420294872449</v>
      </c>
      <c r="AJ52" s="728">
        <f t="shared" si="28"/>
        <v>98955.294472853857</v>
      </c>
      <c r="AK52" s="728">
        <f t="shared" si="28"/>
        <v>84396.611321500386</v>
      </c>
      <c r="AL52" s="728">
        <f t="shared" ref="AL52:BC52" si="29">AL50+SUM(AL45:AL48)+AL41+AL43</f>
        <v>0</v>
      </c>
      <c r="AM52" s="728">
        <f t="shared" si="29"/>
        <v>2543.7540649461939</v>
      </c>
      <c r="AN52" s="728">
        <f t="shared" si="29"/>
        <v>16775.067894038715</v>
      </c>
      <c r="AO52" s="728">
        <f t="shared" si="29"/>
        <v>102900.80024860881</v>
      </c>
      <c r="AP52" s="728">
        <f t="shared" si="29"/>
        <v>15459.222351388198</v>
      </c>
      <c r="AQ52" s="728">
        <f t="shared" si="29"/>
        <v>16065.231687032854</v>
      </c>
      <c r="AR52" s="728">
        <f t="shared" si="29"/>
        <v>61.022848971502206</v>
      </c>
      <c r="AS52" s="728">
        <f t="shared" si="29"/>
        <v>23879.014391008732</v>
      </c>
      <c r="AT52" s="728">
        <f t="shared" si="29"/>
        <v>19360.267425263268</v>
      </c>
      <c r="AU52" s="728">
        <f t="shared" si="29"/>
        <v>28701.111824182</v>
      </c>
      <c r="AV52" s="728">
        <f t="shared" si="29"/>
        <v>39143.48138679695</v>
      </c>
      <c r="AW52" s="728">
        <f t="shared" si="29"/>
        <v>101460.53619037084</v>
      </c>
      <c r="AX52" s="728">
        <f t="shared" si="29"/>
        <v>1294.5296157386788</v>
      </c>
      <c r="AY52" s="728">
        <f t="shared" si="29"/>
        <v>65175.711601535557</v>
      </c>
      <c r="AZ52" s="728">
        <f t="shared" si="29"/>
        <v>2207.5145010534702</v>
      </c>
      <c r="BA52" s="728">
        <f t="shared" si="29"/>
        <v>38039.738023356265</v>
      </c>
      <c r="BB52" s="728">
        <f t="shared" si="29"/>
        <v>146091.72652014071</v>
      </c>
      <c r="BC52" s="728">
        <f t="shared" si="29"/>
        <v>0</v>
      </c>
      <c r="BD52" s="728">
        <f>BD50+BD48+BD47+BD46+BD45+BD43+BD41</f>
        <v>0</v>
      </c>
      <c r="BE52" s="728">
        <f t="shared" ref="BE52:BK52" si="30">BE50+BE48+BE47+BE46+BE45+BE43+BE41</f>
        <v>0</v>
      </c>
      <c r="BF52" s="728">
        <f t="shared" si="30"/>
        <v>0</v>
      </c>
      <c r="BG52" s="728">
        <f t="shared" si="30"/>
        <v>0</v>
      </c>
      <c r="BH52" s="728">
        <f t="shared" si="30"/>
        <v>0</v>
      </c>
      <c r="BI52" s="728">
        <f t="shared" si="30"/>
        <v>0</v>
      </c>
      <c r="BJ52" s="728">
        <f t="shared" si="30"/>
        <v>0</v>
      </c>
      <c r="BK52" s="728">
        <f t="shared" si="30"/>
        <v>0</v>
      </c>
      <c r="BL52" s="728">
        <f>BL50+SUM(BL45:BL48)+BL41+BL43</f>
        <v>1200104.2419834826</v>
      </c>
      <c r="BM52" s="729">
        <f>BL52-E52</f>
        <v>0</v>
      </c>
      <c r="BO52" s="731"/>
      <c r="BP52" s="732">
        <f t="shared" si="3"/>
        <v>1200104.2419834821</v>
      </c>
      <c r="BQ52" s="732">
        <f t="shared" si="4"/>
        <v>1219197.2603403886</v>
      </c>
      <c r="BR52" s="732">
        <f t="shared" si="5"/>
        <v>19093.018356906483</v>
      </c>
      <c r="BU52" s="31"/>
    </row>
    <row r="53" spans="1:73" outlineLevel="1" x14ac:dyDescent="0.25">
      <c r="H53" s="242"/>
      <c r="I53" s="241"/>
      <c r="BL53" s="80"/>
      <c r="BM53" s="667"/>
      <c r="BO53" s="668"/>
      <c r="BP53" s="204">
        <f t="shared" si="3"/>
        <v>0</v>
      </c>
      <c r="BQ53" s="204">
        <f t="shared" si="4"/>
        <v>0</v>
      </c>
      <c r="BR53" s="204">
        <f t="shared" si="5"/>
        <v>0</v>
      </c>
    </row>
    <row r="54" spans="1:73" outlineLevel="1" x14ac:dyDescent="0.25">
      <c r="A54" s="1" t="s">
        <v>884</v>
      </c>
      <c r="H54" s="242"/>
      <c r="I54" s="241"/>
      <c r="BL54" s="80"/>
      <c r="BM54" s="667"/>
      <c r="BO54" s="668"/>
      <c r="BP54" s="204">
        <f t="shared" si="3"/>
        <v>0</v>
      </c>
      <c r="BQ54" s="204">
        <f t="shared" si="4"/>
        <v>0</v>
      </c>
      <c r="BR54" s="204">
        <f t="shared" si="5"/>
        <v>0</v>
      </c>
    </row>
    <row r="55" spans="1:73" outlineLevel="1" x14ac:dyDescent="0.25">
      <c r="A55" s="177" t="s">
        <v>885</v>
      </c>
      <c r="B55" s="3" t="s">
        <v>875</v>
      </c>
      <c r="C55" s="662"/>
      <c r="D55" s="1125">
        <v>98358</v>
      </c>
      <c r="E55" s="664">
        <f>D55/'Assumptions (3)'!$B$4</f>
        <v>73997.893469756251</v>
      </c>
      <c r="F55" s="664"/>
      <c r="G55" s="664"/>
      <c r="H55" s="242"/>
      <c r="I55" s="694">
        <f t="shared" si="26"/>
        <v>73997.893469756265</v>
      </c>
      <c r="J55" s="81">
        <v>1902.3159882713323</v>
      </c>
      <c r="K55" s="81">
        <v>484.67100979957269</v>
      </c>
      <c r="L55" s="81">
        <v>461.85880655796791</v>
      </c>
      <c r="M55" s="81">
        <v>647.73126989403738</v>
      </c>
      <c r="N55" s="81">
        <v>877.69125778654995</v>
      </c>
      <c r="O55" s="81">
        <v>2553.6688945689489</v>
      </c>
      <c r="P55" s="81">
        <v>324.49168209961738</v>
      </c>
      <c r="Q55" s="81">
        <v>917.8215434361565</v>
      </c>
      <c r="R55" s="81">
        <v>800.93525825069821</v>
      </c>
      <c r="S55" s="81">
        <v>810.53183421846461</v>
      </c>
      <c r="T55" s="81">
        <v>3021.7638767007661</v>
      </c>
      <c r="U55" s="81">
        <v>2385.1792237260638</v>
      </c>
      <c r="V55" s="81">
        <v>1219.1238125192997</v>
      </c>
      <c r="W55" s="81">
        <v>2000.4037887449065</v>
      </c>
      <c r="X55" s="81">
        <v>71.035673081974352</v>
      </c>
      <c r="Y55" s="81">
        <v>49.894721706674652</v>
      </c>
      <c r="Z55" s="81">
        <v>206.99900436870115</v>
      </c>
      <c r="AA55" s="81">
        <v>181.31010364880549</v>
      </c>
      <c r="AB55" s="81">
        <v>105.03445200944275</v>
      </c>
      <c r="AC55" s="81">
        <v>133.7527679777161</v>
      </c>
      <c r="AD55" s="81">
        <v>941.28432801980568</v>
      </c>
      <c r="AE55" s="81">
        <v>340.38146305209841</v>
      </c>
      <c r="AF55" s="81">
        <v>681.7055476023429</v>
      </c>
      <c r="AG55" s="81">
        <v>1317.2939548909508</v>
      </c>
      <c r="AH55" s="81">
        <v>18165.93879134583</v>
      </c>
      <c r="AI55" s="81">
        <v>183.04885369375936</v>
      </c>
      <c r="AJ55" s="81">
        <v>3186.7155997969576</v>
      </c>
      <c r="AK55" s="81">
        <v>2545.5184714361753</v>
      </c>
      <c r="AL55" s="81">
        <v>0</v>
      </c>
      <c r="AM55" s="81">
        <v>275.14580442909761</v>
      </c>
      <c r="AN55" s="81">
        <v>346.86485094129449</v>
      </c>
      <c r="AO55" s="81">
        <v>3174.981170775864</v>
      </c>
      <c r="AP55" s="81">
        <v>445.41110940379644</v>
      </c>
      <c r="AQ55" s="81">
        <v>1613.5648964649254</v>
      </c>
      <c r="AR55" s="81">
        <v>6.5261400583340361</v>
      </c>
      <c r="AS55" s="81">
        <v>2404.5277724593079</v>
      </c>
      <c r="AT55" s="81">
        <v>1935.9253212971246</v>
      </c>
      <c r="AU55" s="81">
        <v>2919.0918289293363</v>
      </c>
      <c r="AV55" s="81">
        <v>3949.4038957563648</v>
      </c>
      <c r="AW55" s="81">
        <v>10269.904138295431</v>
      </c>
      <c r="AX55" s="81">
        <v>138.44456173977264</v>
      </c>
      <c r="BC55" s="666">
        <f t="shared" ref="BC55:BC58" si="31">SUM(BD55:BK55)</f>
        <v>0</v>
      </c>
      <c r="BL55" s="76">
        <f>BC55+I55+H55</f>
        <v>73997.893469756265</v>
      </c>
      <c r="BM55" s="667">
        <f>BL55-E55</f>
        <v>0</v>
      </c>
      <c r="BO55" s="651" t="s">
        <v>863</v>
      </c>
      <c r="BP55" s="204">
        <f t="shared" si="3"/>
        <v>73997.893469756251</v>
      </c>
      <c r="BQ55" s="204">
        <f t="shared" si="4"/>
        <v>73997.893469756251</v>
      </c>
      <c r="BR55" s="204">
        <f t="shared" si="5"/>
        <v>0</v>
      </c>
    </row>
    <row r="56" spans="1:73" outlineLevel="1" x14ac:dyDescent="0.25">
      <c r="A56" s="69" t="s">
        <v>886</v>
      </c>
      <c r="B56" s="27" t="s">
        <v>861</v>
      </c>
      <c r="C56" s="733"/>
      <c r="D56" s="1125">
        <v>1052104</v>
      </c>
      <c r="E56" s="664">
        <f>D56/'Assumptions (3)'!$B$4</f>
        <v>791531.74842010241</v>
      </c>
      <c r="F56" s="664"/>
      <c r="G56" s="664"/>
      <c r="H56" s="242"/>
      <c r="I56" s="694">
        <f t="shared" si="26"/>
        <v>791531.74842010252</v>
      </c>
      <c r="J56" s="73">
        <v>4921.3398486617698</v>
      </c>
      <c r="K56" s="73">
        <v>1419.3452799197123</v>
      </c>
      <c r="L56" s="73">
        <v>1466.4148373103094</v>
      </c>
      <c r="M56" s="73">
        <v>1506.8136735435226</v>
      </c>
      <c r="N56" s="73">
        <v>2507.0735554436296</v>
      </c>
      <c r="O56" s="73">
        <v>5893.65894343534</v>
      </c>
      <c r="P56" s="73">
        <v>718.72056560209523</v>
      </c>
      <c r="Q56" s="73">
        <v>1924.7431061510918</v>
      </c>
      <c r="R56" s="73">
        <v>1652.1430195806165</v>
      </c>
      <c r="S56" s="73">
        <v>1694.6946900027622</v>
      </c>
      <c r="T56" s="73">
        <v>6170.2002588744554</v>
      </c>
      <c r="U56" s="73">
        <v>4916.0863356609052</v>
      </c>
      <c r="V56" s="73">
        <v>3838.9123955673504</v>
      </c>
      <c r="W56" s="73">
        <v>6191.5327465769324</v>
      </c>
      <c r="X56" s="73">
        <v>150.0231160967474</v>
      </c>
      <c r="Y56" s="73">
        <v>115.91137406102837</v>
      </c>
      <c r="Z56" s="73">
        <v>546.90564843286711</v>
      </c>
      <c r="AA56" s="73">
        <v>496.77592407997457</v>
      </c>
      <c r="AB56" s="73">
        <v>297.27238402656923</v>
      </c>
      <c r="AC56" s="73">
        <v>314.46129768135836</v>
      </c>
      <c r="AD56" s="73">
        <v>1856.3365100357657</v>
      </c>
      <c r="AE56" s="73">
        <v>729.85312578145613</v>
      </c>
      <c r="AF56" s="73">
        <v>1917.9943101050628</v>
      </c>
      <c r="AG56" s="73">
        <v>6213.9922454946318</v>
      </c>
      <c r="AH56" s="73">
        <v>47287.034338028243</v>
      </c>
      <c r="AI56" s="73">
        <v>346.03802907281329</v>
      </c>
      <c r="AJ56" s="73">
        <v>7419.0445997814968</v>
      </c>
      <c r="AK56" s="73">
        <v>6308.740279969631</v>
      </c>
      <c r="AL56" s="73">
        <v>0</v>
      </c>
      <c r="AM56" s="73">
        <v>717.69559596780903</v>
      </c>
      <c r="AN56" s="73">
        <v>1236.6143347740333</v>
      </c>
      <c r="AO56" s="73">
        <v>7699.7258432980807</v>
      </c>
      <c r="AP56" s="73">
        <v>1153.3203196759987</v>
      </c>
      <c r="AQ56" s="73">
        <v>7393.091624584049</v>
      </c>
      <c r="AR56" s="73">
        <v>20.010384015536395</v>
      </c>
      <c r="AS56" s="73">
        <v>10861.726546124637</v>
      </c>
      <c r="AT56" s="73">
        <v>9086.7479943525614</v>
      </c>
      <c r="AU56" s="73">
        <v>12445.726454456209</v>
      </c>
      <c r="AV56" s="73">
        <v>17653.036297277114</v>
      </c>
      <c r="AW56" s="73">
        <v>45050.546362606561</v>
      </c>
      <c r="AX56" s="73">
        <v>424.49730169944979</v>
      </c>
      <c r="AY56" s="73">
        <v>145026.37382433718</v>
      </c>
      <c r="AZ56" s="73">
        <v>4793.1114558514855</v>
      </c>
      <c r="BA56" s="73">
        <v>83906.074152506291</v>
      </c>
      <c r="BB56" s="73">
        <v>325241.38748959743</v>
      </c>
      <c r="BC56" s="666">
        <f t="shared" si="31"/>
        <v>0</v>
      </c>
      <c r="BL56" s="76">
        <f>BC56+I56+H56</f>
        <v>791531.74842010252</v>
      </c>
      <c r="BM56" s="667">
        <f>BL56-E56</f>
        <v>0</v>
      </c>
      <c r="BO56" s="712" t="s">
        <v>857</v>
      </c>
      <c r="BP56" s="204">
        <f t="shared" si="3"/>
        <v>791531.74842010241</v>
      </c>
      <c r="BQ56" s="204">
        <f t="shared" si="4"/>
        <v>839023.65332530858</v>
      </c>
      <c r="BR56" s="204">
        <f t="shared" si="5"/>
        <v>47491.904905206175</v>
      </c>
    </row>
    <row r="57" spans="1:73" s="721" customFormat="1" ht="30" outlineLevel="1" x14ac:dyDescent="0.25">
      <c r="A57" s="721" t="s">
        <v>887</v>
      </c>
      <c r="B57" s="734" t="s">
        <v>888</v>
      </c>
      <c r="C57" s="735"/>
      <c r="D57" s="1128">
        <v>62616</v>
      </c>
      <c r="E57" s="737">
        <f>D57/'Assumptions (3)'!$B$4</f>
        <v>47108.034908215472</v>
      </c>
      <c r="F57" s="737"/>
      <c r="G57" s="737"/>
      <c r="H57" s="738"/>
      <c r="I57" s="739">
        <f t="shared" si="26"/>
        <v>47108.034908215486</v>
      </c>
      <c r="J57" s="740">
        <v>632.91364281152983</v>
      </c>
      <c r="K57" s="740">
        <v>158.02438114042263</v>
      </c>
      <c r="L57" s="740">
        <v>148.36467854218273</v>
      </c>
      <c r="M57" s="740">
        <v>218.79989752495291</v>
      </c>
      <c r="N57" s="740">
        <v>287.40007220476042</v>
      </c>
      <c r="O57" s="740">
        <v>584.91806184539564</v>
      </c>
      <c r="P57" s="740">
        <v>71.744540694059651</v>
      </c>
      <c r="Q57" s="740">
        <v>193.68203498709869</v>
      </c>
      <c r="R57" s="740">
        <v>166.66674112245468</v>
      </c>
      <c r="S57" s="740">
        <v>170.60930169346574</v>
      </c>
      <c r="T57" s="740">
        <v>623.41333564516287</v>
      </c>
      <c r="U57" s="740">
        <v>495.99175153234847</v>
      </c>
      <c r="V57" s="740">
        <v>768.31619980616551</v>
      </c>
      <c r="W57" s="740">
        <v>1276.3543481999131</v>
      </c>
      <c r="X57" s="740">
        <v>8.2501736324679289</v>
      </c>
      <c r="Y57" s="740">
        <v>5.7546415457066704</v>
      </c>
      <c r="Z57" s="740">
        <v>23.622510475851065</v>
      </c>
      <c r="AA57" s="740">
        <v>20.623237809076389</v>
      </c>
      <c r="AB57" s="740">
        <v>11.911026562941938</v>
      </c>
      <c r="AC57" s="740">
        <v>15.412207661951147</v>
      </c>
      <c r="AD57" s="740">
        <v>109.82398552513847</v>
      </c>
      <c r="AE57" s="740">
        <v>39.490421428683</v>
      </c>
      <c r="AF57" s="740">
        <v>300.70366790240712</v>
      </c>
      <c r="AG57" s="740">
        <v>2116.9872599083442</v>
      </c>
      <c r="AH57" s="740">
        <v>3654.6517942234223</v>
      </c>
      <c r="AI57" s="740">
        <v>21.414217129566925</v>
      </c>
      <c r="AJ57" s="740">
        <v>1157.7462169844837</v>
      </c>
      <c r="AK57" s="740">
        <v>986.10024939362017</v>
      </c>
      <c r="AL57" s="740">
        <v>0</v>
      </c>
      <c r="AM57" s="740">
        <v>31.434671641552562</v>
      </c>
      <c r="AN57" s="740">
        <v>194.78912379542891</v>
      </c>
      <c r="AO57" s="740">
        <v>1202.8493584985908</v>
      </c>
      <c r="AP57" s="740">
        <v>180.46840747155503</v>
      </c>
      <c r="AQ57" s="740">
        <v>2382.6171066987908</v>
      </c>
      <c r="AR57" s="740">
        <v>0.73419750376698278</v>
      </c>
      <c r="AS57" s="740">
        <v>3414.9432758128696</v>
      </c>
      <c r="AT57" s="740">
        <v>3047.7408869967353</v>
      </c>
      <c r="AU57" s="740">
        <v>3521.9543736554101</v>
      </c>
      <c r="AV57" s="740">
        <v>5426.4049868218572</v>
      </c>
      <c r="AW57" s="740">
        <v>13418.83276505544</v>
      </c>
      <c r="AX57" s="740">
        <v>15.575156329912208</v>
      </c>
      <c r="AY57" s="741"/>
      <c r="AZ57" s="741"/>
      <c r="BA57" s="741"/>
      <c r="BB57" s="741"/>
      <c r="BC57" s="739">
        <f t="shared" si="31"/>
        <v>0</v>
      </c>
      <c r="BD57" s="741"/>
      <c r="BE57" s="741"/>
      <c r="BF57" s="741"/>
      <c r="BG57" s="741"/>
      <c r="BH57" s="741"/>
      <c r="BI57" s="741"/>
      <c r="BJ57" s="741"/>
      <c r="BK57" s="741"/>
      <c r="BL57" s="742">
        <f>BC57+I57+H57</f>
        <v>47108.034908215486</v>
      </c>
      <c r="BM57" s="743">
        <f>BL57-E57</f>
        <v>0</v>
      </c>
      <c r="BO57" s="744" t="s">
        <v>863</v>
      </c>
      <c r="BP57" s="723">
        <f t="shared" si="3"/>
        <v>47108.034908215472</v>
      </c>
      <c r="BQ57" s="723">
        <f t="shared" si="4"/>
        <v>47108.034908215472</v>
      </c>
      <c r="BR57" s="723">
        <f t="shared" si="5"/>
        <v>0</v>
      </c>
      <c r="BU57" s="1247"/>
    </row>
    <row r="58" spans="1:73" s="294" customFormat="1" outlineLevel="1" x14ac:dyDescent="0.25">
      <c r="A58" s="745" t="s">
        <v>889</v>
      </c>
      <c r="B58" s="746"/>
      <c r="C58" s="747"/>
      <c r="D58" s="748">
        <f>SUM(D55:D57)</f>
        <v>1213078</v>
      </c>
      <c r="E58" s="748">
        <f>SUM(E55:E57)</f>
        <v>912637.67679807416</v>
      </c>
      <c r="F58" s="748"/>
      <c r="G58" s="748"/>
      <c r="H58" s="748">
        <f>SUM(H55:H57)</f>
        <v>0</v>
      </c>
      <c r="I58" s="749">
        <f>SUM(I55:I57)</f>
        <v>912637.67679807427</v>
      </c>
      <c r="J58" s="748">
        <f>SUM(J55:J57)</f>
        <v>7456.5694797446322</v>
      </c>
      <c r="K58" s="748">
        <f t="shared" ref="K58:BB58" si="32">SUM(K55:K57)</f>
        <v>2062.0406708597075</v>
      </c>
      <c r="L58" s="748">
        <f t="shared" si="32"/>
        <v>2076.6383224104602</v>
      </c>
      <c r="M58" s="748">
        <f t="shared" si="32"/>
        <v>2373.344840962513</v>
      </c>
      <c r="N58" s="748">
        <f t="shared" si="32"/>
        <v>3672.1648854349401</v>
      </c>
      <c r="O58" s="748">
        <f t="shared" si="32"/>
        <v>9032.2458998496841</v>
      </c>
      <c r="P58" s="748">
        <f t="shared" si="32"/>
        <v>1114.9567883957723</v>
      </c>
      <c r="Q58" s="748">
        <f t="shared" si="32"/>
        <v>3036.246684574347</v>
      </c>
      <c r="R58" s="748">
        <f t="shared" si="32"/>
        <v>2619.7450189537694</v>
      </c>
      <c r="S58" s="748">
        <f t="shared" si="32"/>
        <v>2675.8358259146926</v>
      </c>
      <c r="T58" s="748">
        <f t="shared" si="32"/>
        <v>9815.3774712203831</v>
      </c>
      <c r="U58" s="748">
        <f t="shared" si="32"/>
        <v>7797.2573109193181</v>
      </c>
      <c r="V58" s="748">
        <f t="shared" si="32"/>
        <v>5826.3524078928149</v>
      </c>
      <c r="W58" s="748">
        <f t="shared" si="32"/>
        <v>9468.2908835217531</v>
      </c>
      <c r="X58" s="748">
        <f t="shared" si="32"/>
        <v>229.30896281118967</v>
      </c>
      <c r="Y58" s="748">
        <f t="shared" si="32"/>
        <v>171.5607373134097</v>
      </c>
      <c r="Z58" s="748">
        <f t="shared" si="32"/>
        <v>777.52716327741939</v>
      </c>
      <c r="AA58" s="748">
        <f t="shared" si="32"/>
        <v>698.70926553785648</v>
      </c>
      <c r="AB58" s="748">
        <f t="shared" si="32"/>
        <v>414.2178625989539</v>
      </c>
      <c r="AC58" s="748">
        <f t="shared" si="32"/>
        <v>463.62627332102556</v>
      </c>
      <c r="AD58" s="748">
        <f t="shared" si="32"/>
        <v>2907.4448235807099</v>
      </c>
      <c r="AE58" s="748">
        <f t="shared" si="32"/>
        <v>1109.7250102622374</v>
      </c>
      <c r="AF58" s="748">
        <f t="shared" si="32"/>
        <v>2900.4035256098127</v>
      </c>
      <c r="AG58" s="748">
        <f t="shared" si="32"/>
        <v>9648.2734602939272</v>
      </c>
      <c r="AH58" s="748">
        <f t="shared" si="32"/>
        <v>69107.624923597497</v>
      </c>
      <c r="AI58" s="748">
        <f t="shared" si="32"/>
        <v>550.50109989613964</v>
      </c>
      <c r="AJ58" s="748">
        <f t="shared" si="32"/>
        <v>11763.506416562937</v>
      </c>
      <c r="AK58" s="748">
        <f t="shared" si="32"/>
        <v>9840.3590007994262</v>
      </c>
      <c r="AL58" s="748">
        <f t="shared" si="32"/>
        <v>0</v>
      </c>
      <c r="AM58" s="748">
        <f t="shared" si="32"/>
        <v>1024.2760720384592</v>
      </c>
      <c r="AN58" s="748">
        <f t="shared" si="32"/>
        <v>1778.2683095107566</v>
      </c>
      <c r="AO58" s="748">
        <f t="shared" si="32"/>
        <v>12077.556372572537</v>
      </c>
      <c r="AP58" s="748">
        <f t="shared" si="32"/>
        <v>1779.1998365513502</v>
      </c>
      <c r="AQ58" s="748">
        <f t="shared" si="32"/>
        <v>11389.273627747767</v>
      </c>
      <c r="AR58" s="748">
        <f t="shared" si="32"/>
        <v>27.270721577637413</v>
      </c>
      <c r="AS58" s="748">
        <f t="shared" si="32"/>
        <v>16681.197594396814</v>
      </c>
      <c r="AT58" s="748">
        <f t="shared" si="32"/>
        <v>14070.414202646421</v>
      </c>
      <c r="AU58" s="748">
        <f t="shared" si="32"/>
        <v>18886.772657040958</v>
      </c>
      <c r="AV58" s="748">
        <f t="shared" si="32"/>
        <v>27028.845179855336</v>
      </c>
      <c r="AW58" s="748">
        <f t="shared" si="32"/>
        <v>68739.283265957434</v>
      </c>
      <c r="AX58" s="748">
        <f t="shared" si="32"/>
        <v>578.51701976913466</v>
      </c>
      <c r="AY58" s="748">
        <f t="shared" si="32"/>
        <v>145026.37382433718</v>
      </c>
      <c r="AZ58" s="748">
        <f t="shared" si="32"/>
        <v>4793.1114558514855</v>
      </c>
      <c r="BA58" s="748">
        <f t="shared" si="32"/>
        <v>83906.074152506291</v>
      </c>
      <c r="BB58" s="748">
        <f t="shared" si="32"/>
        <v>325241.38748959743</v>
      </c>
      <c r="BC58" s="749">
        <f t="shared" si="31"/>
        <v>0</v>
      </c>
      <c r="BL58" s="750">
        <f>SUM(BL55:BL57)</f>
        <v>912637.67679807427</v>
      </c>
      <c r="BM58" s="751">
        <f>BL58-E58</f>
        <v>0</v>
      </c>
      <c r="BP58" s="295">
        <f t="shared" si="3"/>
        <v>912637.67679807416</v>
      </c>
      <c r="BQ58" s="295">
        <f t="shared" si="4"/>
        <v>960129.58170328033</v>
      </c>
      <c r="BR58" s="295">
        <f t="shared" si="5"/>
        <v>47491.904905206175</v>
      </c>
      <c r="BU58" s="31"/>
    </row>
    <row r="59" spans="1:73" outlineLevel="1" x14ac:dyDescent="0.25">
      <c r="H59" s="242"/>
      <c r="I59" s="241"/>
    </row>
    <row r="60" spans="1:73" outlineLevel="1" x14ac:dyDescent="0.25">
      <c r="A60" s="1"/>
      <c r="D60" s="76"/>
      <c r="E60" s="76"/>
      <c r="F60" s="76"/>
      <c r="G60" s="76"/>
      <c r="H60" s="242"/>
      <c r="I60" s="692">
        <f>I52/$BL$52</f>
        <v>1</v>
      </c>
      <c r="J60" s="692"/>
      <c r="K60" s="692"/>
      <c r="L60" s="692"/>
      <c r="M60" s="692"/>
      <c r="N60" s="692"/>
      <c r="O60" s="692"/>
      <c r="P60" s="692"/>
      <c r="Q60" s="692"/>
      <c r="R60" s="692"/>
      <c r="S60" s="692"/>
      <c r="T60" s="692"/>
      <c r="U60" s="692"/>
      <c r="V60" s="692"/>
      <c r="W60" s="692"/>
      <c r="X60" s="692"/>
      <c r="Y60" s="692"/>
      <c r="Z60" s="692"/>
      <c r="AA60" s="692"/>
      <c r="AB60" s="692"/>
      <c r="AC60" s="692"/>
      <c r="AD60" s="692"/>
      <c r="AE60" s="692"/>
      <c r="AF60" s="692"/>
      <c r="AG60" s="692"/>
      <c r="AH60" s="692"/>
      <c r="AI60" s="692"/>
      <c r="AJ60" s="692"/>
      <c r="AK60" s="692"/>
      <c r="AL60" s="692"/>
      <c r="AM60" s="692"/>
      <c r="AN60" s="692"/>
      <c r="AO60" s="692"/>
      <c r="AP60" s="692"/>
      <c r="AQ60" s="692"/>
      <c r="AR60" s="692"/>
      <c r="AS60" s="692"/>
      <c r="AT60" s="692"/>
      <c r="AU60" s="692"/>
      <c r="AV60" s="692"/>
      <c r="AW60" s="692"/>
      <c r="AX60" s="692"/>
      <c r="AY60" s="692"/>
      <c r="AZ60" s="692"/>
      <c r="BA60" s="692"/>
      <c r="BB60" s="692"/>
      <c r="BC60" s="692">
        <f>BC52/$BL$52</f>
        <v>0</v>
      </c>
      <c r="BD60" s="692"/>
      <c r="BE60" s="692"/>
      <c r="BF60" s="692"/>
      <c r="BG60" s="692"/>
      <c r="BH60" s="692"/>
      <c r="BI60" s="692"/>
      <c r="BJ60" s="692"/>
      <c r="BK60" s="692"/>
      <c r="BL60" s="752">
        <f>BL52/$BL$52</f>
        <v>1</v>
      </c>
      <c r="BM60" s="667"/>
    </row>
    <row r="61" spans="1:73" ht="15.75" outlineLevel="1" thickBot="1" x14ac:dyDescent="0.3">
      <c r="H61" s="242"/>
      <c r="I61" s="241"/>
      <c r="BD61" s="77"/>
      <c r="BL61" s="73"/>
      <c r="BM61" s="667"/>
    </row>
    <row r="62" spans="1:73" s="753" customFormat="1" ht="19.5" customHeight="1" thickBot="1" x14ac:dyDescent="0.3">
      <c r="A62" s="753" t="s">
        <v>162</v>
      </c>
      <c r="B62" s="754"/>
      <c r="C62" s="755"/>
      <c r="D62" s="756">
        <f>D58+D50+SUM(D45:D48)+D41+D33+D43</f>
        <v>6438973.6047999989</v>
      </c>
      <c r="E62" s="757">
        <f>E58+E50+SUM(E45:E48)+E41+E33+E43</f>
        <v>4844247.37044839</v>
      </c>
      <c r="F62" s="756"/>
      <c r="G62" s="756"/>
      <c r="H62" s="756">
        <f>H58+H50+SUM(H45:H48)+H41+H33+H43</f>
        <v>27548.856455010533</v>
      </c>
      <c r="I62" s="759">
        <f t="shared" ref="I62" si="33">SUM(J62:BB62)</f>
        <v>3176132.2046179175</v>
      </c>
      <c r="J62" s="756">
        <f t="shared" ref="J62:BB62" si="34">J58+J50+SUM(J45:J48)+J41+J33+J43</f>
        <v>31686.435988568737</v>
      </c>
      <c r="K62" s="756">
        <f t="shared" si="34"/>
        <v>8546.8428692607522</v>
      </c>
      <c r="L62" s="756">
        <f t="shared" si="34"/>
        <v>8470.5844367680056</v>
      </c>
      <c r="M62" s="756">
        <f t="shared" si="34"/>
        <v>10305.600641088527</v>
      </c>
      <c r="N62" s="756">
        <f t="shared" si="34"/>
        <v>15296.48900265585</v>
      </c>
      <c r="O62" s="756">
        <f t="shared" si="34"/>
        <v>40365.300010573796</v>
      </c>
      <c r="P62" s="756">
        <f t="shared" si="34"/>
        <v>5041.2886041228285</v>
      </c>
      <c r="Q62" s="756">
        <f t="shared" si="34"/>
        <v>13944.303422018018</v>
      </c>
      <c r="R62" s="756">
        <f t="shared" si="34"/>
        <v>12088.44819188488</v>
      </c>
      <c r="S62" s="756">
        <f t="shared" si="34"/>
        <v>12299.553699288159</v>
      </c>
      <c r="T62" s="756">
        <f t="shared" si="34"/>
        <v>45423.786717032694</v>
      </c>
      <c r="U62" s="756">
        <f t="shared" si="34"/>
        <v>35987.709437096382</v>
      </c>
      <c r="V62" s="756">
        <f t="shared" si="34"/>
        <v>22443.288080094029</v>
      </c>
      <c r="W62" s="756">
        <f t="shared" si="34"/>
        <v>36524.535773680684</v>
      </c>
      <c r="X62" s="756">
        <f t="shared" si="34"/>
        <v>1079.120190275594</v>
      </c>
      <c r="Y62" s="756">
        <f t="shared" si="34"/>
        <v>788.20626112447519</v>
      </c>
      <c r="Z62" s="756">
        <f t="shared" si="34"/>
        <v>3459.5470886382473</v>
      </c>
      <c r="AA62" s="756">
        <f t="shared" si="34"/>
        <v>3081.1370003160432</v>
      </c>
      <c r="AB62" s="756">
        <f t="shared" si="34"/>
        <v>1812.1557998743467</v>
      </c>
      <c r="AC62" s="756">
        <f t="shared" si="34"/>
        <v>2123.6726457079058</v>
      </c>
      <c r="AD62" s="756">
        <f t="shared" si="34"/>
        <v>13921.54840946506</v>
      </c>
      <c r="AE62" s="756">
        <f t="shared" si="34"/>
        <v>5202.3556123258677</v>
      </c>
      <c r="AF62" s="756">
        <f t="shared" si="34"/>
        <v>31255.446437008297</v>
      </c>
      <c r="AG62" s="756">
        <f t="shared" si="34"/>
        <v>30784.49945368306</v>
      </c>
      <c r="AH62" s="756">
        <f t="shared" si="34"/>
        <v>302307.63767774508</v>
      </c>
      <c r="AI62" s="756">
        <f t="shared" si="34"/>
        <v>2664.3484598436662</v>
      </c>
      <c r="AJ62" s="756">
        <f t="shared" si="34"/>
        <v>120307.50580991061</v>
      </c>
      <c r="AK62" s="756">
        <f t="shared" si="34"/>
        <v>102479.82141452201</v>
      </c>
      <c r="AL62" s="756">
        <f t="shared" si="34"/>
        <v>0</v>
      </c>
      <c r="AM62" s="756">
        <f t="shared" si="34"/>
        <v>4571.9006710548674</v>
      </c>
      <c r="AN62" s="756">
        <f t="shared" si="34"/>
        <v>20251.606080295409</v>
      </c>
      <c r="AO62" s="756">
        <f t="shared" si="34"/>
        <v>125001.61954606257</v>
      </c>
      <c r="AP62" s="756">
        <f t="shared" si="34"/>
        <v>18756.145746931586</v>
      </c>
      <c r="AQ62" s="756">
        <f t="shared" si="34"/>
        <v>36982.491807172592</v>
      </c>
      <c r="AR62" s="756">
        <f t="shared" si="34"/>
        <v>117.01512712759512</v>
      </c>
      <c r="AS62" s="756">
        <f t="shared" si="34"/>
        <v>54601.476803428493</v>
      </c>
      <c r="AT62" s="756">
        <f t="shared" si="34"/>
        <v>45081.394591363001</v>
      </c>
      <c r="AU62" s="756">
        <f t="shared" si="34"/>
        <v>63868.590139517539</v>
      </c>
      <c r="AV62" s="756">
        <f t="shared" si="34"/>
        <v>89059.328680737235</v>
      </c>
      <c r="AW62" s="756">
        <f t="shared" si="34"/>
        <v>228811.94100553083</v>
      </c>
      <c r="AX62" s="756">
        <f t="shared" si="34"/>
        <v>2482.3414525736025</v>
      </c>
      <c r="AY62" s="756">
        <f t="shared" si="34"/>
        <v>403422.1253013229</v>
      </c>
      <c r="AZ62" s="756">
        <f t="shared" si="34"/>
        <v>13734.802634813954</v>
      </c>
      <c r="BA62" s="756">
        <f t="shared" si="34"/>
        <v>239549.59479921655</v>
      </c>
      <c r="BB62" s="756">
        <f t="shared" si="34"/>
        <v>910148.66109619522</v>
      </c>
      <c r="BC62" s="756">
        <f>SUM(BD62:BK62)</f>
        <v>1640566.3093754626</v>
      </c>
      <c r="BD62" s="756">
        <f t="shared" ref="BD62:BK62" si="35">BD58+BD50+SUM(BD45:BD48)+BD41+BD33+BD43</f>
        <v>267608.89032152848</v>
      </c>
      <c r="BE62" s="756">
        <f t="shared" si="35"/>
        <v>244058.53071581566</v>
      </c>
      <c r="BF62" s="756">
        <f t="shared" si="35"/>
        <v>149430.40272727681</v>
      </c>
      <c r="BG62" s="756">
        <f t="shared" si="35"/>
        <v>276166.8380300884</v>
      </c>
      <c r="BH62" s="756">
        <f t="shared" si="35"/>
        <v>216335.00329265033</v>
      </c>
      <c r="BI62" s="756">
        <f t="shared" si="35"/>
        <v>157523.10682058751</v>
      </c>
      <c r="BJ62" s="756">
        <f t="shared" si="35"/>
        <v>88846.511071200628</v>
      </c>
      <c r="BK62" s="756">
        <f t="shared" si="35"/>
        <v>240597.02639631496</v>
      </c>
      <c r="BL62" s="757">
        <f>I62+BC62+H62</f>
        <v>4844247.370448391</v>
      </c>
      <c r="BM62" s="760">
        <f>BL62-E62</f>
        <v>0</v>
      </c>
      <c r="BN62" s="756"/>
      <c r="BP62" s="756">
        <f t="shared" ref="BP62:BR62" si="36">BP58+BP50+SUM(BP45:BP48)+BP41+BP33+BP43</f>
        <v>4844247.37044839</v>
      </c>
      <c r="BQ62" s="756">
        <f t="shared" si="36"/>
        <v>5035588.2101936005</v>
      </c>
      <c r="BR62" s="756">
        <f t="shared" si="36"/>
        <v>191340.83974521031</v>
      </c>
      <c r="BU62" s="930"/>
    </row>
    <row r="63" spans="1:73" x14ac:dyDescent="0.25">
      <c r="A63" s="1"/>
      <c r="E63" s="221"/>
      <c r="H63" s="692">
        <f>H62/$BL$62</f>
        <v>5.6869218989658177E-3</v>
      </c>
      <c r="I63" s="692">
        <f>I62/$BL$62</f>
        <v>0.65565029234333461</v>
      </c>
      <c r="BC63" s="692">
        <f>BC62/$BL$62</f>
        <v>0.33866278575769948</v>
      </c>
      <c r="BL63" s="761">
        <f>SUM(H63:BC63)</f>
        <v>0.99999999999999989</v>
      </c>
    </row>
    <row r="64" spans="1:73" ht="15.75" thickBot="1" x14ac:dyDescent="0.3">
      <c r="D64" s="76">
        <f>D62-D52-D33-D58</f>
        <v>0</v>
      </c>
      <c r="H64" s="242"/>
      <c r="I64" s="241"/>
      <c r="J64" s="76"/>
      <c r="K64" s="221"/>
      <c r="L64" s="76"/>
      <c r="BD64" s="45">
        <f t="shared" ref="BD64:BK64" si="37">BD33/$BC$33</f>
        <v>0.16311982563106697</v>
      </c>
      <c r="BE64" s="45">
        <f t="shared" si="37"/>
        <v>0.148764807201682</v>
      </c>
      <c r="BF64" s="45">
        <f t="shared" si="37"/>
        <v>9.1084646730410182E-2</v>
      </c>
      <c r="BG64" s="45">
        <f t="shared" si="37"/>
        <v>0.16833628513023699</v>
      </c>
      <c r="BH64" s="45">
        <f t="shared" si="37"/>
        <v>0.13186605262850098</v>
      </c>
      <c r="BI64" s="45">
        <f t="shared" si="37"/>
        <v>9.60175190239973E-2</v>
      </c>
      <c r="BJ64" s="45">
        <f t="shared" si="37"/>
        <v>5.4156001231686325E-2</v>
      </c>
      <c r="BK64" s="45">
        <f t="shared" si="37"/>
        <v>0.14665486242241951</v>
      </c>
      <c r="BM64" s="667"/>
    </row>
    <row r="65" spans="1:73" s="765" customFormat="1" ht="15.75" hidden="1" outlineLevel="1" thickBot="1" x14ac:dyDescent="0.3">
      <c r="A65" s="762" t="s">
        <v>890</v>
      </c>
      <c r="B65" s="763"/>
      <c r="C65" s="764"/>
      <c r="I65" s="762"/>
      <c r="J65" s="766"/>
      <c r="K65" s="766"/>
      <c r="L65" s="767"/>
      <c r="BC65" s="762"/>
      <c r="BD65" s="768">
        <v>0.16075318254783952</v>
      </c>
      <c r="BE65" s="768">
        <v>0.1463539710042811</v>
      </c>
      <c r="BF65" s="768">
        <v>9.0279558618900593E-2</v>
      </c>
      <c r="BG65" s="768">
        <v>0.16612611851626496</v>
      </c>
      <c r="BH65" s="768">
        <v>0.12985211991094198</v>
      </c>
      <c r="BI65" s="768">
        <v>9.4320891490149592E-2</v>
      </c>
      <c r="BJ65" s="768">
        <v>5.3163011039768157E-2</v>
      </c>
      <c r="BK65" s="768">
        <v>0.15915114687185422</v>
      </c>
      <c r="BM65" s="769"/>
      <c r="BP65" s="770"/>
      <c r="BQ65" s="770"/>
      <c r="BR65" s="770"/>
      <c r="BU65" s="31"/>
    </row>
    <row r="66" spans="1:73" ht="15.75" hidden="1" outlineLevel="1" thickBot="1" x14ac:dyDescent="0.3">
      <c r="H66" s="242"/>
      <c r="I66" s="241"/>
      <c r="K66" s="76"/>
      <c r="L66" s="76"/>
      <c r="BD66" s="771">
        <f>BD64-BD65</f>
        <v>2.3666430832274543E-3</v>
      </c>
      <c r="BE66" s="771">
        <f t="shared" ref="BE66:BK66" si="38">BE64-BE65</f>
        <v>2.4108361974009007E-3</v>
      </c>
      <c r="BF66" s="771">
        <f t="shared" si="38"/>
        <v>8.050881115095887E-4</v>
      </c>
      <c r="BG66" s="771">
        <f t="shared" si="38"/>
        <v>2.2101666139720255E-3</v>
      </c>
      <c r="BH66" s="771">
        <f t="shared" si="38"/>
        <v>2.0139327175590083E-3</v>
      </c>
      <c r="BI66" s="771">
        <f t="shared" si="38"/>
        <v>1.6966275338477083E-3</v>
      </c>
      <c r="BJ66" s="771">
        <f t="shared" si="38"/>
        <v>9.9299019191816801E-4</v>
      </c>
      <c r="BK66" s="771">
        <f t="shared" si="38"/>
        <v>-1.2496284449434708E-2</v>
      </c>
    </row>
    <row r="67" spans="1:73" ht="15.75" hidden="1" outlineLevel="1" thickBot="1" x14ac:dyDescent="0.3">
      <c r="A67" s="199" t="s">
        <v>891</v>
      </c>
      <c r="B67" s="653"/>
      <c r="C67" s="653"/>
      <c r="D67" s="656"/>
      <c r="E67" s="656"/>
      <c r="F67" s="659"/>
      <c r="G67" s="659"/>
      <c r="H67" s="772"/>
      <c r="I67" s="773"/>
      <c r="J67" s="774"/>
      <c r="K67" s="656"/>
      <c r="L67" s="659"/>
      <c r="M67" s="656"/>
      <c r="N67" s="656"/>
      <c r="O67" s="656"/>
      <c r="P67" s="656"/>
      <c r="Q67" s="656"/>
      <c r="R67" s="656"/>
      <c r="S67" s="656"/>
      <c r="T67" s="656"/>
      <c r="U67" s="656"/>
      <c r="V67" s="656"/>
      <c r="W67" s="656"/>
      <c r="X67" s="656"/>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c r="AU67" s="656"/>
      <c r="AV67" s="656"/>
      <c r="AW67" s="661"/>
      <c r="AX67" s="656"/>
      <c r="AY67" s="656"/>
      <c r="AZ67" s="656"/>
      <c r="BA67" s="656"/>
      <c r="BB67" s="656"/>
      <c r="BC67" s="658"/>
      <c r="BD67" s="656"/>
      <c r="BE67" s="656"/>
      <c r="BF67" s="656"/>
      <c r="BG67" s="656"/>
      <c r="BH67" s="656"/>
      <c r="BI67" s="656"/>
      <c r="BJ67" s="656"/>
      <c r="BK67" s="656"/>
    </row>
    <row r="68" spans="1:73" ht="15.75" hidden="1" outlineLevel="1" thickBot="1" x14ac:dyDescent="0.3">
      <c r="A68" s="1"/>
      <c r="B68" s="653"/>
      <c r="C68" s="653"/>
      <c r="D68" s="656"/>
      <c r="E68" s="656"/>
      <c r="F68" s="656"/>
      <c r="G68" s="656"/>
      <c r="H68" s="657"/>
      <c r="I68" s="658"/>
      <c r="J68" s="656"/>
      <c r="K68" s="656"/>
      <c r="L68" s="656"/>
      <c r="M68" s="656"/>
      <c r="N68" s="656"/>
      <c r="O68" s="656"/>
      <c r="P68" s="656"/>
      <c r="Q68" s="656"/>
      <c r="R68" s="656"/>
      <c r="S68" s="656"/>
      <c r="T68" s="656"/>
      <c r="U68" s="656"/>
      <c r="V68" s="656"/>
      <c r="W68" s="656"/>
      <c r="X68" s="656"/>
      <c r="Y68" s="656"/>
      <c r="Z68" s="656"/>
      <c r="AA68" s="656"/>
      <c r="AB68" s="656"/>
      <c r="AC68" s="656"/>
      <c r="AD68" s="656"/>
      <c r="AE68" s="656"/>
      <c r="AF68" s="656"/>
      <c r="AG68" s="656"/>
      <c r="AH68" s="656"/>
      <c r="AI68" s="656"/>
      <c r="AJ68" s="656"/>
      <c r="AK68" s="656"/>
      <c r="AL68" s="656"/>
      <c r="AM68" s="656"/>
      <c r="AN68" s="656"/>
      <c r="AO68" s="656"/>
      <c r="AP68" s="656"/>
      <c r="AQ68" s="656"/>
      <c r="AR68" s="656"/>
      <c r="AS68" s="656"/>
      <c r="AT68" s="656"/>
      <c r="AU68" s="656"/>
      <c r="AV68" s="656"/>
      <c r="AW68" s="661"/>
      <c r="AX68" s="656"/>
      <c r="AY68" s="656"/>
      <c r="AZ68" s="656"/>
      <c r="BA68" s="656"/>
      <c r="BB68" s="656"/>
      <c r="BC68" s="658"/>
      <c r="BD68" s="656"/>
      <c r="BE68" s="656"/>
      <c r="BF68" s="656"/>
      <c r="BG68" s="656"/>
      <c r="BH68" s="656"/>
      <c r="BI68" s="656"/>
      <c r="BJ68" s="656"/>
      <c r="BK68" s="656"/>
    </row>
    <row r="69" spans="1:73" ht="15.75" hidden="1" outlineLevel="1" thickBot="1" x14ac:dyDescent="0.3">
      <c r="A69" s="177" t="s">
        <v>822</v>
      </c>
      <c r="B69" s="3" t="s">
        <v>132</v>
      </c>
      <c r="C69" s="668" t="s">
        <v>857</v>
      </c>
      <c r="D69" s="775">
        <f>D5</f>
        <v>301462</v>
      </c>
      <c r="E69" s="775">
        <f t="shared" ref="E69:F69" si="39">E5</f>
        <v>226799.57869395125</v>
      </c>
      <c r="F69" s="775">
        <f t="shared" si="39"/>
        <v>38611.194703581103</v>
      </c>
      <c r="G69" s="775">
        <f>((E69-F69)*(1+'Assumptions (3)'!$B$20))+F69</f>
        <v>238090.88173337348</v>
      </c>
      <c r="H69" s="242"/>
      <c r="I69" s="666">
        <f>SUM(J69:BB69)</f>
        <v>87637.907743313423</v>
      </c>
      <c r="J69" s="73">
        <v>542.70345715582278</v>
      </c>
      <c r="K69" s="73">
        <v>160.97248189699172</v>
      </c>
      <c r="L69" s="73">
        <v>169.01791690915769</v>
      </c>
      <c r="M69" s="73">
        <v>161.61995611874002</v>
      </c>
      <c r="N69" s="73">
        <v>282.83228875944093</v>
      </c>
      <c r="O69" s="73">
        <v>647.67425400162551</v>
      </c>
      <c r="P69" s="73">
        <v>78.351521075132041</v>
      </c>
      <c r="Q69" s="73">
        <v>207.46973531021285</v>
      </c>
      <c r="R69" s="73">
        <v>177.45347371971593</v>
      </c>
      <c r="S69" s="73">
        <v>182.55630895276022</v>
      </c>
      <c r="T69" s="73">
        <v>661.25528116220278</v>
      </c>
      <c r="U69" s="73">
        <v>527.93408853178585</v>
      </c>
      <c r="V69" s="73">
        <v>418.9224165773897</v>
      </c>
      <c r="W69" s="73">
        <v>671.81058187333019</v>
      </c>
      <c r="X69" s="73">
        <v>16.610423345084033</v>
      </c>
      <c r="Y69" s="73">
        <v>13.10242753854806</v>
      </c>
      <c r="Z69" s="73">
        <v>63.352622388467942</v>
      </c>
      <c r="AA69" s="73">
        <v>57.907513966978868</v>
      </c>
      <c r="AB69" s="73">
        <v>34.838599014969432</v>
      </c>
      <c r="AC69" s="73">
        <v>35.63287075080855</v>
      </c>
      <c r="AD69" s="73">
        <v>202.17434935397696</v>
      </c>
      <c r="AE69" s="73">
        <v>81.089008779167202</v>
      </c>
      <c r="AF69" s="73">
        <v>210.99012413065398</v>
      </c>
      <c r="AG69" s="73">
        <v>655.44190178083124</v>
      </c>
      <c r="AH69" s="73">
        <v>5367.2674290987779</v>
      </c>
      <c r="AI69" s="73">
        <v>37.278447252890423</v>
      </c>
      <c r="AJ69" s="73">
        <v>790.99004039629062</v>
      </c>
      <c r="AK69" s="73">
        <v>680.12779056918339</v>
      </c>
      <c r="AL69" s="73">
        <v>0</v>
      </c>
      <c r="AM69" s="73">
        <v>82.947819781082003</v>
      </c>
      <c r="AN69" s="73">
        <v>140.27261530094282</v>
      </c>
      <c r="AO69" s="73">
        <v>826.96616005115425</v>
      </c>
      <c r="AP69" s="73">
        <v>125.24841899275664</v>
      </c>
      <c r="AQ69" s="73">
        <v>785.93257680746865</v>
      </c>
      <c r="AR69" s="73">
        <v>2.3744170555882205</v>
      </c>
      <c r="AS69" s="73">
        <v>1158.2954836363283</v>
      </c>
      <c r="AT69" s="73">
        <v>960.92155853553299</v>
      </c>
      <c r="AU69" s="73">
        <v>1343.3754701855983</v>
      </c>
      <c r="AV69" s="73">
        <v>1888.1191946170513</v>
      </c>
      <c r="AW69" s="73">
        <v>4835.7154951408238</v>
      </c>
      <c r="AX69" s="73">
        <v>50.370529242406107</v>
      </c>
      <c r="AY69" s="73">
        <v>16337.113458142077</v>
      </c>
      <c r="AZ69" s="73">
        <v>549.43007190100752</v>
      </c>
      <c r="BA69" s="73">
        <v>9907.4818986806531</v>
      </c>
      <c r="BB69" s="73">
        <v>35505.965264832019</v>
      </c>
      <c r="BC69" s="666">
        <f>SUM(BD69:BK69)</f>
        <v>147423.83823387758</v>
      </c>
      <c r="BD69" s="73">
        <v>23677.911134644099</v>
      </c>
      <c r="BE69" s="73">
        <v>21594.186183417696</v>
      </c>
      <c r="BF69" s="73">
        <v>13221.533082624572</v>
      </c>
      <c r="BG69" s="73">
        <v>24435.11439906013</v>
      </c>
      <c r="BH69" s="73">
        <v>19141.221269300382</v>
      </c>
      <c r="BI69" s="73">
        <v>13937.571806637641</v>
      </c>
      <c r="BJ69" s="73">
        <v>7861.0983037203814</v>
      </c>
      <c r="BK69" s="73">
        <v>23555.20205447268</v>
      </c>
      <c r="BL69" s="76">
        <f t="shared" ref="BL69:BL82" si="40">BC69+I69+H69</f>
        <v>235061.74597719102</v>
      </c>
    </row>
    <row r="70" spans="1:73" ht="15.75" hidden="1" outlineLevel="1" thickBot="1" x14ac:dyDescent="0.3">
      <c r="A70" s="177" t="s">
        <v>823</v>
      </c>
      <c r="B70" s="3" t="s">
        <v>132</v>
      </c>
      <c r="C70" s="668" t="s">
        <v>857</v>
      </c>
      <c r="D70" s="775">
        <f t="shared" ref="D70:F84" si="41">D6</f>
        <v>152564.24679999999</v>
      </c>
      <c r="E70" s="775">
        <f t="shared" si="41"/>
        <v>114779</v>
      </c>
      <c r="F70" s="775">
        <f t="shared" si="41"/>
        <v>0</v>
      </c>
      <c r="G70" s="775">
        <f>((E70-F70)*(1+'Assumptions (3)'!$B$20))+F70</f>
        <v>121665.74</v>
      </c>
      <c r="H70" s="242"/>
      <c r="I70" s="666">
        <f t="shared" ref="I70:I84" si="42">SUM(J70:BB70)</f>
        <v>44478.20717682012</v>
      </c>
      <c r="J70" s="73">
        <v>291.1311303823972</v>
      </c>
      <c r="K70" s="73">
        <v>86.35305339813857</v>
      </c>
      <c r="L70" s="73">
        <v>90.668995297210472</v>
      </c>
      <c r="M70" s="73">
        <v>86.700388392204985</v>
      </c>
      <c r="N70" s="73">
        <v>151.72426644692356</v>
      </c>
      <c r="O70" s="73">
        <v>347.44230058024056</v>
      </c>
      <c r="P70" s="73">
        <v>42.031364637564792</v>
      </c>
      <c r="Q70" s="73">
        <v>111.29632171047054</v>
      </c>
      <c r="R70" s="73">
        <v>95.194216497261934</v>
      </c>
      <c r="S70" s="73">
        <v>97.931612343857338</v>
      </c>
      <c r="T70" s="73">
        <v>354.72778906733095</v>
      </c>
      <c r="U70" s="73">
        <v>283.20816080139525</v>
      </c>
      <c r="V70" s="73">
        <v>224.7292790797222</v>
      </c>
      <c r="W70" s="73">
        <v>360.39013852731301</v>
      </c>
      <c r="X70" s="73">
        <v>8.9105961291048121</v>
      </c>
      <c r="Y70" s="73">
        <v>7.028745606379486</v>
      </c>
      <c r="Z70" s="73">
        <v>33.985264559219786</v>
      </c>
      <c r="AA70" s="73">
        <v>31.064257609843256</v>
      </c>
      <c r="AB70" s="73">
        <v>18.68902911605176</v>
      </c>
      <c r="AC70" s="73">
        <v>19.115113057911078</v>
      </c>
      <c r="AD70" s="73">
        <v>108.45563278740849</v>
      </c>
      <c r="AE70" s="73">
        <v>43.499879125864503</v>
      </c>
      <c r="AF70" s="73">
        <v>113.18482041665496</v>
      </c>
      <c r="AG70" s="73">
        <v>351.60922461316261</v>
      </c>
      <c r="AH70" s="73">
        <v>2879.2494558395592</v>
      </c>
      <c r="AI70" s="73">
        <v>19.997876085979001</v>
      </c>
      <c r="AJ70" s="73">
        <v>424.32348927467928</v>
      </c>
      <c r="AK70" s="73">
        <v>364.85187234773122</v>
      </c>
      <c r="AL70" s="73">
        <v>0</v>
      </c>
      <c r="AM70" s="73">
        <v>44.497030960847773</v>
      </c>
      <c r="AN70" s="73">
        <v>75.248691556673037</v>
      </c>
      <c r="AO70" s="73">
        <v>443.62273685416454</v>
      </c>
      <c r="AP70" s="73">
        <v>67.189020668979765</v>
      </c>
      <c r="AQ70" s="73">
        <v>421.61043286778261</v>
      </c>
      <c r="AR70" s="73">
        <v>1.2737466700790947</v>
      </c>
      <c r="AS70" s="73">
        <v>621.36304646949611</v>
      </c>
      <c r="AT70" s="73">
        <v>515.48258235056846</v>
      </c>
      <c r="AU70" s="73">
        <v>720.64847571226005</v>
      </c>
      <c r="AV70" s="73">
        <v>1012.8740994324174</v>
      </c>
      <c r="AW70" s="73">
        <v>2594.1005161199878</v>
      </c>
      <c r="AX70" s="73">
        <v>27.021071863359783</v>
      </c>
      <c r="AY70" s="73">
        <v>7875.8057929828165</v>
      </c>
      <c r="AZ70" s="73">
        <v>264.86958998012784</v>
      </c>
      <c r="BA70" s="73">
        <v>4776.2050212495305</v>
      </c>
      <c r="BB70" s="73">
        <v>17968.901047349449</v>
      </c>
      <c r="BC70" s="666">
        <f>SUM(BD70:BK70)</f>
        <v>71070.175411402044</v>
      </c>
      <c r="BD70" s="73">
        <v>11414.662091792186</v>
      </c>
      <c r="BE70" s="73">
        <v>10410.13867436603</v>
      </c>
      <c r="BF70" s="73">
        <v>6373.8448723542542</v>
      </c>
      <c r="BG70" s="73">
        <v>11779.695111341987</v>
      </c>
      <c r="BH70" s="73">
        <v>9227.6118265182213</v>
      </c>
      <c r="BI70" s="73">
        <v>6719.0332647242421</v>
      </c>
      <c r="BJ70" s="73">
        <v>3789.6831480222399</v>
      </c>
      <c r="BK70" s="73">
        <v>11355.506422282895</v>
      </c>
      <c r="BL70" s="76">
        <f t="shared" si="40"/>
        <v>115548.38258822216</v>
      </c>
    </row>
    <row r="71" spans="1:73" ht="15.75" hidden="1" outlineLevel="1" thickBot="1" x14ac:dyDescent="0.3">
      <c r="A71" s="177" t="s">
        <v>470</v>
      </c>
      <c r="B71" s="3" t="s">
        <v>132</v>
      </c>
      <c r="C71" s="668" t="s">
        <v>857</v>
      </c>
      <c r="D71" s="775">
        <f t="shared" si="41"/>
        <v>81200</v>
      </c>
      <c r="E71" s="775">
        <f t="shared" si="41"/>
        <v>61089.377068913636</v>
      </c>
      <c r="F71" s="775">
        <f t="shared" si="41"/>
        <v>4616.3105627445084</v>
      </c>
      <c r="G71" s="775">
        <f>((E71-F71)*(1+'Assumptions (3)'!$B$20))+F71</f>
        <v>64477.761059283788</v>
      </c>
      <c r="H71" s="242"/>
      <c r="I71" s="666">
        <f t="shared" si="42"/>
        <v>23644.675570435567</v>
      </c>
      <c r="J71" s="73">
        <v>146.17935501341069</v>
      </c>
      <c r="K71" s="73">
        <v>43.35858426612883</v>
      </c>
      <c r="L71" s="73">
        <v>45.525654487211007</v>
      </c>
      <c r="M71" s="73">
        <v>43.532984047215535</v>
      </c>
      <c r="N71" s="73">
        <v>76.182012483386316</v>
      </c>
      <c r="O71" s="73">
        <v>174.45366057722694</v>
      </c>
      <c r="P71" s="73">
        <v>21.104296764768765</v>
      </c>
      <c r="Q71" s="73">
        <v>55.882806148666454</v>
      </c>
      <c r="R71" s="73">
        <v>47.797805580938672</v>
      </c>
      <c r="S71" s="73">
        <v>49.17227473765891</v>
      </c>
      <c r="T71" s="73">
        <v>178.11176476760212</v>
      </c>
      <c r="U71" s="73">
        <v>142.20116627893736</v>
      </c>
      <c r="V71" s="73">
        <v>112.83843478144524</v>
      </c>
      <c r="W71" s="73">
        <v>180.95487739122814</v>
      </c>
      <c r="X71" s="73">
        <v>4.4740842149950026</v>
      </c>
      <c r="Y71" s="73">
        <v>3.5291914607151234</v>
      </c>
      <c r="Z71" s="73">
        <v>17.064283186416851</v>
      </c>
      <c r="AA71" s="73">
        <v>15.597621372241557</v>
      </c>
      <c r="AB71" s="73">
        <v>9.3839165135755689</v>
      </c>
      <c r="AC71" s="73">
        <v>9.5978567944406077</v>
      </c>
      <c r="AD71" s="73">
        <v>54.456472681608069</v>
      </c>
      <c r="AE71" s="73">
        <v>21.841650068228756</v>
      </c>
      <c r="AF71" s="73">
        <v>56.831037010996759</v>
      </c>
      <c r="AG71" s="73">
        <v>176.54590769186001</v>
      </c>
      <c r="AH71" s="73">
        <v>1445.6950303614412</v>
      </c>
      <c r="AI71" s="73">
        <v>10.041099431884291</v>
      </c>
      <c r="AJ71" s="73">
        <v>213.0563430222675</v>
      </c>
      <c r="AK71" s="73">
        <v>183.19515094511976</v>
      </c>
      <c r="AL71" s="73">
        <v>0</v>
      </c>
      <c r="AM71" s="73">
        <v>22.342328274289493</v>
      </c>
      <c r="AN71" s="73">
        <v>37.782992093320409</v>
      </c>
      <c r="AO71" s="73">
        <v>222.74665528708005</v>
      </c>
      <c r="AP71" s="73">
        <v>33.73616449904744</v>
      </c>
      <c r="AQ71" s="73">
        <v>211.69409490007516</v>
      </c>
      <c r="AR71" s="73">
        <v>0.63955876665637301</v>
      </c>
      <c r="AS71" s="73">
        <v>311.99153880512256</v>
      </c>
      <c r="AT71" s="73">
        <v>258.82807966869882</v>
      </c>
      <c r="AU71" s="73">
        <v>361.84357623538153</v>
      </c>
      <c r="AV71" s="73">
        <v>508.57248543068306</v>
      </c>
      <c r="AW71" s="73">
        <v>1302.5193828921551</v>
      </c>
      <c r="AX71" s="73">
        <v>13.567504277432565</v>
      </c>
      <c r="AY71" s="73">
        <v>4424.2790411945489</v>
      </c>
      <c r="AZ71" s="73">
        <v>148.79201016395987</v>
      </c>
      <c r="BA71" s="73">
        <v>2683.0605435687598</v>
      </c>
      <c r="BB71" s="73">
        <v>9563.6742922967405</v>
      </c>
      <c r="BC71" s="666">
        <f t="shared" ref="BC71:BC84" si="43">SUM(BD71:BK71)</f>
        <v>39924.0783472392</v>
      </c>
      <c r="BD71" s="73">
        <v>6412.2518485702176</v>
      </c>
      <c r="BE71" s="73">
        <v>5847.955061812545</v>
      </c>
      <c r="BF71" s="73">
        <v>3580.5438861516373</v>
      </c>
      <c r="BG71" s="73">
        <v>6617.311239341012</v>
      </c>
      <c r="BH71" s="73">
        <v>5183.6638278610471</v>
      </c>
      <c r="BI71" s="73">
        <v>3774.4554438727391</v>
      </c>
      <c r="BJ71" s="73">
        <v>2128.8762274333494</v>
      </c>
      <c r="BK71" s="73">
        <v>6379.020812196648</v>
      </c>
      <c r="BL71" s="76">
        <f t="shared" si="40"/>
        <v>63568.753917674767</v>
      </c>
    </row>
    <row r="72" spans="1:73" ht="15.75" hidden="1" outlineLevel="1" thickBot="1" x14ac:dyDescent="0.3">
      <c r="A72" s="177" t="s">
        <v>471</v>
      </c>
      <c r="B72" s="3" t="s">
        <v>858</v>
      </c>
      <c r="C72" s="668" t="s">
        <v>857</v>
      </c>
      <c r="D72" s="775">
        <f t="shared" si="41"/>
        <v>846550</v>
      </c>
      <c r="E72" s="775">
        <f t="shared" si="41"/>
        <v>636886.84923262114</v>
      </c>
      <c r="F72" s="775">
        <f t="shared" si="41"/>
        <v>245055.67258501356</v>
      </c>
      <c r="G72" s="775">
        <f>((E72-F72)*(1+'Assumptions (3)'!$B$20))+F72</f>
        <v>660396.71983147762</v>
      </c>
      <c r="H72" s="637">
        <f>G72*'Assumptions (3)'!$B$18</f>
        <v>13207.934396629553</v>
      </c>
      <c r="I72" s="666">
        <f>SUM(J72:BB72)</f>
        <v>240274.13348681084</v>
      </c>
      <c r="J72" s="73">
        <v>1493.5119498383096</v>
      </c>
      <c r="K72" s="73">
        <v>442.9939078852405</v>
      </c>
      <c r="L72" s="73">
        <v>465.13482697075744</v>
      </c>
      <c r="M72" s="73">
        <v>444.77574744171062</v>
      </c>
      <c r="N72" s="73">
        <v>778.35030805978408</v>
      </c>
      <c r="O72" s="73">
        <v>1782.3900422957936</v>
      </c>
      <c r="P72" s="73">
        <v>215.62223617845686</v>
      </c>
      <c r="Q72" s="73">
        <v>570.95366692426728</v>
      </c>
      <c r="R72" s="73">
        <v>488.34935552035415</v>
      </c>
      <c r="S72" s="73">
        <v>502.39228319682076</v>
      </c>
      <c r="T72" s="73">
        <v>1819.7648297380947</v>
      </c>
      <c r="U72" s="73">
        <v>1452.8668641276565</v>
      </c>
      <c r="V72" s="73">
        <v>1152.868342671771</v>
      </c>
      <c r="W72" s="73">
        <v>1848.8128623944986</v>
      </c>
      <c r="X72" s="73">
        <v>45.711641285220921</v>
      </c>
      <c r="Y72" s="73">
        <v>36.057688305997779</v>
      </c>
      <c r="Z72" s="73">
        <v>174.34548710384189</v>
      </c>
      <c r="AA72" s="73">
        <v>159.36062863568554</v>
      </c>
      <c r="AB72" s="73">
        <v>95.875313227537546</v>
      </c>
      <c r="AC72" s="73">
        <v>98.061137388510119</v>
      </c>
      <c r="AD72" s="73">
        <v>556.38084248328812</v>
      </c>
      <c r="AE72" s="73">
        <v>223.15576216691957</v>
      </c>
      <c r="AF72" s="73">
        <v>580.64172529588814</v>
      </c>
      <c r="AG72" s="73">
        <v>1803.7664949927732</v>
      </c>
      <c r="AH72" s="73">
        <v>14770.641199426458</v>
      </c>
      <c r="AI72" s="73">
        <v>102.5897397731578</v>
      </c>
      <c r="AJ72" s="73">
        <v>2176.7929832732821</v>
      </c>
      <c r="AK72" s="73">
        <v>1871.7016986692033</v>
      </c>
      <c r="AL72" s="73">
        <v>0</v>
      </c>
      <c r="AM72" s="73">
        <v>228.27118276585927</v>
      </c>
      <c r="AN72" s="73">
        <v>386.02817878655645</v>
      </c>
      <c r="AO72" s="73">
        <v>2275.7987366085226</v>
      </c>
      <c r="AP72" s="73">
        <v>344.68181102875906</v>
      </c>
      <c r="AQ72" s="73">
        <v>2162.8749176958795</v>
      </c>
      <c r="AR72" s="73">
        <v>6.5343608920528746</v>
      </c>
      <c r="AS72" s="73">
        <v>3187.612172807475</v>
      </c>
      <c r="AT72" s="73">
        <v>2644.4420274219979</v>
      </c>
      <c r="AU72" s="73">
        <v>3696.9495797145437</v>
      </c>
      <c r="AV72" s="73">
        <v>5196.0763151541605</v>
      </c>
      <c r="AW72" s="73">
        <v>13307.818077778409</v>
      </c>
      <c r="AX72" s="73">
        <v>138.61895728004097</v>
      </c>
      <c r="AY72" s="73">
        <v>44408.238314337024</v>
      </c>
      <c r="AZ72" s="73">
        <v>1493.4842457057923</v>
      </c>
      <c r="BA72" s="73">
        <v>26930.939690102776</v>
      </c>
      <c r="BB72" s="73">
        <v>97711.895353459724</v>
      </c>
      <c r="BC72" s="666">
        <f t="shared" si="43"/>
        <v>400733.76231842849</v>
      </c>
      <c r="BD72" s="73">
        <v>64362.307524339703</v>
      </c>
      <c r="BE72" s="73">
        <v>58698.237524906908</v>
      </c>
      <c r="BF72" s="73">
        <v>35939.334908729681</v>
      </c>
      <c r="BG72" s="73">
        <v>66420.56972009025</v>
      </c>
      <c r="BH72" s="73">
        <v>52030.483716259667</v>
      </c>
      <c r="BI72" s="73">
        <v>37885.701895758146</v>
      </c>
      <c r="BJ72" s="73">
        <v>21368.372557274633</v>
      </c>
      <c r="BK72" s="73">
        <v>64028.754471069478</v>
      </c>
      <c r="BL72" s="76">
        <f t="shared" si="40"/>
        <v>654215.8302018689</v>
      </c>
      <c r="BN72" s="76"/>
    </row>
    <row r="73" spans="1:73" ht="15.75" hidden="1" outlineLevel="1" thickBot="1" x14ac:dyDescent="0.3">
      <c r="A73" s="69" t="s">
        <v>472</v>
      </c>
      <c r="B73" s="3" t="s">
        <v>859</v>
      </c>
      <c r="C73" s="668" t="s">
        <v>857</v>
      </c>
      <c r="D73" s="775">
        <f t="shared" si="41"/>
        <v>99934.35555555555</v>
      </c>
      <c r="E73" s="775">
        <f t="shared" si="41"/>
        <v>75183.836560002674</v>
      </c>
      <c r="F73" s="775">
        <f t="shared" si="41"/>
        <v>0</v>
      </c>
      <c r="G73" s="775">
        <f>((E73-F73)*(1+'Assumptions (3)'!$B$20))+F73</f>
        <v>79694.866753602837</v>
      </c>
      <c r="H73" s="637"/>
      <c r="I73" s="666">
        <f t="shared" si="42"/>
        <v>29138.305453170873</v>
      </c>
      <c r="J73" s="73">
        <v>179.90566057625574</v>
      </c>
      <c r="K73" s="73">
        <v>53.3622189216359</v>
      </c>
      <c r="L73" s="73">
        <v>56.029272689954652</v>
      </c>
      <c r="M73" s="73">
        <v>53.576855987300064</v>
      </c>
      <c r="N73" s="73">
        <v>93.75862466074507</v>
      </c>
      <c r="O73" s="73">
        <v>214.70337615877835</v>
      </c>
      <c r="P73" s="73">
        <v>25.973451929068503</v>
      </c>
      <c r="Q73" s="73">
        <v>68.776012550529785</v>
      </c>
      <c r="R73" s="73">
        <v>58.825651449517764</v>
      </c>
      <c r="S73" s="73">
        <v>60.517236294441723</v>
      </c>
      <c r="T73" s="73">
        <v>219.20547326247564</v>
      </c>
      <c r="U73" s="73">
        <v>175.00962944992611</v>
      </c>
      <c r="V73" s="73">
        <v>138.87236775592751</v>
      </c>
      <c r="W73" s="73">
        <v>222.70454503358317</v>
      </c>
      <c r="X73" s="73">
        <v>5.5063389498375521</v>
      </c>
      <c r="Y73" s="73">
        <v>4.3434418012159552</v>
      </c>
      <c r="Z73" s="73">
        <v>21.001331813449138</v>
      </c>
      <c r="AA73" s="73">
        <v>19.196283744267486</v>
      </c>
      <c r="AB73" s="73">
        <v>11.548961199154066</v>
      </c>
      <c r="AC73" s="73">
        <v>11.812261495898181</v>
      </c>
      <c r="AD73" s="73">
        <v>67.020597330852439</v>
      </c>
      <c r="AE73" s="73">
        <v>26.880926401950695</v>
      </c>
      <c r="AF73" s="73">
        <v>69.943017971033086</v>
      </c>
      <c r="AG73" s="73">
        <v>217.27834373345598</v>
      </c>
      <c r="AH73" s="73">
        <v>1779.2438570078812</v>
      </c>
      <c r="AI73" s="73">
        <v>12.357768482692261</v>
      </c>
      <c r="AJ73" s="73">
        <v>262.21241794277938</v>
      </c>
      <c r="AK73" s="73">
        <v>225.46169150989246</v>
      </c>
      <c r="AL73" s="73">
        <v>0</v>
      </c>
      <c r="AM73" s="73">
        <v>27.497120415046648</v>
      </c>
      <c r="AN73" s="73">
        <v>46.500233569047118</v>
      </c>
      <c r="AO73" s="73">
        <v>274.13846611169737</v>
      </c>
      <c r="AP73" s="73">
        <v>41.519727316853668</v>
      </c>
      <c r="AQ73" s="73">
        <v>260.53587375314811</v>
      </c>
      <c r="AR73" s="73">
        <v>0.7871169111540709</v>
      </c>
      <c r="AS73" s="73">
        <v>383.97380996645353</v>
      </c>
      <c r="AT73" s="73">
        <v>318.54454853908135</v>
      </c>
      <c r="AU73" s="73">
        <v>445.3276428940934</v>
      </c>
      <c r="AV73" s="73">
        <v>625.90965005914381</v>
      </c>
      <c r="AW73" s="73">
        <v>1603.0349153688107</v>
      </c>
      <c r="AX73" s="73">
        <v>16.697780744611659</v>
      </c>
      <c r="AY73" s="73">
        <v>5468.4331911675381</v>
      </c>
      <c r="AZ73" s="73">
        <v>183.90774166483158</v>
      </c>
      <c r="BA73" s="73">
        <v>3316.2775660736734</v>
      </c>
      <c r="BB73" s="73">
        <v>11770.19245251119</v>
      </c>
      <c r="BC73" s="666">
        <f t="shared" si="43"/>
        <v>49346.380083176089</v>
      </c>
      <c r="BD73" s="73">
        <v>7925.5784981815459</v>
      </c>
      <c r="BE73" s="73">
        <v>7228.1045708720967</v>
      </c>
      <c r="BF73" s="73">
        <v>4425.5719061013506</v>
      </c>
      <c r="BG73" s="73">
        <v>8179.0330312728502</v>
      </c>
      <c r="BH73" s="73">
        <v>6407.0369577042784</v>
      </c>
      <c r="BI73" s="73">
        <v>4665.2476563240971</v>
      </c>
      <c r="BJ73" s="73">
        <v>2631.3027079867097</v>
      </c>
      <c r="BK73" s="73">
        <v>7884.5047547331533</v>
      </c>
      <c r="BL73" s="76">
        <f t="shared" si="40"/>
        <v>78484.685536346966</v>
      </c>
    </row>
    <row r="74" spans="1:73" ht="15.75" hidden="1" outlineLevel="1" thickBot="1" x14ac:dyDescent="0.3">
      <c r="A74" s="69" t="s">
        <v>860</v>
      </c>
      <c r="B74" s="27" t="s">
        <v>861</v>
      </c>
      <c r="C74" s="668" t="s">
        <v>857</v>
      </c>
      <c r="D74" s="775">
        <f t="shared" si="41"/>
        <v>28904.783199999998</v>
      </c>
      <c r="E74" s="775">
        <f t="shared" si="41"/>
        <v>21746</v>
      </c>
      <c r="F74" s="775">
        <f t="shared" si="41"/>
        <v>0</v>
      </c>
      <c r="G74" s="775">
        <f>((E74-F74)*(1+'Assumptions (3)'!$B$20))+F74</f>
        <v>23050.760000000002</v>
      </c>
      <c r="H74" s="637"/>
      <c r="I74" s="666">
        <f t="shared" si="42"/>
        <v>22129.359544336607</v>
      </c>
      <c r="J74" s="73">
        <v>143.31784411221193</v>
      </c>
      <c r="K74" s="73">
        <v>41.33376515833411</v>
      </c>
      <c r="L74" s="73">
        <v>42.704511275445043</v>
      </c>
      <c r="M74" s="73">
        <v>43.880994568945049</v>
      </c>
      <c r="N74" s="73">
        <v>73.010275259617273</v>
      </c>
      <c r="O74" s="73">
        <v>171.63344123358902</v>
      </c>
      <c r="P74" s="73">
        <v>20.930373668303265</v>
      </c>
      <c r="Q74" s="73">
        <v>56.051815344235365</v>
      </c>
      <c r="R74" s="73">
        <v>48.113233999826384</v>
      </c>
      <c r="S74" s="73">
        <v>49.352411511603705</v>
      </c>
      <c r="T74" s="73">
        <v>179.68679791194691</v>
      </c>
      <c r="U74" s="73">
        <v>143.16485281706613</v>
      </c>
      <c r="V74" s="73">
        <v>111.79570303765304</v>
      </c>
      <c r="W74" s="73">
        <v>180.3080364854018</v>
      </c>
      <c r="X74" s="73">
        <v>4.3689300530278459</v>
      </c>
      <c r="Y74" s="73">
        <v>3.3755377091114722</v>
      </c>
      <c r="Z74" s="73">
        <v>15.926829049918915</v>
      </c>
      <c r="AA74" s="73">
        <v>14.466965630376848</v>
      </c>
      <c r="AB74" s="73">
        <v>8.657080897262281</v>
      </c>
      <c r="AC74" s="73">
        <v>9.1576514986413375</v>
      </c>
      <c r="AD74" s="73">
        <v>54.059698120108024</v>
      </c>
      <c r="AE74" s="73">
        <v>21.254572885065205</v>
      </c>
      <c r="AF74" s="73">
        <v>55.855278846165049</v>
      </c>
      <c r="AG74" s="73">
        <v>180.96209555543339</v>
      </c>
      <c r="AH74" s="73">
        <v>1377.0794182460684</v>
      </c>
      <c r="AI74" s="73">
        <v>10.077219991429804</v>
      </c>
      <c r="AJ74" s="73">
        <v>216.0552837459831</v>
      </c>
      <c r="AK74" s="73">
        <v>183.72132057390453</v>
      </c>
      <c r="AL74" s="73">
        <v>0</v>
      </c>
      <c r="AM74" s="73">
        <v>20.900524797308034</v>
      </c>
      <c r="AN74" s="73">
        <v>36.012327111744646</v>
      </c>
      <c r="AO74" s="73">
        <v>224.22920221952037</v>
      </c>
      <c r="AP74" s="73">
        <v>33.586662752363651</v>
      </c>
      <c r="AQ74" s="73">
        <v>215.29948866416058</v>
      </c>
      <c r="AR74" s="73">
        <v>0.58273665000883412</v>
      </c>
      <c r="AS74" s="73">
        <v>316.31207756364626</v>
      </c>
      <c r="AT74" s="73">
        <v>264.62166251243542</v>
      </c>
      <c r="AU74" s="73">
        <v>362.44086746986522</v>
      </c>
      <c r="AV74" s="73">
        <v>514.08664753123014</v>
      </c>
      <c r="AW74" s="73">
        <v>1311.9490584503553</v>
      </c>
      <c r="AX74" s="73">
        <v>12.362088370621196</v>
      </c>
      <c r="AY74" s="73">
        <v>3984.3550577458318</v>
      </c>
      <c r="AZ74" s="73">
        <v>131.68265445699623</v>
      </c>
      <c r="BA74" s="73">
        <v>2305.1778935745115</v>
      </c>
      <c r="BB74" s="73">
        <v>8935.4586552793298</v>
      </c>
      <c r="BC74" s="666">
        <f t="shared" si="43"/>
        <v>0</v>
      </c>
      <c r="BD74" s="74"/>
      <c r="BE74" s="74"/>
      <c r="BF74" s="74"/>
      <c r="BG74" s="74"/>
      <c r="BH74" s="74"/>
      <c r="BI74" s="74"/>
      <c r="BJ74" s="74"/>
      <c r="BK74" s="74"/>
      <c r="BL74" s="76">
        <f t="shared" si="40"/>
        <v>22129.359544336607</v>
      </c>
    </row>
    <row r="75" spans="1:73" ht="15.75" hidden="1" outlineLevel="1" thickBot="1" x14ac:dyDescent="0.3">
      <c r="A75" s="177" t="s">
        <v>473</v>
      </c>
      <c r="B75" s="3" t="s">
        <v>858</v>
      </c>
      <c r="C75" s="668" t="s">
        <v>857</v>
      </c>
      <c r="D75" s="775">
        <f t="shared" si="41"/>
        <v>937188</v>
      </c>
      <c r="E75" s="775">
        <f t="shared" si="41"/>
        <v>705076.73788745108</v>
      </c>
      <c r="F75" s="775">
        <f t="shared" si="41"/>
        <v>205935.14896178152</v>
      </c>
      <c r="G75" s="775">
        <f>((E75-F75)*(1+'Assumptions (3)'!$B$20))+F75</f>
        <v>735025.23322299123</v>
      </c>
      <c r="H75" s="637">
        <f>G75*'Assumptions (3)'!$B$18</f>
        <v>14700.504664459824</v>
      </c>
      <c r="I75" s="666">
        <f t="shared" si="42"/>
        <v>266432.17190036131</v>
      </c>
      <c r="J75" s="74">
        <v>1653.4185544209624</v>
      </c>
      <c r="K75" s="74">
        <v>490.42416223867787</v>
      </c>
      <c r="L75" s="74">
        <v>514.93565438434848</v>
      </c>
      <c r="M75" s="74">
        <v>492.39677891843587</v>
      </c>
      <c r="N75" s="74">
        <v>861.68633690854983</v>
      </c>
      <c r="O75" s="74">
        <v>1973.2261047299155</v>
      </c>
      <c r="P75" s="74">
        <v>238.70837195631165</v>
      </c>
      <c r="Q75" s="74">
        <v>632.08425396895666</v>
      </c>
      <c r="R75" s="74">
        <v>540.63570468538137</v>
      </c>
      <c r="S75" s="74">
        <v>556.18217365148189</v>
      </c>
      <c r="T75" s="74">
        <v>2014.602517574373</v>
      </c>
      <c r="U75" s="74">
        <v>1608.4217006178844</v>
      </c>
      <c r="V75" s="74">
        <v>1276.3030846752958</v>
      </c>
      <c r="W75" s="74">
        <v>2046.7606507374346</v>
      </c>
      <c r="X75" s="74">
        <v>50.605872863757163</v>
      </c>
      <c r="Y75" s="74">
        <v>39.918295184125505</v>
      </c>
      <c r="Z75" s="74">
        <v>193.01222416617489</v>
      </c>
      <c r="AA75" s="74">
        <v>176.42297422458316</v>
      </c>
      <c r="AB75" s="74">
        <v>106.14044421840347</v>
      </c>
      <c r="AC75" s="74">
        <v>108.56029912806453</v>
      </c>
      <c r="AD75" s="74">
        <v>615.95115351157972</v>
      </c>
      <c r="AE75" s="74">
        <v>247.04849380862444</v>
      </c>
      <c r="AF75" s="74">
        <v>642.8095886204037</v>
      </c>
      <c r="AG75" s="74">
        <v>1996.8912809748829</v>
      </c>
      <c r="AH75" s="74">
        <v>16352.096963449392</v>
      </c>
      <c r="AI75" s="74">
        <v>113.57376769065762</v>
      </c>
      <c r="AJ75" s="74">
        <v>2409.8567862594305</v>
      </c>
      <c r="AK75" s="74">
        <v>2072.1001377029038</v>
      </c>
      <c r="AL75" s="74">
        <v>0</v>
      </c>
      <c r="AM75" s="74">
        <v>252.71160975012711</v>
      </c>
      <c r="AN75" s="74">
        <v>427.35925440979889</v>
      </c>
      <c r="AO75" s="74">
        <v>2519.4628390108892</v>
      </c>
      <c r="AP75" s="74">
        <v>381.58603403747048</v>
      </c>
      <c r="AQ75" s="74">
        <v>2394.448548066347</v>
      </c>
      <c r="AR75" s="74">
        <v>7.2339786376483959</v>
      </c>
      <c r="AS75" s="74">
        <v>3528.9018687721832</v>
      </c>
      <c r="AT75" s="74">
        <v>2927.5758487928265</v>
      </c>
      <c r="AU75" s="74">
        <v>4092.7727632313668</v>
      </c>
      <c r="AV75" s="74">
        <v>5752.4072643632353</v>
      </c>
      <c r="AW75" s="74">
        <v>14732.653013616433</v>
      </c>
      <c r="AX75" s="74">
        <v>153.46054377811947</v>
      </c>
      <c r="AY75" s="74">
        <v>49426.616977060752</v>
      </c>
      <c r="AZ75" s="74">
        <v>1662.2562969345008</v>
      </c>
      <c r="BA75" s="74">
        <v>29974.286110451067</v>
      </c>
      <c r="BB75" s="74">
        <v>108173.66461817754</v>
      </c>
      <c r="BC75" s="666">
        <f t="shared" si="43"/>
        <v>446018.91297036392</v>
      </c>
      <c r="BD75" s="74">
        <v>71635.607322398384</v>
      </c>
      <c r="BE75" s="74">
        <v>65331.465815779717</v>
      </c>
      <c r="BF75" s="74">
        <v>40000.680242490045</v>
      </c>
      <c r="BG75" s="74">
        <v>73926.464628369969</v>
      </c>
      <c r="BH75" s="74">
        <v>57910.21863041351</v>
      </c>
      <c r="BI75" s="74">
        <v>42166.997556941882</v>
      </c>
      <c r="BJ75" s="74">
        <v>23783.117860601338</v>
      </c>
      <c r="BK75" s="74">
        <v>71264.360913369048</v>
      </c>
      <c r="BL75" s="76">
        <f t="shared" si="40"/>
        <v>727151.58953518502</v>
      </c>
    </row>
    <row r="76" spans="1:73" ht="15.75" hidden="1" outlineLevel="1" thickBot="1" x14ac:dyDescent="0.3">
      <c r="A76" s="177" t="s">
        <v>474</v>
      </c>
      <c r="B76" s="3" t="s">
        <v>132</v>
      </c>
      <c r="C76" s="668" t="s">
        <v>857</v>
      </c>
      <c r="D76" s="775">
        <f t="shared" si="41"/>
        <v>151155</v>
      </c>
      <c r="E76" s="775">
        <f t="shared" si="41"/>
        <v>113718.77821245862</v>
      </c>
      <c r="F76" s="775">
        <f t="shared" si="41"/>
        <v>0</v>
      </c>
      <c r="G76" s="775">
        <f>((E76-F76)*(1+'Assumptions (3)'!$B$20))+F76</f>
        <v>120541.90490520615</v>
      </c>
      <c r="H76" s="242"/>
      <c r="I76" s="666">
        <f t="shared" si="42"/>
        <v>44072.937042412275</v>
      </c>
      <c r="J76" s="74">
        <v>272.11502964349864</v>
      </c>
      <c r="K76" s="74">
        <v>80.712645378653974</v>
      </c>
      <c r="L76" s="74">
        <v>84.746678620866746</v>
      </c>
      <c r="M76" s="74">
        <v>81.037293148483542</v>
      </c>
      <c r="N76" s="74">
        <v>141.81394208037264</v>
      </c>
      <c r="O76" s="74">
        <v>324.74806729742289</v>
      </c>
      <c r="P76" s="74">
        <v>39.285960313776144</v>
      </c>
      <c r="Q76" s="74">
        <v>104.02666950002066</v>
      </c>
      <c r="R76" s="74">
        <v>88.97632146042838</v>
      </c>
      <c r="S76" s="74">
        <v>91.534916108015182</v>
      </c>
      <c r="T76" s="74">
        <v>331.55768230845933</v>
      </c>
      <c r="U76" s="74">
        <v>264.70957252331004</v>
      </c>
      <c r="V76" s="74">
        <v>210.05041390873589</v>
      </c>
      <c r="W76" s="74">
        <v>336.85017847378191</v>
      </c>
      <c r="X76" s="74">
        <v>8.3285738856843547</v>
      </c>
      <c r="Y76" s="74">
        <v>6.5696420596600307</v>
      </c>
      <c r="Z76" s="74">
        <v>31.76541533303989</v>
      </c>
      <c r="AA76" s="74">
        <v>29.035202691147443</v>
      </c>
      <c r="AB76" s="74">
        <v>17.468299268590087</v>
      </c>
      <c r="AC76" s="74">
        <v>17.866552263099386</v>
      </c>
      <c r="AD76" s="74">
        <v>101.37152867227177</v>
      </c>
      <c r="AE76" s="74">
        <v>40.658554385013758</v>
      </c>
      <c r="AF76" s="74">
        <v>105.7918152635125</v>
      </c>
      <c r="AG76" s="74">
        <v>328.64281622122041</v>
      </c>
      <c r="AH76" s="74">
        <v>2691.1826639690103</v>
      </c>
      <c r="AI76" s="74">
        <v>18.691654983084607</v>
      </c>
      <c r="AJ76" s="74">
        <v>396.60753115185764</v>
      </c>
      <c r="AK76" s="74">
        <v>341.0204808018421</v>
      </c>
      <c r="AL76" s="74">
        <v>0</v>
      </c>
      <c r="AM76" s="74">
        <v>41.590574264781132</v>
      </c>
      <c r="AN76" s="74">
        <v>70.333598151057231</v>
      </c>
      <c r="AO76" s="74">
        <v>414.64619063939142</v>
      </c>
      <c r="AP76" s="74">
        <v>62.800368778984186</v>
      </c>
      <c r="AQ76" s="74">
        <v>394.07168614065097</v>
      </c>
      <c r="AR76" s="74">
        <v>1.1905480957382273</v>
      </c>
      <c r="AS76" s="74">
        <v>580.77686019813177</v>
      </c>
      <c r="AT76" s="74">
        <v>481.8122953487952</v>
      </c>
      <c r="AU76" s="74">
        <v>673.57716460417601</v>
      </c>
      <c r="AV76" s="74">
        <v>946.71519747875482</v>
      </c>
      <c r="AW76" s="74">
        <v>2424.6590803086665</v>
      </c>
      <c r="AX76" s="74">
        <v>25.256109717430043</v>
      </c>
      <c r="AY76" s="74">
        <v>8271.2397995243591</v>
      </c>
      <c r="AZ76" s="74">
        <v>278.16834898078491</v>
      </c>
      <c r="BA76" s="74">
        <v>5016.0120882672709</v>
      </c>
      <c r="BB76" s="74">
        <v>17802.921030198446</v>
      </c>
      <c r="BC76" s="666">
        <f t="shared" si="43"/>
        <v>74638.516854455491</v>
      </c>
      <c r="BD76" s="74">
        <v>11987.777488860114</v>
      </c>
      <c r="BE76" s="74">
        <v>10932.818251905303</v>
      </c>
      <c r="BF76" s="74">
        <v>6693.8673667122239</v>
      </c>
      <c r="BG76" s="74">
        <v>12371.138343457493</v>
      </c>
      <c r="BH76" s="74">
        <v>9690.9182628731305</v>
      </c>
      <c r="BI76" s="74">
        <v>7056.3872211058324</v>
      </c>
      <c r="BJ76" s="74">
        <v>3979.958229726336</v>
      </c>
      <c r="BK76" s="74">
        <v>11925.651689815057</v>
      </c>
      <c r="BL76" s="76">
        <f t="shared" si="40"/>
        <v>118711.45389686777</v>
      </c>
    </row>
    <row r="77" spans="1:73" ht="15.75" hidden="1" outlineLevel="1" thickBot="1" x14ac:dyDescent="0.3">
      <c r="A77" s="177" t="s">
        <v>475</v>
      </c>
      <c r="B77" s="3" t="s">
        <v>132</v>
      </c>
      <c r="C77" s="668" t="s">
        <v>857</v>
      </c>
      <c r="D77" s="775">
        <f t="shared" si="41"/>
        <v>280266</v>
      </c>
      <c r="E77" s="775">
        <f t="shared" si="41"/>
        <v>210853.14474872104</v>
      </c>
      <c r="F77" s="775">
        <f t="shared" si="41"/>
        <v>6391.0622931086373</v>
      </c>
      <c r="G77" s="775">
        <f>((E77-F77)*(1+'Assumptions (3)'!$B$20))+F77</f>
        <v>223120.86969605778</v>
      </c>
      <c r="H77" s="242"/>
      <c r="I77" s="666">
        <f t="shared" si="42"/>
        <v>81675.252909962845</v>
      </c>
      <c r="J77" s="74">
        <v>504.54560482990837</v>
      </c>
      <c r="K77" s="74">
        <v>149.65439627993672</v>
      </c>
      <c r="L77" s="74">
        <v>157.13415123784088</v>
      </c>
      <c r="M77" s="74">
        <v>150.25634614503582</v>
      </c>
      <c r="N77" s="74">
        <v>262.94615653532941</v>
      </c>
      <c r="O77" s="74">
        <v>602.13583294750106</v>
      </c>
      <c r="P77" s="74">
        <v>72.84257188515619</v>
      </c>
      <c r="Q77" s="74">
        <v>192.88239591209546</v>
      </c>
      <c r="R77" s="74">
        <v>164.97659826289848</v>
      </c>
      <c r="S77" s="74">
        <v>169.72064965055065</v>
      </c>
      <c r="T77" s="74">
        <v>614.76196877286668</v>
      </c>
      <c r="U77" s="74">
        <v>490.81468064449081</v>
      </c>
      <c r="V77" s="74">
        <v>389.46769411892279</v>
      </c>
      <c r="W77" s="74">
        <v>624.57511905086142</v>
      </c>
      <c r="X77" s="74">
        <v>15.442533086204303</v>
      </c>
      <c r="Y77" s="74">
        <v>12.181186871044147</v>
      </c>
      <c r="Z77" s="74">
        <v>58.89825605325499</v>
      </c>
      <c r="AA77" s="74">
        <v>53.835996939810983</v>
      </c>
      <c r="AB77" s="74">
        <v>32.389073221598153</v>
      </c>
      <c r="AC77" s="74">
        <v>33.127499166880433</v>
      </c>
      <c r="AD77" s="74">
        <v>187.95933217467444</v>
      </c>
      <c r="AE77" s="74">
        <v>75.387584951012315</v>
      </c>
      <c r="AF77" s="74">
        <v>196.15526377985242</v>
      </c>
      <c r="AG77" s="74">
        <v>609.35733208333534</v>
      </c>
      <c r="AH77" s="74">
        <v>4989.8911746216709</v>
      </c>
      <c r="AI77" s="74">
        <v>34.657374056360624</v>
      </c>
      <c r="AJ77" s="74">
        <v>735.37498809702981</v>
      </c>
      <c r="AK77" s="74">
        <v>632.30753909833663</v>
      </c>
      <c r="AL77" s="74">
        <v>0</v>
      </c>
      <c r="AM77" s="74">
        <v>77.115701676379544</v>
      </c>
      <c r="AN77" s="74">
        <v>130.40995150278988</v>
      </c>
      <c r="AO77" s="74">
        <v>768.82160210207849</v>
      </c>
      <c r="AP77" s="74">
        <v>116.44211674248805</v>
      </c>
      <c r="AQ77" s="74">
        <v>730.67311824217313</v>
      </c>
      <c r="AR77" s="74">
        <v>2.2074701637403327</v>
      </c>
      <c r="AS77" s="74">
        <v>1076.8549336792671</v>
      </c>
      <c r="AT77" s="74">
        <v>893.35850463580721</v>
      </c>
      <c r="AU77" s="74">
        <v>1248.9218194234659</v>
      </c>
      <c r="AV77" s="74">
        <v>1755.3642389373867</v>
      </c>
      <c r="AW77" s="74">
        <v>4495.7130217444919</v>
      </c>
      <c r="AX77" s="74">
        <v>46.828942781021127</v>
      </c>
      <c r="AY77" s="74">
        <v>15309.91416624623</v>
      </c>
      <c r="AZ77" s="74">
        <v>514.88454571310388</v>
      </c>
      <c r="BA77" s="74">
        <v>9284.5469832275376</v>
      </c>
      <c r="BB77" s="74">
        <v>33009.516492670424</v>
      </c>
      <c r="BC77" s="666">
        <f t="shared" si="43"/>
        <v>138154.53477764581</v>
      </c>
      <c r="BD77" s="74">
        <v>22189.157713582579</v>
      </c>
      <c r="BE77" s="74">
        <v>20236.447387423785</v>
      </c>
      <c r="BF77" s="74">
        <v>12390.226532967177</v>
      </c>
      <c r="BG77" s="74">
        <v>22898.751670575843</v>
      </c>
      <c r="BH77" s="74">
        <v>17937.713135245769</v>
      </c>
      <c r="BI77" s="74">
        <v>13061.244178308012</v>
      </c>
      <c r="BJ77" s="74">
        <v>7366.830168055274</v>
      </c>
      <c r="BK77" s="74">
        <v>22074.16399148737</v>
      </c>
      <c r="BL77" s="76">
        <f t="shared" si="40"/>
        <v>219829.78768760865</v>
      </c>
    </row>
    <row r="78" spans="1:73" ht="30.75" hidden="1" outlineLevel="1" thickBot="1" x14ac:dyDescent="0.3">
      <c r="A78" s="669" t="s">
        <v>827</v>
      </c>
      <c r="B78" s="670" t="s">
        <v>862</v>
      </c>
      <c r="C78" s="679" t="s">
        <v>863</v>
      </c>
      <c r="D78" s="775">
        <f t="shared" si="41"/>
        <v>22491.393199999999</v>
      </c>
      <c r="E78" s="775">
        <f t="shared" si="41"/>
        <v>16921</v>
      </c>
      <c r="F78" s="775">
        <f t="shared" si="41"/>
        <v>0</v>
      </c>
      <c r="G78" s="664">
        <f>E78</f>
        <v>16921</v>
      </c>
      <c r="H78" s="674"/>
      <c r="I78" s="675">
        <f t="shared" si="42"/>
        <v>16921</v>
      </c>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676">
        <v>4592.8428571428576</v>
      </c>
      <c r="AZ78" s="676">
        <v>392.80892857142857</v>
      </c>
      <c r="BA78" s="676">
        <v>3323.7678571428569</v>
      </c>
      <c r="BB78" s="676">
        <v>8611.5803571428569</v>
      </c>
      <c r="BC78" s="675">
        <f t="shared" si="43"/>
        <v>0</v>
      </c>
      <c r="BD78" s="74"/>
      <c r="BE78" s="74"/>
      <c r="BF78" s="74"/>
      <c r="BG78" s="74"/>
      <c r="BH78" s="74"/>
      <c r="BI78" s="74"/>
      <c r="BJ78" s="74"/>
      <c r="BK78" s="74"/>
      <c r="BL78" s="677">
        <f t="shared" si="40"/>
        <v>16921</v>
      </c>
    </row>
    <row r="79" spans="1:73" ht="15.75" hidden="1" outlineLevel="1" thickBot="1" x14ac:dyDescent="0.3">
      <c r="A79" s="177" t="s">
        <v>476</v>
      </c>
      <c r="B79" s="3" t="s">
        <v>132</v>
      </c>
      <c r="C79" s="668" t="s">
        <v>857</v>
      </c>
      <c r="D79" s="775">
        <f t="shared" si="41"/>
        <v>209989</v>
      </c>
      <c r="E79" s="775">
        <f t="shared" si="41"/>
        <v>157981.49262714415</v>
      </c>
      <c r="F79" s="775">
        <f t="shared" si="41"/>
        <v>48840.656033704487</v>
      </c>
      <c r="G79" s="775">
        <f>((E79-F79)*(1+'Assumptions (3)'!$B$20))+F79</f>
        <v>164529.94282275054</v>
      </c>
      <c r="H79" s="242"/>
      <c r="I79" s="666">
        <f t="shared" si="42"/>
        <v>60897.645889006832</v>
      </c>
      <c r="J79" s="74">
        <v>378.030253447181</v>
      </c>
      <c r="K79" s="74">
        <v>112.12839595394244</v>
      </c>
      <c r="L79" s="74">
        <v>117.73259433639103</v>
      </c>
      <c r="M79" s="74">
        <v>112.57940624495988</v>
      </c>
      <c r="N79" s="74">
        <v>197.01212585435724</v>
      </c>
      <c r="O79" s="74">
        <v>451.1496272284644</v>
      </c>
      <c r="P79" s="74">
        <v>54.577218883460937</v>
      </c>
      <c r="Q79" s="74">
        <v>144.51692832946205</v>
      </c>
      <c r="R79" s="74">
        <v>123.60853936127747</v>
      </c>
      <c r="S79" s="74">
        <v>127.16301477692434</v>
      </c>
      <c r="T79" s="74">
        <v>460.60974595793101</v>
      </c>
      <c r="U79" s="74">
        <v>367.74237322349478</v>
      </c>
      <c r="V79" s="74">
        <v>291.80825223301605</v>
      </c>
      <c r="W79" s="74">
        <v>467.96223828210105</v>
      </c>
      <c r="X79" s="74">
        <v>11.570301357421005</v>
      </c>
      <c r="Y79" s="74">
        <v>9.1267412025136458</v>
      </c>
      <c r="Z79" s="74">
        <v>44.129455197444436</v>
      </c>
      <c r="AA79" s="74">
        <v>40.336562984428966</v>
      </c>
      <c r="AB79" s="74">
        <v>24.267478383857391</v>
      </c>
      <c r="AC79" s="74">
        <v>24.820743231623016</v>
      </c>
      <c r="AD79" s="74">
        <v>140.82832810268715</v>
      </c>
      <c r="AE79" s="74">
        <v>56.484067194301574</v>
      </c>
      <c r="AF79" s="74">
        <v>146.96912107022411</v>
      </c>
      <c r="AG79" s="74">
        <v>456.56032771312795</v>
      </c>
      <c r="AH79" s="74">
        <v>3738.6706124454272</v>
      </c>
      <c r="AI79" s="74">
        <v>25.96700035224077</v>
      </c>
      <c r="AJ79" s="74">
        <v>550.97892136579958</v>
      </c>
      <c r="AK79" s="74">
        <v>473.75574571200434</v>
      </c>
      <c r="AL79" s="74">
        <v>0</v>
      </c>
      <c r="AM79" s="74">
        <v>57.778856797903643</v>
      </c>
      <c r="AN79" s="74">
        <v>97.709516338476107</v>
      </c>
      <c r="AO79" s="74">
        <v>576.03876104776668</v>
      </c>
      <c r="AP79" s="74">
        <v>87.244131120572334</v>
      </c>
      <c r="AQ79" s="74">
        <v>547.45605041837291</v>
      </c>
      <c r="AR79" s="74">
        <v>1.6539446533424274</v>
      </c>
      <c r="AS79" s="74">
        <v>806.83240445996159</v>
      </c>
      <c r="AT79" s="74">
        <v>669.34790174323155</v>
      </c>
      <c r="AU79" s="74">
        <v>935.75333411442762</v>
      </c>
      <c r="AV79" s="74">
        <v>1315.2047739298484</v>
      </c>
      <c r="AW79" s="74">
        <v>3368.4081612578912</v>
      </c>
      <c r="AX79" s="74">
        <v>35.086535168889</v>
      </c>
      <c r="AY79" s="74">
        <v>11289.572803409599</v>
      </c>
      <c r="AZ79" s="74">
        <v>379.67727977169875</v>
      </c>
      <c r="BA79" s="74">
        <v>6846.450474877106</v>
      </c>
      <c r="BB79" s="74">
        <v>24732.34483947168</v>
      </c>
      <c r="BC79" s="666">
        <f t="shared" si="43"/>
        <v>101875.53382448736</v>
      </c>
      <c r="BD79" s="74">
        <v>16362.345910868595</v>
      </c>
      <c r="BE79" s="74">
        <v>14922.411947049086</v>
      </c>
      <c r="BF79" s="74">
        <v>9136.5871144506145</v>
      </c>
      <c r="BG79" s="74">
        <v>16885.602445905013</v>
      </c>
      <c r="BH79" s="74">
        <v>13227.318988731211</v>
      </c>
      <c r="BI79" s="74">
        <v>9631.3973712023835</v>
      </c>
      <c r="BJ79" s="74">
        <v>5432.3208222796893</v>
      </c>
      <c r="BK79" s="74">
        <v>16277.549224000742</v>
      </c>
      <c r="BL79" s="76">
        <f t="shared" si="40"/>
        <v>162773.1797134942</v>
      </c>
    </row>
    <row r="80" spans="1:73" ht="15.75" hidden="1" outlineLevel="1" thickBot="1" x14ac:dyDescent="0.3">
      <c r="A80" s="177" t="s">
        <v>477</v>
      </c>
      <c r="B80" s="3" t="s">
        <v>858</v>
      </c>
      <c r="C80" s="668" t="s">
        <v>857</v>
      </c>
      <c r="D80" s="775">
        <f t="shared" si="41"/>
        <v>47159</v>
      </c>
      <c r="E80" s="775">
        <f t="shared" si="41"/>
        <v>35479.235630454408</v>
      </c>
      <c r="F80" s="775">
        <f t="shared" si="41"/>
        <v>29.340956966596451</v>
      </c>
      <c r="G80" s="775">
        <f>((E80-F80)*(1+'Assumptions (3)'!$B$20))+F80</f>
        <v>37606.22931086368</v>
      </c>
      <c r="H80" s="637">
        <f>G80*'Assumptions (3)'!$B$18</f>
        <v>752.12458621727365</v>
      </c>
      <c r="I80" s="666">
        <f t="shared" si="42"/>
        <v>13475.15846544612</v>
      </c>
      <c r="J80" s="74">
        <v>83.199492106106959</v>
      </c>
      <c r="K80" s="74">
        <v>24.677986772145836</v>
      </c>
      <c r="L80" s="74">
        <v>25.911397206442562</v>
      </c>
      <c r="M80" s="74">
        <v>24.777248211687002</v>
      </c>
      <c r="N80" s="74">
        <v>43.359780494703628</v>
      </c>
      <c r="O80" s="74">
        <v>99.292105610569166</v>
      </c>
      <c r="P80" s="74">
        <v>12.011728823979501</v>
      </c>
      <c r="Q80" s="74">
        <v>31.80627721750815</v>
      </c>
      <c r="R80" s="74">
        <v>27.204615506448977</v>
      </c>
      <c r="S80" s="74">
        <v>27.986908845642752</v>
      </c>
      <c r="T80" s="74">
        <v>101.37415345297833</v>
      </c>
      <c r="U80" s="74">
        <v>80.935264834204901</v>
      </c>
      <c r="V80" s="74">
        <v>64.223162450012467</v>
      </c>
      <c r="W80" s="74">
        <v>102.99234041422498</v>
      </c>
      <c r="X80" s="74">
        <v>2.5464713145942159</v>
      </c>
      <c r="Y80" s="74">
        <v>2.0086758287431921</v>
      </c>
      <c r="Z80" s="74">
        <v>9.7123133026165966</v>
      </c>
      <c r="AA80" s="74">
        <v>8.8775475587151327</v>
      </c>
      <c r="AB80" s="74">
        <v>5.3409531586999508</v>
      </c>
      <c r="AC80" s="74">
        <v>5.4627194827296073</v>
      </c>
      <c r="AD80" s="74">
        <v>30.994464769558071</v>
      </c>
      <c r="AE80" s="74">
        <v>12.431401084436549</v>
      </c>
      <c r="AF80" s="74">
        <v>32.345972622088226</v>
      </c>
      <c r="AG80" s="74">
        <v>100.48292969979823</v>
      </c>
      <c r="AH80" s="74">
        <v>822.83228199604559</v>
      </c>
      <c r="AI80" s="74">
        <v>5.7149956150993431</v>
      </c>
      <c r="AJ80" s="74">
        <v>121.26322166225825</v>
      </c>
      <c r="AK80" s="74">
        <v>104.26741528266606</v>
      </c>
      <c r="AL80" s="74">
        <v>0</v>
      </c>
      <c r="AM80" s="74">
        <v>12.716367264845735</v>
      </c>
      <c r="AN80" s="74">
        <v>21.504580808452207</v>
      </c>
      <c r="AO80" s="74">
        <v>126.77856313238595</v>
      </c>
      <c r="AP80" s="74">
        <v>19.201287019438013</v>
      </c>
      <c r="AQ80" s="74">
        <v>120.48788405129052</v>
      </c>
      <c r="AR80" s="74">
        <v>0.36401148816764695</v>
      </c>
      <c r="AS80" s="74">
        <v>177.57321180961279</v>
      </c>
      <c r="AT80" s="74">
        <v>147.31467907529859</v>
      </c>
      <c r="AU80" s="74">
        <v>205.94701462377671</v>
      </c>
      <c r="AV80" s="74">
        <v>289.45929117755009</v>
      </c>
      <c r="AW80" s="74">
        <v>741.34238111151376</v>
      </c>
      <c r="AX80" s="74">
        <v>7.7220854129932697</v>
      </c>
      <c r="AY80" s="74">
        <v>2528.8229683615086</v>
      </c>
      <c r="AZ80" s="74">
        <v>85.046320385277667</v>
      </c>
      <c r="BA80" s="74">
        <v>1533.57983637697</v>
      </c>
      <c r="BB80" s="74">
        <v>5443.2641580223344</v>
      </c>
      <c r="BC80" s="666">
        <f t="shared" si="43"/>
        <v>22819.746533867707</v>
      </c>
      <c r="BD80" s="74">
        <v>3665.1055692013406</v>
      </c>
      <c r="BE80" s="74">
        <v>3342.5656339851139</v>
      </c>
      <c r="BF80" s="74">
        <v>2046.5620577317645</v>
      </c>
      <c r="BG80" s="74">
        <v>3782.313117014462</v>
      </c>
      <c r="BH80" s="74">
        <v>2962.8710183299058</v>
      </c>
      <c r="BI80" s="74">
        <v>2157.3977433723071</v>
      </c>
      <c r="BJ80" s="74">
        <v>1216.8199723855348</v>
      </c>
      <c r="BK80" s="74">
        <v>3646.1114218472776</v>
      </c>
      <c r="BL80" s="76">
        <f t="shared" si="40"/>
        <v>37047.029585531098</v>
      </c>
    </row>
    <row r="81" spans="1:64" ht="15.75" hidden="1" outlineLevel="1" thickBot="1" x14ac:dyDescent="0.3">
      <c r="A81" s="69" t="s">
        <v>479</v>
      </c>
      <c r="B81" s="3" t="s">
        <v>132</v>
      </c>
      <c r="C81" s="668" t="s">
        <v>857</v>
      </c>
      <c r="D81" s="775">
        <f t="shared" si="41"/>
        <v>19409</v>
      </c>
      <c r="E81" s="775">
        <f t="shared" si="41"/>
        <v>14602.016250376168</v>
      </c>
      <c r="F81" s="775">
        <f t="shared" si="41"/>
        <v>0</v>
      </c>
      <c r="G81" s="775">
        <f>((E81-F81)*(1+'Assumptions (3)'!$B$20))+F81</f>
        <v>15478.137225398739</v>
      </c>
      <c r="H81" s="242"/>
      <c r="I81" s="666">
        <f t="shared" si="42"/>
        <v>5659.168635216698</v>
      </c>
      <c r="J81" s="74">
        <v>34.940826372602068</v>
      </c>
      <c r="K81" s="74">
        <v>10.363876379572591</v>
      </c>
      <c r="L81" s="74">
        <v>10.881864876136435</v>
      </c>
      <c r="M81" s="74">
        <v>10.405562652369536</v>
      </c>
      <c r="N81" s="74">
        <v>18.209565028202526</v>
      </c>
      <c r="O81" s="74">
        <v>41.699151454967954</v>
      </c>
      <c r="P81" s="74">
        <v>5.0444987180713916</v>
      </c>
      <c r="Q81" s="74">
        <v>13.357504735707725</v>
      </c>
      <c r="R81" s="74">
        <v>11.424970548281266</v>
      </c>
      <c r="S81" s="74">
        <v>11.75350591604953</v>
      </c>
      <c r="T81" s="74">
        <v>42.573537467664899</v>
      </c>
      <c r="U81" s="74">
        <v>33.989931481624325</v>
      </c>
      <c r="V81" s="74">
        <v>26.971443111737322</v>
      </c>
      <c r="W81" s="74">
        <v>43.253118414856495</v>
      </c>
      <c r="X81" s="74">
        <v>1.0694273464142612</v>
      </c>
      <c r="Y81" s="74">
        <v>0.84357237759876647</v>
      </c>
      <c r="Z81" s="74">
        <v>4.0788260143493185</v>
      </c>
      <c r="AA81" s="74">
        <v>3.7282541036186747</v>
      </c>
      <c r="AB81" s="74">
        <v>2.2430102907880323</v>
      </c>
      <c r="AC81" s="74">
        <v>2.2941478143263274</v>
      </c>
      <c r="AD81" s="74">
        <v>13.016572392577968</v>
      </c>
      <c r="AE81" s="74">
        <v>5.2207461351508861</v>
      </c>
      <c r="AF81" s="74">
        <v>13.584157602788624</v>
      </c>
      <c r="AG81" s="74">
        <v>42.19925520186343</v>
      </c>
      <c r="AH81" s="74">
        <v>345.56028133356176</v>
      </c>
      <c r="AI81" s="74">
        <v>2.4000948137123426</v>
      </c>
      <c r="AJ81" s="74">
        <v>50.926238444817606</v>
      </c>
      <c r="AK81" s="74">
        <v>43.788604491303325</v>
      </c>
      <c r="AL81" s="74">
        <v>0</v>
      </c>
      <c r="AM81" s="74">
        <v>5.3404217915724725</v>
      </c>
      <c r="AN81" s="74">
        <v>9.0311587874292591</v>
      </c>
      <c r="AO81" s="74">
        <v>53.242485621514</v>
      </c>
      <c r="AP81" s="74">
        <v>8.0638573492858594</v>
      </c>
      <c r="AQ81" s="74">
        <v>50.600624235413285</v>
      </c>
      <c r="AR81" s="74">
        <v>0.152871873177753</v>
      </c>
      <c r="AS81" s="74">
        <v>74.574430747150544</v>
      </c>
      <c r="AT81" s="74">
        <v>61.866923624258327</v>
      </c>
      <c r="AU81" s="74">
        <v>86.490418363947285</v>
      </c>
      <c r="AV81" s="74">
        <v>121.5626030754203</v>
      </c>
      <c r="AW81" s="74">
        <v>311.33742244524433</v>
      </c>
      <c r="AX81" s="74">
        <v>3.2430011147868063</v>
      </c>
      <c r="AY81" s="74">
        <v>1062.0653849953246</v>
      </c>
      <c r="AZ81" s="74">
        <v>35.718100528385136</v>
      </c>
      <c r="BA81" s="74">
        <v>644.07911495603503</v>
      </c>
      <c r="BB81" s="74">
        <v>2285.9772701870374</v>
      </c>
      <c r="BC81" s="666">
        <f t="shared" si="43"/>
        <v>9583.9302280978245</v>
      </c>
      <c r="BD81" s="74">
        <v>1539.2859864462705</v>
      </c>
      <c r="BE81" s="74">
        <v>1403.8243488553474</v>
      </c>
      <c r="BF81" s="74">
        <v>859.52348066896604</v>
      </c>
      <c r="BG81" s="74">
        <v>1588.5112904513019</v>
      </c>
      <c r="BH81" s="74">
        <v>1244.3586554470883</v>
      </c>
      <c r="BI81" s="74">
        <v>906.07270400875336</v>
      </c>
      <c r="BJ81" s="74">
        <v>511.04501525426531</v>
      </c>
      <c r="BK81" s="74">
        <v>1531.3087469658328</v>
      </c>
      <c r="BL81" s="76">
        <f t="shared" si="40"/>
        <v>15243.098863314523</v>
      </c>
    </row>
    <row r="82" spans="1:64" ht="15.75" hidden="1" outlineLevel="1" thickBot="1" x14ac:dyDescent="0.3">
      <c r="A82" s="69" t="s">
        <v>864</v>
      </c>
      <c r="B82" s="3" t="s">
        <v>132</v>
      </c>
      <c r="C82" s="668" t="s">
        <v>857</v>
      </c>
      <c r="D82" s="775">
        <f t="shared" si="41"/>
        <v>98398.017599999992</v>
      </c>
      <c r="E82" s="775">
        <f>E18</f>
        <v>74028</v>
      </c>
      <c r="F82" s="775">
        <f t="shared" si="41"/>
        <v>0</v>
      </c>
      <c r="G82" s="775">
        <f>((E82-F82)*(1+'Assumptions (3)'!$B$20))+F82</f>
        <v>78469.680000000008</v>
      </c>
      <c r="H82" s="242"/>
      <c r="I82" s="666">
        <f t="shared" si="42"/>
        <v>28686.717264357067</v>
      </c>
      <c r="J82" s="74">
        <v>187.76827921438681</v>
      </c>
      <c r="K82" s="74">
        <v>55.694367758539478</v>
      </c>
      <c r="L82" s="74">
        <v>58.477982765679236</v>
      </c>
      <c r="M82" s="74">
        <v>55.918385348349013</v>
      </c>
      <c r="N82" s="74">
        <v>97.856262875028165</v>
      </c>
      <c r="O82" s="74">
        <v>224.08679834598706</v>
      </c>
      <c r="P82" s="74">
        <v>27.108598797599267</v>
      </c>
      <c r="Q82" s="74">
        <v>71.781807678954465</v>
      </c>
      <c r="R82" s="74">
        <v>61.396574799042568</v>
      </c>
      <c r="S82" s="74">
        <v>63.162088871579911</v>
      </c>
      <c r="T82" s="74">
        <v>228.78565564324813</v>
      </c>
      <c r="U82" s="74">
        <v>182.65827135456561</v>
      </c>
      <c r="V82" s="74">
        <v>144.94166242704392</v>
      </c>
      <c r="W82" s="74">
        <v>232.43765126808847</v>
      </c>
      <c r="X82" s="74">
        <v>5.7469886498869229</v>
      </c>
      <c r="Y82" s="74">
        <v>4.5332681043488847</v>
      </c>
      <c r="Z82" s="74">
        <v>21.919176546144524</v>
      </c>
      <c r="AA82" s="74">
        <v>20.035240438943333</v>
      </c>
      <c r="AB82" s="74">
        <v>12.053698389104975</v>
      </c>
      <c r="AC82" s="74">
        <v>12.328505993701297</v>
      </c>
      <c r="AD82" s="74">
        <v>69.949673581284699</v>
      </c>
      <c r="AE82" s="74">
        <v>28.055733644042011</v>
      </c>
      <c r="AF82" s="74">
        <v>72.999816044782875</v>
      </c>
      <c r="AG82" s="74">
        <v>226.77430261339794</v>
      </c>
      <c r="AH82" s="74">
        <v>1857.0041446335208</v>
      </c>
      <c r="AI82" s="74">
        <v>12.897853883487864</v>
      </c>
      <c r="AJ82" s="74">
        <v>273.67218100894723</v>
      </c>
      <c r="AK82" s="74">
        <v>235.31529640576977</v>
      </c>
      <c r="AL82" s="74">
        <v>0</v>
      </c>
      <c r="AM82" s="74">
        <v>28.69885787443382</v>
      </c>
      <c r="AN82" s="74">
        <v>48.532485372388606</v>
      </c>
      <c r="AO82" s="74">
        <v>286.11944662211812</v>
      </c>
      <c r="AP82" s="74">
        <v>43.334310475637828</v>
      </c>
      <c r="AQ82" s="74">
        <v>271.9223649303114</v>
      </c>
      <c r="AR82" s="74">
        <v>0.82151716335405622</v>
      </c>
      <c r="AS82" s="74">
        <v>400.75504756134711</v>
      </c>
      <c r="AT82" s="74">
        <v>332.46625781935614</v>
      </c>
      <c r="AU82" s="74">
        <v>464.79029578605139</v>
      </c>
      <c r="AV82" s="74">
        <v>653.26448072193523</v>
      </c>
      <c r="AW82" s="74">
        <v>1673.0941462055816</v>
      </c>
      <c r="AX82" s="74">
        <v>17.427542563542094</v>
      </c>
      <c r="AY82" s="74">
        <v>5079.5890471508892</v>
      </c>
      <c r="AZ82" s="74">
        <v>170.83060496300632</v>
      </c>
      <c r="BA82" s="74">
        <v>3080.4668564202534</v>
      </c>
      <c r="BB82" s="74">
        <v>11589.243735641407</v>
      </c>
      <c r="BC82" s="666">
        <f t="shared" si="43"/>
        <v>45837.504642445674</v>
      </c>
      <c r="BD82" s="74">
        <v>7362.0140037044403</v>
      </c>
      <c r="BE82" s="74">
        <v>6714.1353887555078</v>
      </c>
      <c r="BF82" s="74">
        <v>4110.882550036511</v>
      </c>
      <c r="BG82" s="74">
        <v>7597.4461330245485</v>
      </c>
      <c r="BH82" s="74">
        <v>5951.4514701599674</v>
      </c>
      <c r="BI82" s="74">
        <v>4333.515665069448</v>
      </c>
      <c r="BJ82" s="74">
        <v>2444.1985387726882</v>
      </c>
      <c r="BK82" s="74">
        <v>7323.8608929225566</v>
      </c>
      <c r="BL82" s="76">
        <f t="shared" si="40"/>
        <v>74524.221906802733</v>
      </c>
    </row>
    <row r="83" spans="1:64" ht="15.75" hidden="1" outlineLevel="1" thickBot="1" x14ac:dyDescent="0.3">
      <c r="A83" s="177" t="s">
        <v>480</v>
      </c>
      <c r="B83" s="3" t="s">
        <v>132</v>
      </c>
      <c r="C83" s="668" t="s">
        <v>857</v>
      </c>
      <c r="D83" s="775">
        <f t="shared" si="41"/>
        <v>44091</v>
      </c>
      <c r="E83" s="775">
        <f t="shared" si="41"/>
        <v>33171.080349082156</v>
      </c>
      <c r="F83" s="775">
        <f t="shared" si="41"/>
        <v>0</v>
      </c>
      <c r="G83" s="775">
        <f>((E83-F83)*(1+'Assumptions (3)'!$B$20))+F83</f>
        <v>35161.345170027089</v>
      </c>
      <c r="H83" s="242"/>
      <c r="I83" s="666">
        <f t="shared" si="42"/>
        <v>12855.809382005225</v>
      </c>
      <c r="J83" s="74">
        <v>79.374309629264658</v>
      </c>
      <c r="K83" s="74">
        <v>23.543390872880373</v>
      </c>
      <c r="L83" s="74">
        <v>24.720093990093847</v>
      </c>
      <c r="M83" s="74">
        <v>23.638088665342121</v>
      </c>
      <c r="N83" s="74">
        <v>41.366269857204259</v>
      </c>
      <c r="O83" s="74">
        <v>94.727048626976767</v>
      </c>
      <c r="P83" s="74">
        <v>11.459477200189898</v>
      </c>
      <c r="Q83" s="74">
        <v>30.343950811586854</v>
      </c>
      <c r="R83" s="74">
        <v>25.953855244694175</v>
      </c>
      <c r="S83" s="74">
        <v>26.70018184061723</v>
      </c>
      <c r="T83" s="74">
        <v>96.713372172023952</v>
      </c>
      <c r="U83" s="74">
        <v>77.214182541928906</v>
      </c>
      <c r="V83" s="74">
        <v>61.270436304786969</v>
      </c>
      <c r="W83" s="74">
        <v>98.257161318431528</v>
      </c>
      <c r="X83" s="74">
        <v>2.4293946690067076</v>
      </c>
      <c r="Y83" s="74">
        <v>1.9163248853988979</v>
      </c>
      <c r="Z83" s="74">
        <v>9.2657796794618896</v>
      </c>
      <c r="AA83" s="74">
        <v>8.4693931517672709</v>
      </c>
      <c r="AB83" s="74">
        <v>5.0953973275869506</v>
      </c>
      <c r="AC83" s="74">
        <v>5.2115653192571534</v>
      </c>
      <c r="AD83" s="74">
        <v>29.569462278384005</v>
      </c>
      <c r="AE83" s="74">
        <v>11.859854595545247</v>
      </c>
      <c r="AF83" s="74">
        <v>30.858833163200224</v>
      </c>
      <c r="AG83" s="74">
        <v>95.863123350268467</v>
      </c>
      <c r="AH83" s="74">
        <v>785.00171901066881</v>
      </c>
      <c r="AI83" s="74">
        <v>5.4522427961971713</v>
      </c>
      <c r="AJ83" s="74">
        <v>115.68801995313788</v>
      </c>
      <c r="AK83" s="74">
        <v>99.473613304449202</v>
      </c>
      <c r="AL83" s="74">
        <v>0</v>
      </c>
      <c r="AM83" s="74">
        <v>12.131719161843572</v>
      </c>
      <c r="AN83" s="74">
        <v>20.515885522002343</v>
      </c>
      <c r="AO83" s="74">
        <v>120.9497879096385</v>
      </c>
      <c r="AP83" s="74">
        <v>18.318488040979073</v>
      </c>
      <c r="AQ83" s="74">
        <v>114.94832928866026</v>
      </c>
      <c r="AR83" s="74">
        <v>0.347275684490716</v>
      </c>
      <c r="AS83" s="74">
        <v>169.40910021498348</v>
      </c>
      <c r="AT83" s="74">
        <v>140.5417347373473</v>
      </c>
      <c r="AU83" s="74">
        <v>196.4783881748055</v>
      </c>
      <c r="AV83" s="74">
        <v>276.1511016640917</v>
      </c>
      <c r="AW83" s="74">
        <v>707.25840038298043</v>
      </c>
      <c r="AX83" s="74">
        <v>7.3670545701512227</v>
      </c>
      <c r="AY83" s="74">
        <v>2412.6706625703982</v>
      </c>
      <c r="AZ83" s="74">
        <v>81.140026296925598</v>
      </c>
      <c r="BA83" s="74">
        <v>1463.1404120524776</v>
      </c>
      <c r="BB83" s="74">
        <v>5193.0044731730986</v>
      </c>
      <c r="BC83" s="666">
        <f t="shared" si="43"/>
        <v>21771.604291156742</v>
      </c>
      <c r="BD83" s="74">
        <v>3496.7622457830134</v>
      </c>
      <c r="BE83" s="74">
        <v>3189.0370119728541</v>
      </c>
      <c r="BF83" s="74">
        <v>1952.5606567146881</v>
      </c>
      <c r="BG83" s="74">
        <v>3608.5862902410399</v>
      </c>
      <c r="BH83" s="74">
        <v>2826.7822905516805</v>
      </c>
      <c r="BI83" s="74">
        <v>2058.3055073651371</v>
      </c>
      <c r="BJ83" s="74">
        <v>1160.9297628716477</v>
      </c>
      <c r="BK83" s="74">
        <v>3478.6405256566813</v>
      </c>
      <c r="BL83" s="76">
        <f>BC83+I83+H83</f>
        <v>34627.413673161966</v>
      </c>
    </row>
    <row r="84" spans="1:64" ht="15.75" hidden="1" outlineLevel="1" thickBot="1" x14ac:dyDescent="0.3">
      <c r="A84" s="177" t="s">
        <v>481</v>
      </c>
      <c r="B84" s="3" t="s">
        <v>132</v>
      </c>
      <c r="C84" s="668" t="s">
        <v>857</v>
      </c>
      <c r="D84" s="681">
        <f t="shared" si="41"/>
        <v>344016</v>
      </c>
      <c r="E84" s="681">
        <f t="shared" si="41"/>
        <v>258814.32440565756</v>
      </c>
      <c r="F84" s="681">
        <f t="shared" si="41"/>
        <v>111464.79085164009</v>
      </c>
      <c r="G84" s="681">
        <f>((E84-F84)*(1+'Assumptions (3)'!$B$20))+F84</f>
        <v>267655.29641889862</v>
      </c>
      <c r="H84" s="683"/>
      <c r="I84" s="684">
        <f t="shared" si="42"/>
        <v>99553.643825224135</v>
      </c>
      <c r="J84" s="78">
        <v>619.31080042233361</v>
      </c>
      <c r="K84" s="78">
        <v>183.69515671054896</v>
      </c>
      <c r="L84" s="78">
        <v>192.87627529645792</v>
      </c>
      <c r="M84" s="78">
        <v>184.43402758604557</v>
      </c>
      <c r="N84" s="78">
        <v>322.75654195178112</v>
      </c>
      <c r="O84" s="78">
        <v>739.09914405339055</v>
      </c>
      <c r="P84" s="78">
        <v>89.411524086560249</v>
      </c>
      <c r="Q84" s="78">
        <v>236.75590443398571</v>
      </c>
      <c r="R84" s="78">
        <v>202.50258478734236</v>
      </c>
      <c r="S84" s="78">
        <v>208.32572987870034</v>
      </c>
      <c r="T84" s="78">
        <v>754.59725207255428</v>
      </c>
      <c r="U84" s="78">
        <v>602.45660614057772</v>
      </c>
      <c r="V84" s="78">
        <v>478.05698250952793</v>
      </c>
      <c r="W84" s="78">
        <v>766.64252586971361</v>
      </c>
      <c r="X84" s="78">
        <v>18.955129991449766</v>
      </c>
      <c r="Y84" s="78">
        <v>14.951949871297709</v>
      </c>
      <c r="Z84" s="78">
        <v>72.29539956475837</v>
      </c>
      <c r="AA84" s="78">
        <v>66.08166642848586</v>
      </c>
      <c r="AB84" s="78">
        <v>39.756372208549422</v>
      </c>
      <c r="AC84" s="78">
        <v>40.662762352170937</v>
      </c>
      <c r="AD84" s="78">
        <v>230.71302839945912</v>
      </c>
      <c r="AE84" s="78">
        <v>92.535432141278122</v>
      </c>
      <c r="AF84" s="78">
        <v>240.77322695043179</v>
      </c>
      <c r="AG84" s="78">
        <v>747.96326330693239</v>
      </c>
      <c r="AH84" s="78">
        <v>6124.9042064633204</v>
      </c>
      <c r="AI84" s="78">
        <v>42.540626381269789</v>
      </c>
      <c r="AJ84" s="78">
        <v>902.64520814222135</v>
      </c>
      <c r="AK84" s="78">
        <v>776.13378137360007</v>
      </c>
      <c r="AL84" s="78">
        <v>0</v>
      </c>
      <c r="AM84" s="78">
        <v>94.656630586305099</v>
      </c>
      <c r="AN84" s="78">
        <v>160.07332275832161</v>
      </c>
      <c r="AO84" s="78">
        <v>943.69967198571601</v>
      </c>
      <c r="AP84" s="78">
        <v>142.92832963428947</v>
      </c>
      <c r="AQ84" s="78">
        <v>896.87383929980615</v>
      </c>
      <c r="AR84" s="78">
        <v>2.7095868062815125</v>
      </c>
      <c r="AS84" s="78">
        <v>1321.7990297239292</v>
      </c>
      <c r="AT84" s="78">
        <v>1096.5640474791514</v>
      </c>
      <c r="AU84" s="78">
        <v>1533.0046763816626</v>
      </c>
      <c r="AV84" s="78">
        <v>2154.6437456640624</v>
      </c>
      <c r="AW84" s="78">
        <v>5518.3190643476319</v>
      </c>
      <c r="AX84" s="78">
        <v>57.480770338734509</v>
      </c>
      <c r="AY84" s="78">
        <v>18365.738802903794</v>
      </c>
      <c r="AZ84" s="78">
        <v>617.65434982429929</v>
      </c>
      <c r="BA84" s="78">
        <v>11137.721802071592</v>
      </c>
      <c r="BB84" s="78">
        <v>40517.943046043794</v>
      </c>
      <c r="BC84" s="684">
        <f t="shared" si="43"/>
        <v>165729.87102415893</v>
      </c>
      <c r="BD84" s="78">
        <v>26618.063981217845</v>
      </c>
      <c r="BE84" s="78">
        <v>24275.597039957484</v>
      </c>
      <c r="BF84" s="78">
        <v>14863.2880460542</v>
      </c>
      <c r="BG84" s="78">
        <v>27469.29130546956</v>
      </c>
      <c r="BH84" s="78">
        <v>21518.040570707788</v>
      </c>
      <c r="BI84" s="78">
        <v>15668.239313099148</v>
      </c>
      <c r="BJ84" s="78">
        <v>8837.2329983498512</v>
      </c>
      <c r="BK84" s="78">
        <v>26480.117769303055</v>
      </c>
      <c r="BL84" s="685">
        <f>BC84+I84+H84</f>
        <v>265283.51484938303</v>
      </c>
    </row>
    <row r="85" spans="1:64" ht="15.75" hidden="1" outlineLevel="1" thickBot="1" x14ac:dyDescent="0.3">
      <c r="A85" s="1" t="s">
        <v>865</v>
      </c>
      <c r="B85" s="35"/>
      <c r="C85" s="690"/>
      <c r="D85" s="776">
        <f t="shared" ref="D85:AK85" si="44">SUM(D69:D84)</f>
        <v>3664777.7963555548</v>
      </c>
      <c r="E85" s="776">
        <f t="shared" si="44"/>
        <v>2757130.4516668343</v>
      </c>
      <c r="F85" s="776">
        <f t="shared" si="44"/>
        <v>660944.17694854049</v>
      </c>
      <c r="G85" s="776">
        <f t="shared" si="44"/>
        <v>2881886.368149932</v>
      </c>
      <c r="H85" s="688">
        <f t="shared" si="44"/>
        <v>28660.563647306648</v>
      </c>
      <c r="I85" s="666">
        <f t="shared" si="44"/>
        <v>1077532.0942888795</v>
      </c>
      <c r="J85" s="687">
        <f t="shared" si="44"/>
        <v>6609.4525471646521</v>
      </c>
      <c r="K85" s="687">
        <f t="shared" si="44"/>
        <v>1959.2683898713678</v>
      </c>
      <c r="L85" s="687">
        <f t="shared" si="44"/>
        <v>2056.4978703439933</v>
      </c>
      <c r="M85" s="687">
        <f t="shared" si="44"/>
        <v>1969.5300634768248</v>
      </c>
      <c r="N85" s="687">
        <f t="shared" si="44"/>
        <v>3442.864757255426</v>
      </c>
      <c r="O85" s="687">
        <f t="shared" si="44"/>
        <v>7888.4609551424492</v>
      </c>
      <c r="P85" s="687">
        <f t="shared" si="44"/>
        <v>954.46319491839949</v>
      </c>
      <c r="Q85" s="687">
        <f t="shared" si="44"/>
        <v>2527.9860505766592</v>
      </c>
      <c r="R85" s="687">
        <f t="shared" si="44"/>
        <v>2162.4135014234098</v>
      </c>
      <c r="S85" s="687">
        <f t="shared" si="44"/>
        <v>2224.4512965767053</v>
      </c>
      <c r="T85" s="687">
        <f t="shared" si="44"/>
        <v>8058.3278213317526</v>
      </c>
      <c r="U85" s="687">
        <f t="shared" si="44"/>
        <v>6433.327345368848</v>
      </c>
      <c r="V85" s="687">
        <f t="shared" si="44"/>
        <v>5103.1196756429881</v>
      </c>
      <c r="W85" s="687">
        <f t="shared" si="44"/>
        <v>8184.7120255348491</v>
      </c>
      <c r="X85" s="687">
        <f t="shared" si="44"/>
        <v>202.27670714168892</v>
      </c>
      <c r="Y85" s="687">
        <f t="shared" si="44"/>
        <v>159.48668880669862</v>
      </c>
      <c r="Z85" s="687">
        <f t="shared" si="44"/>
        <v>770.75266395855942</v>
      </c>
      <c r="AA85" s="687">
        <f t="shared" si="44"/>
        <v>704.41610948089442</v>
      </c>
      <c r="AB85" s="687">
        <f t="shared" si="44"/>
        <v>423.7476264357291</v>
      </c>
      <c r="AC85" s="687">
        <f t="shared" si="44"/>
        <v>433.71168573806256</v>
      </c>
      <c r="AD85" s="687">
        <f t="shared" si="44"/>
        <v>2462.901136639719</v>
      </c>
      <c r="AE85" s="687">
        <f t="shared" si="44"/>
        <v>987.40366736660076</v>
      </c>
      <c r="AF85" s="687">
        <f t="shared" si="44"/>
        <v>2569.7337987886767</v>
      </c>
      <c r="AG85" s="687">
        <f t="shared" si="44"/>
        <v>7990.3385995323433</v>
      </c>
      <c r="AH85" s="687">
        <f t="shared" si="44"/>
        <v>65326.320437902803</v>
      </c>
      <c r="AI85" s="687">
        <f t="shared" si="44"/>
        <v>454.23776159014369</v>
      </c>
      <c r="AJ85" s="687">
        <f t="shared" si="44"/>
        <v>9640.4436537407819</v>
      </c>
      <c r="AK85" s="687">
        <f t="shared" si="44"/>
        <v>8287.222138787909</v>
      </c>
      <c r="AL85" s="687">
        <f t="shared" ref="AL85:BK85" si="45">SUM(AL69:AL84)</f>
        <v>0</v>
      </c>
      <c r="AM85" s="687">
        <f t="shared" si="45"/>
        <v>1009.1967461626252</v>
      </c>
      <c r="AN85" s="687">
        <f t="shared" si="45"/>
        <v>1707.3147920690005</v>
      </c>
      <c r="AO85" s="687">
        <f t="shared" si="45"/>
        <v>10077.261305203638</v>
      </c>
      <c r="AP85" s="687">
        <f t="shared" si="45"/>
        <v>1525.8807284579052</v>
      </c>
      <c r="AQ85" s="687">
        <f t="shared" si="45"/>
        <v>9579.4298293615393</v>
      </c>
      <c r="AR85" s="687">
        <f t="shared" si="45"/>
        <v>28.873141511480533</v>
      </c>
      <c r="AS85" s="687">
        <f t="shared" si="45"/>
        <v>14117.025016415089</v>
      </c>
      <c r="AT85" s="687">
        <f t="shared" si="45"/>
        <v>11713.688652284385</v>
      </c>
      <c r="AU85" s="687">
        <f t="shared" si="45"/>
        <v>16368.321486915422</v>
      </c>
      <c r="AV85" s="687">
        <f t="shared" si="45"/>
        <v>23010.411089236972</v>
      </c>
      <c r="AW85" s="687">
        <f t="shared" si="45"/>
        <v>58927.922137170979</v>
      </c>
      <c r="AX85" s="687">
        <f t="shared" si="45"/>
        <v>612.5105172241399</v>
      </c>
      <c r="AY85" s="687">
        <f t="shared" si="45"/>
        <v>200837.29832493557</v>
      </c>
      <c r="AZ85" s="687">
        <f t="shared" si="45"/>
        <v>6990.3511158421261</v>
      </c>
      <c r="BA85" s="687">
        <f t="shared" si="45"/>
        <v>122223.19414909308</v>
      </c>
      <c r="BB85" s="687">
        <f t="shared" si="45"/>
        <v>438815.54708645714</v>
      </c>
      <c r="BC85" s="666">
        <f t="shared" si="45"/>
        <v>1734928.3895408027</v>
      </c>
      <c r="BD85" s="687">
        <f t="shared" si="45"/>
        <v>278648.83131959039</v>
      </c>
      <c r="BE85" s="687">
        <f t="shared" si="45"/>
        <v>254126.92484105946</v>
      </c>
      <c r="BF85" s="687">
        <f t="shared" si="45"/>
        <v>155595.00670378766</v>
      </c>
      <c r="BG85" s="687">
        <f t="shared" si="45"/>
        <v>287559.82872561546</v>
      </c>
      <c r="BH85" s="687">
        <f t="shared" si="45"/>
        <v>225259.69062010365</v>
      </c>
      <c r="BI85" s="687">
        <f t="shared" si="45"/>
        <v>164021.56732778979</v>
      </c>
      <c r="BJ85" s="687">
        <f t="shared" si="45"/>
        <v>92511.786312733937</v>
      </c>
      <c r="BK85" s="687">
        <f t="shared" si="45"/>
        <v>277204.75369012251</v>
      </c>
      <c r="BL85" s="687">
        <f>BC85+I85+H85</f>
        <v>2841121.0474769888</v>
      </c>
    </row>
    <row r="86" spans="1:64" ht="15.75" hidden="1" outlineLevel="1" thickBot="1" x14ac:dyDescent="0.3">
      <c r="C86" s="668"/>
      <c r="D86" s="76"/>
      <c r="E86" s="76"/>
      <c r="F86" s="200" t="s">
        <v>118</v>
      </c>
      <c r="G86" s="777">
        <f>((E21-E78-F85-F78)*'Assumptions (3)'!$B$20+E85+F78)-G85</f>
        <v>0</v>
      </c>
      <c r="H86" s="692">
        <f>H85/(H85+I85+BC85)</f>
        <v>1.0087765768641991E-2</v>
      </c>
      <c r="I86" s="692">
        <f>I85/(I85+BC85+H85)</f>
        <v>0.37926300086571968</v>
      </c>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80"/>
      <c r="BC86" s="692">
        <f>BC85/(BC85+I85+H85)</f>
        <v>0.61064923336563837</v>
      </c>
      <c r="BD86" s="45">
        <f>BD85/$BC$85</f>
        <v>0.16061114279958413</v>
      </c>
      <c r="BE86" s="45">
        <f t="shared" ref="BE86:BK86" si="46">BE85/$BC$85</f>
        <v>0.14647689574572081</v>
      </c>
      <c r="BF86" s="45">
        <f t="shared" si="46"/>
        <v>8.968382075122433E-2</v>
      </c>
      <c r="BG86" s="45">
        <f t="shared" si="46"/>
        <v>0.16574737635236128</v>
      </c>
      <c r="BH86" s="45">
        <f t="shared" si="46"/>
        <v>0.12983803364917265</v>
      </c>
      <c r="BI86" s="45">
        <f t="shared" si="46"/>
        <v>9.4540828495637608E-2</v>
      </c>
      <c r="BJ86" s="45">
        <f t="shared" si="46"/>
        <v>5.3323115161669453E-2</v>
      </c>
      <c r="BK86" s="45">
        <f t="shared" si="46"/>
        <v>0.15977878704462983</v>
      </c>
      <c r="BL86" s="80">
        <f>BC86+I86+H86</f>
        <v>1</v>
      </c>
    </row>
    <row r="87" spans="1:64" ht="15.75" hidden="1" outlineLevel="1" thickBot="1" x14ac:dyDescent="0.3">
      <c r="C87" s="668"/>
      <c r="D87" s="76"/>
      <c r="E87" s="76"/>
      <c r="F87" s="76"/>
      <c r="G87" s="76"/>
      <c r="H87" s="242" t="s">
        <v>866</v>
      </c>
      <c r="I87" s="692">
        <f>I86/(I86+BC86)</f>
        <v>0.38312790543518022</v>
      </c>
      <c r="BB87" s="177" t="s">
        <v>866</v>
      </c>
      <c r="BC87" s="692">
        <f>BC86/(BC86+I86)</f>
        <v>0.61687209456481984</v>
      </c>
      <c r="BD87" s="77"/>
      <c r="BL87" s="80">
        <f>BC87+I87</f>
        <v>1</v>
      </c>
    </row>
    <row r="88" spans="1:64" ht="15.75" hidden="1" outlineLevel="1" thickBot="1" x14ac:dyDescent="0.3">
      <c r="A88" s="199" t="s">
        <v>867</v>
      </c>
      <c r="C88" s="668"/>
      <c r="D88" s="76"/>
      <c r="E88" s="76"/>
      <c r="F88" s="76"/>
      <c r="G88" s="76"/>
      <c r="H88" s="692"/>
      <c r="I88" s="692"/>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80"/>
      <c r="BC88" s="692"/>
      <c r="BD88" s="76"/>
      <c r="BE88" s="76"/>
      <c r="BF88" s="76"/>
      <c r="BG88" s="76"/>
      <c r="BH88" s="76"/>
      <c r="BI88" s="76"/>
      <c r="BJ88" s="76"/>
      <c r="BK88" s="76"/>
      <c r="BL88" s="80"/>
    </row>
    <row r="89" spans="1:64" ht="15.75" hidden="1" outlineLevel="1" thickBot="1" x14ac:dyDescent="0.3">
      <c r="A89" s="199"/>
      <c r="C89" s="668"/>
      <c r="D89" s="76"/>
      <c r="E89" s="76"/>
      <c r="F89" s="76"/>
      <c r="G89" s="76"/>
      <c r="H89" s="692"/>
      <c r="I89" s="692"/>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80"/>
      <c r="BC89" s="692"/>
      <c r="BD89" s="77"/>
      <c r="BE89" s="77"/>
      <c r="BF89" s="77"/>
      <c r="BG89" s="77"/>
      <c r="BH89" s="77"/>
      <c r="BI89" s="77"/>
      <c r="BJ89" s="77"/>
      <c r="BK89" s="77"/>
      <c r="BL89" s="80"/>
    </row>
    <row r="90" spans="1:64" ht="15.75" hidden="1" outlineLevel="1" thickBot="1" x14ac:dyDescent="0.3">
      <c r="A90" s="693" t="s">
        <v>421</v>
      </c>
      <c r="B90" s="3" t="s">
        <v>868</v>
      </c>
      <c r="C90" s="679" t="s">
        <v>863</v>
      </c>
      <c r="D90" s="775">
        <f>D26</f>
        <v>0</v>
      </c>
      <c r="E90" s="775">
        <f t="shared" ref="E90" si="47">E26</f>
        <v>0</v>
      </c>
      <c r="F90" s="665"/>
      <c r="G90" s="778">
        <f>E90</f>
        <v>0</v>
      </c>
      <c r="H90" s="692"/>
      <c r="I90" s="666">
        <f t="shared" ref="I90" si="48">SUM(J90:BB90)</f>
        <v>0</v>
      </c>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f>G90</f>
        <v>0</v>
      </c>
      <c r="BC90" s="694">
        <f>SUM(BD90:BK90)</f>
        <v>0</v>
      </c>
      <c r="BD90" s="73"/>
      <c r="BE90" s="73"/>
      <c r="BF90" s="73"/>
      <c r="BG90" s="73"/>
      <c r="BH90" s="73"/>
      <c r="BI90" s="73"/>
      <c r="BJ90" s="73"/>
      <c r="BK90" s="73"/>
      <c r="BL90" s="695">
        <f t="shared" ref="BL90:BL93" si="49">BC90+I90+H90</f>
        <v>0</v>
      </c>
    </row>
    <row r="91" spans="1:64" ht="15.75" hidden="1" outlineLevel="1" thickBot="1" x14ac:dyDescent="0.3">
      <c r="A91" s="693" t="s">
        <v>315</v>
      </c>
      <c r="B91" s="3" t="s">
        <v>334</v>
      </c>
      <c r="C91" s="679" t="s">
        <v>863</v>
      </c>
      <c r="D91" s="775">
        <f t="shared" ref="D91:E92" si="50">D27</f>
        <v>-34060.75</v>
      </c>
      <c r="E91" s="775">
        <f t="shared" si="50"/>
        <v>-25625</v>
      </c>
      <c r="F91" s="665"/>
      <c r="G91" s="778">
        <f>E91</f>
        <v>-25625</v>
      </c>
      <c r="H91" s="692"/>
      <c r="I91" s="666"/>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694">
        <f>SUM(BD91:BK91)</f>
        <v>-25625</v>
      </c>
      <c r="BD91" s="73"/>
      <c r="BE91" s="73"/>
      <c r="BF91" s="73"/>
      <c r="BG91" s="73"/>
      <c r="BH91" s="73"/>
      <c r="BI91" s="73"/>
      <c r="BJ91" s="73"/>
      <c r="BK91" s="73">
        <f>G91</f>
        <v>-25625</v>
      </c>
      <c r="BL91" s="695">
        <f t="shared" si="49"/>
        <v>-25625</v>
      </c>
    </row>
    <row r="92" spans="1:64" ht="15.75" hidden="1" outlineLevel="1" thickBot="1" x14ac:dyDescent="0.3">
      <c r="A92" s="177" t="s">
        <v>482</v>
      </c>
      <c r="B92" s="3" t="s">
        <v>132</v>
      </c>
      <c r="C92" s="679" t="s">
        <v>863</v>
      </c>
      <c r="D92" s="775">
        <f t="shared" si="50"/>
        <v>0</v>
      </c>
      <c r="E92" s="775">
        <f t="shared" si="50"/>
        <v>0</v>
      </c>
      <c r="F92" s="664"/>
      <c r="G92" s="778">
        <f>E92</f>
        <v>0</v>
      </c>
      <c r="H92" s="692"/>
      <c r="I92" s="666">
        <f t="shared" ref="I92:I93" si="51">SUM(J92:BB92)</f>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0</v>
      </c>
      <c r="AD92" s="73">
        <v>0</v>
      </c>
      <c r="AE92" s="73">
        <v>0</v>
      </c>
      <c r="AF92" s="73">
        <v>0</v>
      </c>
      <c r="AG92" s="73">
        <v>0</v>
      </c>
      <c r="AH92" s="73">
        <v>0</v>
      </c>
      <c r="AI92" s="73">
        <v>0</v>
      </c>
      <c r="AJ92" s="73">
        <v>0</v>
      </c>
      <c r="AK92" s="73">
        <v>0</v>
      </c>
      <c r="AL92" s="73">
        <v>0</v>
      </c>
      <c r="AM92" s="73">
        <v>0</v>
      </c>
      <c r="AN92" s="73">
        <v>0</v>
      </c>
      <c r="AO92" s="73">
        <v>0</v>
      </c>
      <c r="AP92" s="73">
        <v>0</v>
      </c>
      <c r="AQ92" s="73">
        <v>0</v>
      </c>
      <c r="AR92" s="73">
        <v>0</v>
      </c>
      <c r="AS92" s="73">
        <v>0</v>
      </c>
      <c r="AT92" s="73">
        <v>0</v>
      </c>
      <c r="AU92" s="73">
        <v>0</v>
      </c>
      <c r="AV92" s="73">
        <v>0</v>
      </c>
      <c r="AW92" s="73">
        <v>0</v>
      </c>
      <c r="AX92" s="73">
        <v>0</v>
      </c>
      <c r="AY92" s="73">
        <v>0</v>
      </c>
      <c r="AZ92" s="73">
        <v>0</v>
      </c>
      <c r="BA92" s="73">
        <v>0</v>
      </c>
      <c r="BB92" s="73">
        <v>0</v>
      </c>
      <c r="BC92" s="694">
        <f t="shared" ref="BC92:BC93" si="52">SUM(BD92:BK92)</f>
        <v>0</v>
      </c>
      <c r="BD92" s="73">
        <v>0</v>
      </c>
      <c r="BE92" s="73">
        <v>0</v>
      </c>
      <c r="BF92" s="73">
        <v>0</v>
      </c>
      <c r="BG92" s="73">
        <v>0</v>
      </c>
      <c r="BH92" s="73">
        <v>0</v>
      </c>
      <c r="BI92" s="73">
        <v>0</v>
      </c>
      <c r="BJ92" s="73">
        <v>0</v>
      </c>
      <c r="BK92" s="73">
        <v>0</v>
      </c>
      <c r="BL92" s="695">
        <f t="shared" si="49"/>
        <v>0</v>
      </c>
    </row>
    <row r="93" spans="1:64" ht="15.75" hidden="1" outlineLevel="1" thickBot="1" x14ac:dyDescent="0.3">
      <c r="D93" s="685"/>
      <c r="E93" s="685"/>
      <c r="F93" s="685"/>
      <c r="G93" s="685"/>
      <c r="H93" s="697"/>
      <c r="I93" s="684">
        <f t="shared" si="51"/>
        <v>0</v>
      </c>
      <c r="J93" s="685"/>
      <c r="K93" s="685"/>
      <c r="L93" s="685"/>
      <c r="M93" s="685"/>
      <c r="N93" s="685"/>
      <c r="O93" s="685"/>
      <c r="P93" s="685"/>
      <c r="Q93" s="685"/>
      <c r="R93" s="685"/>
      <c r="S93" s="685"/>
      <c r="T93" s="685"/>
      <c r="U93" s="685"/>
      <c r="V93" s="685"/>
      <c r="W93" s="685"/>
      <c r="X93" s="685"/>
      <c r="Y93" s="685"/>
      <c r="Z93" s="685"/>
      <c r="AA93" s="685"/>
      <c r="AB93" s="685"/>
      <c r="AC93" s="685"/>
      <c r="AD93" s="685"/>
      <c r="AE93" s="685"/>
      <c r="AF93" s="685"/>
      <c r="AG93" s="685"/>
      <c r="AH93" s="685"/>
      <c r="AI93" s="685"/>
      <c r="AJ93" s="685"/>
      <c r="AK93" s="685"/>
      <c r="AL93" s="685"/>
      <c r="AM93" s="685"/>
      <c r="AN93" s="685"/>
      <c r="AO93" s="685"/>
      <c r="AP93" s="685"/>
      <c r="AQ93" s="685"/>
      <c r="AR93" s="685"/>
      <c r="AS93" s="685"/>
      <c r="AT93" s="685"/>
      <c r="AU93" s="685"/>
      <c r="AV93" s="685"/>
      <c r="AW93" s="685"/>
      <c r="AX93" s="685"/>
      <c r="AY93" s="685"/>
      <c r="AZ93" s="685"/>
      <c r="BA93" s="685"/>
      <c r="BB93" s="91"/>
      <c r="BC93" s="684">
        <f t="shared" si="52"/>
        <v>0</v>
      </c>
      <c r="BD93" s="685"/>
      <c r="BE93" s="685"/>
      <c r="BF93" s="685"/>
      <c r="BG93" s="685"/>
      <c r="BH93" s="685"/>
      <c r="BI93" s="685"/>
      <c r="BJ93" s="685"/>
      <c r="BK93" s="685"/>
      <c r="BL93" s="685">
        <f t="shared" si="49"/>
        <v>0</v>
      </c>
    </row>
    <row r="94" spans="1:64" ht="15.75" hidden="1" outlineLevel="1" thickBot="1" x14ac:dyDescent="0.3">
      <c r="A94" s="1" t="s">
        <v>869</v>
      </c>
      <c r="B94" s="35"/>
      <c r="C94" s="686"/>
      <c r="D94" s="687">
        <f t="shared" ref="D94:G94" si="53">SUM(D90:D93)</f>
        <v>-34060.75</v>
      </c>
      <c r="E94" s="687">
        <f t="shared" si="53"/>
        <v>-25625</v>
      </c>
      <c r="F94" s="687"/>
      <c r="G94" s="687">
        <f t="shared" si="53"/>
        <v>-25625</v>
      </c>
      <c r="H94" s="688">
        <f t="shared" ref="H94:BL94" si="54">SUM(H90:H93)</f>
        <v>0</v>
      </c>
      <c r="I94" s="688">
        <f t="shared" si="54"/>
        <v>0</v>
      </c>
      <c r="J94" s="698">
        <f t="shared" si="54"/>
        <v>0</v>
      </c>
      <c r="K94" s="698">
        <f t="shared" si="54"/>
        <v>0</v>
      </c>
      <c r="L94" s="698">
        <f t="shared" si="54"/>
        <v>0</v>
      </c>
      <c r="M94" s="698">
        <f t="shared" si="54"/>
        <v>0</v>
      </c>
      <c r="N94" s="698">
        <f t="shared" si="54"/>
        <v>0</v>
      </c>
      <c r="O94" s="698">
        <f t="shared" si="54"/>
        <v>0</v>
      </c>
      <c r="P94" s="698">
        <f t="shared" si="54"/>
        <v>0</v>
      </c>
      <c r="Q94" s="698">
        <f t="shared" si="54"/>
        <v>0</v>
      </c>
      <c r="R94" s="698">
        <f t="shared" si="54"/>
        <v>0</v>
      </c>
      <c r="S94" s="698">
        <f t="shared" si="54"/>
        <v>0</v>
      </c>
      <c r="T94" s="698">
        <f t="shared" si="54"/>
        <v>0</v>
      </c>
      <c r="U94" s="698">
        <f t="shared" si="54"/>
        <v>0</v>
      </c>
      <c r="V94" s="698">
        <f t="shared" si="54"/>
        <v>0</v>
      </c>
      <c r="W94" s="698">
        <f t="shared" si="54"/>
        <v>0</v>
      </c>
      <c r="X94" s="698">
        <f t="shared" si="54"/>
        <v>0</v>
      </c>
      <c r="Y94" s="698">
        <f t="shared" si="54"/>
        <v>0</v>
      </c>
      <c r="Z94" s="698">
        <f t="shared" si="54"/>
        <v>0</v>
      </c>
      <c r="AA94" s="698">
        <f t="shared" si="54"/>
        <v>0</v>
      </c>
      <c r="AB94" s="698">
        <f t="shared" si="54"/>
        <v>0</v>
      </c>
      <c r="AC94" s="698">
        <f t="shared" si="54"/>
        <v>0</v>
      </c>
      <c r="AD94" s="698">
        <f t="shared" si="54"/>
        <v>0</v>
      </c>
      <c r="AE94" s="698">
        <f t="shared" si="54"/>
        <v>0</v>
      </c>
      <c r="AF94" s="698">
        <f t="shared" si="54"/>
        <v>0</v>
      </c>
      <c r="AG94" s="698">
        <f t="shared" si="54"/>
        <v>0</v>
      </c>
      <c r="AH94" s="698">
        <f t="shared" si="54"/>
        <v>0</v>
      </c>
      <c r="AI94" s="698">
        <f t="shared" si="54"/>
        <v>0</v>
      </c>
      <c r="AJ94" s="698">
        <f t="shared" si="54"/>
        <v>0</v>
      </c>
      <c r="AK94" s="698">
        <f t="shared" si="54"/>
        <v>0</v>
      </c>
      <c r="AL94" s="698">
        <f t="shared" si="54"/>
        <v>0</v>
      </c>
      <c r="AM94" s="698">
        <f t="shared" si="54"/>
        <v>0</v>
      </c>
      <c r="AN94" s="698">
        <f t="shared" si="54"/>
        <v>0</v>
      </c>
      <c r="AO94" s="698">
        <f t="shared" si="54"/>
        <v>0</v>
      </c>
      <c r="AP94" s="698">
        <f t="shared" si="54"/>
        <v>0</v>
      </c>
      <c r="AQ94" s="698">
        <f t="shared" si="54"/>
        <v>0</v>
      </c>
      <c r="AR94" s="698">
        <f t="shared" si="54"/>
        <v>0</v>
      </c>
      <c r="AS94" s="698">
        <f t="shared" si="54"/>
        <v>0</v>
      </c>
      <c r="AT94" s="698">
        <f t="shared" si="54"/>
        <v>0</v>
      </c>
      <c r="AU94" s="698">
        <f t="shared" si="54"/>
        <v>0</v>
      </c>
      <c r="AV94" s="698">
        <f t="shared" si="54"/>
        <v>0</v>
      </c>
      <c r="AW94" s="698">
        <f t="shared" si="54"/>
        <v>0</v>
      </c>
      <c r="AX94" s="698">
        <f t="shared" si="54"/>
        <v>0</v>
      </c>
      <c r="AY94" s="698">
        <f t="shared" si="54"/>
        <v>0</v>
      </c>
      <c r="AZ94" s="698">
        <f t="shared" si="54"/>
        <v>0</v>
      </c>
      <c r="BA94" s="698">
        <f t="shared" si="54"/>
        <v>0</v>
      </c>
      <c r="BB94" s="698">
        <f t="shared" si="54"/>
        <v>0</v>
      </c>
      <c r="BC94" s="688">
        <f t="shared" si="54"/>
        <v>-25625</v>
      </c>
      <c r="BD94" s="698">
        <f t="shared" si="54"/>
        <v>0</v>
      </c>
      <c r="BE94" s="698">
        <f t="shared" si="54"/>
        <v>0</v>
      </c>
      <c r="BF94" s="698">
        <f t="shared" si="54"/>
        <v>0</v>
      </c>
      <c r="BG94" s="698">
        <f t="shared" si="54"/>
        <v>0</v>
      </c>
      <c r="BH94" s="698">
        <f t="shared" si="54"/>
        <v>0</v>
      </c>
      <c r="BI94" s="698">
        <f t="shared" si="54"/>
        <v>0</v>
      </c>
      <c r="BJ94" s="698">
        <f t="shared" si="54"/>
        <v>0</v>
      </c>
      <c r="BK94" s="698">
        <f t="shared" si="54"/>
        <v>-25625</v>
      </c>
      <c r="BL94" s="698">
        <f t="shared" si="54"/>
        <v>-25625</v>
      </c>
    </row>
    <row r="95" spans="1:64" ht="15.75" hidden="1" outlineLevel="1" thickBot="1" x14ac:dyDescent="0.3">
      <c r="D95" s="76"/>
      <c r="E95" s="76"/>
      <c r="F95" s="76"/>
      <c r="G95" s="76"/>
      <c r="H95" s="692"/>
      <c r="I95" s="692"/>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80"/>
      <c r="BC95" s="692"/>
      <c r="BE95" s="76"/>
      <c r="BF95" s="76"/>
      <c r="BG95" s="76"/>
      <c r="BH95" s="76"/>
      <c r="BI95" s="76"/>
      <c r="BJ95" s="76"/>
      <c r="BK95" s="76"/>
      <c r="BL95" s="80"/>
    </row>
    <row r="96" spans="1:64" ht="15.75" hidden="1" outlineLevel="1" thickBot="1" x14ac:dyDescent="0.3">
      <c r="D96" s="76"/>
      <c r="E96" s="76"/>
      <c r="F96" s="76"/>
      <c r="G96" s="76"/>
      <c r="H96" s="692"/>
      <c r="I96" s="692"/>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80"/>
      <c r="BC96" s="692"/>
      <c r="BD96" s="76"/>
      <c r="BE96" s="76"/>
      <c r="BF96" s="76"/>
      <c r="BG96" s="76"/>
      <c r="BH96" s="76"/>
      <c r="BI96" s="76"/>
      <c r="BJ96" s="76"/>
      <c r="BK96" s="76"/>
      <c r="BL96" s="80"/>
    </row>
    <row r="97" spans="1:64" ht="15.75" hidden="1" outlineLevel="1" thickBot="1" x14ac:dyDescent="0.3">
      <c r="A97" s="699" t="s">
        <v>892</v>
      </c>
      <c r="B97" s="700"/>
      <c r="C97" s="701"/>
      <c r="D97" s="702">
        <f t="shared" ref="D97:BL97" si="55">D85+D94</f>
        <v>3630717.0463555548</v>
      </c>
      <c r="E97" s="702">
        <f t="shared" si="55"/>
        <v>2731505.4516668343</v>
      </c>
      <c r="F97" s="702"/>
      <c r="G97" s="702">
        <f t="shared" si="55"/>
        <v>2856261.368149932</v>
      </c>
      <c r="H97" s="702">
        <f t="shared" si="55"/>
        <v>28660.563647306648</v>
      </c>
      <c r="I97" s="702">
        <f t="shared" si="55"/>
        <v>1077532.0942888795</v>
      </c>
      <c r="J97" s="702">
        <f t="shared" si="55"/>
        <v>6609.4525471646521</v>
      </c>
      <c r="K97" s="702">
        <f t="shared" si="55"/>
        <v>1959.2683898713678</v>
      </c>
      <c r="L97" s="702">
        <f t="shared" si="55"/>
        <v>2056.4978703439933</v>
      </c>
      <c r="M97" s="702">
        <f t="shared" si="55"/>
        <v>1969.5300634768248</v>
      </c>
      <c r="N97" s="702">
        <f t="shared" si="55"/>
        <v>3442.864757255426</v>
      </c>
      <c r="O97" s="702">
        <f t="shared" si="55"/>
        <v>7888.4609551424492</v>
      </c>
      <c r="P97" s="702">
        <f t="shared" si="55"/>
        <v>954.46319491839949</v>
      </c>
      <c r="Q97" s="702">
        <f t="shared" si="55"/>
        <v>2527.9860505766592</v>
      </c>
      <c r="R97" s="702">
        <f t="shared" si="55"/>
        <v>2162.4135014234098</v>
      </c>
      <c r="S97" s="702">
        <f t="shared" si="55"/>
        <v>2224.4512965767053</v>
      </c>
      <c r="T97" s="702">
        <f t="shared" si="55"/>
        <v>8058.3278213317526</v>
      </c>
      <c r="U97" s="702">
        <f t="shared" si="55"/>
        <v>6433.327345368848</v>
      </c>
      <c r="V97" s="702">
        <f t="shared" si="55"/>
        <v>5103.1196756429881</v>
      </c>
      <c r="W97" s="702">
        <f t="shared" si="55"/>
        <v>8184.7120255348491</v>
      </c>
      <c r="X97" s="702">
        <f t="shared" si="55"/>
        <v>202.27670714168892</v>
      </c>
      <c r="Y97" s="702">
        <f t="shared" si="55"/>
        <v>159.48668880669862</v>
      </c>
      <c r="Z97" s="702">
        <f t="shared" si="55"/>
        <v>770.75266395855942</v>
      </c>
      <c r="AA97" s="702">
        <f t="shared" si="55"/>
        <v>704.41610948089442</v>
      </c>
      <c r="AB97" s="702">
        <f t="shared" si="55"/>
        <v>423.7476264357291</v>
      </c>
      <c r="AC97" s="702">
        <f t="shared" si="55"/>
        <v>433.71168573806256</v>
      </c>
      <c r="AD97" s="702">
        <f t="shared" si="55"/>
        <v>2462.901136639719</v>
      </c>
      <c r="AE97" s="702">
        <f t="shared" si="55"/>
        <v>987.40366736660076</v>
      </c>
      <c r="AF97" s="702">
        <f t="shared" si="55"/>
        <v>2569.7337987886767</v>
      </c>
      <c r="AG97" s="702">
        <f t="shared" si="55"/>
        <v>7990.3385995323433</v>
      </c>
      <c r="AH97" s="702">
        <f t="shared" si="55"/>
        <v>65326.320437902803</v>
      </c>
      <c r="AI97" s="702">
        <f t="shared" si="55"/>
        <v>454.23776159014369</v>
      </c>
      <c r="AJ97" s="702">
        <f t="shared" si="55"/>
        <v>9640.4436537407819</v>
      </c>
      <c r="AK97" s="702">
        <f t="shared" si="55"/>
        <v>8287.222138787909</v>
      </c>
      <c r="AL97" s="702">
        <f t="shared" si="55"/>
        <v>0</v>
      </c>
      <c r="AM97" s="702">
        <f t="shared" si="55"/>
        <v>1009.1967461626252</v>
      </c>
      <c r="AN97" s="702">
        <f t="shared" si="55"/>
        <v>1707.3147920690005</v>
      </c>
      <c r="AO97" s="702">
        <f t="shared" si="55"/>
        <v>10077.261305203638</v>
      </c>
      <c r="AP97" s="702">
        <f t="shared" si="55"/>
        <v>1525.8807284579052</v>
      </c>
      <c r="AQ97" s="702">
        <f t="shared" si="55"/>
        <v>9579.4298293615393</v>
      </c>
      <c r="AR97" s="702">
        <f t="shared" si="55"/>
        <v>28.873141511480533</v>
      </c>
      <c r="AS97" s="702">
        <f t="shared" si="55"/>
        <v>14117.025016415089</v>
      </c>
      <c r="AT97" s="702">
        <f t="shared" si="55"/>
        <v>11713.688652284385</v>
      </c>
      <c r="AU97" s="702">
        <f t="shared" si="55"/>
        <v>16368.321486915422</v>
      </c>
      <c r="AV97" s="702">
        <f t="shared" si="55"/>
        <v>23010.411089236972</v>
      </c>
      <c r="AW97" s="702">
        <f t="shared" si="55"/>
        <v>58927.922137170979</v>
      </c>
      <c r="AX97" s="702">
        <f t="shared" si="55"/>
        <v>612.5105172241399</v>
      </c>
      <c r="AY97" s="702">
        <f t="shared" si="55"/>
        <v>200837.29832493557</v>
      </c>
      <c r="AZ97" s="702">
        <f t="shared" si="55"/>
        <v>6990.3511158421261</v>
      </c>
      <c r="BA97" s="702">
        <f t="shared" si="55"/>
        <v>122223.19414909308</v>
      </c>
      <c r="BB97" s="702">
        <f t="shared" si="55"/>
        <v>438815.54708645714</v>
      </c>
      <c r="BC97" s="702">
        <f t="shared" si="55"/>
        <v>1709303.3895408027</v>
      </c>
      <c r="BD97" s="702">
        <f t="shared" si="55"/>
        <v>278648.83131959039</v>
      </c>
      <c r="BE97" s="702">
        <f t="shared" si="55"/>
        <v>254126.92484105946</v>
      </c>
      <c r="BF97" s="702">
        <f t="shared" si="55"/>
        <v>155595.00670378766</v>
      </c>
      <c r="BG97" s="702">
        <f t="shared" si="55"/>
        <v>287559.82872561546</v>
      </c>
      <c r="BH97" s="702">
        <f t="shared" si="55"/>
        <v>225259.69062010365</v>
      </c>
      <c r="BI97" s="702">
        <f t="shared" si="55"/>
        <v>164021.56732778979</v>
      </c>
      <c r="BJ97" s="702">
        <f t="shared" si="55"/>
        <v>92511.786312733937</v>
      </c>
      <c r="BK97" s="702">
        <f t="shared" si="55"/>
        <v>251579.75369012251</v>
      </c>
      <c r="BL97" s="702">
        <f t="shared" si="55"/>
        <v>2815496.0474769888</v>
      </c>
    </row>
    <row r="98" spans="1:64" ht="15.75" hidden="1" outlineLevel="1" thickBot="1" x14ac:dyDescent="0.3">
      <c r="D98" s="76"/>
      <c r="E98" s="76"/>
      <c r="F98" s="779"/>
      <c r="G98" s="780"/>
      <c r="H98" s="692"/>
      <c r="I98" s="692"/>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80"/>
      <c r="BC98" s="692"/>
      <c r="BD98" s="45">
        <f>BD97/$BC$97</f>
        <v>0.16301894270182676</v>
      </c>
      <c r="BE98" s="45">
        <f t="shared" ref="BE98:BK98" si="56">BE97/$BC$97</f>
        <v>0.14867280226322468</v>
      </c>
      <c r="BF98" s="45">
        <f t="shared" si="56"/>
        <v>9.1028314608085817E-2</v>
      </c>
      <c r="BG98" s="45">
        <f t="shared" si="56"/>
        <v>0.16823217603451149</v>
      </c>
      <c r="BH98" s="45">
        <f t="shared" si="56"/>
        <v>0.13178449887741622</v>
      </c>
      <c r="BI98" s="45">
        <f t="shared" si="56"/>
        <v>9.5958136122255927E-2</v>
      </c>
      <c r="BJ98" s="45">
        <f t="shared" si="56"/>
        <v>5.4122507963660478E-2</v>
      </c>
      <c r="BK98" s="45">
        <f t="shared" si="56"/>
        <v>0.14718262142901875</v>
      </c>
      <c r="BL98" s="77"/>
    </row>
    <row r="99" spans="1:64" ht="15.75" hidden="1" outlineLevel="1" thickBot="1" x14ac:dyDescent="0.3">
      <c r="A99" s="199" t="s">
        <v>871</v>
      </c>
      <c r="H99" s="242"/>
      <c r="I99" s="241"/>
    </row>
    <row r="100" spans="1:64" ht="15.75" hidden="1" outlineLevel="1" thickBot="1" x14ac:dyDescent="0.3">
      <c r="A100" s="1"/>
      <c r="H100" s="242"/>
      <c r="I100" s="241"/>
    </row>
    <row r="101" spans="1:64" ht="15.75" hidden="1" outlineLevel="1" thickBot="1" x14ac:dyDescent="0.3">
      <c r="A101" s="343" t="s">
        <v>872</v>
      </c>
      <c r="H101" s="242"/>
      <c r="I101" s="705"/>
      <c r="AY101" s="706"/>
      <c r="AZ101" s="706"/>
      <c r="BA101" s="706"/>
      <c r="BC101" s="694"/>
    </row>
    <row r="102" spans="1:64" ht="15.75" hidden="1" outlineLevel="1" thickBot="1" x14ac:dyDescent="0.3">
      <c r="A102" s="781" t="s">
        <v>873</v>
      </c>
      <c r="B102" s="19" t="s">
        <v>861</v>
      </c>
      <c r="C102" s="709" t="s">
        <v>857</v>
      </c>
      <c r="D102" s="775">
        <f>D38</f>
        <v>0</v>
      </c>
      <c r="E102" s="775">
        <f t="shared" ref="E102" si="57">E38</f>
        <v>0</v>
      </c>
      <c r="F102" s="664"/>
      <c r="G102" s="775">
        <f>((E102-F102)*(1+'Assumptions (3)'!$B$20))+F102</f>
        <v>0</v>
      </c>
      <c r="H102" s="242"/>
      <c r="I102" s="694">
        <f t="shared" ref="I102:I104" si="58">SUM(J102:BB102)</f>
        <v>0</v>
      </c>
      <c r="J102" s="73">
        <v>0</v>
      </c>
      <c r="K102" s="73">
        <v>0</v>
      </c>
      <c r="L102" s="73">
        <v>0</v>
      </c>
      <c r="M102" s="73">
        <v>0</v>
      </c>
      <c r="N102" s="73">
        <v>0</v>
      </c>
      <c r="O102" s="73">
        <v>0</v>
      </c>
      <c r="P102" s="73">
        <v>0</v>
      </c>
      <c r="Q102" s="73">
        <v>0</v>
      </c>
      <c r="R102" s="73">
        <v>0</v>
      </c>
      <c r="S102" s="73">
        <v>0</v>
      </c>
      <c r="T102" s="73">
        <v>0</v>
      </c>
      <c r="U102" s="73">
        <v>0</v>
      </c>
      <c r="V102" s="73">
        <v>0</v>
      </c>
      <c r="W102" s="73">
        <v>0</v>
      </c>
      <c r="X102" s="73">
        <v>0</v>
      </c>
      <c r="Y102" s="73">
        <v>0</v>
      </c>
      <c r="Z102" s="73">
        <v>0</v>
      </c>
      <c r="AA102" s="73">
        <v>0</v>
      </c>
      <c r="AB102" s="73">
        <v>0</v>
      </c>
      <c r="AC102" s="73">
        <v>0</v>
      </c>
      <c r="AD102" s="73">
        <v>0</v>
      </c>
      <c r="AE102" s="73">
        <v>0</v>
      </c>
      <c r="AF102" s="73">
        <v>0</v>
      </c>
      <c r="AG102" s="73">
        <v>0</v>
      </c>
      <c r="AH102" s="73">
        <v>0</v>
      </c>
      <c r="AI102" s="73">
        <v>0</v>
      </c>
      <c r="AJ102" s="73">
        <v>0</v>
      </c>
      <c r="AK102" s="73">
        <v>0</v>
      </c>
      <c r="AL102" s="73">
        <v>0</v>
      </c>
      <c r="AM102" s="73">
        <v>0</v>
      </c>
      <c r="AN102" s="73">
        <v>0</v>
      </c>
      <c r="AO102" s="73">
        <v>0</v>
      </c>
      <c r="AP102" s="73">
        <v>0</v>
      </c>
      <c r="AQ102" s="73">
        <v>0</v>
      </c>
      <c r="AR102" s="73">
        <v>0</v>
      </c>
      <c r="AS102" s="73">
        <v>0</v>
      </c>
      <c r="AT102" s="73">
        <v>0</v>
      </c>
      <c r="AU102" s="73">
        <v>0</v>
      </c>
      <c r="AV102" s="73">
        <v>0</v>
      </c>
      <c r="AW102" s="73">
        <v>0</v>
      </c>
      <c r="AX102" s="73">
        <v>0</v>
      </c>
      <c r="AY102" s="73">
        <v>0</v>
      </c>
      <c r="AZ102" s="73">
        <v>0</v>
      </c>
      <c r="BA102" s="73">
        <v>0</v>
      </c>
      <c r="BB102" s="73">
        <v>0</v>
      </c>
      <c r="BC102" s="666">
        <f t="shared" ref="BC102:BC105" si="59">SUM(BD102:BK102)</f>
        <v>0</v>
      </c>
      <c r="BL102" s="76">
        <f t="shared" ref="BL102:BL105" si="60">BC102+I102+H102</f>
        <v>0</v>
      </c>
    </row>
    <row r="103" spans="1:64" ht="15.75" hidden="1" outlineLevel="1" thickBot="1" x14ac:dyDescent="0.3">
      <c r="A103" s="71" t="s">
        <v>874</v>
      </c>
      <c r="B103" s="19" t="s">
        <v>875</v>
      </c>
      <c r="C103" s="711" t="s">
        <v>863</v>
      </c>
      <c r="D103" s="775">
        <f t="shared" ref="D103:E104" si="61">D39</f>
        <v>173746</v>
      </c>
      <c r="E103" s="775">
        <f t="shared" si="61"/>
        <v>130714.7156184171</v>
      </c>
      <c r="F103" s="664"/>
      <c r="G103" s="664">
        <f>E103</f>
        <v>130714.7156184171</v>
      </c>
      <c r="H103" s="242"/>
      <c r="I103" s="694">
        <f t="shared" si="58"/>
        <v>130714.71561841713</v>
      </c>
      <c r="J103" s="73">
        <v>3360.3752993980247</v>
      </c>
      <c r="K103" s="73">
        <v>856.15455040399922</v>
      </c>
      <c r="L103" s="73">
        <v>815.85758356433325</v>
      </c>
      <c r="M103" s="73">
        <v>1144.194851654257</v>
      </c>
      <c r="N103" s="73">
        <v>1550.4112047355773</v>
      </c>
      <c r="O103" s="73">
        <v>4510.9676463101787</v>
      </c>
      <c r="P103" s="73">
        <v>573.20331643669169</v>
      </c>
      <c r="Q103" s="73">
        <v>1621.2999642719296</v>
      </c>
      <c r="R103" s="73">
        <v>1414.8243902888003</v>
      </c>
      <c r="S103" s="73">
        <v>1431.7764093222854</v>
      </c>
      <c r="T103" s="73">
        <v>5337.8412180122741</v>
      </c>
      <c r="U103" s="73">
        <v>4213.3364790409387</v>
      </c>
      <c r="V103" s="73">
        <v>2153.5399858677306</v>
      </c>
      <c r="W103" s="73">
        <v>3533.644001293972</v>
      </c>
      <c r="X103" s="73">
        <v>125.48205591106687</v>
      </c>
      <c r="Y103" s="73">
        <v>88.137297603122207</v>
      </c>
      <c r="Z103" s="73">
        <v>365.65657102670195</v>
      </c>
      <c r="AA103" s="73">
        <v>320.27801773689339</v>
      </c>
      <c r="AB103" s="73">
        <v>185.53972121060451</v>
      </c>
      <c r="AC103" s="73">
        <v>236.26963160145854</v>
      </c>
      <c r="AD103" s="73">
        <v>1662.7461605169806</v>
      </c>
      <c r="AE103" s="73">
        <v>601.27206408680422</v>
      </c>
      <c r="AF103" s="73">
        <v>1204.2092363988356</v>
      </c>
      <c r="AG103" s="73">
        <v>2326.9541418744093</v>
      </c>
      <c r="AH103" s="73">
        <v>32089.501629162576</v>
      </c>
      <c r="AI103" s="73">
        <v>323.34945946314394</v>
      </c>
      <c r="AJ103" s="73">
        <v>5629.2227231371335</v>
      </c>
      <c r="AK103" s="73">
        <v>4496.5702061667553</v>
      </c>
      <c r="AL103" s="73">
        <v>0</v>
      </c>
      <c r="AM103" s="73">
        <v>486.03553281215557</v>
      </c>
      <c r="AN103" s="73">
        <v>612.72474421649645</v>
      </c>
      <c r="AO103" s="73">
        <v>5608.4942607375433</v>
      </c>
      <c r="AP103" s="73">
        <v>786.80329626946479</v>
      </c>
      <c r="AQ103" s="73">
        <v>2850.3064977042527</v>
      </c>
      <c r="AR103" s="73">
        <v>11.528200355591872</v>
      </c>
      <c r="AS103" s="73">
        <v>4247.5150201683127</v>
      </c>
      <c r="AT103" s="73">
        <v>3419.7450220021778</v>
      </c>
      <c r="AU103" s="73">
        <v>5156.4746020573457</v>
      </c>
      <c r="AV103" s="73">
        <v>6976.4851793660446</v>
      </c>
      <c r="AW103" s="73">
        <v>18141.429923466094</v>
      </c>
      <c r="AX103" s="73">
        <v>244.55752276417309</v>
      </c>
      <c r="BC103" s="666">
        <f t="shared" si="59"/>
        <v>0</v>
      </c>
      <c r="BD103" s="71"/>
      <c r="BE103" s="71"/>
      <c r="BF103" s="71"/>
      <c r="BG103" s="71"/>
      <c r="BH103" s="71"/>
      <c r="BI103" s="71"/>
      <c r="BJ103" s="71"/>
      <c r="BK103" s="71"/>
      <c r="BL103" s="76">
        <f t="shared" si="60"/>
        <v>130714.71561841713</v>
      </c>
    </row>
    <row r="104" spans="1:64" ht="15.75" hidden="1" outlineLevel="1" thickBot="1" x14ac:dyDescent="0.3">
      <c r="A104" s="71" t="s">
        <v>876</v>
      </c>
      <c r="B104" s="19" t="s">
        <v>875</v>
      </c>
      <c r="C104" s="711" t="s">
        <v>863</v>
      </c>
      <c r="D104" s="681">
        <f t="shared" si="61"/>
        <v>433486</v>
      </c>
      <c r="E104" s="681">
        <f t="shared" si="61"/>
        <v>326125.48901594948</v>
      </c>
      <c r="F104" s="681"/>
      <c r="G104" s="681">
        <f>E104</f>
        <v>326125.48901594948</v>
      </c>
      <c r="H104" s="683"/>
      <c r="I104" s="684">
        <f t="shared" si="58"/>
        <v>326125.48901594954</v>
      </c>
      <c r="J104" s="78">
        <v>8383.9377426522187</v>
      </c>
      <c r="K104" s="78">
        <v>2136.0549965836799</v>
      </c>
      <c r="L104" s="78">
        <v>2035.516446243186</v>
      </c>
      <c r="M104" s="78">
        <v>2854.6985223498518</v>
      </c>
      <c r="N104" s="78">
        <v>3868.1843121338416</v>
      </c>
      <c r="O104" s="78">
        <v>11254.597637519219</v>
      </c>
      <c r="P104" s="78">
        <v>1430.1083928773942</v>
      </c>
      <c r="Q104" s="78">
        <v>4045.0475769938976</v>
      </c>
      <c r="R104" s="78">
        <v>3529.9032245273611</v>
      </c>
      <c r="S104" s="78">
        <v>3572.1975099943611</v>
      </c>
      <c r="T104" s="78">
        <v>13317.598323019056</v>
      </c>
      <c r="U104" s="78">
        <v>10512.025467944819</v>
      </c>
      <c r="V104" s="78">
        <v>5372.9549705539066</v>
      </c>
      <c r="W104" s="78">
        <v>8816.2329120953509</v>
      </c>
      <c r="X104" s="78">
        <v>313.07031234482946</v>
      </c>
      <c r="Y104" s="78">
        <v>219.8973477880759</v>
      </c>
      <c r="Z104" s="78">
        <v>912.29153101700717</v>
      </c>
      <c r="AA104" s="78">
        <v>799.07472285229574</v>
      </c>
      <c r="AB104" s="78">
        <v>462.91063730215433</v>
      </c>
      <c r="AC104" s="78">
        <v>589.47876511913864</v>
      </c>
      <c r="AD104" s="78">
        <v>4148.4533867707105</v>
      </c>
      <c r="AE104" s="78">
        <v>1500.1382591411166</v>
      </c>
      <c r="AF104" s="78">
        <v>3004.4308648808355</v>
      </c>
      <c r="AG104" s="78">
        <v>5805.6130394056272</v>
      </c>
      <c r="AH104" s="78">
        <v>80061.409777601613</v>
      </c>
      <c r="AI104" s="78">
        <v>806.73778840859893</v>
      </c>
      <c r="AJ104" s="78">
        <v>14044.577954956221</v>
      </c>
      <c r="AK104" s="78">
        <v>11218.676875383619</v>
      </c>
      <c r="AL104" s="78">
        <v>0</v>
      </c>
      <c r="AM104" s="78">
        <v>1212.6299251586227</v>
      </c>
      <c r="AN104" s="78">
        <v>1528.7120191050853</v>
      </c>
      <c r="AO104" s="78">
        <v>13992.861666513616</v>
      </c>
      <c r="AP104" s="78">
        <v>1963.0277168203311</v>
      </c>
      <c r="AQ104" s="78">
        <v>7111.3462322230489</v>
      </c>
      <c r="AR104" s="78">
        <v>28.762178463642897</v>
      </c>
      <c r="AS104" s="78">
        <v>10597.298907788849</v>
      </c>
      <c r="AT104" s="78">
        <v>8532.0616912483511</v>
      </c>
      <c r="AU104" s="78">
        <v>12865.099336660589</v>
      </c>
      <c r="AV104" s="78">
        <v>17405.918147541062</v>
      </c>
      <c r="AW104" s="78">
        <v>45261.795332287496</v>
      </c>
      <c r="AX104" s="78">
        <v>610.156563678878</v>
      </c>
      <c r="AY104" s="79"/>
      <c r="AZ104" s="79"/>
      <c r="BA104" s="79"/>
      <c r="BB104" s="79"/>
      <c r="BC104" s="684">
        <f t="shared" si="59"/>
        <v>0</v>
      </c>
      <c r="BD104" s="79"/>
      <c r="BE104" s="79"/>
      <c r="BF104" s="79"/>
      <c r="BG104" s="79"/>
      <c r="BH104" s="79"/>
      <c r="BI104" s="79"/>
      <c r="BJ104" s="79"/>
      <c r="BK104" s="79"/>
      <c r="BL104" s="685">
        <f t="shared" si="60"/>
        <v>326125.48901594954</v>
      </c>
    </row>
    <row r="105" spans="1:64" ht="15.75" hidden="1" outlineLevel="1" thickBot="1" x14ac:dyDescent="0.3">
      <c r="A105" s="177" t="s">
        <v>877</v>
      </c>
      <c r="C105" s="712"/>
      <c r="D105" s="76">
        <f>SUM(D102:D104)</f>
        <v>607232</v>
      </c>
      <c r="E105" s="76">
        <f>SUM(E102:E104)</f>
        <v>456840.20463436656</v>
      </c>
      <c r="F105" s="76"/>
      <c r="G105" s="76">
        <f>SUM(G102:G104)</f>
        <v>456840.20463436656</v>
      </c>
      <c r="H105" s="637">
        <f>SUM(H102:H104)</f>
        <v>0</v>
      </c>
      <c r="I105" s="666">
        <f>SUM(I102:I104)</f>
        <v>456840.20463436667</v>
      </c>
      <c r="J105" s="73">
        <f>SUM(J102:J104)</f>
        <v>11744.313042050244</v>
      </c>
      <c r="K105" s="73">
        <f t="shared" ref="K105:BB105" si="62">SUM(K102:K104)</f>
        <v>2992.209546987679</v>
      </c>
      <c r="L105" s="73">
        <f t="shared" si="62"/>
        <v>2851.374029807519</v>
      </c>
      <c r="M105" s="73">
        <f t="shared" si="62"/>
        <v>3998.8933740041089</v>
      </c>
      <c r="N105" s="73">
        <f t="shared" si="62"/>
        <v>5418.595516869419</v>
      </c>
      <c r="O105" s="73">
        <f t="shared" si="62"/>
        <v>15765.565283829397</v>
      </c>
      <c r="P105" s="73">
        <f t="shared" si="62"/>
        <v>2003.3117093140859</v>
      </c>
      <c r="Q105" s="73">
        <f t="shared" si="62"/>
        <v>5666.3475412658272</v>
      </c>
      <c r="R105" s="73">
        <f t="shared" si="62"/>
        <v>4944.7276148161618</v>
      </c>
      <c r="S105" s="73">
        <f t="shared" si="62"/>
        <v>5003.9739193166461</v>
      </c>
      <c r="T105" s="73">
        <f t="shared" si="62"/>
        <v>18655.43954103133</v>
      </c>
      <c r="U105" s="73">
        <f t="shared" si="62"/>
        <v>14725.361946985759</v>
      </c>
      <c r="V105" s="73">
        <f t="shared" si="62"/>
        <v>7526.4949564216367</v>
      </c>
      <c r="W105" s="73">
        <f t="shared" si="62"/>
        <v>12349.876913389322</v>
      </c>
      <c r="X105" s="73">
        <f t="shared" si="62"/>
        <v>438.55236825589634</v>
      </c>
      <c r="Y105" s="73">
        <f t="shared" si="62"/>
        <v>308.03464539119813</v>
      </c>
      <c r="Z105" s="73">
        <f t="shared" si="62"/>
        <v>1277.9481020437092</v>
      </c>
      <c r="AA105" s="73">
        <f t="shared" si="62"/>
        <v>1119.3527405891891</v>
      </c>
      <c r="AB105" s="73">
        <f t="shared" si="62"/>
        <v>648.45035851275884</v>
      </c>
      <c r="AC105" s="73">
        <f t="shared" si="62"/>
        <v>825.74839672059716</v>
      </c>
      <c r="AD105" s="73">
        <f t="shared" si="62"/>
        <v>5811.1995472876915</v>
      </c>
      <c r="AE105" s="73">
        <f t="shared" si="62"/>
        <v>2101.4103232279208</v>
      </c>
      <c r="AF105" s="73">
        <f t="shared" si="62"/>
        <v>4208.6401012796714</v>
      </c>
      <c r="AG105" s="73">
        <f t="shared" si="62"/>
        <v>8132.5671812800365</v>
      </c>
      <c r="AH105" s="73">
        <f t="shared" si="62"/>
        <v>112150.91140676419</v>
      </c>
      <c r="AI105" s="73">
        <f t="shared" si="62"/>
        <v>1130.0872478717429</v>
      </c>
      <c r="AJ105" s="73">
        <f t="shared" si="62"/>
        <v>19673.800678093354</v>
      </c>
      <c r="AK105" s="73">
        <f t="shared" si="62"/>
        <v>15715.247081550373</v>
      </c>
      <c r="AL105" s="73">
        <f t="shared" si="62"/>
        <v>0</v>
      </c>
      <c r="AM105" s="73">
        <f t="shared" si="62"/>
        <v>1698.6654579707783</v>
      </c>
      <c r="AN105" s="73">
        <f t="shared" si="62"/>
        <v>2141.4367633215816</v>
      </c>
      <c r="AO105" s="73">
        <f t="shared" si="62"/>
        <v>19601.355927251159</v>
      </c>
      <c r="AP105" s="73">
        <f t="shared" si="62"/>
        <v>2749.8310130897958</v>
      </c>
      <c r="AQ105" s="73">
        <f t="shared" si="62"/>
        <v>9961.6527299273021</v>
      </c>
      <c r="AR105" s="73">
        <f t="shared" si="62"/>
        <v>40.290378819234768</v>
      </c>
      <c r="AS105" s="73">
        <f t="shared" si="62"/>
        <v>14844.813927957162</v>
      </c>
      <c r="AT105" s="73">
        <f t="shared" si="62"/>
        <v>11951.806713250529</v>
      </c>
      <c r="AU105" s="73">
        <f t="shared" si="62"/>
        <v>18021.573938717935</v>
      </c>
      <c r="AV105" s="73">
        <f t="shared" si="62"/>
        <v>24382.403326907108</v>
      </c>
      <c r="AW105" s="73">
        <f t="shared" si="62"/>
        <v>63403.22525575359</v>
      </c>
      <c r="AX105" s="73">
        <f t="shared" si="62"/>
        <v>854.71408644305109</v>
      </c>
      <c r="AY105" s="73">
        <f t="shared" si="62"/>
        <v>0</v>
      </c>
      <c r="AZ105" s="73">
        <f t="shared" si="62"/>
        <v>0</v>
      </c>
      <c r="BA105" s="73">
        <f t="shared" si="62"/>
        <v>0</v>
      </c>
      <c r="BB105" s="73">
        <f t="shared" si="62"/>
        <v>0</v>
      </c>
      <c r="BC105" s="666">
        <f t="shared" si="59"/>
        <v>0</v>
      </c>
      <c r="BL105" s="76">
        <f t="shared" si="60"/>
        <v>456840.20463436667</v>
      </c>
    </row>
    <row r="106" spans="1:64" ht="15.75" hidden="1" outlineLevel="1" thickBot="1" x14ac:dyDescent="0.3">
      <c r="C106" s="712"/>
      <c r="D106" s="76"/>
      <c r="E106" s="76"/>
      <c r="F106" s="76"/>
      <c r="G106" s="76"/>
      <c r="H106" s="242"/>
      <c r="I106" s="666"/>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BC106" s="666"/>
      <c r="BL106" s="76"/>
    </row>
    <row r="107" spans="1:64" ht="15.75" hidden="1" outlineLevel="1" thickBot="1" x14ac:dyDescent="0.3">
      <c r="A107" s="343" t="s">
        <v>878</v>
      </c>
      <c r="B107" s="3" t="s">
        <v>875</v>
      </c>
      <c r="C107" s="679" t="s">
        <v>863</v>
      </c>
      <c r="D107" s="775">
        <f>D43</f>
        <v>45131.644444444442</v>
      </c>
      <c r="E107" s="775">
        <f t="shared" ref="E107" si="63">E43</f>
        <v>33953.990704517339</v>
      </c>
      <c r="F107" s="664"/>
      <c r="G107" s="664">
        <f>E107</f>
        <v>33953.990704517339</v>
      </c>
      <c r="H107" s="242"/>
      <c r="I107" s="694">
        <f t="shared" ref="I107" si="64">SUM(J107:BB107)</f>
        <v>33953.990704517346</v>
      </c>
      <c r="J107" s="73">
        <v>872.87916390780333</v>
      </c>
      <c r="K107" s="73">
        <v>222.39166805754655</v>
      </c>
      <c r="L107" s="73">
        <v>211.92427093993018</v>
      </c>
      <c r="M107" s="73">
        <v>297.21199463598464</v>
      </c>
      <c r="N107" s="73">
        <v>402.72931310538848</v>
      </c>
      <c r="O107" s="73">
        <v>1171.7529492112819</v>
      </c>
      <c r="P107" s="73">
        <v>148.89325953862044</v>
      </c>
      <c r="Q107" s="73">
        <v>421.14312574281541</v>
      </c>
      <c r="R107" s="73">
        <v>367.50976329723864</v>
      </c>
      <c r="S107" s="73">
        <v>371.91315960929597</v>
      </c>
      <c r="T107" s="73">
        <v>1386.5386941410463</v>
      </c>
      <c r="U107" s="73">
        <v>1094.44133330772</v>
      </c>
      <c r="V107" s="73">
        <v>559.39590516660144</v>
      </c>
      <c r="W107" s="73">
        <v>917.88682709037062</v>
      </c>
      <c r="X107" s="73">
        <v>32.59477358636267</v>
      </c>
      <c r="Y107" s="73">
        <v>22.894231681410201</v>
      </c>
      <c r="Z107" s="73">
        <v>94.981653404117836</v>
      </c>
      <c r="AA107" s="73">
        <v>83.194281421574843</v>
      </c>
      <c r="AB107" s="73">
        <v>48.195139617593206</v>
      </c>
      <c r="AC107" s="73">
        <v>61.37256113209456</v>
      </c>
      <c r="AD107" s="73">
        <v>431.90904261288034</v>
      </c>
      <c r="AE107" s="73">
        <v>156.18429782983702</v>
      </c>
      <c r="AF107" s="73">
        <v>312.80111826383455</v>
      </c>
      <c r="AG107" s="73">
        <v>604.44135099284676</v>
      </c>
      <c r="AH107" s="73">
        <v>8335.455077681132</v>
      </c>
      <c r="AI107" s="73">
        <v>83.992108225765847</v>
      </c>
      <c r="AJ107" s="73">
        <v>1462.2269199821144</v>
      </c>
      <c r="AK107" s="73">
        <v>1168.0131212471092</v>
      </c>
      <c r="AL107" s="73">
        <v>0</v>
      </c>
      <c r="AM107" s="73">
        <v>126.25086536809086</v>
      </c>
      <c r="AN107" s="73">
        <v>159.15920538194882</v>
      </c>
      <c r="AO107" s="73">
        <v>1456.8425681415058</v>
      </c>
      <c r="AP107" s="73">
        <v>204.37723236765373</v>
      </c>
      <c r="AQ107" s="73">
        <v>740.38550189401792</v>
      </c>
      <c r="AR107" s="73">
        <v>2.9945244180176256</v>
      </c>
      <c r="AS107" s="73">
        <v>1103.3194298727658</v>
      </c>
      <c r="AT107" s="73">
        <v>888.30083238555778</v>
      </c>
      <c r="AU107" s="73">
        <v>1339.427545536935</v>
      </c>
      <c r="AV107" s="73">
        <v>1812.1870350228755</v>
      </c>
      <c r="AW107" s="73">
        <v>4712.353464365664</v>
      </c>
      <c r="AX107" s="73">
        <v>63.52539433199491</v>
      </c>
      <c r="AY107" s="73"/>
      <c r="AZ107" s="73"/>
      <c r="BA107" s="73"/>
      <c r="BB107" s="73"/>
      <c r="BC107" s="666">
        <f t="shared" ref="BC107" si="65">SUM(BD107:BK107)</f>
        <v>0</v>
      </c>
      <c r="BL107" s="76">
        <f>BC107+I107+H107</f>
        <v>33953.990704517346</v>
      </c>
    </row>
    <row r="108" spans="1:64" ht="15.75" hidden="1" outlineLevel="1" thickBot="1" x14ac:dyDescent="0.3">
      <c r="C108" s="712"/>
      <c r="D108" s="76"/>
      <c r="E108" s="76"/>
      <c r="F108" s="76"/>
      <c r="G108" s="76"/>
      <c r="H108" s="242"/>
      <c r="I108" s="241"/>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BL108" s="73"/>
    </row>
    <row r="109" spans="1:64" ht="15.75" hidden="1" outlineLevel="1" thickBot="1" x14ac:dyDescent="0.3">
      <c r="A109" s="343" t="s">
        <v>879</v>
      </c>
      <c r="B109" s="3" t="s">
        <v>116</v>
      </c>
      <c r="C109" s="679" t="s">
        <v>863</v>
      </c>
      <c r="D109" s="775">
        <f>D45</f>
        <v>349421</v>
      </c>
      <c r="E109" s="775">
        <f t="shared" ref="E109:E114" si="66">E45</f>
        <v>262880.68010833586</v>
      </c>
      <c r="F109" s="713"/>
      <c r="G109" s="713">
        <f>E109</f>
        <v>262880.68010833586</v>
      </c>
      <c r="H109" s="242"/>
      <c r="I109" s="694">
        <f t="shared" ref="I109:I112" si="67">SUM(J109:BB109)</f>
        <v>262880.68010833592</v>
      </c>
      <c r="J109" s="73">
        <v>0</v>
      </c>
      <c r="K109" s="73">
        <v>0</v>
      </c>
      <c r="L109" s="73">
        <v>0</v>
      </c>
      <c r="M109" s="73">
        <v>0</v>
      </c>
      <c r="N109" s="73">
        <v>0</v>
      </c>
      <c r="O109" s="73">
        <v>0</v>
      </c>
      <c r="P109" s="73">
        <v>0</v>
      </c>
      <c r="Q109" s="73">
        <v>0</v>
      </c>
      <c r="R109" s="73">
        <v>0</v>
      </c>
      <c r="S109" s="73">
        <v>0</v>
      </c>
      <c r="T109" s="73">
        <v>0</v>
      </c>
      <c r="U109" s="73">
        <v>0</v>
      </c>
      <c r="V109" s="73">
        <v>0</v>
      </c>
      <c r="W109" s="73">
        <v>0</v>
      </c>
      <c r="X109" s="73">
        <v>0</v>
      </c>
      <c r="Y109" s="73">
        <v>0</v>
      </c>
      <c r="Z109" s="73">
        <v>0</v>
      </c>
      <c r="AA109" s="73">
        <v>0</v>
      </c>
      <c r="AB109" s="73">
        <v>0</v>
      </c>
      <c r="AC109" s="73">
        <v>0</v>
      </c>
      <c r="AD109" s="73">
        <v>0</v>
      </c>
      <c r="AE109" s="73">
        <v>0</v>
      </c>
      <c r="AF109" s="73">
        <v>20361.669765689461</v>
      </c>
      <c r="AG109" s="73">
        <v>0</v>
      </c>
      <c r="AH109" s="73">
        <v>0</v>
      </c>
      <c r="AI109" s="73">
        <v>0</v>
      </c>
      <c r="AJ109" s="73">
        <v>74159.664305237529</v>
      </c>
      <c r="AK109" s="73">
        <v>64436.328905008566</v>
      </c>
      <c r="AL109" s="73">
        <v>0</v>
      </c>
      <c r="AM109" s="73">
        <v>0</v>
      </c>
      <c r="AN109" s="73">
        <v>13903.635996196756</v>
      </c>
      <c r="AO109" s="73">
        <v>78072.650524791214</v>
      </c>
      <c r="AP109" s="73">
        <v>11946.730611412362</v>
      </c>
      <c r="AQ109" s="73">
        <v>0</v>
      </c>
      <c r="AR109" s="73">
        <v>0</v>
      </c>
      <c r="AS109" s="73">
        <v>0</v>
      </c>
      <c r="AT109" s="73">
        <v>0</v>
      </c>
      <c r="AU109" s="73">
        <v>0</v>
      </c>
      <c r="AV109" s="73">
        <v>0</v>
      </c>
      <c r="AW109" s="73">
        <v>0</v>
      </c>
      <c r="AX109" s="73">
        <v>0</v>
      </c>
      <c r="AY109" s="73"/>
      <c r="AZ109" s="73"/>
      <c r="BA109" s="73"/>
      <c r="BB109" s="73"/>
      <c r="BC109" s="666">
        <f t="shared" ref="BC109:BC112" si="68">SUM(BD109:BK109)</f>
        <v>0</v>
      </c>
      <c r="BL109" s="76">
        <f>BC109+I109+H109</f>
        <v>262880.68010833592</v>
      </c>
    </row>
    <row r="110" spans="1:64" ht="15.75" hidden="1" outlineLevel="1" thickBot="1" x14ac:dyDescent="0.3">
      <c r="A110" s="343" t="s">
        <v>25</v>
      </c>
      <c r="B110" s="3" t="s">
        <v>117</v>
      </c>
      <c r="C110" s="679" t="s">
        <v>863</v>
      </c>
      <c r="D110" s="775">
        <f t="shared" ref="D110:D114" si="69">D46</f>
        <v>113910</v>
      </c>
      <c r="E110" s="775">
        <f t="shared" si="66"/>
        <v>85698.16430935901</v>
      </c>
      <c r="F110" s="713"/>
      <c r="G110" s="713">
        <f>E110</f>
        <v>85698.16430935901</v>
      </c>
      <c r="H110" s="242"/>
      <c r="I110" s="694">
        <f t="shared" si="67"/>
        <v>85698.164309359025</v>
      </c>
      <c r="J110" s="73">
        <v>2655.8257978933161</v>
      </c>
      <c r="K110" s="73">
        <v>647.74009891243441</v>
      </c>
      <c r="L110" s="73">
        <v>597.35962875150085</v>
      </c>
      <c r="M110" s="73">
        <v>933.80118275645304</v>
      </c>
      <c r="N110" s="73">
        <v>1184.0373794741993</v>
      </c>
      <c r="O110" s="73">
        <v>3637.4609540956399</v>
      </c>
      <c r="P110" s="73">
        <v>466.88590543820868</v>
      </c>
      <c r="Q110" s="73">
        <v>1337.3463152866263</v>
      </c>
      <c r="R110" s="73">
        <v>1171.2924190620022</v>
      </c>
      <c r="S110" s="73">
        <v>1181.7991535375356</v>
      </c>
      <c r="T110" s="73">
        <v>4428.8098983636573</v>
      </c>
      <c r="U110" s="73">
        <v>3488.7175154702086</v>
      </c>
      <c r="V110" s="73">
        <v>1652.8561968114379</v>
      </c>
      <c r="W110" s="73">
        <v>2733.4275441765867</v>
      </c>
      <c r="X110" s="73">
        <v>102.06106749810995</v>
      </c>
      <c r="Y110" s="73">
        <v>69.876962016211593</v>
      </c>
      <c r="Z110" s="73">
        <v>278.56030268535199</v>
      </c>
      <c r="AA110" s="73">
        <v>240.94332435941473</v>
      </c>
      <c r="AB110" s="73">
        <v>137.95126069703252</v>
      </c>
      <c r="AC110" s="73">
        <v>186.6772037918513</v>
      </c>
      <c r="AD110" s="73">
        <v>1375.000024633712</v>
      </c>
      <c r="AE110" s="73">
        <v>487.15862990746223</v>
      </c>
      <c r="AF110" s="73">
        <v>0</v>
      </c>
      <c r="AG110" s="73">
        <v>1673.8390865199131</v>
      </c>
      <c r="AH110" s="73">
        <v>24863.753353574994</v>
      </c>
      <c r="AI110" s="73">
        <v>269.96139882332858</v>
      </c>
      <c r="AJ110" s="73">
        <v>0</v>
      </c>
      <c r="AK110" s="73">
        <v>0</v>
      </c>
      <c r="AL110" s="73">
        <v>0</v>
      </c>
      <c r="AM110" s="73">
        <v>371.85618888064698</v>
      </c>
      <c r="AN110" s="73">
        <v>0</v>
      </c>
      <c r="AO110" s="73">
        <v>0</v>
      </c>
      <c r="AP110" s="73">
        <v>0</v>
      </c>
      <c r="AQ110" s="73">
        <v>2048.2060431152204</v>
      </c>
      <c r="AR110" s="73">
        <v>8.306899835249105</v>
      </c>
      <c r="AS110" s="73">
        <v>3053.3867213591284</v>
      </c>
      <c r="AT110" s="73">
        <v>2455.7988214215934</v>
      </c>
      <c r="AU110" s="73">
        <v>3716.4977715290447</v>
      </c>
      <c r="AV110" s="73">
        <v>5012.9331627538395</v>
      </c>
      <c r="AW110" s="73">
        <v>13051.814761903093</v>
      </c>
      <c r="AX110" s="73">
        <v>176.22133402402488</v>
      </c>
      <c r="BC110" s="666">
        <f t="shared" si="68"/>
        <v>0</v>
      </c>
      <c r="BL110" s="76">
        <f>BC110+I110+H110</f>
        <v>85698.164309359025</v>
      </c>
    </row>
    <row r="111" spans="1:64" ht="15.75" hidden="1" outlineLevel="1" thickBot="1" x14ac:dyDescent="0.3">
      <c r="A111" s="343" t="s">
        <v>9</v>
      </c>
      <c r="B111" s="3" t="s">
        <v>875</v>
      </c>
      <c r="C111" s="679" t="s">
        <v>863</v>
      </c>
      <c r="D111" s="775">
        <f t="shared" si="69"/>
        <v>20894</v>
      </c>
      <c r="E111" s="775">
        <f t="shared" si="66"/>
        <v>15719.229611796571</v>
      </c>
      <c r="F111" s="713"/>
      <c r="G111" s="713">
        <f>E111</f>
        <v>15719.229611796571</v>
      </c>
      <c r="H111" s="242"/>
      <c r="I111" s="694">
        <f t="shared" si="67"/>
        <v>15719.229611796576</v>
      </c>
      <c r="J111" s="73">
        <v>404.10531180932128</v>
      </c>
      <c r="K111" s="73">
        <v>102.95772665926791</v>
      </c>
      <c r="L111" s="73">
        <v>98.111774377500367</v>
      </c>
      <c r="M111" s="73">
        <v>137.59630282403077</v>
      </c>
      <c r="N111" s="73">
        <v>186.4462589742794</v>
      </c>
      <c r="O111" s="73">
        <v>542.47095186079036</v>
      </c>
      <c r="P111" s="73">
        <v>68.931141399676747</v>
      </c>
      <c r="Q111" s="73">
        <v>194.9710580588773</v>
      </c>
      <c r="R111" s="73">
        <v>170.1411302170651</v>
      </c>
      <c r="S111" s="73">
        <v>172.17971231786532</v>
      </c>
      <c r="T111" s="73">
        <v>641.90746497270993</v>
      </c>
      <c r="U111" s="73">
        <v>506.67901645552348</v>
      </c>
      <c r="V111" s="73">
        <v>258.97611723274412</v>
      </c>
      <c r="W111" s="73">
        <v>424.94191384570723</v>
      </c>
      <c r="X111" s="73">
        <v>15.089970855189939</v>
      </c>
      <c r="Y111" s="73">
        <v>10.599039380012405</v>
      </c>
      <c r="Z111" s="73">
        <v>43.972398760442886</v>
      </c>
      <c r="AA111" s="73">
        <v>38.515355188577871</v>
      </c>
      <c r="AB111" s="73">
        <v>22.31226580741065</v>
      </c>
      <c r="AC111" s="73">
        <v>28.412842210358079</v>
      </c>
      <c r="AD111" s="73">
        <v>199.95521207879196</v>
      </c>
      <c r="AE111" s="73">
        <v>72.306576882516367</v>
      </c>
      <c r="AF111" s="73">
        <v>144.81339302957923</v>
      </c>
      <c r="AG111" s="73">
        <v>279.83021099952748</v>
      </c>
      <c r="AH111" s="73">
        <v>3858.9552970412146</v>
      </c>
      <c r="AI111" s="73">
        <v>38.884714502911891</v>
      </c>
      <c r="AJ111" s="73">
        <v>676.94784097030879</v>
      </c>
      <c r="AK111" s="73">
        <v>540.73957321404919</v>
      </c>
      <c r="AL111" s="73">
        <v>0</v>
      </c>
      <c r="AM111" s="73">
        <v>58.448691898387175</v>
      </c>
      <c r="AN111" s="73">
        <v>73.683830451690838</v>
      </c>
      <c r="AO111" s="73">
        <v>674.45511887381713</v>
      </c>
      <c r="AP111" s="73">
        <v>94.617821833332556</v>
      </c>
      <c r="AQ111" s="73">
        <v>342.7664749866625</v>
      </c>
      <c r="AR111" s="73">
        <v>1.3863353299053596</v>
      </c>
      <c r="AS111" s="73">
        <v>510.78919129877363</v>
      </c>
      <c r="AT111" s="73">
        <v>411.24487752071127</v>
      </c>
      <c r="AU111" s="73">
        <v>620.09704013552073</v>
      </c>
      <c r="AV111" s="73">
        <v>838.96424284688067</v>
      </c>
      <c r="AW111" s="73">
        <v>2181.6159037957741</v>
      </c>
      <c r="AX111" s="73">
        <v>29.409510898867499</v>
      </c>
      <c r="BC111" s="666">
        <f t="shared" si="68"/>
        <v>0</v>
      </c>
      <c r="BL111" s="76">
        <f>BC111+I111+H111</f>
        <v>15719.229611796576</v>
      </c>
    </row>
    <row r="112" spans="1:64" ht="15.75" hidden="1" outlineLevel="1" thickBot="1" x14ac:dyDescent="0.3">
      <c r="A112" s="343" t="s">
        <v>20</v>
      </c>
      <c r="B112" s="3" t="s">
        <v>861</v>
      </c>
      <c r="C112" s="712" t="s">
        <v>857</v>
      </c>
      <c r="D112" s="775">
        <f t="shared" si="69"/>
        <v>422974</v>
      </c>
      <c r="E112" s="775">
        <f t="shared" si="66"/>
        <v>318216.97261510685</v>
      </c>
      <c r="F112" s="713"/>
      <c r="G112" s="775">
        <f>((E112-F112)*(1+'Assumptions (3)'!$B$20))+F112</f>
        <v>337309.99097201327</v>
      </c>
      <c r="H112" s="242"/>
      <c r="I112" s="694">
        <f t="shared" si="67"/>
        <v>323854.8088808459</v>
      </c>
      <c r="J112" s="73">
        <v>1978.5104905483331</v>
      </c>
      <c r="K112" s="73">
        <v>570.61483506265574</v>
      </c>
      <c r="L112" s="73">
        <v>589.53805840153711</v>
      </c>
      <c r="M112" s="73">
        <v>605.77947308763953</v>
      </c>
      <c r="N112" s="73">
        <v>1007.9107484053038</v>
      </c>
      <c r="O112" s="73">
        <v>2369.4088207445457</v>
      </c>
      <c r="P112" s="73">
        <v>288.944926086186</v>
      </c>
      <c r="Q112" s="73">
        <v>773.79830376193968</v>
      </c>
      <c r="R112" s="73">
        <v>664.2057644150118</v>
      </c>
      <c r="S112" s="73">
        <v>681.3126761320442</v>
      </c>
      <c r="T112" s="73">
        <v>2480.5858397051657</v>
      </c>
      <c r="U112" s="73">
        <v>1976.3984375497439</v>
      </c>
      <c r="V112" s="73">
        <v>1543.3456498622802</v>
      </c>
      <c r="W112" s="73">
        <v>2489.1620713832767</v>
      </c>
      <c r="X112" s="73">
        <v>60.313312664817957</v>
      </c>
      <c r="Y112" s="73">
        <v>46.599478314015926</v>
      </c>
      <c r="Z112" s="73">
        <v>219.87072546083232</v>
      </c>
      <c r="AA112" s="73">
        <v>199.71723300339428</v>
      </c>
      <c r="AB112" s="73">
        <v>119.51146403896772</v>
      </c>
      <c r="AC112" s="73">
        <v>126.42186791940232</v>
      </c>
      <c r="AD112" s="73">
        <v>746.29701911205348</v>
      </c>
      <c r="AE112" s="73">
        <v>293.42051358447986</v>
      </c>
      <c r="AF112" s="73">
        <v>771.08510691184404</v>
      </c>
      <c r="AG112" s="73">
        <v>2498.1913917691086</v>
      </c>
      <c r="AH112" s="73">
        <v>19010.654899223988</v>
      </c>
      <c r="AI112" s="73">
        <v>139.11656006349574</v>
      </c>
      <c r="AJ112" s="73">
        <v>2982.6547285705392</v>
      </c>
      <c r="AK112" s="73">
        <v>2536.2826404802895</v>
      </c>
      <c r="AL112" s="73">
        <v>0</v>
      </c>
      <c r="AM112" s="73">
        <v>288.53286082829078</v>
      </c>
      <c r="AN112" s="73">
        <v>497.1520986867381</v>
      </c>
      <c r="AO112" s="73">
        <v>3095.4961095511107</v>
      </c>
      <c r="AP112" s="73">
        <v>463.66567268505383</v>
      </c>
      <c r="AQ112" s="73">
        <v>2972.2209371096519</v>
      </c>
      <c r="AR112" s="73">
        <v>8.0447105690953471</v>
      </c>
      <c r="AS112" s="73">
        <v>4366.7051205209009</v>
      </c>
      <c r="AT112" s="73">
        <v>3653.1161806848754</v>
      </c>
      <c r="AU112" s="73">
        <v>5003.5155282625674</v>
      </c>
      <c r="AV112" s="73">
        <v>7096.9936192662417</v>
      </c>
      <c r="AW112" s="73">
        <v>18111.52680455273</v>
      </c>
      <c r="AX112" s="73">
        <v>170.65929004074033</v>
      </c>
      <c r="AY112" s="73">
        <v>61802.757682219344</v>
      </c>
      <c r="AZ112" s="73">
        <v>2042.5767950915174</v>
      </c>
      <c r="BA112" s="73">
        <v>35756.439550745104</v>
      </c>
      <c r="BB112" s="73">
        <v>130755.75288376906</v>
      </c>
      <c r="BC112" s="666">
        <f t="shared" si="68"/>
        <v>0</v>
      </c>
      <c r="BL112" s="76">
        <f>BC112+I112+H112</f>
        <v>323854.8088808459</v>
      </c>
    </row>
    <row r="113" spans="1:73" ht="15.75" hidden="1" outlineLevel="1" thickBot="1" x14ac:dyDescent="0.3">
      <c r="C113" s="668"/>
      <c r="D113" s="775"/>
      <c r="E113" s="775"/>
      <c r="H113" s="242"/>
      <c r="I113" s="241"/>
      <c r="BL113" s="76"/>
    </row>
    <row r="114" spans="1:73" ht="30.75" hidden="1" outlineLevel="1" thickBot="1" x14ac:dyDescent="0.3">
      <c r="A114" s="714" t="s">
        <v>881</v>
      </c>
      <c r="B114" s="670" t="s">
        <v>882</v>
      </c>
      <c r="C114" s="722" t="s">
        <v>863</v>
      </c>
      <c r="D114" s="775">
        <f t="shared" si="69"/>
        <v>35615.913999999997</v>
      </c>
      <c r="E114" s="775">
        <f t="shared" si="66"/>
        <v>26795</v>
      </c>
      <c r="F114" s="716"/>
      <c r="G114" s="782">
        <f>E114</f>
        <v>26795</v>
      </c>
      <c r="H114" s="717"/>
      <c r="I114" s="718">
        <f>SUM(J114:BB114)</f>
        <v>26795</v>
      </c>
      <c r="J114" s="715"/>
      <c r="K114" s="715"/>
      <c r="L114" s="715"/>
      <c r="M114" s="715"/>
      <c r="N114" s="715"/>
      <c r="O114" s="715"/>
      <c r="P114" s="715"/>
      <c r="Q114" s="715"/>
      <c r="R114" s="715"/>
      <c r="S114" s="715"/>
      <c r="T114" s="715"/>
      <c r="U114" s="715"/>
      <c r="V114" s="715"/>
      <c r="W114" s="715"/>
      <c r="X114" s="715"/>
      <c r="Y114" s="715"/>
      <c r="Z114" s="715"/>
      <c r="AA114" s="715"/>
      <c r="AB114" s="715"/>
      <c r="AC114" s="715"/>
      <c r="AD114" s="715"/>
      <c r="AE114" s="715"/>
      <c r="AF114" s="715"/>
      <c r="AG114" s="715"/>
      <c r="AH114" s="715"/>
      <c r="AI114" s="715"/>
      <c r="AJ114" s="715"/>
      <c r="AK114" s="715"/>
      <c r="AL114" s="715"/>
      <c r="AM114" s="715"/>
      <c r="AN114" s="715"/>
      <c r="AO114" s="715"/>
      <c r="AP114" s="715"/>
      <c r="AQ114" s="715"/>
      <c r="AR114" s="715"/>
      <c r="AS114" s="715"/>
      <c r="AT114" s="715"/>
      <c r="AU114" s="715"/>
      <c r="AV114" s="715"/>
      <c r="AW114" s="715"/>
      <c r="AX114" s="715"/>
      <c r="AY114" s="715">
        <v>6871.223222083343</v>
      </c>
      <c r="AZ114" s="715">
        <v>280.55526040109538</v>
      </c>
      <c r="BA114" s="715">
        <v>4307.2478811439096</v>
      </c>
      <c r="BB114" s="715">
        <v>15335.973636371653</v>
      </c>
      <c r="BC114" s="719">
        <f t="shared" ref="BC114" si="70">SUM(BD114:BK114)</f>
        <v>0</v>
      </c>
      <c r="BD114" s="715"/>
      <c r="BE114" s="715"/>
      <c r="BF114" s="715"/>
      <c r="BG114" s="715"/>
      <c r="BH114" s="715"/>
      <c r="BI114" s="715"/>
      <c r="BJ114" s="715"/>
      <c r="BK114" s="715"/>
      <c r="BL114" s="720">
        <f>BC114+I114+H114</f>
        <v>26795</v>
      </c>
    </row>
    <row r="115" spans="1:73" ht="15.75" hidden="1" outlineLevel="1" thickBot="1" x14ac:dyDescent="0.3">
      <c r="A115" s="714"/>
      <c r="B115" s="670"/>
      <c r="C115" s="724"/>
      <c r="D115" s="715"/>
      <c r="E115" s="716"/>
      <c r="F115" s="716"/>
      <c r="G115" s="716"/>
      <c r="H115" s="717"/>
      <c r="I115" s="718"/>
      <c r="J115" s="715"/>
      <c r="K115" s="715"/>
      <c r="L115" s="715"/>
      <c r="M115" s="715"/>
      <c r="N115" s="715"/>
      <c r="O115" s="715"/>
      <c r="P115" s="715"/>
      <c r="Q115" s="715"/>
      <c r="R115" s="715"/>
      <c r="S115" s="715"/>
      <c r="T115" s="715"/>
      <c r="U115" s="715"/>
      <c r="V115" s="715"/>
      <c r="W115" s="715"/>
      <c r="X115" s="715"/>
      <c r="Y115" s="715"/>
      <c r="Z115" s="715"/>
      <c r="AA115" s="715"/>
      <c r="AB115" s="715"/>
      <c r="AC115" s="715"/>
      <c r="AD115" s="715"/>
      <c r="AE115" s="715"/>
      <c r="AF115" s="715"/>
      <c r="AG115" s="715"/>
      <c r="AH115" s="715"/>
      <c r="AI115" s="715"/>
      <c r="AJ115" s="715"/>
      <c r="AK115" s="715"/>
      <c r="AL115" s="715"/>
      <c r="AM115" s="715"/>
      <c r="AN115" s="715"/>
      <c r="AO115" s="715"/>
      <c r="AP115" s="715"/>
      <c r="AQ115" s="715"/>
      <c r="AR115" s="715"/>
      <c r="AS115" s="715"/>
      <c r="AT115" s="715"/>
      <c r="AU115" s="715"/>
      <c r="AV115" s="715"/>
      <c r="AW115" s="715"/>
      <c r="AX115" s="715"/>
      <c r="AY115" s="715"/>
      <c r="AZ115" s="715"/>
      <c r="BA115" s="715"/>
      <c r="BB115" s="715"/>
      <c r="BC115" s="719"/>
      <c r="BD115" s="715"/>
      <c r="BE115" s="715"/>
      <c r="BF115" s="715"/>
      <c r="BG115" s="715"/>
      <c r="BH115" s="715"/>
      <c r="BI115" s="715"/>
      <c r="BJ115" s="715"/>
      <c r="BK115" s="715"/>
      <c r="BL115" s="720"/>
    </row>
    <row r="116" spans="1:73" ht="15.75" hidden="1" outlineLevel="1" thickBot="1" x14ac:dyDescent="0.3">
      <c r="A116" s="725" t="s">
        <v>893</v>
      </c>
      <c r="B116" s="726"/>
      <c r="C116" s="731"/>
      <c r="D116" s="728">
        <f t="shared" ref="D116:H116" si="71">D114+SUM(D109:D112)+D105+D107</f>
        <v>1595178.5584444443</v>
      </c>
      <c r="E116" s="728">
        <f t="shared" si="71"/>
        <v>1200104.2419834821</v>
      </c>
      <c r="F116" s="728"/>
      <c r="G116" s="728">
        <f t="shared" si="71"/>
        <v>1219197.2603403886</v>
      </c>
      <c r="H116" s="728">
        <f t="shared" si="71"/>
        <v>0</v>
      </c>
      <c r="I116" s="728">
        <f t="shared" ref="I116:AK116" si="72">I114+SUM(I109:I112)+I105+I107</f>
        <v>1205742.0782492214</v>
      </c>
      <c r="J116" s="728">
        <f t="shared" si="72"/>
        <v>17655.633806209018</v>
      </c>
      <c r="K116" s="728">
        <f t="shared" si="72"/>
        <v>4535.9138756795837</v>
      </c>
      <c r="L116" s="728">
        <f t="shared" si="72"/>
        <v>4348.3077622779883</v>
      </c>
      <c r="M116" s="728">
        <f t="shared" si="72"/>
        <v>5973.2823273082167</v>
      </c>
      <c r="N116" s="728">
        <f t="shared" si="72"/>
        <v>8199.719216828591</v>
      </c>
      <c r="O116" s="728">
        <f t="shared" si="72"/>
        <v>23486.658959741653</v>
      </c>
      <c r="P116" s="728">
        <f t="shared" si="72"/>
        <v>2976.9669417767777</v>
      </c>
      <c r="Q116" s="728">
        <f t="shared" si="72"/>
        <v>8393.6063441160859</v>
      </c>
      <c r="R116" s="728">
        <f t="shared" si="72"/>
        <v>7317.8766918074789</v>
      </c>
      <c r="S116" s="728">
        <f t="shared" si="72"/>
        <v>7411.178620913387</v>
      </c>
      <c r="T116" s="728">
        <f t="shared" si="72"/>
        <v>27593.281438213911</v>
      </c>
      <c r="U116" s="728">
        <f t="shared" si="72"/>
        <v>21791.598249768955</v>
      </c>
      <c r="V116" s="728">
        <f t="shared" si="72"/>
        <v>11541.0688254947</v>
      </c>
      <c r="W116" s="728">
        <f t="shared" si="72"/>
        <v>18915.29526988526</v>
      </c>
      <c r="X116" s="728">
        <f t="shared" si="72"/>
        <v>648.61149286037676</v>
      </c>
      <c r="Y116" s="728">
        <f t="shared" si="72"/>
        <v>458.00435678284822</v>
      </c>
      <c r="Z116" s="728">
        <f t="shared" si="72"/>
        <v>1915.3331823544543</v>
      </c>
      <c r="AA116" s="728">
        <f t="shared" si="72"/>
        <v>1681.7229345621508</v>
      </c>
      <c r="AB116" s="728">
        <f t="shared" si="72"/>
        <v>976.42048867376297</v>
      </c>
      <c r="AC116" s="728">
        <f t="shared" si="72"/>
        <v>1228.6328717743033</v>
      </c>
      <c r="AD116" s="728">
        <f t="shared" si="72"/>
        <v>8564.3608457251285</v>
      </c>
      <c r="AE116" s="728">
        <f t="shared" si="72"/>
        <v>3110.4803414322159</v>
      </c>
      <c r="AF116" s="728">
        <f t="shared" si="72"/>
        <v>25799.009485174389</v>
      </c>
      <c r="AG116" s="728">
        <f t="shared" si="72"/>
        <v>13188.869221561434</v>
      </c>
      <c r="AH116" s="728">
        <f t="shared" si="72"/>
        <v>168219.73003428555</v>
      </c>
      <c r="AI116" s="728">
        <f t="shared" si="72"/>
        <v>1662.0420294872449</v>
      </c>
      <c r="AJ116" s="728">
        <f t="shared" si="72"/>
        <v>98955.294472853857</v>
      </c>
      <c r="AK116" s="728">
        <f t="shared" si="72"/>
        <v>84396.611321500386</v>
      </c>
      <c r="AL116" s="728">
        <f t="shared" ref="AL116:BC116" si="73">AL114+SUM(AL109:AL112)+AL105+AL107</f>
        <v>0</v>
      </c>
      <c r="AM116" s="728">
        <f t="shared" si="73"/>
        <v>2543.7540649461939</v>
      </c>
      <c r="AN116" s="728">
        <f t="shared" si="73"/>
        <v>16775.067894038715</v>
      </c>
      <c r="AO116" s="728">
        <f t="shared" si="73"/>
        <v>102900.80024860881</v>
      </c>
      <c r="AP116" s="728">
        <f t="shared" si="73"/>
        <v>15459.222351388198</v>
      </c>
      <c r="AQ116" s="728">
        <f t="shared" si="73"/>
        <v>16065.231687032854</v>
      </c>
      <c r="AR116" s="728">
        <f t="shared" si="73"/>
        <v>61.022848971502206</v>
      </c>
      <c r="AS116" s="728">
        <f t="shared" si="73"/>
        <v>23879.014391008732</v>
      </c>
      <c r="AT116" s="728">
        <f t="shared" si="73"/>
        <v>19360.267425263268</v>
      </c>
      <c r="AU116" s="728">
        <f t="shared" si="73"/>
        <v>28701.111824182</v>
      </c>
      <c r="AV116" s="728">
        <f t="shared" si="73"/>
        <v>39143.48138679695</v>
      </c>
      <c r="AW116" s="728">
        <f t="shared" si="73"/>
        <v>101460.53619037084</v>
      </c>
      <c r="AX116" s="728">
        <f t="shared" si="73"/>
        <v>1294.5296157386788</v>
      </c>
      <c r="AY116" s="728">
        <f t="shared" si="73"/>
        <v>68673.980904302691</v>
      </c>
      <c r="AZ116" s="728">
        <f t="shared" si="73"/>
        <v>2323.1320554926128</v>
      </c>
      <c r="BA116" s="728">
        <f t="shared" si="73"/>
        <v>40063.687431889011</v>
      </c>
      <c r="BB116" s="728">
        <f t="shared" si="73"/>
        <v>146091.72652014071</v>
      </c>
      <c r="BC116" s="728">
        <f t="shared" si="73"/>
        <v>0</v>
      </c>
      <c r="BD116" s="728">
        <f>BD114+BD112+BD111+BD110+BD109+BD107+BD105</f>
        <v>0</v>
      </c>
      <c r="BE116" s="728">
        <f t="shared" ref="BE116:BK116" si="74">BE114+BE112+BE111+BE110+BE109+BE107+BE105</f>
        <v>0</v>
      </c>
      <c r="BF116" s="728">
        <f t="shared" si="74"/>
        <v>0</v>
      </c>
      <c r="BG116" s="728">
        <f t="shared" si="74"/>
        <v>0</v>
      </c>
      <c r="BH116" s="728">
        <f t="shared" si="74"/>
        <v>0</v>
      </c>
      <c r="BI116" s="728">
        <f t="shared" si="74"/>
        <v>0</v>
      </c>
      <c r="BJ116" s="728">
        <f t="shared" si="74"/>
        <v>0</v>
      </c>
      <c r="BK116" s="728">
        <f t="shared" si="74"/>
        <v>0</v>
      </c>
      <c r="BL116" s="728">
        <f>BL114+SUM(BL109:BL112)+BL105+BL107</f>
        <v>1205742.0782492214</v>
      </c>
    </row>
    <row r="117" spans="1:73" ht="15.75" hidden="1" outlineLevel="1" thickBot="1" x14ac:dyDescent="0.3">
      <c r="C117" s="668"/>
      <c r="H117" s="242"/>
      <c r="I117" s="241"/>
      <c r="BL117" s="80"/>
    </row>
    <row r="118" spans="1:73" ht="15.75" hidden="1" outlineLevel="1" thickBot="1" x14ac:dyDescent="0.3">
      <c r="A118" s="1" t="s">
        <v>884</v>
      </c>
      <c r="C118" s="668"/>
      <c r="H118" s="242"/>
      <c r="I118" s="241"/>
      <c r="BL118" s="80"/>
    </row>
    <row r="119" spans="1:73" ht="15.75" hidden="1" outlineLevel="1" thickBot="1" x14ac:dyDescent="0.3">
      <c r="A119" s="177" t="s">
        <v>885</v>
      </c>
      <c r="B119" s="3" t="s">
        <v>875</v>
      </c>
      <c r="C119" s="651" t="s">
        <v>863</v>
      </c>
      <c r="D119" s="775">
        <f>D55</f>
        <v>98358</v>
      </c>
      <c r="E119" s="775">
        <f t="shared" ref="E119:E121" si="75">E55</f>
        <v>73997.893469756251</v>
      </c>
      <c r="F119" s="664"/>
      <c r="G119" s="664">
        <f>E119</f>
        <v>73997.893469756251</v>
      </c>
      <c r="H119" s="242"/>
      <c r="I119" s="694">
        <f t="shared" ref="I119:I121" si="76">SUM(J119:BB119)</f>
        <v>73997.893469756265</v>
      </c>
      <c r="J119" s="81">
        <v>1902.3159882713323</v>
      </c>
      <c r="K119" s="81">
        <v>484.67100979957269</v>
      </c>
      <c r="L119" s="81">
        <v>461.85880655796791</v>
      </c>
      <c r="M119" s="81">
        <v>647.73126989403738</v>
      </c>
      <c r="N119" s="81">
        <v>877.69125778654995</v>
      </c>
      <c r="O119" s="81">
        <v>2553.6688945689489</v>
      </c>
      <c r="P119" s="81">
        <v>324.49168209961738</v>
      </c>
      <c r="Q119" s="81">
        <v>917.8215434361565</v>
      </c>
      <c r="R119" s="81">
        <v>800.93525825069821</v>
      </c>
      <c r="S119" s="81">
        <v>810.53183421846461</v>
      </c>
      <c r="T119" s="81">
        <v>3021.7638767007661</v>
      </c>
      <c r="U119" s="81">
        <v>2385.1792237260638</v>
      </c>
      <c r="V119" s="81">
        <v>1219.1238125192997</v>
      </c>
      <c r="W119" s="81">
        <v>2000.4037887449065</v>
      </c>
      <c r="X119" s="81">
        <v>71.035673081974352</v>
      </c>
      <c r="Y119" s="81">
        <v>49.894721706674652</v>
      </c>
      <c r="Z119" s="81">
        <v>206.99900436870115</v>
      </c>
      <c r="AA119" s="81">
        <v>181.31010364880549</v>
      </c>
      <c r="AB119" s="81">
        <v>105.03445200944275</v>
      </c>
      <c r="AC119" s="81">
        <v>133.7527679777161</v>
      </c>
      <c r="AD119" s="81">
        <v>941.28432801980568</v>
      </c>
      <c r="AE119" s="81">
        <v>340.38146305209841</v>
      </c>
      <c r="AF119" s="81">
        <v>681.7055476023429</v>
      </c>
      <c r="AG119" s="81">
        <v>1317.2939548909508</v>
      </c>
      <c r="AH119" s="81">
        <v>18165.93879134583</v>
      </c>
      <c r="AI119" s="81">
        <v>183.04885369375936</v>
      </c>
      <c r="AJ119" s="81">
        <v>3186.7155997969576</v>
      </c>
      <c r="AK119" s="81">
        <v>2545.5184714361753</v>
      </c>
      <c r="AL119" s="81">
        <v>0</v>
      </c>
      <c r="AM119" s="81">
        <v>275.14580442909761</v>
      </c>
      <c r="AN119" s="81">
        <v>346.86485094129449</v>
      </c>
      <c r="AO119" s="81">
        <v>3174.981170775864</v>
      </c>
      <c r="AP119" s="81">
        <v>445.41110940379644</v>
      </c>
      <c r="AQ119" s="81">
        <v>1613.5648964649254</v>
      </c>
      <c r="AR119" s="81">
        <v>6.5261400583340361</v>
      </c>
      <c r="AS119" s="81">
        <v>2404.5277724593079</v>
      </c>
      <c r="AT119" s="81">
        <v>1935.9253212971246</v>
      </c>
      <c r="AU119" s="81">
        <v>2919.0918289293363</v>
      </c>
      <c r="AV119" s="81">
        <v>3949.4038957563648</v>
      </c>
      <c r="AW119" s="81">
        <v>10269.904138295431</v>
      </c>
      <c r="AX119" s="81">
        <v>138.44456173977264</v>
      </c>
      <c r="BC119" s="666">
        <f t="shared" ref="BC119:BC122" si="77">SUM(BD119:BK119)</f>
        <v>0</v>
      </c>
      <c r="BL119" s="76">
        <f>BC119+I119+H119</f>
        <v>73997.893469756265</v>
      </c>
    </row>
    <row r="120" spans="1:73" ht="15.75" hidden="1" outlineLevel="1" thickBot="1" x14ac:dyDescent="0.3">
      <c r="A120" s="69" t="s">
        <v>886</v>
      </c>
      <c r="B120" s="27" t="s">
        <v>861</v>
      </c>
      <c r="C120" s="712" t="s">
        <v>857</v>
      </c>
      <c r="D120" s="775">
        <f>D56</f>
        <v>1052104</v>
      </c>
      <c r="E120" s="775">
        <f t="shared" si="75"/>
        <v>791531.74842010241</v>
      </c>
      <c r="F120" s="664"/>
      <c r="G120" s="775">
        <f>((E120-F120)*(1+'Assumptions (3)'!$B$20))+F120</f>
        <v>839023.65332530858</v>
      </c>
      <c r="H120" s="242"/>
      <c r="I120" s="694">
        <f t="shared" si="76"/>
        <v>805555.28198606428</v>
      </c>
      <c r="J120" s="73">
        <v>4921.3398486617698</v>
      </c>
      <c r="K120" s="73">
        <v>1419.3452799197123</v>
      </c>
      <c r="L120" s="73">
        <v>1466.4148373103094</v>
      </c>
      <c r="M120" s="73">
        <v>1506.8136735435226</v>
      </c>
      <c r="N120" s="73">
        <v>2507.0735554436296</v>
      </c>
      <c r="O120" s="73">
        <v>5893.65894343534</v>
      </c>
      <c r="P120" s="73">
        <v>718.72056560209523</v>
      </c>
      <c r="Q120" s="73">
        <v>1924.7431061510918</v>
      </c>
      <c r="R120" s="73">
        <v>1652.1430195806165</v>
      </c>
      <c r="S120" s="73">
        <v>1694.6946900027622</v>
      </c>
      <c r="T120" s="73">
        <v>6170.2002588744554</v>
      </c>
      <c r="U120" s="73">
        <v>4916.0863356609052</v>
      </c>
      <c r="V120" s="73">
        <v>3838.9123955673504</v>
      </c>
      <c r="W120" s="73">
        <v>6191.5327465769324</v>
      </c>
      <c r="X120" s="73">
        <v>150.0231160967474</v>
      </c>
      <c r="Y120" s="73">
        <v>115.91137406102837</v>
      </c>
      <c r="Z120" s="73">
        <v>546.90564843286711</v>
      </c>
      <c r="AA120" s="73">
        <v>496.77592407997457</v>
      </c>
      <c r="AB120" s="73">
        <v>297.27238402656923</v>
      </c>
      <c r="AC120" s="73">
        <v>314.46129768135836</v>
      </c>
      <c r="AD120" s="73">
        <v>1856.3365100357657</v>
      </c>
      <c r="AE120" s="73">
        <v>729.85312578145613</v>
      </c>
      <c r="AF120" s="73">
        <v>1917.9943101050628</v>
      </c>
      <c r="AG120" s="73">
        <v>6213.9922454946318</v>
      </c>
      <c r="AH120" s="73">
        <v>47287.034338028243</v>
      </c>
      <c r="AI120" s="73">
        <v>346.03802907281329</v>
      </c>
      <c r="AJ120" s="73">
        <v>7419.0445997814968</v>
      </c>
      <c r="AK120" s="73">
        <v>6308.740279969631</v>
      </c>
      <c r="AL120" s="73">
        <v>0</v>
      </c>
      <c r="AM120" s="73">
        <v>717.69559596780903</v>
      </c>
      <c r="AN120" s="73">
        <v>1236.6143347740333</v>
      </c>
      <c r="AO120" s="73">
        <v>7699.7258432980807</v>
      </c>
      <c r="AP120" s="73">
        <v>1153.3203196759987</v>
      </c>
      <c r="AQ120" s="73">
        <v>7393.091624584049</v>
      </c>
      <c r="AR120" s="73">
        <v>20.010384015536395</v>
      </c>
      <c r="AS120" s="73">
        <v>10861.726546124637</v>
      </c>
      <c r="AT120" s="73">
        <v>9086.7479943525614</v>
      </c>
      <c r="AU120" s="73">
        <v>12445.726454456209</v>
      </c>
      <c r="AV120" s="73">
        <v>17653.036297277114</v>
      </c>
      <c r="AW120" s="73">
        <v>45050.546362606561</v>
      </c>
      <c r="AX120" s="73">
        <v>424.49730169944979</v>
      </c>
      <c r="AY120" s="73">
        <v>153727.9562537974</v>
      </c>
      <c r="AZ120" s="73">
        <v>5080.698143202575</v>
      </c>
      <c r="BA120" s="73">
        <v>88940.438601656671</v>
      </c>
      <c r="BB120" s="73">
        <v>325241.38748959743</v>
      </c>
      <c r="BC120" s="666">
        <f t="shared" si="77"/>
        <v>0</v>
      </c>
      <c r="BL120" s="76">
        <f>BC120+I120+H120</f>
        <v>805555.28198606428</v>
      </c>
    </row>
    <row r="121" spans="1:73" ht="30.75" hidden="1" outlineLevel="1" thickBot="1" x14ac:dyDescent="0.3">
      <c r="A121" s="721" t="s">
        <v>887</v>
      </c>
      <c r="B121" s="734" t="s">
        <v>888</v>
      </c>
      <c r="C121" s="744" t="s">
        <v>863</v>
      </c>
      <c r="D121" s="681">
        <f>D57</f>
        <v>62616</v>
      </c>
      <c r="E121" s="681">
        <f t="shared" si="75"/>
        <v>47108.034908215472</v>
      </c>
      <c r="F121" s="737"/>
      <c r="G121" s="737">
        <f>E121</f>
        <v>47108.034908215472</v>
      </c>
      <c r="H121" s="738"/>
      <c r="I121" s="739">
        <f t="shared" si="76"/>
        <v>47108.034908215486</v>
      </c>
      <c r="J121" s="740">
        <v>632.91364281152983</v>
      </c>
      <c r="K121" s="740">
        <v>158.02438114042263</v>
      </c>
      <c r="L121" s="740">
        <v>148.36467854218273</v>
      </c>
      <c r="M121" s="740">
        <v>218.79989752495291</v>
      </c>
      <c r="N121" s="740">
        <v>287.40007220476042</v>
      </c>
      <c r="O121" s="740">
        <v>584.91806184539564</v>
      </c>
      <c r="P121" s="740">
        <v>71.744540694059651</v>
      </c>
      <c r="Q121" s="740">
        <v>193.68203498709869</v>
      </c>
      <c r="R121" s="740">
        <v>166.66674112245468</v>
      </c>
      <c r="S121" s="740">
        <v>170.60930169346574</v>
      </c>
      <c r="T121" s="740">
        <v>623.41333564516287</v>
      </c>
      <c r="U121" s="740">
        <v>495.99175153234847</v>
      </c>
      <c r="V121" s="740">
        <v>768.31619980616551</v>
      </c>
      <c r="W121" s="740">
        <v>1276.3543481999131</v>
      </c>
      <c r="X121" s="740">
        <v>8.2501736324679289</v>
      </c>
      <c r="Y121" s="740">
        <v>5.7546415457066704</v>
      </c>
      <c r="Z121" s="740">
        <v>23.622510475851065</v>
      </c>
      <c r="AA121" s="740">
        <v>20.623237809076389</v>
      </c>
      <c r="AB121" s="740">
        <v>11.911026562941938</v>
      </c>
      <c r="AC121" s="740">
        <v>15.412207661951147</v>
      </c>
      <c r="AD121" s="740">
        <v>109.82398552513847</v>
      </c>
      <c r="AE121" s="740">
        <v>39.490421428683</v>
      </c>
      <c r="AF121" s="740">
        <v>300.70366790240712</v>
      </c>
      <c r="AG121" s="740">
        <v>2116.9872599083442</v>
      </c>
      <c r="AH121" s="740">
        <v>3654.6517942234223</v>
      </c>
      <c r="AI121" s="740">
        <v>21.414217129566925</v>
      </c>
      <c r="AJ121" s="740">
        <v>1157.7462169844837</v>
      </c>
      <c r="AK121" s="740">
        <v>986.10024939362017</v>
      </c>
      <c r="AL121" s="740">
        <v>0</v>
      </c>
      <c r="AM121" s="740">
        <v>31.434671641552562</v>
      </c>
      <c r="AN121" s="740">
        <v>194.78912379542891</v>
      </c>
      <c r="AO121" s="740">
        <v>1202.8493584985908</v>
      </c>
      <c r="AP121" s="740">
        <v>180.46840747155503</v>
      </c>
      <c r="AQ121" s="740">
        <v>2382.6171066987908</v>
      </c>
      <c r="AR121" s="740">
        <v>0.73419750376698278</v>
      </c>
      <c r="AS121" s="740">
        <v>3414.9432758128696</v>
      </c>
      <c r="AT121" s="740">
        <v>3047.7408869967353</v>
      </c>
      <c r="AU121" s="740">
        <v>3521.9543736554101</v>
      </c>
      <c r="AV121" s="740">
        <v>5426.4049868218572</v>
      </c>
      <c r="AW121" s="740">
        <v>13418.83276505544</v>
      </c>
      <c r="AX121" s="740">
        <v>15.575156329912208</v>
      </c>
      <c r="AY121" s="741"/>
      <c r="AZ121" s="741"/>
      <c r="BA121" s="741"/>
      <c r="BB121" s="741"/>
      <c r="BC121" s="739">
        <f t="shared" si="77"/>
        <v>0</v>
      </c>
      <c r="BD121" s="741"/>
      <c r="BE121" s="741"/>
      <c r="BF121" s="741"/>
      <c r="BG121" s="741"/>
      <c r="BH121" s="741"/>
      <c r="BI121" s="741"/>
      <c r="BJ121" s="741"/>
      <c r="BK121" s="741"/>
      <c r="BL121" s="742">
        <f>BC121+I121+H121</f>
        <v>47108.034908215486</v>
      </c>
    </row>
    <row r="122" spans="1:73" s="1" customFormat="1" ht="15.75" hidden="1" outlineLevel="1" thickBot="1" x14ac:dyDescent="0.3">
      <c r="A122" s="745" t="s">
        <v>894</v>
      </c>
      <c r="B122" s="784"/>
      <c r="C122" s="785"/>
      <c r="D122" s="749">
        <f t="shared" ref="D122:J122" si="78">SUM(D119:D121)</f>
        <v>1213078</v>
      </c>
      <c r="E122" s="749">
        <f t="shared" si="78"/>
        <v>912637.67679807416</v>
      </c>
      <c r="F122" s="749">
        <f t="shared" si="78"/>
        <v>0</v>
      </c>
      <c r="G122" s="749">
        <f t="shared" si="78"/>
        <v>960129.58170328033</v>
      </c>
      <c r="H122" s="749">
        <f t="shared" si="78"/>
        <v>0</v>
      </c>
      <c r="I122" s="749">
        <f t="shared" si="78"/>
        <v>926661.21036403603</v>
      </c>
      <c r="J122" s="749">
        <f t="shared" si="78"/>
        <v>7456.5694797446322</v>
      </c>
      <c r="K122" s="749">
        <f t="shared" ref="K122:BB122" si="79">SUM(K119:K121)</f>
        <v>2062.0406708597075</v>
      </c>
      <c r="L122" s="749">
        <f t="shared" si="79"/>
        <v>2076.6383224104602</v>
      </c>
      <c r="M122" s="749">
        <f t="shared" si="79"/>
        <v>2373.344840962513</v>
      </c>
      <c r="N122" s="749">
        <f t="shared" si="79"/>
        <v>3672.1648854349401</v>
      </c>
      <c r="O122" s="749">
        <f t="shared" si="79"/>
        <v>9032.2458998496841</v>
      </c>
      <c r="P122" s="749">
        <f t="shared" si="79"/>
        <v>1114.9567883957723</v>
      </c>
      <c r="Q122" s="749">
        <f t="shared" si="79"/>
        <v>3036.246684574347</v>
      </c>
      <c r="R122" s="749">
        <f t="shared" si="79"/>
        <v>2619.7450189537694</v>
      </c>
      <c r="S122" s="749">
        <f t="shared" si="79"/>
        <v>2675.8358259146926</v>
      </c>
      <c r="T122" s="749">
        <f t="shared" si="79"/>
        <v>9815.3774712203831</v>
      </c>
      <c r="U122" s="749">
        <f t="shared" si="79"/>
        <v>7797.2573109193181</v>
      </c>
      <c r="V122" s="749">
        <f t="shared" si="79"/>
        <v>5826.3524078928149</v>
      </c>
      <c r="W122" s="749">
        <f t="shared" si="79"/>
        <v>9468.2908835217531</v>
      </c>
      <c r="X122" s="749">
        <f t="shared" si="79"/>
        <v>229.30896281118967</v>
      </c>
      <c r="Y122" s="749">
        <f t="shared" si="79"/>
        <v>171.5607373134097</v>
      </c>
      <c r="Z122" s="749">
        <f t="shared" si="79"/>
        <v>777.52716327741939</v>
      </c>
      <c r="AA122" s="749">
        <f t="shared" si="79"/>
        <v>698.70926553785648</v>
      </c>
      <c r="AB122" s="749">
        <f t="shared" si="79"/>
        <v>414.2178625989539</v>
      </c>
      <c r="AC122" s="749">
        <f t="shared" si="79"/>
        <v>463.62627332102556</v>
      </c>
      <c r="AD122" s="749">
        <f t="shared" si="79"/>
        <v>2907.4448235807099</v>
      </c>
      <c r="AE122" s="749">
        <f t="shared" si="79"/>
        <v>1109.7250102622374</v>
      </c>
      <c r="AF122" s="749">
        <f t="shared" si="79"/>
        <v>2900.4035256098127</v>
      </c>
      <c r="AG122" s="749">
        <f t="shared" si="79"/>
        <v>9648.2734602939272</v>
      </c>
      <c r="AH122" s="749">
        <f t="shared" si="79"/>
        <v>69107.624923597497</v>
      </c>
      <c r="AI122" s="749">
        <f t="shared" si="79"/>
        <v>550.50109989613964</v>
      </c>
      <c r="AJ122" s="749">
        <f t="shared" si="79"/>
        <v>11763.506416562937</v>
      </c>
      <c r="AK122" s="749">
        <f t="shared" si="79"/>
        <v>9840.3590007994262</v>
      </c>
      <c r="AL122" s="749">
        <f t="shared" si="79"/>
        <v>0</v>
      </c>
      <c r="AM122" s="749">
        <f t="shared" si="79"/>
        <v>1024.2760720384592</v>
      </c>
      <c r="AN122" s="749">
        <f t="shared" si="79"/>
        <v>1778.2683095107566</v>
      </c>
      <c r="AO122" s="749">
        <f t="shared" si="79"/>
        <v>12077.556372572537</v>
      </c>
      <c r="AP122" s="749">
        <f t="shared" si="79"/>
        <v>1779.1998365513502</v>
      </c>
      <c r="AQ122" s="749">
        <f t="shared" si="79"/>
        <v>11389.273627747767</v>
      </c>
      <c r="AR122" s="749">
        <f t="shared" si="79"/>
        <v>27.270721577637413</v>
      </c>
      <c r="AS122" s="749">
        <f t="shared" si="79"/>
        <v>16681.197594396814</v>
      </c>
      <c r="AT122" s="749">
        <f t="shared" si="79"/>
        <v>14070.414202646421</v>
      </c>
      <c r="AU122" s="749">
        <f t="shared" si="79"/>
        <v>18886.772657040958</v>
      </c>
      <c r="AV122" s="749">
        <f t="shared" si="79"/>
        <v>27028.845179855336</v>
      </c>
      <c r="AW122" s="749">
        <f t="shared" si="79"/>
        <v>68739.283265957434</v>
      </c>
      <c r="AX122" s="749">
        <f t="shared" si="79"/>
        <v>578.51701976913466</v>
      </c>
      <c r="AY122" s="749">
        <f t="shared" si="79"/>
        <v>153727.9562537974</v>
      </c>
      <c r="AZ122" s="749">
        <f t="shared" si="79"/>
        <v>5080.698143202575</v>
      </c>
      <c r="BA122" s="749">
        <f t="shared" si="79"/>
        <v>88940.438601656671</v>
      </c>
      <c r="BB122" s="749">
        <f t="shared" si="79"/>
        <v>325241.38748959743</v>
      </c>
      <c r="BC122" s="749">
        <f t="shared" si="77"/>
        <v>0</v>
      </c>
      <c r="BD122" s="745"/>
      <c r="BE122" s="745"/>
      <c r="BF122" s="745"/>
      <c r="BG122" s="745"/>
      <c r="BH122" s="745"/>
      <c r="BI122" s="745"/>
      <c r="BJ122" s="745"/>
      <c r="BK122" s="745"/>
      <c r="BL122" s="786">
        <f>SUM(BL119:BL121)</f>
        <v>926661.21036403603</v>
      </c>
      <c r="BM122" s="631"/>
      <c r="BP122" s="691"/>
      <c r="BQ122" s="691"/>
      <c r="BR122" s="691"/>
      <c r="BU122" s="930"/>
    </row>
    <row r="123" spans="1:73" ht="15.75" hidden="1" outlineLevel="1" thickBot="1" x14ac:dyDescent="0.3">
      <c r="H123" s="242"/>
      <c r="I123" s="241"/>
    </row>
    <row r="124" spans="1:73" ht="15.75" hidden="1" outlineLevel="1" thickBot="1" x14ac:dyDescent="0.3">
      <c r="A124" s="1"/>
      <c r="D124" s="76"/>
      <c r="E124" s="76"/>
      <c r="F124" s="76"/>
      <c r="G124" s="76"/>
      <c r="H124" s="242"/>
      <c r="I124" s="692"/>
      <c r="J124" s="692"/>
      <c r="K124" s="692"/>
      <c r="L124" s="692"/>
      <c r="M124" s="692"/>
      <c r="N124" s="692"/>
      <c r="O124" s="692"/>
      <c r="P124" s="692"/>
      <c r="Q124" s="692"/>
      <c r="R124" s="692"/>
      <c r="S124" s="692"/>
      <c r="T124" s="692"/>
      <c r="U124" s="692"/>
      <c r="V124" s="692"/>
      <c r="W124" s="692"/>
      <c r="X124" s="692"/>
      <c r="Y124" s="692"/>
      <c r="Z124" s="692"/>
      <c r="AA124" s="692"/>
      <c r="AB124" s="692"/>
      <c r="AC124" s="692"/>
      <c r="AD124" s="692"/>
      <c r="AE124" s="692"/>
      <c r="AF124" s="692"/>
      <c r="AG124" s="692"/>
      <c r="AH124" s="692"/>
      <c r="AI124" s="692"/>
      <c r="AJ124" s="692"/>
      <c r="AK124" s="692"/>
      <c r="AL124" s="692"/>
      <c r="AM124" s="692"/>
      <c r="AN124" s="692"/>
      <c r="AO124" s="692"/>
      <c r="AP124" s="692"/>
      <c r="AQ124" s="692"/>
      <c r="AR124" s="692"/>
      <c r="AS124" s="692"/>
      <c r="AT124" s="692"/>
      <c r="AU124" s="692"/>
      <c r="AV124" s="692"/>
      <c r="AW124" s="692"/>
      <c r="AX124" s="692"/>
      <c r="AY124" s="692"/>
      <c r="AZ124" s="692"/>
      <c r="BA124" s="692"/>
      <c r="BB124" s="692"/>
      <c r="BC124" s="692"/>
      <c r="BD124" s="692"/>
      <c r="BE124" s="692"/>
      <c r="BF124" s="692"/>
      <c r="BG124" s="692"/>
      <c r="BH124" s="692"/>
      <c r="BI124" s="692"/>
      <c r="BJ124" s="692"/>
      <c r="BK124" s="692"/>
      <c r="BL124" s="752"/>
    </row>
    <row r="125" spans="1:73" ht="15.75" hidden="1" outlineLevel="1" thickBot="1" x14ac:dyDescent="0.3">
      <c r="H125" s="242"/>
      <c r="I125" s="241"/>
      <c r="BD125" s="77"/>
      <c r="BL125" s="73"/>
    </row>
    <row r="126" spans="1:73" s="753" customFormat="1" ht="19.5" customHeight="1" collapsed="1" thickBot="1" x14ac:dyDescent="0.3">
      <c r="A126" s="753" t="s">
        <v>895</v>
      </c>
      <c r="B126" s="754"/>
      <c r="C126" s="755"/>
      <c r="D126" s="756">
        <f>D122+D114+SUM(D109:D112)+D105+D97+D107</f>
        <v>6438973.6047999989</v>
      </c>
      <c r="E126" s="756">
        <f>E122+E114+SUM(E109:E112)+E105+E97+E107</f>
        <v>4844247.37044839</v>
      </c>
      <c r="F126" s="756"/>
      <c r="G126" s="756">
        <f>G122+G114+SUM(G109:G112)+G105+G97+G107</f>
        <v>5035588.2101936005</v>
      </c>
      <c r="H126" s="756">
        <f>H122+H114+SUM(H109:H112)+H105+H97+H107</f>
        <v>28660.563647306648</v>
      </c>
      <c r="I126" s="759">
        <f t="shared" ref="I126" si="80">SUM(J126:BB126)</f>
        <v>3209935.3829021375</v>
      </c>
      <c r="J126" s="756">
        <f t="shared" ref="J126:BB126" si="81">J122+J114+SUM(J109:J112)+J105+J97+J107</f>
        <v>31721.655833118301</v>
      </c>
      <c r="K126" s="756">
        <f t="shared" si="81"/>
        <v>8557.2229364106588</v>
      </c>
      <c r="L126" s="756">
        <f t="shared" si="81"/>
        <v>8481.4439550324405</v>
      </c>
      <c r="M126" s="756">
        <f t="shared" si="81"/>
        <v>10316.157231747555</v>
      </c>
      <c r="N126" s="756">
        <f t="shared" si="81"/>
        <v>15314.748859518957</v>
      </c>
      <c r="O126" s="756">
        <f t="shared" si="81"/>
        <v>40407.365814733785</v>
      </c>
      <c r="P126" s="756">
        <f t="shared" si="81"/>
        <v>5046.3869250909493</v>
      </c>
      <c r="Q126" s="756">
        <f t="shared" si="81"/>
        <v>13957.839079267093</v>
      </c>
      <c r="R126" s="756">
        <f t="shared" si="81"/>
        <v>12100.035212184659</v>
      </c>
      <c r="S126" s="756">
        <f t="shared" si="81"/>
        <v>12311.465743404784</v>
      </c>
      <c r="T126" s="756">
        <f t="shared" si="81"/>
        <v>45466.986730766046</v>
      </c>
      <c r="U126" s="756">
        <f t="shared" si="81"/>
        <v>36022.182906057118</v>
      </c>
      <c r="V126" s="756">
        <f t="shared" si="81"/>
        <v>22470.540909030507</v>
      </c>
      <c r="W126" s="756">
        <f t="shared" si="81"/>
        <v>36568.298178941863</v>
      </c>
      <c r="X126" s="756">
        <f t="shared" si="81"/>
        <v>1080.1971628132553</v>
      </c>
      <c r="Y126" s="756">
        <f t="shared" si="81"/>
        <v>789.05178290295657</v>
      </c>
      <c r="Z126" s="756">
        <f t="shared" si="81"/>
        <v>3463.6130095904332</v>
      </c>
      <c r="AA126" s="756">
        <f t="shared" si="81"/>
        <v>3084.848309580902</v>
      </c>
      <c r="AB126" s="756">
        <f t="shared" si="81"/>
        <v>1814.3859777084458</v>
      </c>
      <c r="AC126" s="756">
        <f t="shared" si="81"/>
        <v>2125.9708308333916</v>
      </c>
      <c r="AD126" s="756">
        <f t="shared" si="81"/>
        <v>13934.706805945558</v>
      </c>
      <c r="AE126" s="756">
        <f t="shared" si="81"/>
        <v>5207.6090190610548</v>
      </c>
      <c r="AF126" s="756">
        <f t="shared" si="81"/>
        <v>31269.146809572881</v>
      </c>
      <c r="AG126" s="756">
        <f t="shared" si="81"/>
        <v>30827.481281387703</v>
      </c>
      <c r="AH126" s="756">
        <f t="shared" si="81"/>
        <v>302653.67539578583</v>
      </c>
      <c r="AI126" s="756">
        <f t="shared" si="81"/>
        <v>2666.7808909735286</v>
      </c>
      <c r="AJ126" s="756">
        <f t="shared" si="81"/>
        <v>120359.24454315758</v>
      </c>
      <c r="AK126" s="756">
        <f t="shared" si="81"/>
        <v>102524.19246108772</v>
      </c>
      <c r="AL126" s="756">
        <f t="shared" si="81"/>
        <v>0</v>
      </c>
      <c r="AM126" s="756">
        <f t="shared" si="81"/>
        <v>4577.2268831472784</v>
      </c>
      <c r="AN126" s="756">
        <f t="shared" si="81"/>
        <v>20260.650995618471</v>
      </c>
      <c r="AO126" s="756">
        <f t="shared" si="81"/>
        <v>125055.61792638498</v>
      </c>
      <c r="AP126" s="756">
        <f t="shared" si="81"/>
        <v>18764.302916397453</v>
      </c>
      <c r="AQ126" s="756">
        <f t="shared" si="81"/>
        <v>37033.935144142153</v>
      </c>
      <c r="AR126" s="756">
        <f t="shared" si="81"/>
        <v>117.16671206062014</v>
      </c>
      <c r="AS126" s="756">
        <f t="shared" si="81"/>
        <v>54677.237001820635</v>
      </c>
      <c r="AT126" s="756">
        <f t="shared" si="81"/>
        <v>45144.370280194074</v>
      </c>
      <c r="AU126" s="756">
        <f t="shared" si="81"/>
        <v>63956.205968138383</v>
      </c>
      <c r="AV126" s="756">
        <f t="shared" si="81"/>
        <v>89182.737655889257</v>
      </c>
      <c r="AW126" s="756">
        <f t="shared" si="81"/>
        <v>229127.74159349926</v>
      </c>
      <c r="AX126" s="756">
        <f t="shared" si="81"/>
        <v>2485.5571527319535</v>
      </c>
      <c r="AY126" s="756">
        <f t="shared" si="81"/>
        <v>423239.23548303568</v>
      </c>
      <c r="AZ126" s="756">
        <f t="shared" si="81"/>
        <v>14394.181314537314</v>
      </c>
      <c r="BA126" s="756">
        <f t="shared" si="81"/>
        <v>251227.32018263877</v>
      </c>
      <c r="BB126" s="756">
        <f t="shared" si="81"/>
        <v>910148.66109619522</v>
      </c>
      <c r="BC126" s="756">
        <f>SUM(BD126:BK126)</f>
        <v>1709303.3895408027</v>
      </c>
      <c r="BD126" s="756">
        <f t="shared" ref="BD126:BK126" si="82">BD122+BD114+SUM(BD109:BD112)+BD105+BD97+BD107</f>
        <v>278648.83131959039</v>
      </c>
      <c r="BE126" s="756">
        <f t="shared" si="82"/>
        <v>254126.92484105946</v>
      </c>
      <c r="BF126" s="756">
        <f t="shared" si="82"/>
        <v>155595.00670378766</v>
      </c>
      <c r="BG126" s="756">
        <f t="shared" si="82"/>
        <v>287559.82872561546</v>
      </c>
      <c r="BH126" s="756">
        <f t="shared" si="82"/>
        <v>225259.69062010365</v>
      </c>
      <c r="BI126" s="756">
        <f t="shared" si="82"/>
        <v>164021.56732778979</v>
      </c>
      <c r="BJ126" s="756">
        <f t="shared" si="82"/>
        <v>92511.786312733937</v>
      </c>
      <c r="BK126" s="756">
        <f t="shared" si="82"/>
        <v>251579.75369012251</v>
      </c>
      <c r="BL126" s="757">
        <f>I126+BC126+H126</f>
        <v>4947899.3360902471</v>
      </c>
      <c r="BM126" s="787"/>
      <c r="BP126" s="788"/>
      <c r="BQ126" s="788"/>
      <c r="BR126" s="788"/>
      <c r="BU126" s="930"/>
    </row>
    <row r="127" spans="1:73" x14ac:dyDescent="0.25">
      <c r="A127" s="1"/>
      <c r="H127" s="692">
        <f>H126/(H126+I126+BC126)</f>
        <v>5.7924710469056924E-3</v>
      </c>
      <c r="I127" s="692">
        <f>I126/(I126+H126+BC126)</f>
        <v>0.64874710758335252</v>
      </c>
      <c r="BC127" s="692">
        <f>BC126/(BC126+I126+H126)</f>
        <v>0.34546042136974187</v>
      </c>
      <c r="BL127" s="761">
        <f>SUM(H127:BC127)</f>
        <v>1</v>
      </c>
    </row>
    <row r="128" spans="1:73" x14ac:dyDescent="0.25">
      <c r="A128" s="1"/>
      <c r="H128" s="692"/>
      <c r="I128" s="692"/>
      <c r="BC128" s="692"/>
      <c r="BL128" s="761"/>
    </row>
    <row r="129" spans="1:73" ht="15.75" thickBot="1" x14ac:dyDescent="0.3">
      <c r="A129" s="177" t="s">
        <v>896</v>
      </c>
      <c r="D129" s="76">
        <f>D126-D62</f>
        <v>0</v>
      </c>
      <c r="E129" s="76">
        <f>E126</f>
        <v>4844247.37044839</v>
      </c>
      <c r="H129" s="637">
        <f>H62</f>
        <v>27548.856455010533</v>
      </c>
      <c r="I129" s="694">
        <f t="shared" ref="I129:I130" si="83">SUM(J129:BB129)</f>
        <v>3176132.2046179175</v>
      </c>
      <c r="J129" s="76">
        <f>J62</f>
        <v>31686.435988568737</v>
      </c>
      <c r="K129" s="76">
        <f t="shared" ref="K129:BB129" si="84">K62</f>
        <v>8546.8428692607522</v>
      </c>
      <c r="L129" s="76">
        <f t="shared" si="84"/>
        <v>8470.5844367680056</v>
      </c>
      <c r="M129" s="76">
        <f t="shared" si="84"/>
        <v>10305.600641088527</v>
      </c>
      <c r="N129" s="76">
        <f t="shared" si="84"/>
        <v>15296.48900265585</v>
      </c>
      <c r="O129" s="76">
        <f t="shared" si="84"/>
        <v>40365.300010573796</v>
      </c>
      <c r="P129" s="76">
        <f t="shared" si="84"/>
        <v>5041.2886041228285</v>
      </c>
      <c r="Q129" s="76">
        <f t="shared" si="84"/>
        <v>13944.303422018018</v>
      </c>
      <c r="R129" s="76">
        <f t="shared" si="84"/>
        <v>12088.44819188488</v>
      </c>
      <c r="S129" s="76">
        <f t="shared" si="84"/>
        <v>12299.553699288159</v>
      </c>
      <c r="T129" s="76">
        <f t="shared" si="84"/>
        <v>45423.786717032694</v>
      </c>
      <c r="U129" s="76">
        <f t="shared" si="84"/>
        <v>35987.709437096382</v>
      </c>
      <c r="V129" s="76">
        <f t="shared" si="84"/>
        <v>22443.288080094029</v>
      </c>
      <c r="W129" s="76">
        <f t="shared" si="84"/>
        <v>36524.535773680684</v>
      </c>
      <c r="X129" s="76">
        <f t="shared" si="84"/>
        <v>1079.120190275594</v>
      </c>
      <c r="Y129" s="76">
        <f t="shared" si="84"/>
        <v>788.20626112447519</v>
      </c>
      <c r="Z129" s="76">
        <f t="shared" si="84"/>
        <v>3459.5470886382473</v>
      </c>
      <c r="AA129" s="76">
        <f t="shared" si="84"/>
        <v>3081.1370003160432</v>
      </c>
      <c r="AB129" s="76">
        <f t="shared" si="84"/>
        <v>1812.1557998743467</v>
      </c>
      <c r="AC129" s="76">
        <f t="shared" si="84"/>
        <v>2123.6726457079058</v>
      </c>
      <c r="AD129" s="76">
        <f t="shared" si="84"/>
        <v>13921.54840946506</v>
      </c>
      <c r="AE129" s="76">
        <f t="shared" si="84"/>
        <v>5202.3556123258677</v>
      </c>
      <c r="AF129" s="76">
        <f t="shared" si="84"/>
        <v>31255.446437008297</v>
      </c>
      <c r="AG129" s="76">
        <f t="shared" si="84"/>
        <v>30784.49945368306</v>
      </c>
      <c r="AH129" s="76">
        <f t="shared" si="84"/>
        <v>302307.63767774508</v>
      </c>
      <c r="AI129" s="76">
        <f t="shared" si="84"/>
        <v>2664.3484598436662</v>
      </c>
      <c r="AJ129" s="76">
        <f t="shared" si="84"/>
        <v>120307.50580991061</v>
      </c>
      <c r="AK129" s="76">
        <f t="shared" si="84"/>
        <v>102479.82141452201</v>
      </c>
      <c r="AL129" s="76">
        <f t="shared" si="84"/>
        <v>0</v>
      </c>
      <c r="AM129" s="76">
        <f t="shared" si="84"/>
        <v>4571.9006710548674</v>
      </c>
      <c r="AN129" s="76">
        <f t="shared" si="84"/>
        <v>20251.606080295409</v>
      </c>
      <c r="AO129" s="76">
        <f t="shared" si="84"/>
        <v>125001.61954606257</v>
      </c>
      <c r="AP129" s="76">
        <f t="shared" si="84"/>
        <v>18756.145746931586</v>
      </c>
      <c r="AQ129" s="76">
        <f t="shared" si="84"/>
        <v>36982.491807172592</v>
      </c>
      <c r="AR129" s="76">
        <f t="shared" si="84"/>
        <v>117.01512712759512</v>
      </c>
      <c r="AS129" s="76">
        <f t="shared" si="84"/>
        <v>54601.476803428493</v>
      </c>
      <c r="AT129" s="76">
        <f t="shared" si="84"/>
        <v>45081.394591363001</v>
      </c>
      <c r="AU129" s="76">
        <f t="shared" si="84"/>
        <v>63868.590139517539</v>
      </c>
      <c r="AV129" s="76">
        <f t="shared" si="84"/>
        <v>89059.328680737235</v>
      </c>
      <c r="AW129" s="76">
        <f t="shared" si="84"/>
        <v>228811.94100553083</v>
      </c>
      <c r="AX129" s="76">
        <f t="shared" si="84"/>
        <v>2482.3414525736025</v>
      </c>
      <c r="AY129" s="76">
        <f t="shared" si="84"/>
        <v>403422.1253013229</v>
      </c>
      <c r="AZ129" s="76">
        <f t="shared" si="84"/>
        <v>13734.802634813954</v>
      </c>
      <c r="BA129" s="76">
        <f t="shared" si="84"/>
        <v>239549.59479921655</v>
      </c>
      <c r="BB129" s="76">
        <f t="shared" si="84"/>
        <v>910148.66109619522</v>
      </c>
      <c r="BC129" s="728">
        <f>SUM(BD129:BK129)</f>
        <v>1640566.3093754626</v>
      </c>
      <c r="BD129" s="76">
        <f t="shared" ref="BD129:BK129" si="85">BD62</f>
        <v>267608.89032152848</v>
      </c>
      <c r="BE129" s="76">
        <f t="shared" si="85"/>
        <v>244058.53071581566</v>
      </c>
      <c r="BF129" s="76">
        <f t="shared" si="85"/>
        <v>149430.40272727681</v>
      </c>
      <c r="BG129" s="76">
        <f t="shared" si="85"/>
        <v>276166.8380300884</v>
      </c>
      <c r="BH129" s="76">
        <f t="shared" si="85"/>
        <v>216335.00329265033</v>
      </c>
      <c r="BI129" s="76">
        <f t="shared" si="85"/>
        <v>157523.10682058751</v>
      </c>
      <c r="BJ129" s="76">
        <f t="shared" si="85"/>
        <v>88846.511071200628</v>
      </c>
      <c r="BK129" s="76">
        <f t="shared" si="85"/>
        <v>240597.02639631496</v>
      </c>
      <c r="BL129" s="720">
        <f>BC129+I129+H129</f>
        <v>4844247.370448391</v>
      </c>
    </row>
    <row r="130" spans="1:73" s="753" customFormat="1" ht="19.5" customHeight="1" collapsed="1" thickBot="1" x14ac:dyDescent="0.3">
      <c r="A130" s="753" t="s">
        <v>897</v>
      </c>
      <c r="B130" s="754"/>
      <c r="C130" s="755"/>
      <c r="D130" s="756"/>
      <c r="E130" s="759">
        <f>G126-E126</f>
        <v>191340.83974521048</v>
      </c>
      <c r="F130" s="756"/>
      <c r="G130" s="756"/>
      <c r="H130" s="756">
        <f>H126-H129</f>
        <v>1111.707192296115</v>
      </c>
      <c r="I130" s="759">
        <f t="shared" si="83"/>
        <v>33803.178284219903</v>
      </c>
      <c r="J130" s="756">
        <f>J126-J129</f>
        <v>35.219844549563277</v>
      </c>
      <c r="K130" s="756">
        <f t="shared" ref="K130:BK130" si="86">K126-K129</f>
        <v>10.380067149906608</v>
      </c>
      <c r="L130" s="756">
        <f t="shared" si="86"/>
        <v>10.859518264434882</v>
      </c>
      <c r="M130" s="756">
        <f t="shared" si="86"/>
        <v>10.556590659027279</v>
      </c>
      <c r="N130" s="756">
        <f t="shared" si="86"/>
        <v>18.259856863107416</v>
      </c>
      <c r="O130" s="756">
        <f t="shared" si="86"/>
        <v>42.065804159989057</v>
      </c>
      <c r="P130" s="756">
        <f t="shared" si="86"/>
        <v>5.0983209681207882</v>
      </c>
      <c r="Q130" s="756">
        <f t="shared" si="86"/>
        <v>13.535657249074575</v>
      </c>
      <c r="R130" s="756">
        <f t="shared" si="86"/>
        <v>11.587020299779397</v>
      </c>
      <c r="S130" s="756">
        <f t="shared" si="86"/>
        <v>11.912044116625111</v>
      </c>
      <c r="T130" s="756">
        <f t="shared" si="86"/>
        <v>43.200013733352534</v>
      </c>
      <c r="U130" s="756">
        <f t="shared" si="86"/>
        <v>34.473468960735772</v>
      </c>
      <c r="V130" s="756">
        <f t="shared" si="86"/>
        <v>27.252828936478181</v>
      </c>
      <c r="W130" s="756">
        <f t="shared" si="86"/>
        <v>43.762405261179083</v>
      </c>
      <c r="X130" s="756">
        <f t="shared" si="86"/>
        <v>1.0769725376612769</v>
      </c>
      <c r="Y130" s="756">
        <f t="shared" si="86"/>
        <v>0.84552177848138399</v>
      </c>
      <c r="Z130" s="756">
        <f t="shared" si="86"/>
        <v>4.0659209521859339</v>
      </c>
      <c r="AA130" s="756">
        <f t="shared" si="86"/>
        <v>3.7113092648587553</v>
      </c>
      <c r="AB130" s="756">
        <f t="shared" si="86"/>
        <v>2.230177834099095</v>
      </c>
      <c r="AC130" s="756">
        <f t="shared" si="86"/>
        <v>2.2981851254858157</v>
      </c>
      <c r="AD130" s="756">
        <f t="shared" si="86"/>
        <v>13.158396480497686</v>
      </c>
      <c r="AE130" s="756">
        <f t="shared" si="86"/>
        <v>5.2534067351871272</v>
      </c>
      <c r="AF130" s="756">
        <f t="shared" si="86"/>
        <v>13.700372564584541</v>
      </c>
      <c r="AG130" s="756">
        <f t="shared" si="86"/>
        <v>42.981827704643365</v>
      </c>
      <c r="AH130" s="756">
        <f t="shared" si="86"/>
        <v>346.03771804075222</v>
      </c>
      <c r="AI130" s="756">
        <f t="shared" si="86"/>
        <v>2.4324311298623797</v>
      </c>
      <c r="AJ130" s="756">
        <f t="shared" si="86"/>
        <v>51.738733246966149</v>
      </c>
      <c r="AK130" s="756">
        <f t="shared" si="86"/>
        <v>44.37104656570591</v>
      </c>
      <c r="AL130" s="756">
        <f t="shared" si="86"/>
        <v>0</v>
      </c>
      <c r="AM130" s="756">
        <f t="shared" si="86"/>
        <v>5.3262120924109695</v>
      </c>
      <c r="AN130" s="756">
        <f t="shared" si="86"/>
        <v>9.0449153230620141</v>
      </c>
      <c r="AO130" s="756">
        <f t="shared" si="86"/>
        <v>53.998380322402227</v>
      </c>
      <c r="AP130" s="756">
        <f t="shared" si="86"/>
        <v>8.1571694658669003</v>
      </c>
      <c r="AQ130" s="756">
        <f t="shared" si="86"/>
        <v>51.443336969561642</v>
      </c>
      <c r="AR130" s="756">
        <f t="shared" si="86"/>
        <v>0.15158493302502052</v>
      </c>
      <c r="AS130" s="756">
        <f t="shared" si="86"/>
        <v>75.760198392141319</v>
      </c>
      <c r="AT130" s="756">
        <f t="shared" si="86"/>
        <v>62.975688831073057</v>
      </c>
      <c r="AU130" s="756">
        <f t="shared" si="86"/>
        <v>87.615828620844695</v>
      </c>
      <c r="AV130" s="756">
        <f t="shared" si="86"/>
        <v>123.40897515202232</v>
      </c>
      <c r="AW130" s="756">
        <f t="shared" si="86"/>
        <v>315.80058796843514</v>
      </c>
      <c r="AX130" s="756">
        <f t="shared" si="86"/>
        <v>3.2157001583509555</v>
      </c>
      <c r="AY130" s="756">
        <f t="shared" si="86"/>
        <v>19817.110181712778</v>
      </c>
      <c r="AZ130" s="756">
        <f t="shared" si="86"/>
        <v>659.37867972336062</v>
      </c>
      <c r="BA130" s="756">
        <f t="shared" si="86"/>
        <v>11677.725383422221</v>
      </c>
      <c r="BB130" s="756">
        <f t="shared" si="86"/>
        <v>0</v>
      </c>
      <c r="BC130" s="756">
        <f>SUM(BD130:BK130)</f>
        <v>68737.080165340056</v>
      </c>
      <c r="BD130" s="756">
        <f t="shared" si="86"/>
        <v>11039.940998061909</v>
      </c>
      <c r="BE130" s="756">
        <f t="shared" si="86"/>
        <v>10068.394125243794</v>
      </c>
      <c r="BF130" s="756">
        <f t="shared" si="86"/>
        <v>6164.6039765108435</v>
      </c>
      <c r="BG130" s="756">
        <f t="shared" si="86"/>
        <v>11392.990695527056</v>
      </c>
      <c r="BH130" s="756">
        <f t="shared" si="86"/>
        <v>8924.6873274533136</v>
      </c>
      <c r="BI130" s="756">
        <f t="shared" si="86"/>
        <v>6498.4605072022823</v>
      </c>
      <c r="BJ130" s="756">
        <f t="shared" si="86"/>
        <v>3665.2752415333089</v>
      </c>
      <c r="BK130" s="756">
        <f t="shared" si="86"/>
        <v>10982.727293807548</v>
      </c>
      <c r="BL130" s="757">
        <f>I130+BC130+H130</f>
        <v>103651.96564185608</v>
      </c>
      <c r="BM130" s="787"/>
      <c r="BP130" s="788"/>
      <c r="BQ130" s="788"/>
      <c r="BR130" s="788"/>
      <c r="BU130" s="930"/>
    </row>
    <row r="131" spans="1:73" ht="15.75" thickBot="1" x14ac:dyDescent="0.3">
      <c r="H131" s="242"/>
      <c r="I131" s="241"/>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D131" s="76"/>
      <c r="BE131" s="76"/>
      <c r="BF131" s="76"/>
      <c r="BG131" s="76"/>
      <c r="BH131" s="76"/>
      <c r="BI131" s="76"/>
      <c r="BJ131" s="76"/>
      <c r="BK131" s="76"/>
      <c r="BL131" s="76"/>
    </row>
    <row r="132" spans="1:73" s="1" customFormat="1" x14ac:dyDescent="0.25">
      <c r="B132" s="35"/>
      <c r="C132" s="686"/>
      <c r="D132" s="687"/>
      <c r="E132" s="789"/>
      <c r="F132" s="233"/>
      <c r="G132" s="233"/>
      <c r="H132" s="790"/>
      <c r="I132" s="790"/>
      <c r="J132" s="791"/>
      <c r="K132" s="791"/>
      <c r="L132" s="791"/>
      <c r="M132" s="791"/>
      <c r="N132" s="791"/>
      <c r="O132" s="791"/>
      <c r="P132" s="791"/>
      <c r="Q132" s="791"/>
      <c r="R132" s="791"/>
      <c r="S132" s="791"/>
      <c r="T132" s="791"/>
      <c r="U132" s="791"/>
      <c r="V132" s="791"/>
      <c r="W132" s="791"/>
      <c r="X132" s="791"/>
      <c r="Y132" s="791"/>
      <c r="Z132" s="791"/>
      <c r="AA132" s="791"/>
      <c r="AB132" s="791"/>
      <c r="AC132" s="791"/>
      <c r="AD132" s="791"/>
      <c r="AE132" s="791"/>
      <c r="AF132" s="791"/>
      <c r="AG132" s="791"/>
      <c r="AH132" s="791"/>
      <c r="AI132" s="791"/>
      <c r="AJ132" s="791"/>
      <c r="AK132" s="791"/>
      <c r="AL132" s="791"/>
      <c r="AM132" s="791"/>
      <c r="AN132" s="791"/>
      <c r="AO132" s="791"/>
      <c r="AP132" s="791"/>
      <c r="AQ132" s="791"/>
      <c r="AR132" s="791"/>
      <c r="AS132" s="791"/>
      <c r="AT132" s="791"/>
      <c r="AU132" s="791"/>
      <c r="AV132" s="791"/>
      <c r="AW132" s="791"/>
      <c r="AX132" s="791"/>
      <c r="AY132" s="791"/>
      <c r="AZ132" s="791"/>
      <c r="BA132" s="791"/>
      <c r="BB132" s="791"/>
      <c r="BC132" s="790"/>
      <c r="BD132" s="791"/>
      <c r="BE132" s="791"/>
      <c r="BF132" s="791"/>
      <c r="BG132" s="791"/>
      <c r="BH132" s="791"/>
      <c r="BI132" s="791"/>
      <c r="BJ132" s="791"/>
      <c r="BK132" s="791"/>
      <c r="BL132" s="791"/>
      <c r="BM132" s="792"/>
      <c r="BN132" s="793"/>
      <c r="BP132" s="691"/>
      <c r="BQ132" s="691"/>
      <c r="BR132" s="691"/>
      <c r="BU132" s="930"/>
    </row>
    <row r="133" spans="1:73" x14ac:dyDescent="0.25">
      <c r="E133" s="12"/>
      <c r="F133" s="794" t="s">
        <v>898</v>
      </c>
      <c r="G133" s="71"/>
      <c r="H133" s="636"/>
      <c r="I133" s="635"/>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635"/>
      <c r="BD133" s="71"/>
      <c r="BE133" s="71"/>
      <c r="BF133" s="71"/>
      <c r="BG133" s="71"/>
      <c r="BH133" s="71"/>
      <c r="BI133" s="71"/>
      <c r="BJ133" s="71"/>
      <c r="BK133" s="71"/>
      <c r="BL133" s="71"/>
      <c r="BM133" s="795"/>
      <c r="BN133" s="214"/>
    </row>
    <row r="134" spans="1:73" x14ac:dyDescent="0.25">
      <c r="E134" s="796"/>
      <c r="F134" s="797" t="s">
        <v>899</v>
      </c>
      <c r="G134" s="797"/>
      <c r="H134" s="798">
        <f t="shared" ref="H134:BA134" si="87">H5+H7+H8+H9+H11+H12+H13+H15+H16+H17+H19+H20+H26+H27</f>
        <v>27548.856455010533</v>
      </c>
      <c r="I134" s="798">
        <f t="shared" si="87"/>
        <v>952823.96589020861</v>
      </c>
      <c r="J134" s="695">
        <f t="shared" si="87"/>
        <v>5987.2352934556566</v>
      </c>
      <c r="K134" s="695">
        <f t="shared" si="87"/>
        <v>1775.8872035563556</v>
      </c>
      <c r="L134" s="695">
        <f t="shared" si="87"/>
        <v>1864.6463810056584</v>
      </c>
      <c r="M134" s="695">
        <f t="shared" si="87"/>
        <v>1783.0302951673259</v>
      </c>
      <c r="N134" s="695">
        <f t="shared" si="87"/>
        <v>3120.2739526738569</v>
      </c>
      <c r="O134" s="695">
        <f t="shared" si="87"/>
        <v>7145.2984149826325</v>
      </c>
      <c r="P134" s="695">
        <f t="shared" si="87"/>
        <v>864.39285781493209</v>
      </c>
      <c r="Q134" s="695">
        <f t="shared" si="87"/>
        <v>2288.8561058429996</v>
      </c>
      <c r="R134" s="695">
        <f t="shared" si="87"/>
        <v>1957.7094761272788</v>
      </c>
      <c r="S134" s="695">
        <f t="shared" si="87"/>
        <v>2014.0051838496638</v>
      </c>
      <c r="T134" s="695">
        <f t="shared" si="87"/>
        <v>7295.1275787092272</v>
      </c>
      <c r="U134" s="695">
        <f t="shared" si="87"/>
        <v>5824.2960603958209</v>
      </c>
      <c r="V134" s="695">
        <f t="shared" si="87"/>
        <v>4621.653031098569</v>
      </c>
      <c r="W134" s="695">
        <f t="shared" si="87"/>
        <v>7411.5761992540456</v>
      </c>
      <c r="X134" s="695">
        <f t="shared" si="87"/>
        <v>183.25019230966933</v>
      </c>
      <c r="Y134" s="695">
        <f t="shared" si="87"/>
        <v>144.5491373868588</v>
      </c>
      <c r="Z134" s="695">
        <f t="shared" si="87"/>
        <v>698.92139380327615</v>
      </c>
      <c r="AA134" s="695">
        <f t="shared" si="87"/>
        <v>638.84964580173096</v>
      </c>
      <c r="AB134" s="695">
        <f t="shared" si="87"/>
        <v>384.34781803331009</v>
      </c>
      <c r="AC134" s="695">
        <f t="shared" si="87"/>
        <v>393.11041518780883</v>
      </c>
      <c r="AD134" s="695">
        <f t="shared" si="87"/>
        <v>2230.4361321509182</v>
      </c>
      <c r="AE134" s="695">
        <f t="shared" si="87"/>
        <v>894.59348171162901</v>
      </c>
      <c r="AF134" s="695">
        <f t="shared" si="87"/>
        <v>2327.693883481074</v>
      </c>
      <c r="AG134" s="695">
        <f t="shared" si="87"/>
        <v>7230.99297675035</v>
      </c>
      <c r="AH134" s="695">
        <f t="shared" si="87"/>
        <v>59212.98741918365</v>
      </c>
      <c r="AI134" s="695">
        <f t="shared" si="87"/>
        <v>411.26481162924699</v>
      </c>
      <c r="AJ134" s="695">
        <f t="shared" si="87"/>
        <v>8726.3926997111721</v>
      </c>
      <c r="AK134" s="695">
        <f t="shared" si="87"/>
        <v>7503.3336494605046</v>
      </c>
      <c r="AL134" s="695">
        <f t="shared" si="87"/>
        <v>0</v>
      </c>
      <c r="AM134" s="695">
        <f t="shared" si="87"/>
        <v>915.10033253003576</v>
      </c>
      <c r="AN134" s="695">
        <f t="shared" si="87"/>
        <v>1547.5212880281942</v>
      </c>
      <c r="AO134" s="695">
        <f t="shared" si="87"/>
        <v>9123.2899195078353</v>
      </c>
      <c r="AP134" s="695">
        <f t="shared" si="87"/>
        <v>1381.770734560924</v>
      </c>
      <c r="AQ134" s="695">
        <f t="shared" si="87"/>
        <v>8670.5975428992842</v>
      </c>
      <c r="AR134" s="695">
        <f t="shared" si="87"/>
        <v>26.195141028038549</v>
      </c>
      <c r="AS134" s="695">
        <f t="shared" si="87"/>
        <v>12778.594844820598</v>
      </c>
      <c r="AT134" s="695">
        <f t="shared" si="87"/>
        <v>10601.118149602025</v>
      </c>
      <c r="AU134" s="695">
        <f t="shared" si="87"/>
        <v>14820.441847947244</v>
      </c>
      <c r="AV134" s="695">
        <f t="shared" si="87"/>
        <v>20830.185861551388</v>
      </c>
      <c r="AW134" s="695">
        <f t="shared" si="87"/>
        <v>53348.778416395049</v>
      </c>
      <c r="AX134" s="695">
        <f t="shared" si="87"/>
        <v>555.69981442661674</v>
      </c>
      <c r="AY134" s="695">
        <f t="shared" si="87"/>
        <v>171687.44712042777</v>
      </c>
      <c r="AZ134" s="695">
        <f t="shared" si="87"/>
        <v>5773.984899937439</v>
      </c>
      <c r="BA134" s="695">
        <f t="shared" si="87"/>
        <v>104118.16499496684</v>
      </c>
      <c r="BB134" s="695">
        <f>BB5+BB7+BB8+BB9+BB11+BB12+BB13+BB15+BB16+BB17+BB19+BB20+BB26+BB27</f>
        <v>391710.36329104408</v>
      </c>
      <c r="BC134" s="798">
        <f t="shared" ref="BC134:BL134" si="88">BC5+BC7+BC8+BC9+BC11+BC12+BC13+BC15+BC16+BC17+BC19+BC20+BC26+BC27</f>
        <v>1523658.629321615</v>
      </c>
      <c r="BD134" s="695">
        <f t="shared" si="88"/>
        <v>248832.21422603185</v>
      </c>
      <c r="BE134" s="695">
        <f t="shared" si="88"/>
        <v>226934.25665269414</v>
      </c>
      <c r="BF134" s="695">
        <f t="shared" si="88"/>
        <v>138945.67530488601</v>
      </c>
      <c r="BG134" s="695">
        <f t="shared" si="88"/>
        <v>256789.69678572184</v>
      </c>
      <c r="BH134" s="695">
        <f t="shared" si="88"/>
        <v>201155.93999597215</v>
      </c>
      <c r="BI134" s="695">
        <f t="shared" si="88"/>
        <v>146470.5578907938</v>
      </c>
      <c r="BJ134" s="695">
        <f t="shared" si="88"/>
        <v>82612.629384405693</v>
      </c>
      <c r="BK134" s="695">
        <f t="shared" si="88"/>
        <v>221917.65908110951</v>
      </c>
      <c r="BL134" s="695">
        <f t="shared" si="88"/>
        <v>2504031.4516668343</v>
      </c>
      <c r="BM134" s="799"/>
      <c r="BN134" s="800"/>
    </row>
    <row r="135" spans="1:73" x14ac:dyDescent="0.25">
      <c r="E135" s="796"/>
      <c r="F135" s="801" t="s">
        <v>900</v>
      </c>
      <c r="G135" s="801"/>
      <c r="H135" s="798">
        <f t="shared" ref="H135:I135" si="89">+H43</f>
        <v>0</v>
      </c>
      <c r="I135" s="798">
        <f t="shared" si="89"/>
        <v>33953.990704517346</v>
      </c>
      <c r="J135" s="695">
        <f>+J43</f>
        <v>872.87916390780333</v>
      </c>
      <c r="K135" s="695">
        <f t="shared" ref="K135:BL135" si="90">+K43</f>
        <v>222.39166805754655</v>
      </c>
      <c r="L135" s="695">
        <f t="shared" si="90"/>
        <v>211.92427093993018</v>
      </c>
      <c r="M135" s="695">
        <f t="shared" si="90"/>
        <v>297.21199463598464</v>
      </c>
      <c r="N135" s="695">
        <f t="shared" si="90"/>
        <v>402.72931310538848</v>
      </c>
      <c r="O135" s="695">
        <f t="shared" si="90"/>
        <v>1171.7529492112819</v>
      </c>
      <c r="P135" s="695">
        <f t="shared" si="90"/>
        <v>148.89325953862044</v>
      </c>
      <c r="Q135" s="695">
        <f t="shared" si="90"/>
        <v>421.14312574281541</v>
      </c>
      <c r="R135" s="695">
        <f t="shared" si="90"/>
        <v>367.50976329723864</v>
      </c>
      <c r="S135" s="695">
        <f t="shared" si="90"/>
        <v>371.91315960929597</v>
      </c>
      <c r="T135" s="695">
        <f t="shared" si="90"/>
        <v>1386.5386941410463</v>
      </c>
      <c r="U135" s="695">
        <f t="shared" si="90"/>
        <v>1094.44133330772</v>
      </c>
      <c r="V135" s="695">
        <f t="shared" si="90"/>
        <v>559.39590516660144</v>
      </c>
      <c r="W135" s="695">
        <f t="shared" si="90"/>
        <v>917.88682709037062</v>
      </c>
      <c r="X135" s="695">
        <f t="shared" si="90"/>
        <v>32.59477358636267</v>
      </c>
      <c r="Y135" s="695">
        <f t="shared" si="90"/>
        <v>22.894231681410201</v>
      </c>
      <c r="Z135" s="695">
        <f t="shared" si="90"/>
        <v>94.981653404117836</v>
      </c>
      <c r="AA135" s="695">
        <f t="shared" si="90"/>
        <v>83.194281421574843</v>
      </c>
      <c r="AB135" s="695">
        <f t="shared" si="90"/>
        <v>48.195139617593206</v>
      </c>
      <c r="AC135" s="695">
        <f t="shared" si="90"/>
        <v>61.37256113209456</v>
      </c>
      <c r="AD135" s="695">
        <f t="shared" si="90"/>
        <v>431.90904261288034</v>
      </c>
      <c r="AE135" s="695">
        <f t="shared" si="90"/>
        <v>156.18429782983702</v>
      </c>
      <c r="AF135" s="695">
        <f t="shared" si="90"/>
        <v>312.80111826383455</v>
      </c>
      <c r="AG135" s="695">
        <f t="shared" si="90"/>
        <v>604.44135099284676</v>
      </c>
      <c r="AH135" s="695">
        <f t="shared" si="90"/>
        <v>8335.455077681132</v>
      </c>
      <c r="AI135" s="695">
        <f t="shared" si="90"/>
        <v>83.992108225765847</v>
      </c>
      <c r="AJ135" s="695">
        <f t="shared" si="90"/>
        <v>1462.2269199821144</v>
      </c>
      <c r="AK135" s="695">
        <f t="shared" si="90"/>
        <v>1168.0131212471092</v>
      </c>
      <c r="AL135" s="695">
        <f t="shared" si="90"/>
        <v>0</v>
      </c>
      <c r="AM135" s="695">
        <f t="shared" si="90"/>
        <v>126.25086536809086</v>
      </c>
      <c r="AN135" s="695">
        <f t="shared" si="90"/>
        <v>159.15920538194882</v>
      </c>
      <c r="AO135" s="695">
        <f t="shared" si="90"/>
        <v>1456.8425681415058</v>
      </c>
      <c r="AP135" s="695">
        <f t="shared" si="90"/>
        <v>204.37723236765373</v>
      </c>
      <c r="AQ135" s="695">
        <f t="shared" si="90"/>
        <v>740.38550189401792</v>
      </c>
      <c r="AR135" s="695">
        <f t="shared" si="90"/>
        <v>2.9945244180176256</v>
      </c>
      <c r="AS135" s="695">
        <f t="shared" si="90"/>
        <v>1103.3194298727658</v>
      </c>
      <c r="AT135" s="695">
        <f t="shared" si="90"/>
        <v>888.30083238555778</v>
      </c>
      <c r="AU135" s="695">
        <f t="shared" si="90"/>
        <v>1339.427545536935</v>
      </c>
      <c r="AV135" s="695">
        <f t="shared" si="90"/>
        <v>1812.1870350228755</v>
      </c>
      <c r="AW135" s="695">
        <f t="shared" si="90"/>
        <v>4712.353464365664</v>
      </c>
      <c r="AX135" s="695">
        <f t="shared" si="90"/>
        <v>63.52539433199491</v>
      </c>
      <c r="AY135" s="695">
        <f t="shared" si="90"/>
        <v>0</v>
      </c>
      <c r="AZ135" s="695">
        <f t="shared" si="90"/>
        <v>0</v>
      </c>
      <c r="BA135" s="695">
        <f t="shared" si="90"/>
        <v>0</v>
      </c>
      <c r="BB135" s="695">
        <f t="shared" si="90"/>
        <v>0</v>
      </c>
      <c r="BC135" s="798">
        <f t="shared" si="90"/>
        <v>0</v>
      </c>
      <c r="BD135" s="695">
        <f t="shared" si="90"/>
        <v>0</v>
      </c>
      <c r="BE135" s="695">
        <f t="shared" si="90"/>
        <v>0</v>
      </c>
      <c r="BF135" s="695">
        <f t="shared" si="90"/>
        <v>0</v>
      </c>
      <c r="BG135" s="695">
        <f t="shared" si="90"/>
        <v>0</v>
      </c>
      <c r="BH135" s="695">
        <f t="shared" si="90"/>
        <v>0</v>
      </c>
      <c r="BI135" s="695">
        <f t="shared" si="90"/>
        <v>0</v>
      </c>
      <c r="BJ135" s="695">
        <f t="shared" si="90"/>
        <v>0</v>
      </c>
      <c r="BK135" s="695">
        <f t="shared" si="90"/>
        <v>0</v>
      </c>
      <c r="BL135" s="695">
        <f t="shared" si="90"/>
        <v>33953.990704517346</v>
      </c>
      <c r="BM135" s="795"/>
      <c r="BN135" s="214"/>
    </row>
    <row r="136" spans="1:73" x14ac:dyDescent="0.25">
      <c r="E136" s="802"/>
      <c r="F136" s="803" t="s">
        <v>901</v>
      </c>
      <c r="G136" s="803"/>
      <c r="H136" s="798">
        <f t="shared" ref="H136:BL136" si="91">H55+H56+H57</f>
        <v>0</v>
      </c>
      <c r="I136" s="798">
        <f t="shared" si="91"/>
        <v>912637.67679807427</v>
      </c>
      <c r="J136" s="695">
        <f t="shared" si="91"/>
        <v>7456.5694797446322</v>
      </c>
      <c r="K136" s="695">
        <f t="shared" si="91"/>
        <v>2062.0406708597075</v>
      </c>
      <c r="L136" s="695">
        <f t="shared" si="91"/>
        <v>2076.6383224104602</v>
      </c>
      <c r="M136" s="695">
        <f t="shared" si="91"/>
        <v>2373.344840962513</v>
      </c>
      <c r="N136" s="695">
        <f t="shared" si="91"/>
        <v>3672.1648854349401</v>
      </c>
      <c r="O136" s="695">
        <f t="shared" si="91"/>
        <v>9032.2458998496841</v>
      </c>
      <c r="P136" s="695">
        <f t="shared" si="91"/>
        <v>1114.9567883957723</v>
      </c>
      <c r="Q136" s="695">
        <f t="shared" si="91"/>
        <v>3036.246684574347</v>
      </c>
      <c r="R136" s="695">
        <f t="shared" si="91"/>
        <v>2619.7450189537694</v>
      </c>
      <c r="S136" s="695">
        <f t="shared" si="91"/>
        <v>2675.8358259146926</v>
      </c>
      <c r="T136" s="695">
        <f t="shared" si="91"/>
        <v>9815.3774712203831</v>
      </c>
      <c r="U136" s="695">
        <f t="shared" si="91"/>
        <v>7797.2573109193181</v>
      </c>
      <c r="V136" s="695">
        <f t="shared" si="91"/>
        <v>5826.3524078928149</v>
      </c>
      <c r="W136" s="695">
        <f t="shared" si="91"/>
        <v>9468.2908835217531</v>
      </c>
      <c r="X136" s="695">
        <f t="shared" si="91"/>
        <v>229.30896281118967</v>
      </c>
      <c r="Y136" s="695">
        <f t="shared" si="91"/>
        <v>171.5607373134097</v>
      </c>
      <c r="Z136" s="695">
        <f t="shared" si="91"/>
        <v>777.52716327741939</v>
      </c>
      <c r="AA136" s="695">
        <f t="shared" si="91"/>
        <v>698.70926553785648</v>
      </c>
      <c r="AB136" s="695">
        <f t="shared" si="91"/>
        <v>414.2178625989539</v>
      </c>
      <c r="AC136" s="695">
        <f t="shared" si="91"/>
        <v>463.62627332102556</v>
      </c>
      <c r="AD136" s="695">
        <f t="shared" si="91"/>
        <v>2907.4448235807099</v>
      </c>
      <c r="AE136" s="695">
        <f t="shared" si="91"/>
        <v>1109.7250102622374</v>
      </c>
      <c r="AF136" s="695">
        <f t="shared" si="91"/>
        <v>2900.4035256098127</v>
      </c>
      <c r="AG136" s="695">
        <f t="shared" si="91"/>
        <v>9648.2734602939272</v>
      </c>
      <c r="AH136" s="695">
        <f t="shared" si="91"/>
        <v>69107.624923597497</v>
      </c>
      <c r="AI136" s="695">
        <f t="shared" si="91"/>
        <v>550.50109989613964</v>
      </c>
      <c r="AJ136" s="695">
        <f t="shared" si="91"/>
        <v>11763.506416562937</v>
      </c>
      <c r="AK136" s="695">
        <f t="shared" si="91"/>
        <v>9840.3590007994262</v>
      </c>
      <c r="AL136" s="695">
        <f t="shared" si="91"/>
        <v>0</v>
      </c>
      <c r="AM136" s="695">
        <f t="shared" si="91"/>
        <v>1024.2760720384592</v>
      </c>
      <c r="AN136" s="695">
        <f t="shared" si="91"/>
        <v>1778.2683095107566</v>
      </c>
      <c r="AO136" s="695">
        <f t="shared" si="91"/>
        <v>12077.556372572537</v>
      </c>
      <c r="AP136" s="695">
        <f t="shared" si="91"/>
        <v>1779.1998365513502</v>
      </c>
      <c r="AQ136" s="695">
        <f t="shared" si="91"/>
        <v>11389.273627747767</v>
      </c>
      <c r="AR136" s="695">
        <f t="shared" si="91"/>
        <v>27.270721577637413</v>
      </c>
      <c r="AS136" s="695">
        <f t="shared" si="91"/>
        <v>16681.197594396814</v>
      </c>
      <c r="AT136" s="695">
        <f t="shared" si="91"/>
        <v>14070.414202646421</v>
      </c>
      <c r="AU136" s="695">
        <f t="shared" si="91"/>
        <v>18886.772657040958</v>
      </c>
      <c r="AV136" s="695">
        <f t="shared" si="91"/>
        <v>27028.845179855336</v>
      </c>
      <c r="AW136" s="695">
        <f t="shared" si="91"/>
        <v>68739.283265957434</v>
      </c>
      <c r="AX136" s="695">
        <f t="shared" si="91"/>
        <v>578.51701976913466</v>
      </c>
      <c r="AY136" s="695">
        <f t="shared" si="91"/>
        <v>145026.37382433718</v>
      </c>
      <c r="AZ136" s="695">
        <f t="shared" si="91"/>
        <v>4793.1114558514855</v>
      </c>
      <c r="BA136" s="695">
        <f t="shared" si="91"/>
        <v>83906.074152506291</v>
      </c>
      <c r="BB136" s="695">
        <f t="shared" si="91"/>
        <v>325241.38748959743</v>
      </c>
      <c r="BC136" s="798">
        <f t="shared" si="91"/>
        <v>0</v>
      </c>
      <c r="BD136" s="695">
        <f t="shared" si="91"/>
        <v>0</v>
      </c>
      <c r="BE136" s="695">
        <f t="shared" si="91"/>
        <v>0</v>
      </c>
      <c r="BF136" s="695">
        <f t="shared" si="91"/>
        <v>0</v>
      </c>
      <c r="BG136" s="695">
        <f t="shared" si="91"/>
        <v>0</v>
      </c>
      <c r="BH136" s="695">
        <f t="shared" si="91"/>
        <v>0</v>
      </c>
      <c r="BI136" s="695">
        <f t="shared" si="91"/>
        <v>0</v>
      </c>
      <c r="BJ136" s="695">
        <f t="shared" si="91"/>
        <v>0</v>
      </c>
      <c r="BK136" s="695">
        <f t="shared" si="91"/>
        <v>0</v>
      </c>
      <c r="BL136" s="695">
        <f t="shared" si="91"/>
        <v>912637.67679807427</v>
      </c>
      <c r="BM136" s="795"/>
      <c r="BN136" s="214"/>
    </row>
    <row r="137" spans="1:73" x14ac:dyDescent="0.25">
      <c r="E137" s="802"/>
      <c r="F137" s="804" t="s">
        <v>902</v>
      </c>
      <c r="G137" s="804"/>
      <c r="H137" s="798">
        <f t="shared" ref="H137:BL137" si="92">H6+H10+H14+H18</f>
        <v>0</v>
      </c>
      <c r="I137" s="798">
        <f t="shared" si="92"/>
        <v>110566.3199461523</v>
      </c>
      <c r="J137" s="695">
        <f t="shared" si="92"/>
        <v>586.99740915943016</v>
      </c>
      <c r="K137" s="695">
        <f t="shared" si="92"/>
        <v>173.00111916510582</v>
      </c>
      <c r="L137" s="695">
        <f t="shared" si="92"/>
        <v>180.99197107390071</v>
      </c>
      <c r="M137" s="695">
        <f t="shared" si="92"/>
        <v>175.94317765047077</v>
      </c>
      <c r="N137" s="695">
        <f t="shared" si="92"/>
        <v>304.33094771846129</v>
      </c>
      <c r="O137" s="695">
        <f t="shared" si="92"/>
        <v>701.09673599982693</v>
      </c>
      <c r="P137" s="695">
        <f t="shared" si="92"/>
        <v>84.972016135346522</v>
      </c>
      <c r="Q137" s="695">
        <f t="shared" si="92"/>
        <v>225.59428748458527</v>
      </c>
      <c r="R137" s="695">
        <f t="shared" si="92"/>
        <v>193.11700499634986</v>
      </c>
      <c r="S137" s="695">
        <f t="shared" si="92"/>
        <v>198.53406861041597</v>
      </c>
      <c r="T137" s="695">
        <f t="shared" si="92"/>
        <v>720.00022888917545</v>
      </c>
      <c r="U137" s="695">
        <f t="shared" si="92"/>
        <v>574.55781601228955</v>
      </c>
      <c r="V137" s="695">
        <f t="shared" si="92"/>
        <v>454.21381560794259</v>
      </c>
      <c r="W137" s="695">
        <f t="shared" si="92"/>
        <v>729.37342101962565</v>
      </c>
      <c r="X137" s="695">
        <f t="shared" si="92"/>
        <v>17.949542294358096</v>
      </c>
      <c r="Y137" s="695">
        <f t="shared" si="92"/>
        <v>14.092029641358341</v>
      </c>
      <c r="Z137" s="695">
        <f t="shared" si="92"/>
        <v>67.765349203097372</v>
      </c>
      <c r="AA137" s="695">
        <f t="shared" si="92"/>
        <v>61.855154414305133</v>
      </c>
      <c r="AB137" s="695">
        <f t="shared" si="92"/>
        <v>37.169630568319818</v>
      </c>
      <c r="AC137" s="695">
        <f t="shared" si="92"/>
        <v>38.303085424767652</v>
      </c>
      <c r="AD137" s="695">
        <f t="shared" si="92"/>
        <v>219.30660800830304</v>
      </c>
      <c r="AE137" s="695">
        <f t="shared" si="92"/>
        <v>87.556778919784634</v>
      </c>
      <c r="AF137" s="695">
        <f t="shared" si="92"/>
        <v>228.33954274302158</v>
      </c>
      <c r="AG137" s="695">
        <f t="shared" si="92"/>
        <v>716.36379507735273</v>
      </c>
      <c r="AH137" s="695">
        <f t="shared" si="92"/>
        <v>5767.295300678441</v>
      </c>
      <c r="AI137" s="695">
        <f t="shared" si="92"/>
        <v>40.540518831034589</v>
      </c>
      <c r="AJ137" s="695">
        <f t="shared" si="92"/>
        <v>862.31222078265046</v>
      </c>
      <c r="AK137" s="695">
        <f t="shared" si="92"/>
        <v>739.51744276170336</v>
      </c>
      <c r="AL137" s="695">
        <f t="shared" si="92"/>
        <v>0</v>
      </c>
      <c r="AM137" s="695">
        <f t="shared" si="92"/>
        <v>88.770201540178888</v>
      </c>
      <c r="AN137" s="695">
        <f t="shared" si="92"/>
        <v>150.7485887177418</v>
      </c>
      <c r="AO137" s="695">
        <f t="shared" si="92"/>
        <v>899.97300537339913</v>
      </c>
      <c r="AP137" s="695">
        <f t="shared" si="92"/>
        <v>135.95282443111435</v>
      </c>
      <c r="AQ137" s="695">
        <f t="shared" si="92"/>
        <v>857.38894949269286</v>
      </c>
      <c r="AR137" s="695">
        <f t="shared" si="92"/>
        <v>2.5264155504169667</v>
      </c>
      <c r="AS137" s="695">
        <f t="shared" si="92"/>
        <v>1262.6699732023485</v>
      </c>
      <c r="AT137" s="695">
        <f t="shared" si="92"/>
        <v>1049.5948138512829</v>
      </c>
      <c r="AU137" s="695">
        <f t="shared" si="92"/>
        <v>1460.2638103473364</v>
      </c>
      <c r="AV137" s="695">
        <f t="shared" si="92"/>
        <v>2056.8162525335688</v>
      </c>
      <c r="AW137" s="695">
        <f t="shared" si="92"/>
        <v>5263.3431328074757</v>
      </c>
      <c r="AX137" s="695">
        <f t="shared" si="92"/>
        <v>53.595002639172705</v>
      </c>
      <c r="AY137" s="695">
        <f t="shared" si="92"/>
        <v>21532.592755022393</v>
      </c>
      <c r="AZ137" s="695">
        <f t="shared" si="92"/>
        <v>960.19177797155896</v>
      </c>
      <c r="BA137" s="695">
        <f t="shared" si="92"/>
        <v>13485.617628387152</v>
      </c>
      <c r="BB137" s="695">
        <f t="shared" si="92"/>
        <v>47105.183795413046</v>
      </c>
      <c r="BC137" s="798">
        <f t="shared" si="92"/>
        <v>116907.68005384773</v>
      </c>
      <c r="BD137" s="695">
        <f t="shared" si="92"/>
        <v>18776.676095496627</v>
      </c>
      <c r="BE137" s="695">
        <f t="shared" si="92"/>
        <v>17124.274063121538</v>
      </c>
      <c r="BF137" s="695">
        <f t="shared" si="92"/>
        <v>10484.727422390766</v>
      </c>
      <c r="BG137" s="695">
        <f t="shared" si="92"/>
        <v>19377.141244366536</v>
      </c>
      <c r="BH137" s="695">
        <f t="shared" si="92"/>
        <v>15179.063296678189</v>
      </c>
      <c r="BI137" s="695">
        <f t="shared" si="92"/>
        <v>11052.548929793691</v>
      </c>
      <c r="BJ137" s="695">
        <f t="shared" si="92"/>
        <v>6233.8816867949281</v>
      </c>
      <c r="BK137" s="695">
        <f t="shared" si="92"/>
        <v>18679.367315205451</v>
      </c>
      <c r="BL137" s="695">
        <f t="shared" si="92"/>
        <v>227474</v>
      </c>
      <c r="BM137" s="795"/>
      <c r="BN137" s="214"/>
    </row>
    <row r="138" spans="1:73" x14ac:dyDescent="0.25">
      <c r="E138" s="802"/>
      <c r="F138" s="805" t="s">
        <v>903</v>
      </c>
      <c r="G138" s="805"/>
      <c r="H138" s="798">
        <f t="shared" ref="H138:BL138" si="93">H50</f>
        <v>0</v>
      </c>
      <c r="I138" s="798">
        <f t="shared" si="93"/>
        <v>26795</v>
      </c>
      <c r="J138" s="695">
        <f t="shared" si="93"/>
        <v>0</v>
      </c>
      <c r="K138" s="695">
        <f t="shared" si="93"/>
        <v>0</v>
      </c>
      <c r="L138" s="695">
        <f t="shared" si="93"/>
        <v>0</v>
      </c>
      <c r="M138" s="695">
        <f t="shared" si="93"/>
        <v>0</v>
      </c>
      <c r="N138" s="695">
        <f t="shared" si="93"/>
        <v>0</v>
      </c>
      <c r="O138" s="695">
        <f t="shared" si="93"/>
        <v>0</v>
      </c>
      <c r="P138" s="695">
        <f t="shared" si="93"/>
        <v>0</v>
      </c>
      <c r="Q138" s="695">
        <f t="shared" si="93"/>
        <v>0</v>
      </c>
      <c r="R138" s="695">
        <f t="shared" si="93"/>
        <v>0</v>
      </c>
      <c r="S138" s="695">
        <f t="shared" si="93"/>
        <v>0</v>
      </c>
      <c r="T138" s="695">
        <f t="shared" si="93"/>
        <v>0</v>
      </c>
      <c r="U138" s="695">
        <f t="shared" si="93"/>
        <v>0</v>
      </c>
      <c r="V138" s="695">
        <f t="shared" si="93"/>
        <v>0</v>
      </c>
      <c r="W138" s="695">
        <f t="shared" si="93"/>
        <v>0</v>
      </c>
      <c r="X138" s="695">
        <f t="shared" si="93"/>
        <v>0</v>
      </c>
      <c r="Y138" s="695">
        <f t="shared" si="93"/>
        <v>0</v>
      </c>
      <c r="Z138" s="695">
        <f t="shared" si="93"/>
        <v>0</v>
      </c>
      <c r="AA138" s="695">
        <f t="shared" si="93"/>
        <v>0</v>
      </c>
      <c r="AB138" s="695">
        <f t="shared" si="93"/>
        <v>0</v>
      </c>
      <c r="AC138" s="695">
        <f t="shared" si="93"/>
        <v>0</v>
      </c>
      <c r="AD138" s="695">
        <f t="shared" si="93"/>
        <v>0</v>
      </c>
      <c r="AE138" s="695">
        <f t="shared" si="93"/>
        <v>0</v>
      </c>
      <c r="AF138" s="695">
        <f t="shared" si="93"/>
        <v>0</v>
      </c>
      <c r="AG138" s="695">
        <f t="shared" si="93"/>
        <v>0</v>
      </c>
      <c r="AH138" s="695">
        <f t="shared" si="93"/>
        <v>0</v>
      </c>
      <c r="AI138" s="695">
        <f t="shared" si="93"/>
        <v>0</v>
      </c>
      <c r="AJ138" s="695">
        <f t="shared" si="93"/>
        <v>0</v>
      </c>
      <c r="AK138" s="695">
        <f t="shared" si="93"/>
        <v>0</v>
      </c>
      <c r="AL138" s="695">
        <f t="shared" si="93"/>
        <v>0</v>
      </c>
      <c r="AM138" s="695">
        <f t="shared" si="93"/>
        <v>0</v>
      </c>
      <c r="AN138" s="695">
        <f t="shared" si="93"/>
        <v>0</v>
      </c>
      <c r="AO138" s="695">
        <f t="shared" si="93"/>
        <v>0</v>
      </c>
      <c r="AP138" s="695">
        <f t="shared" si="93"/>
        <v>0</v>
      </c>
      <c r="AQ138" s="695">
        <f t="shared" si="93"/>
        <v>0</v>
      </c>
      <c r="AR138" s="695">
        <f t="shared" si="93"/>
        <v>0</v>
      </c>
      <c r="AS138" s="695">
        <f t="shared" si="93"/>
        <v>0</v>
      </c>
      <c r="AT138" s="695">
        <f t="shared" si="93"/>
        <v>0</v>
      </c>
      <c r="AU138" s="695">
        <f t="shared" si="93"/>
        <v>0</v>
      </c>
      <c r="AV138" s="695">
        <f t="shared" si="93"/>
        <v>0</v>
      </c>
      <c r="AW138" s="695">
        <f t="shared" si="93"/>
        <v>0</v>
      </c>
      <c r="AX138" s="695">
        <f t="shared" si="93"/>
        <v>0</v>
      </c>
      <c r="AY138" s="695">
        <f t="shared" si="93"/>
        <v>6871.223222083343</v>
      </c>
      <c r="AZ138" s="695">
        <f t="shared" si="93"/>
        <v>280.55526040109538</v>
      </c>
      <c r="BA138" s="695">
        <f t="shared" si="93"/>
        <v>4307.2478811439096</v>
      </c>
      <c r="BB138" s="695">
        <f t="shared" si="93"/>
        <v>15335.973636371653</v>
      </c>
      <c r="BC138" s="798">
        <f t="shared" si="93"/>
        <v>0</v>
      </c>
      <c r="BD138" s="695">
        <f t="shared" si="93"/>
        <v>0</v>
      </c>
      <c r="BE138" s="695">
        <f t="shared" si="93"/>
        <v>0</v>
      </c>
      <c r="BF138" s="695">
        <f t="shared" si="93"/>
        <v>0</v>
      </c>
      <c r="BG138" s="695">
        <f t="shared" si="93"/>
        <v>0</v>
      </c>
      <c r="BH138" s="695">
        <f t="shared" si="93"/>
        <v>0</v>
      </c>
      <c r="BI138" s="695">
        <f t="shared" si="93"/>
        <v>0</v>
      </c>
      <c r="BJ138" s="695">
        <f t="shared" si="93"/>
        <v>0</v>
      </c>
      <c r="BK138" s="695">
        <f t="shared" si="93"/>
        <v>0</v>
      </c>
      <c r="BL138" s="695">
        <f t="shared" si="93"/>
        <v>26795</v>
      </c>
      <c r="BM138" s="795"/>
      <c r="BN138" s="214"/>
    </row>
    <row r="139" spans="1:73" x14ac:dyDescent="0.25">
      <c r="E139" s="796"/>
      <c r="F139" s="806" t="s">
        <v>904</v>
      </c>
      <c r="G139" s="806"/>
      <c r="H139" s="798">
        <f t="shared" ref="H139" si="94">H45+H46+H48</f>
        <v>0</v>
      </c>
      <c r="I139" s="798">
        <f>I38+I39+I40+I45+I46+I48</f>
        <v>1123636.0216671685</v>
      </c>
      <c r="J139" s="695">
        <f>J38+J39+J40+J45+J46+J48</f>
        <v>16378.649330491893</v>
      </c>
      <c r="K139" s="695">
        <f t="shared" ref="K139:BL139" si="95">K38+K39+K40+K45+K46+K48</f>
        <v>4210.5644809627693</v>
      </c>
      <c r="L139" s="695">
        <f t="shared" si="95"/>
        <v>4038.2717169605571</v>
      </c>
      <c r="M139" s="695">
        <f t="shared" si="95"/>
        <v>5538.4740298482011</v>
      </c>
      <c r="N139" s="695">
        <f t="shared" si="95"/>
        <v>7610.5436447489219</v>
      </c>
      <c r="O139" s="695">
        <f t="shared" si="95"/>
        <v>21772.435058669584</v>
      </c>
      <c r="P139" s="695">
        <f t="shared" si="95"/>
        <v>2759.1425408384807</v>
      </c>
      <c r="Q139" s="695">
        <f t="shared" si="95"/>
        <v>7777.492160314393</v>
      </c>
      <c r="R139" s="695">
        <f t="shared" si="95"/>
        <v>6780.225798293176</v>
      </c>
      <c r="S139" s="695">
        <f t="shared" si="95"/>
        <v>6867.0857489862265</v>
      </c>
      <c r="T139" s="695">
        <f t="shared" si="95"/>
        <v>25564.835279100156</v>
      </c>
      <c r="U139" s="695">
        <f t="shared" si="95"/>
        <v>20190.47790000571</v>
      </c>
      <c r="V139" s="695">
        <f t="shared" si="95"/>
        <v>10722.696803095354</v>
      </c>
      <c r="W139" s="695">
        <f t="shared" si="95"/>
        <v>17572.466528949186</v>
      </c>
      <c r="X139" s="695">
        <f t="shared" si="95"/>
        <v>600.92674841882433</v>
      </c>
      <c r="Y139" s="695">
        <f t="shared" si="95"/>
        <v>424.51108572142567</v>
      </c>
      <c r="Z139" s="695">
        <f t="shared" si="95"/>
        <v>1776.3791301898934</v>
      </c>
      <c r="AA139" s="695">
        <f t="shared" si="95"/>
        <v>1560.0132979519981</v>
      </c>
      <c r="AB139" s="695">
        <f t="shared" si="95"/>
        <v>905.91308324875899</v>
      </c>
      <c r="AC139" s="695">
        <f t="shared" si="95"/>
        <v>1138.8474684318508</v>
      </c>
      <c r="AD139" s="695">
        <f t="shared" si="95"/>
        <v>7932.4965910334577</v>
      </c>
      <c r="AE139" s="695">
        <f t="shared" si="95"/>
        <v>2881.9894667198628</v>
      </c>
      <c r="AF139" s="695">
        <f t="shared" si="95"/>
        <v>25341.394973880975</v>
      </c>
      <c r="AG139" s="695">
        <f t="shared" si="95"/>
        <v>12304.597659569059</v>
      </c>
      <c r="AH139" s="695">
        <f t="shared" si="95"/>
        <v>156025.31965956319</v>
      </c>
      <c r="AI139" s="695">
        <f t="shared" si="95"/>
        <v>1539.1652067585674</v>
      </c>
      <c r="AJ139" s="695">
        <f t="shared" si="95"/>
        <v>96816.119711901425</v>
      </c>
      <c r="AK139" s="695">
        <f t="shared" si="95"/>
        <v>82687.858627039226</v>
      </c>
      <c r="AL139" s="695">
        <f t="shared" si="95"/>
        <v>0</v>
      </c>
      <c r="AM139" s="695">
        <f t="shared" si="95"/>
        <v>2359.0545076797162</v>
      </c>
      <c r="AN139" s="695">
        <f t="shared" si="95"/>
        <v>16542.224858205074</v>
      </c>
      <c r="AO139" s="695">
        <f t="shared" si="95"/>
        <v>100769.50256159349</v>
      </c>
      <c r="AP139" s="695">
        <f t="shared" si="95"/>
        <v>15160.227297187212</v>
      </c>
      <c r="AQ139" s="695">
        <f t="shared" si="95"/>
        <v>14982.079710152175</v>
      </c>
      <c r="AR139" s="695">
        <f t="shared" si="95"/>
        <v>56.641989223579216</v>
      </c>
      <c r="AS139" s="695">
        <f t="shared" si="95"/>
        <v>22264.905769837191</v>
      </c>
      <c r="AT139" s="695">
        <f t="shared" si="95"/>
        <v>18060.721715356998</v>
      </c>
      <c r="AU139" s="695">
        <f t="shared" si="95"/>
        <v>26741.587238509546</v>
      </c>
      <c r="AV139" s="695">
        <f t="shared" si="95"/>
        <v>36492.330108927192</v>
      </c>
      <c r="AW139" s="695">
        <f t="shared" si="95"/>
        <v>94566.566822209425</v>
      </c>
      <c r="AX139" s="695">
        <f t="shared" si="95"/>
        <v>1201.5947105078164</v>
      </c>
      <c r="AY139" s="695">
        <f t="shared" si="95"/>
        <v>58304.48837945221</v>
      </c>
      <c r="AZ139" s="695">
        <f t="shared" si="95"/>
        <v>1926.959240652375</v>
      </c>
      <c r="BA139" s="695">
        <f t="shared" si="95"/>
        <v>33732.490142212358</v>
      </c>
      <c r="BB139" s="695">
        <f t="shared" si="95"/>
        <v>130755.75288376906</v>
      </c>
      <c r="BC139" s="798">
        <f t="shared" si="95"/>
        <v>0</v>
      </c>
      <c r="BD139" s="695">
        <f t="shared" si="95"/>
        <v>0</v>
      </c>
      <c r="BE139" s="695">
        <f t="shared" si="95"/>
        <v>0</v>
      </c>
      <c r="BF139" s="695">
        <f t="shared" si="95"/>
        <v>0</v>
      </c>
      <c r="BG139" s="695">
        <f t="shared" si="95"/>
        <v>0</v>
      </c>
      <c r="BH139" s="695">
        <f t="shared" si="95"/>
        <v>0</v>
      </c>
      <c r="BI139" s="695">
        <f t="shared" si="95"/>
        <v>0</v>
      </c>
      <c r="BJ139" s="695">
        <f t="shared" si="95"/>
        <v>0</v>
      </c>
      <c r="BK139" s="695">
        <f t="shared" si="95"/>
        <v>0</v>
      </c>
      <c r="BL139" s="695">
        <f t="shared" si="95"/>
        <v>1123636.0216671685</v>
      </c>
      <c r="BM139" s="795"/>
      <c r="BN139" s="214"/>
    </row>
    <row r="140" spans="1:73" x14ac:dyDescent="0.25">
      <c r="E140" s="802"/>
      <c r="F140" s="807" t="s">
        <v>905</v>
      </c>
      <c r="G140" s="807"/>
      <c r="H140" s="798">
        <f t="shared" ref="H140:BL140" si="96">H47</f>
        <v>0</v>
      </c>
      <c r="I140" s="798">
        <f t="shared" si="96"/>
        <v>15719.229611796576</v>
      </c>
      <c r="J140" s="695">
        <f t="shared" si="96"/>
        <v>404.10531180932128</v>
      </c>
      <c r="K140" s="695">
        <f t="shared" si="96"/>
        <v>102.95772665926791</v>
      </c>
      <c r="L140" s="695">
        <f t="shared" si="96"/>
        <v>98.111774377500367</v>
      </c>
      <c r="M140" s="695">
        <f t="shared" si="96"/>
        <v>137.59630282403077</v>
      </c>
      <c r="N140" s="695">
        <f t="shared" si="96"/>
        <v>186.4462589742794</v>
      </c>
      <c r="O140" s="695">
        <f t="shared" si="96"/>
        <v>542.47095186079036</v>
      </c>
      <c r="P140" s="695">
        <f t="shared" si="96"/>
        <v>68.931141399676747</v>
      </c>
      <c r="Q140" s="695">
        <f t="shared" si="96"/>
        <v>194.9710580588773</v>
      </c>
      <c r="R140" s="695">
        <f t="shared" si="96"/>
        <v>170.1411302170651</v>
      </c>
      <c r="S140" s="695">
        <f t="shared" si="96"/>
        <v>172.17971231786532</v>
      </c>
      <c r="T140" s="695">
        <f t="shared" si="96"/>
        <v>641.90746497270993</v>
      </c>
      <c r="U140" s="695">
        <f t="shared" si="96"/>
        <v>506.67901645552348</v>
      </c>
      <c r="V140" s="695">
        <f t="shared" si="96"/>
        <v>258.97611723274412</v>
      </c>
      <c r="W140" s="695">
        <f t="shared" si="96"/>
        <v>424.94191384570723</v>
      </c>
      <c r="X140" s="695">
        <f t="shared" si="96"/>
        <v>15.089970855189939</v>
      </c>
      <c r="Y140" s="695">
        <f t="shared" si="96"/>
        <v>10.599039380012405</v>
      </c>
      <c r="Z140" s="695">
        <f t="shared" si="96"/>
        <v>43.972398760442886</v>
      </c>
      <c r="AA140" s="695">
        <f t="shared" si="96"/>
        <v>38.515355188577871</v>
      </c>
      <c r="AB140" s="695">
        <f t="shared" si="96"/>
        <v>22.31226580741065</v>
      </c>
      <c r="AC140" s="695">
        <f t="shared" si="96"/>
        <v>28.412842210358079</v>
      </c>
      <c r="AD140" s="695">
        <f t="shared" si="96"/>
        <v>199.95521207879196</v>
      </c>
      <c r="AE140" s="695">
        <f t="shared" si="96"/>
        <v>72.306576882516367</v>
      </c>
      <c r="AF140" s="695">
        <f t="shared" si="96"/>
        <v>144.81339302957923</v>
      </c>
      <c r="AG140" s="695">
        <f t="shared" si="96"/>
        <v>279.83021099952748</v>
      </c>
      <c r="AH140" s="695">
        <f t="shared" si="96"/>
        <v>3858.9552970412146</v>
      </c>
      <c r="AI140" s="695">
        <f t="shared" si="96"/>
        <v>38.884714502911891</v>
      </c>
      <c r="AJ140" s="695">
        <f t="shared" si="96"/>
        <v>676.94784097030879</v>
      </c>
      <c r="AK140" s="695">
        <f t="shared" si="96"/>
        <v>540.73957321404919</v>
      </c>
      <c r="AL140" s="695">
        <f t="shared" si="96"/>
        <v>0</v>
      </c>
      <c r="AM140" s="695">
        <f t="shared" si="96"/>
        <v>58.448691898387175</v>
      </c>
      <c r="AN140" s="695">
        <f t="shared" si="96"/>
        <v>73.683830451690838</v>
      </c>
      <c r="AO140" s="695">
        <f t="shared" si="96"/>
        <v>674.45511887381713</v>
      </c>
      <c r="AP140" s="695">
        <f t="shared" si="96"/>
        <v>94.617821833332556</v>
      </c>
      <c r="AQ140" s="695">
        <f t="shared" si="96"/>
        <v>342.7664749866625</v>
      </c>
      <c r="AR140" s="695">
        <f t="shared" si="96"/>
        <v>1.3863353299053596</v>
      </c>
      <c r="AS140" s="695">
        <f t="shared" si="96"/>
        <v>510.78919129877363</v>
      </c>
      <c r="AT140" s="695">
        <f t="shared" si="96"/>
        <v>411.24487752071127</v>
      </c>
      <c r="AU140" s="695">
        <f t="shared" si="96"/>
        <v>620.09704013552073</v>
      </c>
      <c r="AV140" s="695">
        <f t="shared" si="96"/>
        <v>838.96424284688067</v>
      </c>
      <c r="AW140" s="695">
        <f t="shared" si="96"/>
        <v>2181.6159037957741</v>
      </c>
      <c r="AX140" s="695">
        <f t="shared" si="96"/>
        <v>29.409510898867499</v>
      </c>
      <c r="AY140" s="695">
        <f t="shared" si="96"/>
        <v>0</v>
      </c>
      <c r="AZ140" s="695">
        <f t="shared" si="96"/>
        <v>0</v>
      </c>
      <c r="BA140" s="695">
        <f t="shared" si="96"/>
        <v>0</v>
      </c>
      <c r="BB140" s="695">
        <f t="shared" si="96"/>
        <v>0</v>
      </c>
      <c r="BC140" s="798">
        <f t="shared" si="96"/>
        <v>0</v>
      </c>
      <c r="BD140" s="695">
        <f t="shared" si="96"/>
        <v>0</v>
      </c>
      <c r="BE140" s="695">
        <f t="shared" si="96"/>
        <v>0</v>
      </c>
      <c r="BF140" s="695">
        <f t="shared" si="96"/>
        <v>0</v>
      </c>
      <c r="BG140" s="695">
        <f t="shared" si="96"/>
        <v>0</v>
      </c>
      <c r="BH140" s="695">
        <f t="shared" si="96"/>
        <v>0</v>
      </c>
      <c r="BI140" s="695">
        <f t="shared" si="96"/>
        <v>0</v>
      </c>
      <c r="BJ140" s="695">
        <f t="shared" si="96"/>
        <v>0</v>
      </c>
      <c r="BK140" s="695">
        <f t="shared" si="96"/>
        <v>0</v>
      </c>
      <c r="BL140" s="695">
        <f t="shared" si="96"/>
        <v>15719.229611796576</v>
      </c>
      <c r="BM140" s="795"/>
      <c r="BN140" s="214"/>
    </row>
    <row r="141" spans="1:73" x14ac:dyDescent="0.25">
      <c r="E141" s="802"/>
      <c r="F141" s="71" t="s">
        <v>3</v>
      </c>
      <c r="G141" s="71"/>
      <c r="H141" s="808">
        <f t="shared" ref="H141" si="97">SUM(H134:H140)</f>
        <v>27548.856455010533</v>
      </c>
      <c r="I141" s="808">
        <f t="shared" ref="I141:BL141" si="98">SUM(I134:I140)</f>
        <v>3176132.204617918</v>
      </c>
      <c r="J141" s="809">
        <f t="shared" si="98"/>
        <v>31686.435988568741</v>
      </c>
      <c r="K141" s="809">
        <f t="shared" si="98"/>
        <v>8546.8428692607522</v>
      </c>
      <c r="L141" s="809">
        <f t="shared" si="98"/>
        <v>8470.5844367680074</v>
      </c>
      <c r="M141" s="809">
        <f t="shared" si="98"/>
        <v>10305.600641088526</v>
      </c>
      <c r="N141" s="809">
        <f t="shared" si="98"/>
        <v>15296.48900265585</v>
      </c>
      <c r="O141" s="809">
        <f t="shared" si="98"/>
        <v>40365.300010573803</v>
      </c>
      <c r="P141" s="809">
        <f t="shared" si="98"/>
        <v>5041.2886041228285</v>
      </c>
      <c r="Q141" s="809">
        <f t="shared" si="98"/>
        <v>13944.303422018018</v>
      </c>
      <c r="R141" s="809">
        <f t="shared" si="98"/>
        <v>12088.448191884878</v>
      </c>
      <c r="S141" s="809">
        <f t="shared" si="98"/>
        <v>12299.553699288161</v>
      </c>
      <c r="T141" s="809">
        <f t="shared" si="98"/>
        <v>45423.786717032701</v>
      </c>
      <c r="U141" s="809">
        <f t="shared" si="98"/>
        <v>35987.709437096382</v>
      </c>
      <c r="V141" s="809">
        <f t="shared" si="98"/>
        <v>22443.288080094026</v>
      </c>
      <c r="W141" s="809">
        <f t="shared" si="98"/>
        <v>36524.535773680691</v>
      </c>
      <c r="X141" s="809">
        <f t="shared" si="98"/>
        <v>1079.120190275594</v>
      </c>
      <c r="Y141" s="809">
        <f t="shared" si="98"/>
        <v>788.20626112447519</v>
      </c>
      <c r="Z141" s="809">
        <f t="shared" si="98"/>
        <v>3459.5470886382473</v>
      </c>
      <c r="AA141" s="809">
        <f t="shared" si="98"/>
        <v>3081.1370003160432</v>
      </c>
      <c r="AB141" s="809">
        <f t="shared" si="98"/>
        <v>1812.1557998743467</v>
      </c>
      <c r="AC141" s="809">
        <f t="shared" si="98"/>
        <v>2123.6726457079053</v>
      </c>
      <c r="AD141" s="809">
        <f t="shared" si="98"/>
        <v>13921.54840946506</v>
      </c>
      <c r="AE141" s="809">
        <f t="shared" si="98"/>
        <v>5202.3556123258677</v>
      </c>
      <c r="AF141" s="809">
        <f t="shared" si="98"/>
        <v>31255.446437008301</v>
      </c>
      <c r="AG141" s="809">
        <f t="shared" si="98"/>
        <v>30784.49945368306</v>
      </c>
      <c r="AH141" s="809">
        <f t="shared" si="98"/>
        <v>302307.63767774508</v>
      </c>
      <c r="AI141" s="809">
        <f t="shared" si="98"/>
        <v>2664.3484598436662</v>
      </c>
      <c r="AJ141" s="809">
        <f t="shared" si="98"/>
        <v>120307.50580991061</v>
      </c>
      <c r="AK141" s="809">
        <f t="shared" si="98"/>
        <v>102479.82141452201</v>
      </c>
      <c r="AL141" s="809">
        <f t="shared" si="98"/>
        <v>0</v>
      </c>
      <c r="AM141" s="809">
        <f t="shared" si="98"/>
        <v>4571.9006710548683</v>
      </c>
      <c r="AN141" s="809">
        <f t="shared" si="98"/>
        <v>20251.606080295405</v>
      </c>
      <c r="AO141" s="809">
        <f t="shared" si="98"/>
        <v>125001.61954606257</v>
      </c>
      <c r="AP141" s="809">
        <f t="shared" si="98"/>
        <v>18756.145746931586</v>
      </c>
      <c r="AQ141" s="809">
        <f t="shared" si="98"/>
        <v>36982.491807172592</v>
      </c>
      <c r="AR141" s="809">
        <f t="shared" si="98"/>
        <v>117.01512712759512</v>
      </c>
      <c r="AS141" s="809">
        <f t="shared" si="98"/>
        <v>54601.476803428493</v>
      </c>
      <c r="AT141" s="809">
        <f t="shared" si="98"/>
        <v>45081.394591362994</v>
      </c>
      <c r="AU141" s="809">
        <f t="shared" si="98"/>
        <v>63868.590139517539</v>
      </c>
      <c r="AV141" s="809">
        <f t="shared" si="98"/>
        <v>89059.328680737235</v>
      </c>
      <c r="AW141" s="809">
        <f t="shared" si="98"/>
        <v>228811.94100553083</v>
      </c>
      <c r="AX141" s="809">
        <f t="shared" si="98"/>
        <v>2482.341452573603</v>
      </c>
      <c r="AY141" s="809">
        <f t="shared" si="98"/>
        <v>403422.1253013229</v>
      </c>
      <c r="AZ141" s="809">
        <f t="shared" si="98"/>
        <v>13734.802634813954</v>
      </c>
      <c r="BA141" s="809">
        <f t="shared" si="98"/>
        <v>239549.59479921655</v>
      </c>
      <c r="BB141" s="809">
        <f t="shared" si="98"/>
        <v>910148.66109619534</v>
      </c>
      <c r="BC141" s="808">
        <f t="shared" si="98"/>
        <v>1640566.3093754626</v>
      </c>
      <c r="BD141" s="809">
        <f t="shared" si="98"/>
        <v>267608.89032152848</v>
      </c>
      <c r="BE141" s="809">
        <f t="shared" si="98"/>
        <v>244058.53071581566</v>
      </c>
      <c r="BF141" s="809">
        <f t="shared" si="98"/>
        <v>149430.40272727679</v>
      </c>
      <c r="BG141" s="809">
        <f t="shared" si="98"/>
        <v>276166.8380300884</v>
      </c>
      <c r="BH141" s="809">
        <f t="shared" si="98"/>
        <v>216335.00329265033</v>
      </c>
      <c r="BI141" s="809">
        <f t="shared" si="98"/>
        <v>157523.10682058751</v>
      </c>
      <c r="BJ141" s="809">
        <f t="shared" si="98"/>
        <v>88846.511071200628</v>
      </c>
      <c r="BK141" s="809">
        <f t="shared" si="98"/>
        <v>240597.02639631496</v>
      </c>
      <c r="BL141" s="809">
        <f t="shared" si="98"/>
        <v>4844247.370448391</v>
      </c>
      <c r="BM141" s="799">
        <f>BL141-E62</f>
        <v>0</v>
      </c>
      <c r="BN141" s="810" t="s">
        <v>118</v>
      </c>
    </row>
    <row r="142" spans="1:73" x14ac:dyDescent="0.25">
      <c r="E142" s="802"/>
      <c r="F142" s="71"/>
      <c r="G142" s="71"/>
      <c r="H142" s="636"/>
      <c r="I142" s="635"/>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635"/>
      <c r="BD142" s="71"/>
      <c r="BE142" s="71"/>
      <c r="BF142" s="71"/>
      <c r="BG142" s="71"/>
      <c r="BH142" s="71"/>
      <c r="BI142" s="71"/>
      <c r="BJ142" s="71"/>
      <c r="BK142" s="71"/>
      <c r="BL142" s="811">
        <f>BL141-E62</f>
        <v>0</v>
      </c>
      <c r="BM142" s="795"/>
      <c r="BN142" s="214"/>
    </row>
    <row r="143" spans="1:73" x14ac:dyDescent="0.25">
      <c r="E143" s="802"/>
      <c r="F143" s="794" t="s">
        <v>906</v>
      </c>
      <c r="G143" s="71"/>
      <c r="H143" s="636"/>
      <c r="I143" s="635"/>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635"/>
      <c r="BD143" s="71"/>
      <c r="BE143" s="71"/>
      <c r="BF143" s="71"/>
      <c r="BG143" s="71"/>
      <c r="BH143" s="71"/>
      <c r="BI143" s="71"/>
      <c r="BJ143" s="71"/>
      <c r="BK143" s="71"/>
      <c r="BL143" s="71"/>
      <c r="BM143" s="795"/>
      <c r="BN143" s="214"/>
    </row>
    <row r="144" spans="1:73" x14ac:dyDescent="0.25">
      <c r="E144" s="802"/>
      <c r="F144" s="797" t="s">
        <v>899</v>
      </c>
      <c r="G144" s="797"/>
      <c r="H144" s="798">
        <f>H69+H71+H72+H73+H75+H76+H77+H79+H80+H81+H83+H84+H90+H91</f>
        <v>28660.563647306648</v>
      </c>
      <c r="I144" s="798">
        <f>I69+I71+I72+I73+I75+I76+I77+I79+I80+I81+I83+I84+I90+I91</f>
        <v>965316.81030336593</v>
      </c>
      <c r="J144" s="695">
        <f>J69+J71+J72+J73+J75+J76+J77+J79+J80+J81+J83+J84+J90+J91</f>
        <v>5987.2352934556566</v>
      </c>
      <c r="K144" s="695">
        <f t="shared" ref="K144:BK144" si="99">K69+K71+K72+K73+K75+K76+K77+K79+K80+K81+K83+K84+K90+K91</f>
        <v>1775.8872035563556</v>
      </c>
      <c r="L144" s="695">
        <f t="shared" si="99"/>
        <v>1864.6463810056584</v>
      </c>
      <c r="M144" s="695">
        <f t="shared" si="99"/>
        <v>1783.0302951673259</v>
      </c>
      <c r="N144" s="695">
        <f t="shared" si="99"/>
        <v>3120.2739526738569</v>
      </c>
      <c r="O144" s="695">
        <f t="shared" si="99"/>
        <v>7145.2984149826325</v>
      </c>
      <c r="P144" s="695">
        <f t="shared" si="99"/>
        <v>864.39285781493209</v>
      </c>
      <c r="Q144" s="695">
        <f t="shared" si="99"/>
        <v>2288.8561058429996</v>
      </c>
      <c r="R144" s="695">
        <f t="shared" si="99"/>
        <v>1957.7094761272788</v>
      </c>
      <c r="S144" s="695">
        <f t="shared" si="99"/>
        <v>2014.0051838496638</v>
      </c>
      <c r="T144" s="695">
        <f t="shared" si="99"/>
        <v>7295.1275787092272</v>
      </c>
      <c r="U144" s="695">
        <f t="shared" si="99"/>
        <v>5824.2960603958209</v>
      </c>
      <c r="V144" s="695">
        <f t="shared" si="99"/>
        <v>4621.653031098569</v>
      </c>
      <c r="W144" s="695">
        <f t="shared" si="99"/>
        <v>7411.5761992540456</v>
      </c>
      <c r="X144" s="695">
        <f t="shared" si="99"/>
        <v>183.25019230966933</v>
      </c>
      <c r="Y144" s="695">
        <f t="shared" si="99"/>
        <v>144.5491373868588</v>
      </c>
      <c r="Z144" s="695">
        <f t="shared" si="99"/>
        <v>698.92139380327615</v>
      </c>
      <c r="AA144" s="695">
        <f t="shared" si="99"/>
        <v>638.84964580173096</v>
      </c>
      <c r="AB144" s="695">
        <f t="shared" si="99"/>
        <v>384.34781803331009</v>
      </c>
      <c r="AC144" s="695">
        <f t="shared" si="99"/>
        <v>393.11041518780883</v>
      </c>
      <c r="AD144" s="695">
        <f t="shared" si="99"/>
        <v>2230.4361321509182</v>
      </c>
      <c r="AE144" s="695">
        <f t="shared" si="99"/>
        <v>894.59348171162901</v>
      </c>
      <c r="AF144" s="695">
        <f t="shared" si="99"/>
        <v>2327.693883481074</v>
      </c>
      <c r="AG144" s="695">
        <f t="shared" si="99"/>
        <v>7230.99297675035</v>
      </c>
      <c r="AH144" s="695">
        <f t="shared" si="99"/>
        <v>59212.98741918365</v>
      </c>
      <c r="AI144" s="695">
        <f t="shared" si="99"/>
        <v>411.26481162924699</v>
      </c>
      <c r="AJ144" s="695">
        <f t="shared" si="99"/>
        <v>8726.3926997111721</v>
      </c>
      <c r="AK144" s="695">
        <f t="shared" si="99"/>
        <v>7503.3336494605046</v>
      </c>
      <c r="AL144" s="695">
        <f t="shared" si="99"/>
        <v>0</v>
      </c>
      <c r="AM144" s="695">
        <f t="shared" si="99"/>
        <v>915.10033253003576</v>
      </c>
      <c r="AN144" s="695">
        <f t="shared" si="99"/>
        <v>1547.5212880281942</v>
      </c>
      <c r="AO144" s="695">
        <f t="shared" si="99"/>
        <v>9123.2899195078353</v>
      </c>
      <c r="AP144" s="695">
        <f t="shared" si="99"/>
        <v>1381.770734560924</v>
      </c>
      <c r="AQ144" s="695">
        <f t="shared" si="99"/>
        <v>8670.5975428992842</v>
      </c>
      <c r="AR144" s="695">
        <f t="shared" si="99"/>
        <v>26.195141028038549</v>
      </c>
      <c r="AS144" s="695">
        <f t="shared" si="99"/>
        <v>12778.594844820598</v>
      </c>
      <c r="AT144" s="695">
        <f t="shared" si="99"/>
        <v>10601.118149602025</v>
      </c>
      <c r="AU144" s="695">
        <f t="shared" si="99"/>
        <v>14820.441847947244</v>
      </c>
      <c r="AV144" s="695">
        <f t="shared" si="99"/>
        <v>20830.185861551388</v>
      </c>
      <c r="AW144" s="695">
        <f t="shared" si="99"/>
        <v>53348.778416395049</v>
      </c>
      <c r="AX144" s="695">
        <f t="shared" si="99"/>
        <v>555.69981442661674</v>
      </c>
      <c r="AY144" s="695">
        <f>AY69+AY71+AY72+AY73+AY75+AY76+AY77+AY79+AY80+AY81+AY83+AY84+AY90+AY91</f>
        <v>179304.70556991317</v>
      </c>
      <c r="AZ144" s="695">
        <f t="shared" si="99"/>
        <v>6030.1593378705675</v>
      </c>
      <c r="BA144" s="695">
        <f t="shared" si="99"/>
        <v>108737.57652070593</v>
      </c>
      <c r="BB144" s="695">
        <f t="shared" si="99"/>
        <v>391710.36329104408</v>
      </c>
      <c r="BC144" s="798">
        <f t="shared" si="99"/>
        <v>1592395.7094869548</v>
      </c>
      <c r="BD144" s="695">
        <f t="shared" si="99"/>
        <v>259872.15522409373</v>
      </c>
      <c r="BE144" s="695">
        <f t="shared" si="99"/>
        <v>237002.65077793793</v>
      </c>
      <c r="BF144" s="695">
        <f t="shared" si="99"/>
        <v>145110.27928139691</v>
      </c>
      <c r="BG144" s="695">
        <f t="shared" si="99"/>
        <v>268182.68748124893</v>
      </c>
      <c r="BH144" s="695">
        <f t="shared" si="99"/>
        <v>210080.62732342546</v>
      </c>
      <c r="BI144" s="695">
        <f t="shared" si="99"/>
        <v>152969.01839799609</v>
      </c>
      <c r="BJ144" s="695">
        <f t="shared" si="99"/>
        <v>86277.904625939002</v>
      </c>
      <c r="BK144" s="695">
        <f t="shared" si="99"/>
        <v>232900.38637491706</v>
      </c>
      <c r="BL144" s="695">
        <f>BL69+BL71+BL72+BL73+BL75+BL76+BL77+BL79+BL80+BL81+BL83+BL84+BL90+BL91</f>
        <v>2586373.0834376276</v>
      </c>
      <c r="BM144" s="799"/>
      <c r="BN144" s="800"/>
    </row>
    <row r="145" spans="5:66" x14ac:dyDescent="0.25">
      <c r="E145" s="796"/>
      <c r="F145" s="801" t="s">
        <v>900</v>
      </c>
      <c r="G145" s="801"/>
      <c r="H145" s="798">
        <f t="shared" ref="H145:I145" si="100">+H107</f>
        <v>0</v>
      </c>
      <c r="I145" s="798">
        <f t="shared" si="100"/>
        <v>33953.990704517346</v>
      </c>
      <c r="J145" s="695">
        <f>+J107</f>
        <v>872.87916390780333</v>
      </c>
      <c r="K145" s="695">
        <f t="shared" ref="K145:BL145" si="101">+K107</f>
        <v>222.39166805754655</v>
      </c>
      <c r="L145" s="695">
        <f t="shared" si="101"/>
        <v>211.92427093993018</v>
      </c>
      <c r="M145" s="695">
        <f t="shared" si="101"/>
        <v>297.21199463598464</v>
      </c>
      <c r="N145" s="695">
        <f t="shared" si="101"/>
        <v>402.72931310538848</v>
      </c>
      <c r="O145" s="695">
        <f t="shared" si="101"/>
        <v>1171.7529492112819</v>
      </c>
      <c r="P145" s="695">
        <f t="shared" si="101"/>
        <v>148.89325953862044</v>
      </c>
      <c r="Q145" s="695">
        <f t="shared" si="101"/>
        <v>421.14312574281541</v>
      </c>
      <c r="R145" s="695">
        <f t="shared" si="101"/>
        <v>367.50976329723864</v>
      </c>
      <c r="S145" s="695">
        <f t="shared" si="101"/>
        <v>371.91315960929597</v>
      </c>
      <c r="T145" s="695">
        <f t="shared" si="101"/>
        <v>1386.5386941410463</v>
      </c>
      <c r="U145" s="695">
        <f t="shared" si="101"/>
        <v>1094.44133330772</v>
      </c>
      <c r="V145" s="695">
        <f t="shared" si="101"/>
        <v>559.39590516660144</v>
      </c>
      <c r="W145" s="695">
        <f t="shared" si="101"/>
        <v>917.88682709037062</v>
      </c>
      <c r="X145" s="695">
        <f t="shared" si="101"/>
        <v>32.59477358636267</v>
      </c>
      <c r="Y145" s="695">
        <f t="shared" si="101"/>
        <v>22.894231681410201</v>
      </c>
      <c r="Z145" s="695">
        <f t="shared" si="101"/>
        <v>94.981653404117836</v>
      </c>
      <c r="AA145" s="695">
        <f t="shared" si="101"/>
        <v>83.194281421574843</v>
      </c>
      <c r="AB145" s="695">
        <f t="shared" si="101"/>
        <v>48.195139617593206</v>
      </c>
      <c r="AC145" s="695">
        <f t="shared" si="101"/>
        <v>61.37256113209456</v>
      </c>
      <c r="AD145" s="695">
        <f t="shared" si="101"/>
        <v>431.90904261288034</v>
      </c>
      <c r="AE145" s="695">
        <f t="shared" si="101"/>
        <v>156.18429782983702</v>
      </c>
      <c r="AF145" s="695">
        <f t="shared" si="101"/>
        <v>312.80111826383455</v>
      </c>
      <c r="AG145" s="695">
        <f t="shared" si="101"/>
        <v>604.44135099284676</v>
      </c>
      <c r="AH145" s="695">
        <f t="shared" si="101"/>
        <v>8335.455077681132</v>
      </c>
      <c r="AI145" s="695">
        <f t="shared" si="101"/>
        <v>83.992108225765847</v>
      </c>
      <c r="AJ145" s="695">
        <f t="shared" si="101"/>
        <v>1462.2269199821144</v>
      </c>
      <c r="AK145" s="695">
        <f t="shared" si="101"/>
        <v>1168.0131212471092</v>
      </c>
      <c r="AL145" s="695">
        <f t="shared" si="101"/>
        <v>0</v>
      </c>
      <c r="AM145" s="695">
        <f t="shared" si="101"/>
        <v>126.25086536809086</v>
      </c>
      <c r="AN145" s="695">
        <f t="shared" si="101"/>
        <v>159.15920538194882</v>
      </c>
      <c r="AO145" s="695">
        <f t="shared" si="101"/>
        <v>1456.8425681415058</v>
      </c>
      <c r="AP145" s="695">
        <f t="shared" si="101"/>
        <v>204.37723236765373</v>
      </c>
      <c r="AQ145" s="695">
        <f t="shared" si="101"/>
        <v>740.38550189401792</v>
      </c>
      <c r="AR145" s="695">
        <f t="shared" si="101"/>
        <v>2.9945244180176256</v>
      </c>
      <c r="AS145" s="695">
        <f t="shared" si="101"/>
        <v>1103.3194298727658</v>
      </c>
      <c r="AT145" s="695">
        <f t="shared" si="101"/>
        <v>888.30083238555778</v>
      </c>
      <c r="AU145" s="695">
        <f t="shared" si="101"/>
        <v>1339.427545536935</v>
      </c>
      <c r="AV145" s="695">
        <f t="shared" si="101"/>
        <v>1812.1870350228755</v>
      </c>
      <c r="AW145" s="695">
        <f t="shared" si="101"/>
        <v>4712.353464365664</v>
      </c>
      <c r="AX145" s="695">
        <f t="shared" si="101"/>
        <v>63.52539433199491</v>
      </c>
      <c r="AY145" s="695">
        <f t="shared" si="101"/>
        <v>0</v>
      </c>
      <c r="AZ145" s="695">
        <f t="shared" si="101"/>
        <v>0</v>
      </c>
      <c r="BA145" s="695">
        <f t="shared" si="101"/>
        <v>0</v>
      </c>
      <c r="BB145" s="695">
        <f t="shared" si="101"/>
        <v>0</v>
      </c>
      <c r="BC145" s="798">
        <f t="shared" si="101"/>
        <v>0</v>
      </c>
      <c r="BD145" s="695">
        <f t="shared" si="101"/>
        <v>0</v>
      </c>
      <c r="BE145" s="695">
        <f t="shared" si="101"/>
        <v>0</v>
      </c>
      <c r="BF145" s="695">
        <f t="shared" si="101"/>
        <v>0</v>
      </c>
      <c r="BG145" s="695">
        <f t="shared" si="101"/>
        <v>0</v>
      </c>
      <c r="BH145" s="695">
        <f t="shared" si="101"/>
        <v>0</v>
      </c>
      <c r="BI145" s="695">
        <f t="shared" si="101"/>
        <v>0</v>
      </c>
      <c r="BJ145" s="695">
        <f t="shared" si="101"/>
        <v>0</v>
      </c>
      <c r="BK145" s="695">
        <f t="shared" si="101"/>
        <v>0</v>
      </c>
      <c r="BL145" s="695">
        <f t="shared" si="101"/>
        <v>33953.990704517346</v>
      </c>
      <c r="BM145" s="795"/>
      <c r="BN145" s="214"/>
    </row>
    <row r="146" spans="5:66" ht="15.75" thickBot="1" x14ac:dyDescent="0.3">
      <c r="E146" s="802"/>
      <c r="F146" s="803" t="s">
        <v>901</v>
      </c>
      <c r="G146" s="803"/>
      <c r="H146" s="798">
        <f>+H119+H120+H121</f>
        <v>0</v>
      </c>
      <c r="I146" s="798">
        <f>+I119+I120+I121</f>
        <v>926661.21036403603</v>
      </c>
      <c r="J146" s="695">
        <f>+J119+J120+J121</f>
        <v>7456.5694797446322</v>
      </c>
      <c r="K146" s="695">
        <f t="shared" ref="K146:BL146" si="102">+K119+K120+K121</f>
        <v>2062.0406708597075</v>
      </c>
      <c r="L146" s="695">
        <f t="shared" si="102"/>
        <v>2076.6383224104602</v>
      </c>
      <c r="M146" s="695">
        <f t="shared" si="102"/>
        <v>2373.344840962513</v>
      </c>
      <c r="N146" s="695">
        <f t="shared" si="102"/>
        <v>3672.1648854349401</v>
      </c>
      <c r="O146" s="695">
        <f t="shared" si="102"/>
        <v>9032.2458998496841</v>
      </c>
      <c r="P146" s="695">
        <f t="shared" si="102"/>
        <v>1114.9567883957723</v>
      </c>
      <c r="Q146" s="695">
        <f t="shared" si="102"/>
        <v>3036.246684574347</v>
      </c>
      <c r="R146" s="695">
        <f t="shared" si="102"/>
        <v>2619.7450189537694</v>
      </c>
      <c r="S146" s="695">
        <f t="shared" si="102"/>
        <v>2675.8358259146926</v>
      </c>
      <c r="T146" s="695">
        <f t="shared" si="102"/>
        <v>9815.3774712203831</v>
      </c>
      <c r="U146" s="695">
        <f t="shared" si="102"/>
        <v>7797.2573109193181</v>
      </c>
      <c r="V146" s="695">
        <f t="shared" si="102"/>
        <v>5826.3524078928149</v>
      </c>
      <c r="W146" s="695">
        <f t="shared" si="102"/>
        <v>9468.2908835217531</v>
      </c>
      <c r="X146" s="695">
        <f t="shared" si="102"/>
        <v>229.30896281118967</v>
      </c>
      <c r="Y146" s="695">
        <f t="shared" si="102"/>
        <v>171.5607373134097</v>
      </c>
      <c r="Z146" s="695">
        <f t="shared" si="102"/>
        <v>777.52716327741939</v>
      </c>
      <c r="AA146" s="695">
        <f t="shared" si="102"/>
        <v>698.70926553785648</v>
      </c>
      <c r="AB146" s="695">
        <f t="shared" si="102"/>
        <v>414.2178625989539</v>
      </c>
      <c r="AC146" s="695">
        <f t="shared" si="102"/>
        <v>463.62627332102556</v>
      </c>
      <c r="AD146" s="695">
        <f t="shared" si="102"/>
        <v>2907.4448235807099</v>
      </c>
      <c r="AE146" s="695">
        <f t="shared" si="102"/>
        <v>1109.7250102622374</v>
      </c>
      <c r="AF146" s="695">
        <f t="shared" si="102"/>
        <v>2900.4035256098127</v>
      </c>
      <c r="AG146" s="695">
        <f t="shared" si="102"/>
        <v>9648.2734602939272</v>
      </c>
      <c r="AH146" s="695">
        <f t="shared" si="102"/>
        <v>69107.624923597497</v>
      </c>
      <c r="AI146" s="695">
        <f t="shared" si="102"/>
        <v>550.50109989613964</v>
      </c>
      <c r="AJ146" s="695">
        <f t="shared" si="102"/>
        <v>11763.506416562937</v>
      </c>
      <c r="AK146" s="695">
        <f t="shared" si="102"/>
        <v>9840.3590007994262</v>
      </c>
      <c r="AL146" s="695">
        <f t="shared" si="102"/>
        <v>0</v>
      </c>
      <c r="AM146" s="695">
        <f t="shared" si="102"/>
        <v>1024.2760720384592</v>
      </c>
      <c r="AN146" s="695">
        <f t="shared" si="102"/>
        <v>1778.2683095107566</v>
      </c>
      <c r="AO146" s="695">
        <f t="shared" si="102"/>
        <v>12077.556372572537</v>
      </c>
      <c r="AP146" s="695">
        <f t="shared" si="102"/>
        <v>1779.1998365513502</v>
      </c>
      <c r="AQ146" s="695">
        <f t="shared" si="102"/>
        <v>11389.273627747767</v>
      </c>
      <c r="AR146" s="695">
        <f t="shared" si="102"/>
        <v>27.270721577637413</v>
      </c>
      <c r="AS146" s="695">
        <f t="shared" si="102"/>
        <v>16681.197594396814</v>
      </c>
      <c r="AT146" s="695">
        <f t="shared" si="102"/>
        <v>14070.414202646421</v>
      </c>
      <c r="AU146" s="695">
        <f t="shared" si="102"/>
        <v>18886.772657040958</v>
      </c>
      <c r="AV146" s="695">
        <f t="shared" si="102"/>
        <v>27028.845179855336</v>
      </c>
      <c r="AW146" s="695">
        <f t="shared" si="102"/>
        <v>68739.283265957434</v>
      </c>
      <c r="AX146" s="695">
        <f t="shared" si="102"/>
        <v>578.51701976913466</v>
      </c>
      <c r="AY146" s="695">
        <f t="shared" si="102"/>
        <v>153727.9562537974</v>
      </c>
      <c r="AZ146" s="695">
        <f t="shared" si="102"/>
        <v>5080.698143202575</v>
      </c>
      <c r="BA146" s="695">
        <f t="shared" si="102"/>
        <v>88940.438601656671</v>
      </c>
      <c r="BB146" s="695">
        <f t="shared" si="102"/>
        <v>325241.38748959743</v>
      </c>
      <c r="BC146" s="798">
        <f t="shared" si="102"/>
        <v>0</v>
      </c>
      <c r="BD146" s="695">
        <f t="shared" si="102"/>
        <v>0</v>
      </c>
      <c r="BE146" s="695">
        <f t="shared" si="102"/>
        <v>0</v>
      </c>
      <c r="BF146" s="695">
        <f t="shared" si="102"/>
        <v>0</v>
      </c>
      <c r="BG146" s="695">
        <f t="shared" si="102"/>
        <v>0</v>
      </c>
      <c r="BH146" s="695">
        <f t="shared" si="102"/>
        <v>0</v>
      </c>
      <c r="BI146" s="695">
        <f t="shared" si="102"/>
        <v>0</v>
      </c>
      <c r="BJ146" s="695">
        <f t="shared" si="102"/>
        <v>0</v>
      </c>
      <c r="BK146" s="695">
        <f t="shared" si="102"/>
        <v>0</v>
      </c>
      <c r="BL146" s="695">
        <f t="shared" si="102"/>
        <v>926661.21036403603</v>
      </c>
      <c r="BM146" s="795"/>
      <c r="BN146" s="214"/>
    </row>
    <row r="147" spans="5:66" x14ac:dyDescent="0.25">
      <c r="E147" s="802"/>
      <c r="F147" s="804" t="s">
        <v>902</v>
      </c>
      <c r="G147" s="804"/>
      <c r="H147" s="798">
        <f>H70+H74+H78+H82</f>
        <v>0</v>
      </c>
      <c r="I147" s="798">
        <f>I70+I74+I78+I82</f>
        <v>112215.2839855138</v>
      </c>
      <c r="J147" s="695">
        <f>J70+J74+J78+J82</f>
        <v>622.21725370899594</v>
      </c>
      <c r="K147" s="695">
        <f t="shared" ref="K147:BL147" si="103">K70+K74+K78+K82</f>
        <v>183.38118631501214</v>
      </c>
      <c r="L147" s="695">
        <f t="shared" si="103"/>
        <v>191.85148933833474</v>
      </c>
      <c r="M147" s="695">
        <f t="shared" si="103"/>
        <v>186.49976830949905</v>
      </c>
      <c r="N147" s="695">
        <f t="shared" si="103"/>
        <v>322.59080458156899</v>
      </c>
      <c r="O147" s="695">
        <f t="shared" si="103"/>
        <v>743.16254015981667</v>
      </c>
      <c r="P147" s="695">
        <f t="shared" si="103"/>
        <v>90.070337103467324</v>
      </c>
      <c r="Q147" s="695">
        <f t="shared" si="103"/>
        <v>239.12994473366035</v>
      </c>
      <c r="R147" s="695">
        <f t="shared" si="103"/>
        <v>204.70402529613091</v>
      </c>
      <c r="S147" s="695">
        <f t="shared" si="103"/>
        <v>210.44611272704094</v>
      </c>
      <c r="T147" s="695">
        <f t="shared" si="103"/>
        <v>763.20024262252593</v>
      </c>
      <c r="U147" s="695">
        <f t="shared" si="103"/>
        <v>609.03128497302703</v>
      </c>
      <c r="V147" s="695">
        <f t="shared" si="103"/>
        <v>481.46664454441918</v>
      </c>
      <c r="W147" s="695">
        <f t="shared" si="103"/>
        <v>773.13582628080326</v>
      </c>
      <c r="X147" s="695">
        <f t="shared" si="103"/>
        <v>19.026514832019579</v>
      </c>
      <c r="Y147" s="695">
        <f t="shared" si="103"/>
        <v>14.937551419839842</v>
      </c>
      <c r="Z147" s="695">
        <f t="shared" si="103"/>
        <v>71.831270155283221</v>
      </c>
      <c r="AA147" s="695">
        <f t="shared" si="103"/>
        <v>65.566463679163434</v>
      </c>
      <c r="AB147" s="695">
        <f t="shared" si="103"/>
        <v>39.399808402419012</v>
      </c>
      <c r="AC147" s="695">
        <f t="shared" si="103"/>
        <v>40.601270550253716</v>
      </c>
      <c r="AD147" s="695">
        <f t="shared" si="103"/>
        <v>232.46500448880118</v>
      </c>
      <c r="AE147" s="695">
        <f t="shared" si="103"/>
        <v>92.810185654971718</v>
      </c>
      <c r="AF147" s="695">
        <f t="shared" si="103"/>
        <v>242.03991530760288</v>
      </c>
      <c r="AG147" s="695">
        <f t="shared" si="103"/>
        <v>759.34562278199394</v>
      </c>
      <c r="AH147" s="695">
        <f t="shared" si="103"/>
        <v>6113.3330187191486</v>
      </c>
      <c r="AI147" s="695">
        <f t="shared" si="103"/>
        <v>42.972949960896671</v>
      </c>
      <c r="AJ147" s="695">
        <f t="shared" si="103"/>
        <v>914.05095402960956</v>
      </c>
      <c r="AK147" s="695">
        <f t="shared" si="103"/>
        <v>783.88848932740552</v>
      </c>
      <c r="AL147" s="695">
        <f t="shared" si="103"/>
        <v>0</v>
      </c>
      <c r="AM147" s="695">
        <f t="shared" si="103"/>
        <v>94.096413632589616</v>
      </c>
      <c r="AN147" s="695">
        <f t="shared" si="103"/>
        <v>159.79350404080628</v>
      </c>
      <c r="AO147" s="695">
        <f t="shared" si="103"/>
        <v>953.97138569580306</v>
      </c>
      <c r="AP147" s="695">
        <f t="shared" si="103"/>
        <v>144.10999389698125</v>
      </c>
      <c r="AQ147" s="695">
        <f t="shared" si="103"/>
        <v>908.83228646225461</v>
      </c>
      <c r="AR147" s="695">
        <f t="shared" si="103"/>
        <v>2.678000483441985</v>
      </c>
      <c r="AS147" s="695">
        <f t="shared" si="103"/>
        <v>1338.4301715944894</v>
      </c>
      <c r="AT147" s="695">
        <f t="shared" si="103"/>
        <v>1112.57050268236</v>
      </c>
      <c r="AU147" s="695">
        <f t="shared" si="103"/>
        <v>1547.8796389681766</v>
      </c>
      <c r="AV147" s="695">
        <f t="shared" si="103"/>
        <v>2180.2252276855829</v>
      </c>
      <c r="AW147" s="695">
        <f t="shared" si="103"/>
        <v>5579.1437207759245</v>
      </c>
      <c r="AX147" s="695">
        <f t="shared" si="103"/>
        <v>56.810702797523078</v>
      </c>
      <c r="AY147" s="695">
        <f>AY70+AY74+AY78+AY82</f>
        <v>21532.592755022393</v>
      </c>
      <c r="AZ147" s="695">
        <f t="shared" si="103"/>
        <v>960.19177797155896</v>
      </c>
      <c r="BA147" s="695">
        <f t="shared" si="103"/>
        <v>13485.617628387152</v>
      </c>
      <c r="BB147" s="695">
        <f t="shared" si="103"/>
        <v>47105.183795413046</v>
      </c>
      <c r="BC147" s="798">
        <f t="shared" si="103"/>
        <v>116907.68005384773</v>
      </c>
      <c r="BD147" s="695">
        <f t="shared" si="103"/>
        <v>18776.676095496627</v>
      </c>
      <c r="BE147" s="695">
        <f t="shared" si="103"/>
        <v>17124.274063121538</v>
      </c>
      <c r="BF147" s="695">
        <f t="shared" si="103"/>
        <v>10484.727422390766</v>
      </c>
      <c r="BG147" s="695">
        <f t="shared" si="103"/>
        <v>19377.141244366536</v>
      </c>
      <c r="BH147" s="695">
        <f t="shared" si="103"/>
        <v>15179.063296678189</v>
      </c>
      <c r="BI147" s="695">
        <f t="shared" si="103"/>
        <v>11052.548929793691</v>
      </c>
      <c r="BJ147" s="695">
        <f t="shared" si="103"/>
        <v>6233.8816867949281</v>
      </c>
      <c r="BK147" s="695">
        <f t="shared" si="103"/>
        <v>18679.367315205451</v>
      </c>
      <c r="BL147" s="812">
        <f t="shared" si="103"/>
        <v>229122.96403936151</v>
      </c>
      <c r="BM147" s="795"/>
      <c r="BN147" s="214"/>
    </row>
    <row r="148" spans="5:66" x14ac:dyDescent="0.25">
      <c r="E148" s="802"/>
      <c r="F148" s="805" t="s">
        <v>903</v>
      </c>
      <c r="G148" s="805"/>
      <c r="H148" s="798">
        <f>H114</f>
        <v>0</v>
      </c>
      <c r="I148" s="798">
        <f>I114</f>
        <v>26795</v>
      </c>
      <c r="J148" s="695">
        <f t="shared" ref="J148:BL148" si="104">J114</f>
        <v>0</v>
      </c>
      <c r="K148" s="695">
        <f t="shared" si="104"/>
        <v>0</v>
      </c>
      <c r="L148" s="695">
        <f t="shared" si="104"/>
        <v>0</v>
      </c>
      <c r="M148" s="695">
        <f t="shared" si="104"/>
        <v>0</v>
      </c>
      <c r="N148" s="695">
        <f t="shared" si="104"/>
        <v>0</v>
      </c>
      <c r="O148" s="695">
        <f t="shared" si="104"/>
        <v>0</v>
      </c>
      <c r="P148" s="695">
        <f t="shared" si="104"/>
        <v>0</v>
      </c>
      <c r="Q148" s="695">
        <f t="shared" si="104"/>
        <v>0</v>
      </c>
      <c r="R148" s="695">
        <f t="shared" si="104"/>
        <v>0</v>
      </c>
      <c r="S148" s="695">
        <f t="shared" si="104"/>
        <v>0</v>
      </c>
      <c r="T148" s="695">
        <f t="shared" si="104"/>
        <v>0</v>
      </c>
      <c r="U148" s="695">
        <f t="shared" si="104"/>
        <v>0</v>
      </c>
      <c r="V148" s="695">
        <f t="shared" si="104"/>
        <v>0</v>
      </c>
      <c r="W148" s="695">
        <f t="shared" si="104"/>
        <v>0</v>
      </c>
      <c r="X148" s="695">
        <f t="shared" si="104"/>
        <v>0</v>
      </c>
      <c r="Y148" s="695">
        <f t="shared" si="104"/>
        <v>0</v>
      </c>
      <c r="Z148" s="695">
        <f t="shared" si="104"/>
        <v>0</v>
      </c>
      <c r="AA148" s="695">
        <f t="shared" si="104"/>
        <v>0</v>
      </c>
      <c r="AB148" s="695">
        <f t="shared" si="104"/>
        <v>0</v>
      </c>
      <c r="AC148" s="695">
        <f t="shared" si="104"/>
        <v>0</v>
      </c>
      <c r="AD148" s="695">
        <f t="shared" si="104"/>
        <v>0</v>
      </c>
      <c r="AE148" s="695">
        <f t="shared" si="104"/>
        <v>0</v>
      </c>
      <c r="AF148" s="695">
        <f t="shared" si="104"/>
        <v>0</v>
      </c>
      <c r="AG148" s="695">
        <f t="shared" si="104"/>
        <v>0</v>
      </c>
      <c r="AH148" s="695">
        <f t="shared" si="104"/>
        <v>0</v>
      </c>
      <c r="AI148" s="695">
        <f t="shared" si="104"/>
        <v>0</v>
      </c>
      <c r="AJ148" s="695">
        <f t="shared" si="104"/>
        <v>0</v>
      </c>
      <c r="AK148" s="695">
        <f t="shared" si="104"/>
        <v>0</v>
      </c>
      <c r="AL148" s="695">
        <f t="shared" si="104"/>
        <v>0</v>
      </c>
      <c r="AM148" s="695">
        <f t="shared" si="104"/>
        <v>0</v>
      </c>
      <c r="AN148" s="695">
        <f t="shared" si="104"/>
        <v>0</v>
      </c>
      <c r="AO148" s="695">
        <f t="shared" si="104"/>
        <v>0</v>
      </c>
      <c r="AP148" s="695">
        <f t="shared" si="104"/>
        <v>0</v>
      </c>
      <c r="AQ148" s="695">
        <f t="shared" si="104"/>
        <v>0</v>
      </c>
      <c r="AR148" s="695">
        <f t="shared" si="104"/>
        <v>0</v>
      </c>
      <c r="AS148" s="695">
        <f t="shared" si="104"/>
        <v>0</v>
      </c>
      <c r="AT148" s="695">
        <f t="shared" si="104"/>
        <v>0</v>
      </c>
      <c r="AU148" s="695">
        <f t="shared" si="104"/>
        <v>0</v>
      </c>
      <c r="AV148" s="695">
        <f t="shared" si="104"/>
        <v>0</v>
      </c>
      <c r="AW148" s="695">
        <f t="shared" si="104"/>
        <v>0</v>
      </c>
      <c r="AX148" s="695">
        <f t="shared" si="104"/>
        <v>0</v>
      </c>
      <c r="AY148" s="695">
        <f>AY114</f>
        <v>6871.223222083343</v>
      </c>
      <c r="AZ148" s="695">
        <f t="shared" si="104"/>
        <v>280.55526040109538</v>
      </c>
      <c r="BA148" s="695">
        <f t="shared" si="104"/>
        <v>4307.2478811439096</v>
      </c>
      <c r="BB148" s="695">
        <f t="shared" si="104"/>
        <v>15335.973636371653</v>
      </c>
      <c r="BC148" s="798">
        <f t="shared" si="104"/>
        <v>0</v>
      </c>
      <c r="BD148" s="695">
        <f t="shared" si="104"/>
        <v>0</v>
      </c>
      <c r="BE148" s="695">
        <f t="shared" si="104"/>
        <v>0</v>
      </c>
      <c r="BF148" s="695">
        <f t="shared" si="104"/>
        <v>0</v>
      </c>
      <c r="BG148" s="695">
        <f t="shared" si="104"/>
        <v>0</v>
      </c>
      <c r="BH148" s="695">
        <f t="shared" si="104"/>
        <v>0</v>
      </c>
      <c r="BI148" s="695">
        <f t="shared" si="104"/>
        <v>0</v>
      </c>
      <c r="BJ148" s="695">
        <f t="shared" si="104"/>
        <v>0</v>
      </c>
      <c r="BK148" s="695">
        <f t="shared" si="104"/>
        <v>0</v>
      </c>
      <c r="BL148" s="813">
        <f t="shared" si="104"/>
        <v>26795</v>
      </c>
      <c r="BM148" s="795"/>
      <c r="BN148" s="214"/>
    </row>
    <row r="149" spans="5:66" x14ac:dyDescent="0.25">
      <c r="E149" s="796"/>
      <c r="F149" s="806" t="s">
        <v>904</v>
      </c>
      <c r="G149" s="806"/>
      <c r="H149" s="798">
        <f t="shared" ref="H149" si="105">H109+H110+H112</f>
        <v>0</v>
      </c>
      <c r="I149" s="798">
        <f>+I102+I103+I104+I109+I110+I112</f>
        <v>1129273.8579329075</v>
      </c>
      <c r="J149" s="695">
        <f>+J102+J103+J104+J109+J110+J112</f>
        <v>16378.649330491893</v>
      </c>
      <c r="K149" s="695">
        <f t="shared" ref="K149:BL149" si="106">+K102+K103+K104+K109+K110+K112</f>
        <v>4210.5644809627693</v>
      </c>
      <c r="L149" s="695">
        <f t="shared" si="106"/>
        <v>4038.2717169605571</v>
      </c>
      <c r="M149" s="695">
        <f t="shared" si="106"/>
        <v>5538.4740298482011</v>
      </c>
      <c r="N149" s="695">
        <f t="shared" si="106"/>
        <v>7610.5436447489219</v>
      </c>
      <c r="O149" s="695">
        <f t="shared" si="106"/>
        <v>21772.435058669584</v>
      </c>
      <c r="P149" s="695">
        <f t="shared" si="106"/>
        <v>2759.1425408384807</v>
      </c>
      <c r="Q149" s="695">
        <f t="shared" si="106"/>
        <v>7777.492160314393</v>
      </c>
      <c r="R149" s="695">
        <f t="shared" si="106"/>
        <v>6780.225798293176</v>
      </c>
      <c r="S149" s="695">
        <f t="shared" si="106"/>
        <v>6867.0857489862265</v>
      </c>
      <c r="T149" s="695">
        <f t="shared" si="106"/>
        <v>25564.835279100156</v>
      </c>
      <c r="U149" s="695">
        <f t="shared" si="106"/>
        <v>20190.47790000571</v>
      </c>
      <c r="V149" s="695">
        <f t="shared" si="106"/>
        <v>10722.696803095354</v>
      </c>
      <c r="W149" s="695">
        <f t="shared" si="106"/>
        <v>17572.466528949186</v>
      </c>
      <c r="X149" s="695">
        <f t="shared" si="106"/>
        <v>600.92674841882433</v>
      </c>
      <c r="Y149" s="695">
        <f t="shared" si="106"/>
        <v>424.51108572142567</v>
      </c>
      <c r="Z149" s="695">
        <f t="shared" si="106"/>
        <v>1776.3791301898934</v>
      </c>
      <c r="AA149" s="695">
        <f t="shared" si="106"/>
        <v>1560.0132979519981</v>
      </c>
      <c r="AB149" s="695">
        <f t="shared" si="106"/>
        <v>905.91308324875899</v>
      </c>
      <c r="AC149" s="695">
        <f t="shared" si="106"/>
        <v>1138.8474684318508</v>
      </c>
      <c r="AD149" s="695">
        <f t="shared" si="106"/>
        <v>7932.4965910334577</v>
      </c>
      <c r="AE149" s="695">
        <f t="shared" si="106"/>
        <v>2881.9894667198628</v>
      </c>
      <c r="AF149" s="695">
        <f t="shared" si="106"/>
        <v>25341.394973880975</v>
      </c>
      <c r="AG149" s="695">
        <f t="shared" si="106"/>
        <v>12304.597659569059</v>
      </c>
      <c r="AH149" s="695">
        <f t="shared" si="106"/>
        <v>156025.31965956319</v>
      </c>
      <c r="AI149" s="695">
        <f t="shared" si="106"/>
        <v>1539.1652067585674</v>
      </c>
      <c r="AJ149" s="695">
        <f t="shared" si="106"/>
        <v>96816.119711901425</v>
      </c>
      <c r="AK149" s="695">
        <f t="shared" si="106"/>
        <v>82687.858627039226</v>
      </c>
      <c r="AL149" s="695">
        <f t="shared" si="106"/>
        <v>0</v>
      </c>
      <c r="AM149" s="695">
        <f t="shared" si="106"/>
        <v>2359.0545076797162</v>
      </c>
      <c r="AN149" s="695">
        <f t="shared" si="106"/>
        <v>16542.224858205074</v>
      </c>
      <c r="AO149" s="695">
        <f t="shared" si="106"/>
        <v>100769.50256159349</v>
      </c>
      <c r="AP149" s="695">
        <f t="shared" si="106"/>
        <v>15160.227297187212</v>
      </c>
      <c r="AQ149" s="695">
        <f t="shared" si="106"/>
        <v>14982.079710152175</v>
      </c>
      <c r="AR149" s="695">
        <f t="shared" si="106"/>
        <v>56.641989223579216</v>
      </c>
      <c r="AS149" s="695">
        <f t="shared" si="106"/>
        <v>22264.905769837191</v>
      </c>
      <c r="AT149" s="695">
        <f t="shared" si="106"/>
        <v>18060.721715356998</v>
      </c>
      <c r="AU149" s="695">
        <f t="shared" si="106"/>
        <v>26741.587238509546</v>
      </c>
      <c r="AV149" s="695">
        <f t="shared" si="106"/>
        <v>36492.330108927192</v>
      </c>
      <c r="AW149" s="695">
        <f t="shared" si="106"/>
        <v>94566.566822209425</v>
      </c>
      <c r="AX149" s="695">
        <f t="shared" si="106"/>
        <v>1201.5947105078164</v>
      </c>
      <c r="AY149" s="695">
        <f t="shared" si="106"/>
        <v>61802.757682219344</v>
      </c>
      <c r="AZ149" s="695">
        <f t="shared" si="106"/>
        <v>2042.5767950915174</v>
      </c>
      <c r="BA149" s="695">
        <f t="shared" si="106"/>
        <v>35756.439550745104</v>
      </c>
      <c r="BB149" s="695">
        <f t="shared" si="106"/>
        <v>130755.75288376906</v>
      </c>
      <c r="BC149" s="798">
        <f t="shared" si="106"/>
        <v>0</v>
      </c>
      <c r="BD149" s="695">
        <f t="shared" si="106"/>
        <v>0</v>
      </c>
      <c r="BE149" s="695">
        <f t="shared" si="106"/>
        <v>0</v>
      </c>
      <c r="BF149" s="695">
        <f t="shared" si="106"/>
        <v>0</v>
      </c>
      <c r="BG149" s="695">
        <f t="shared" si="106"/>
        <v>0</v>
      </c>
      <c r="BH149" s="695">
        <f t="shared" si="106"/>
        <v>0</v>
      </c>
      <c r="BI149" s="695">
        <f t="shared" si="106"/>
        <v>0</v>
      </c>
      <c r="BJ149" s="695">
        <f t="shared" si="106"/>
        <v>0</v>
      </c>
      <c r="BK149" s="695">
        <f t="shared" si="106"/>
        <v>0</v>
      </c>
      <c r="BL149" s="813">
        <f t="shared" si="106"/>
        <v>1129273.8579329075</v>
      </c>
      <c r="BM149" s="795"/>
      <c r="BN149" s="214"/>
    </row>
    <row r="150" spans="5:66" ht="15.75" thickBot="1" x14ac:dyDescent="0.3">
      <c r="E150" s="802"/>
      <c r="F150" s="807" t="s">
        <v>905</v>
      </c>
      <c r="G150" s="807"/>
      <c r="H150" s="798">
        <f t="shared" ref="H150:BL150" si="107">H111</f>
        <v>0</v>
      </c>
      <c r="I150" s="798">
        <f t="shared" si="107"/>
        <v>15719.229611796576</v>
      </c>
      <c r="J150" s="695">
        <f t="shared" si="107"/>
        <v>404.10531180932128</v>
      </c>
      <c r="K150" s="695">
        <f t="shared" si="107"/>
        <v>102.95772665926791</v>
      </c>
      <c r="L150" s="695">
        <f t="shared" si="107"/>
        <v>98.111774377500367</v>
      </c>
      <c r="M150" s="695">
        <f t="shared" si="107"/>
        <v>137.59630282403077</v>
      </c>
      <c r="N150" s="695">
        <f t="shared" si="107"/>
        <v>186.4462589742794</v>
      </c>
      <c r="O150" s="695">
        <f t="shared" si="107"/>
        <v>542.47095186079036</v>
      </c>
      <c r="P150" s="695">
        <f t="shared" si="107"/>
        <v>68.931141399676747</v>
      </c>
      <c r="Q150" s="695">
        <f t="shared" si="107"/>
        <v>194.9710580588773</v>
      </c>
      <c r="R150" s="695">
        <f t="shared" si="107"/>
        <v>170.1411302170651</v>
      </c>
      <c r="S150" s="695">
        <f t="shared" si="107"/>
        <v>172.17971231786532</v>
      </c>
      <c r="T150" s="695">
        <f t="shared" si="107"/>
        <v>641.90746497270993</v>
      </c>
      <c r="U150" s="695">
        <f t="shared" si="107"/>
        <v>506.67901645552348</v>
      </c>
      <c r="V150" s="695">
        <f t="shared" si="107"/>
        <v>258.97611723274412</v>
      </c>
      <c r="W150" s="695">
        <f t="shared" si="107"/>
        <v>424.94191384570723</v>
      </c>
      <c r="X150" s="695">
        <f t="shared" si="107"/>
        <v>15.089970855189939</v>
      </c>
      <c r="Y150" s="695">
        <f t="shared" si="107"/>
        <v>10.599039380012405</v>
      </c>
      <c r="Z150" s="695">
        <f t="shared" si="107"/>
        <v>43.972398760442886</v>
      </c>
      <c r="AA150" s="695">
        <f t="shared" si="107"/>
        <v>38.515355188577871</v>
      </c>
      <c r="AB150" s="695">
        <f t="shared" si="107"/>
        <v>22.31226580741065</v>
      </c>
      <c r="AC150" s="695">
        <f t="shared" si="107"/>
        <v>28.412842210358079</v>
      </c>
      <c r="AD150" s="695">
        <f t="shared" si="107"/>
        <v>199.95521207879196</v>
      </c>
      <c r="AE150" s="695">
        <f t="shared" si="107"/>
        <v>72.306576882516367</v>
      </c>
      <c r="AF150" s="695">
        <f t="shared" si="107"/>
        <v>144.81339302957923</v>
      </c>
      <c r="AG150" s="695">
        <f t="shared" si="107"/>
        <v>279.83021099952748</v>
      </c>
      <c r="AH150" s="695">
        <f t="shared" si="107"/>
        <v>3858.9552970412146</v>
      </c>
      <c r="AI150" s="695">
        <f t="shared" si="107"/>
        <v>38.884714502911891</v>
      </c>
      <c r="AJ150" s="695">
        <f t="shared" si="107"/>
        <v>676.94784097030879</v>
      </c>
      <c r="AK150" s="695">
        <f t="shared" si="107"/>
        <v>540.73957321404919</v>
      </c>
      <c r="AL150" s="695">
        <f t="shared" si="107"/>
        <v>0</v>
      </c>
      <c r="AM150" s="695">
        <f t="shared" si="107"/>
        <v>58.448691898387175</v>
      </c>
      <c r="AN150" s="695">
        <f t="shared" si="107"/>
        <v>73.683830451690838</v>
      </c>
      <c r="AO150" s="695">
        <f t="shared" si="107"/>
        <v>674.45511887381713</v>
      </c>
      <c r="AP150" s="695">
        <f t="shared" si="107"/>
        <v>94.617821833332556</v>
      </c>
      <c r="AQ150" s="695">
        <f t="shared" si="107"/>
        <v>342.7664749866625</v>
      </c>
      <c r="AR150" s="695">
        <f t="shared" si="107"/>
        <v>1.3863353299053596</v>
      </c>
      <c r="AS150" s="695">
        <f t="shared" si="107"/>
        <v>510.78919129877363</v>
      </c>
      <c r="AT150" s="695">
        <f t="shared" si="107"/>
        <v>411.24487752071127</v>
      </c>
      <c r="AU150" s="695">
        <f t="shared" si="107"/>
        <v>620.09704013552073</v>
      </c>
      <c r="AV150" s="695">
        <f t="shared" si="107"/>
        <v>838.96424284688067</v>
      </c>
      <c r="AW150" s="695">
        <f t="shared" si="107"/>
        <v>2181.6159037957741</v>
      </c>
      <c r="AX150" s="695">
        <f t="shared" si="107"/>
        <v>29.409510898867499</v>
      </c>
      <c r="AY150" s="695">
        <f t="shared" si="107"/>
        <v>0</v>
      </c>
      <c r="AZ150" s="695">
        <f t="shared" si="107"/>
        <v>0</v>
      </c>
      <c r="BA150" s="695">
        <f t="shared" si="107"/>
        <v>0</v>
      </c>
      <c r="BB150" s="695">
        <f t="shared" si="107"/>
        <v>0</v>
      </c>
      <c r="BC150" s="798">
        <f t="shared" si="107"/>
        <v>0</v>
      </c>
      <c r="BD150" s="695">
        <f t="shared" si="107"/>
        <v>0</v>
      </c>
      <c r="BE150" s="695">
        <f t="shared" si="107"/>
        <v>0</v>
      </c>
      <c r="BF150" s="695">
        <f t="shared" si="107"/>
        <v>0</v>
      </c>
      <c r="BG150" s="695">
        <f t="shared" si="107"/>
        <v>0</v>
      </c>
      <c r="BH150" s="695">
        <f t="shared" si="107"/>
        <v>0</v>
      </c>
      <c r="BI150" s="695">
        <f t="shared" si="107"/>
        <v>0</v>
      </c>
      <c r="BJ150" s="695">
        <f t="shared" si="107"/>
        <v>0</v>
      </c>
      <c r="BK150" s="695">
        <f t="shared" si="107"/>
        <v>0</v>
      </c>
      <c r="BL150" s="814">
        <f t="shared" si="107"/>
        <v>15719.229611796576</v>
      </c>
      <c r="BM150" s="795"/>
      <c r="BN150" s="214"/>
    </row>
    <row r="151" spans="5:66" x14ac:dyDescent="0.25">
      <c r="E151" s="802"/>
      <c r="F151" s="71" t="s">
        <v>3</v>
      </c>
      <c r="G151" s="71"/>
      <c r="H151" s="808">
        <f t="shared" ref="H151:AM151" si="108">SUM(H144:H150)</f>
        <v>28660.563647306648</v>
      </c>
      <c r="I151" s="808">
        <f t="shared" si="108"/>
        <v>3209935.3829021375</v>
      </c>
      <c r="J151" s="809">
        <f t="shared" si="108"/>
        <v>31721.655833118304</v>
      </c>
      <c r="K151" s="809">
        <f t="shared" si="108"/>
        <v>8557.2229364106588</v>
      </c>
      <c r="L151" s="809">
        <f t="shared" si="108"/>
        <v>8481.4439550324405</v>
      </c>
      <c r="M151" s="809">
        <f t="shared" si="108"/>
        <v>10316.157231747555</v>
      </c>
      <c r="N151" s="809">
        <f t="shared" si="108"/>
        <v>15314.748859518957</v>
      </c>
      <c r="O151" s="809">
        <f t="shared" si="108"/>
        <v>40407.365814733792</v>
      </c>
      <c r="P151" s="809">
        <f t="shared" si="108"/>
        <v>5046.3869250909493</v>
      </c>
      <c r="Q151" s="809">
        <f t="shared" si="108"/>
        <v>13957.839079267093</v>
      </c>
      <c r="R151" s="809">
        <f t="shared" si="108"/>
        <v>12100.035212184659</v>
      </c>
      <c r="S151" s="809">
        <f t="shared" si="108"/>
        <v>12311.465743404786</v>
      </c>
      <c r="T151" s="809">
        <f t="shared" si="108"/>
        <v>45466.986730766053</v>
      </c>
      <c r="U151" s="809">
        <f t="shared" si="108"/>
        <v>36022.182906057118</v>
      </c>
      <c r="V151" s="809">
        <f t="shared" si="108"/>
        <v>22470.540909030504</v>
      </c>
      <c r="W151" s="809">
        <f t="shared" si="108"/>
        <v>36568.298178941863</v>
      </c>
      <c r="X151" s="809">
        <f t="shared" si="108"/>
        <v>1080.1971628132555</v>
      </c>
      <c r="Y151" s="809">
        <f t="shared" si="108"/>
        <v>789.05178290295669</v>
      </c>
      <c r="Z151" s="809">
        <f t="shared" si="108"/>
        <v>3463.6130095904327</v>
      </c>
      <c r="AA151" s="809">
        <f t="shared" si="108"/>
        <v>3084.8483095809015</v>
      </c>
      <c r="AB151" s="809">
        <f t="shared" si="108"/>
        <v>1814.3859777084458</v>
      </c>
      <c r="AC151" s="809">
        <f t="shared" si="108"/>
        <v>2125.9708308333916</v>
      </c>
      <c r="AD151" s="809">
        <f t="shared" si="108"/>
        <v>13934.70680594556</v>
      </c>
      <c r="AE151" s="809">
        <f t="shared" si="108"/>
        <v>5207.6090190610539</v>
      </c>
      <c r="AF151" s="809">
        <f t="shared" si="108"/>
        <v>31269.146809572881</v>
      </c>
      <c r="AG151" s="809">
        <f t="shared" si="108"/>
        <v>30827.481281387703</v>
      </c>
      <c r="AH151" s="809">
        <f t="shared" si="108"/>
        <v>302653.67539578583</v>
      </c>
      <c r="AI151" s="809">
        <f t="shared" si="108"/>
        <v>2666.7808909735281</v>
      </c>
      <c r="AJ151" s="809">
        <f t="shared" si="108"/>
        <v>120359.24454315758</v>
      </c>
      <c r="AK151" s="809">
        <f t="shared" si="108"/>
        <v>102524.19246108772</v>
      </c>
      <c r="AL151" s="809">
        <f t="shared" si="108"/>
        <v>0</v>
      </c>
      <c r="AM151" s="809">
        <f t="shared" si="108"/>
        <v>4577.2268831472793</v>
      </c>
      <c r="AN151" s="809">
        <f t="shared" ref="AN151:BK151" si="109">SUM(AN144:AN150)</f>
        <v>20260.650995618471</v>
      </c>
      <c r="AO151" s="809">
        <f t="shared" si="109"/>
        <v>125055.61792638498</v>
      </c>
      <c r="AP151" s="809">
        <f t="shared" si="109"/>
        <v>18764.302916397453</v>
      </c>
      <c r="AQ151" s="809">
        <f t="shared" si="109"/>
        <v>37033.935144142153</v>
      </c>
      <c r="AR151" s="809">
        <f t="shared" si="109"/>
        <v>117.16671206062014</v>
      </c>
      <c r="AS151" s="809">
        <f t="shared" si="109"/>
        <v>54677.237001820635</v>
      </c>
      <c r="AT151" s="809">
        <f t="shared" si="109"/>
        <v>45144.370280194074</v>
      </c>
      <c r="AU151" s="809">
        <f t="shared" si="109"/>
        <v>63956.205968138376</v>
      </c>
      <c r="AV151" s="809">
        <f t="shared" si="109"/>
        <v>89182.737655889243</v>
      </c>
      <c r="AW151" s="809">
        <f t="shared" si="109"/>
        <v>229127.74159349929</v>
      </c>
      <c r="AX151" s="809">
        <f t="shared" si="109"/>
        <v>2485.5571527319535</v>
      </c>
      <c r="AY151" s="809">
        <f t="shared" si="109"/>
        <v>423239.23548303562</v>
      </c>
      <c r="AZ151" s="809">
        <f t="shared" si="109"/>
        <v>14394.181314537314</v>
      </c>
      <c r="BA151" s="809">
        <f t="shared" si="109"/>
        <v>251227.32018263874</v>
      </c>
      <c r="BB151" s="809">
        <f t="shared" si="109"/>
        <v>910148.66109619534</v>
      </c>
      <c r="BC151" s="808">
        <f t="shared" si="109"/>
        <v>1709303.3895408027</v>
      </c>
      <c r="BD151" s="809">
        <f t="shared" si="109"/>
        <v>278648.83131959033</v>
      </c>
      <c r="BE151" s="809">
        <f t="shared" si="109"/>
        <v>254126.92484105946</v>
      </c>
      <c r="BF151" s="809">
        <f t="shared" si="109"/>
        <v>155595.00670378769</v>
      </c>
      <c r="BG151" s="809">
        <f t="shared" si="109"/>
        <v>287559.82872561546</v>
      </c>
      <c r="BH151" s="809">
        <f t="shared" si="109"/>
        <v>225259.69062010365</v>
      </c>
      <c r="BI151" s="809">
        <f t="shared" si="109"/>
        <v>164021.56732778979</v>
      </c>
      <c r="BJ151" s="809">
        <f t="shared" si="109"/>
        <v>92511.786312733922</v>
      </c>
      <c r="BK151" s="809">
        <f t="shared" si="109"/>
        <v>251579.75369012251</v>
      </c>
      <c r="BL151" s="815">
        <f>SUM(BL144:BL150)</f>
        <v>4947899.3360902471</v>
      </c>
      <c r="BM151" s="799"/>
      <c r="BN151" s="810"/>
    </row>
    <row r="152" spans="5:66" x14ac:dyDescent="0.25">
      <c r="E152" s="12"/>
      <c r="F152" s="71"/>
      <c r="G152" s="71"/>
      <c r="H152" s="798">
        <f t="shared" ref="H152:BL152" si="110">H151-H126</f>
        <v>0</v>
      </c>
      <c r="I152" s="635"/>
      <c r="J152" s="695">
        <f t="shared" si="110"/>
        <v>0</v>
      </c>
      <c r="K152" s="695">
        <f t="shared" si="110"/>
        <v>0</v>
      </c>
      <c r="L152" s="695">
        <f t="shared" si="110"/>
        <v>0</v>
      </c>
      <c r="M152" s="695">
        <f t="shared" si="110"/>
        <v>0</v>
      </c>
      <c r="N152" s="695">
        <f t="shared" si="110"/>
        <v>0</v>
      </c>
      <c r="O152" s="695">
        <f t="shared" si="110"/>
        <v>0</v>
      </c>
      <c r="P152" s="695">
        <f t="shared" si="110"/>
        <v>0</v>
      </c>
      <c r="Q152" s="695">
        <f t="shared" si="110"/>
        <v>0</v>
      </c>
      <c r="R152" s="695">
        <f t="shared" si="110"/>
        <v>0</v>
      </c>
      <c r="S152" s="695">
        <f t="shared" si="110"/>
        <v>0</v>
      </c>
      <c r="T152" s="695">
        <f t="shared" si="110"/>
        <v>0</v>
      </c>
      <c r="U152" s="695">
        <f t="shared" si="110"/>
        <v>0</v>
      </c>
      <c r="V152" s="695">
        <f t="shared" si="110"/>
        <v>0</v>
      </c>
      <c r="W152" s="695">
        <f t="shared" si="110"/>
        <v>0</v>
      </c>
      <c r="X152" s="695">
        <f t="shared" si="110"/>
        <v>0</v>
      </c>
      <c r="Y152" s="695">
        <f t="shared" si="110"/>
        <v>0</v>
      </c>
      <c r="Z152" s="695">
        <f t="shared" si="110"/>
        <v>0</v>
      </c>
      <c r="AA152" s="695">
        <f t="shared" si="110"/>
        <v>0</v>
      </c>
      <c r="AB152" s="695">
        <f t="shared" si="110"/>
        <v>0</v>
      </c>
      <c r="AC152" s="695">
        <f t="shared" si="110"/>
        <v>0</v>
      </c>
      <c r="AD152" s="695">
        <f t="shared" si="110"/>
        <v>0</v>
      </c>
      <c r="AE152" s="695">
        <f t="shared" si="110"/>
        <v>0</v>
      </c>
      <c r="AF152" s="695">
        <f t="shared" si="110"/>
        <v>0</v>
      </c>
      <c r="AG152" s="695">
        <f t="shared" si="110"/>
        <v>0</v>
      </c>
      <c r="AH152" s="695">
        <f t="shared" si="110"/>
        <v>0</v>
      </c>
      <c r="AI152" s="695">
        <f t="shared" si="110"/>
        <v>0</v>
      </c>
      <c r="AJ152" s="695">
        <f t="shared" si="110"/>
        <v>0</v>
      </c>
      <c r="AK152" s="695">
        <f t="shared" si="110"/>
        <v>0</v>
      </c>
      <c r="AL152" s="695">
        <f t="shared" si="110"/>
        <v>0</v>
      </c>
      <c r="AM152" s="695">
        <f t="shared" si="110"/>
        <v>0</v>
      </c>
      <c r="AN152" s="695">
        <f t="shared" si="110"/>
        <v>0</v>
      </c>
      <c r="AO152" s="695">
        <f t="shared" si="110"/>
        <v>0</v>
      </c>
      <c r="AP152" s="695">
        <f t="shared" si="110"/>
        <v>0</v>
      </c>
      <c r="AQ152" s="695">
        <f t="shared" si="110"/>
        <v>0</v>
      </c>
      <c r="AR152" s="695">
        <f t="shared" si="110"/>
        <v>0</v>
      </c>
      <c r="AS152" s="695">
        <f t="shared" si="110"/>
        <v>0</v>
      </c>
      <c r="AT152" s="695">
        <f t="shared" si="110"/>
        <v>0</v>
      </c>
      <c r="AU152" s="695">
        <f t="shared" si="110"/>
        <v>0</v>
      </c>
      <c r="AV152" s="695">
        <f t="shared" si="110"/>
        <v>0</v>
      </c>
      <c r="AW152" s="695">
        <f t="shared" si="110"/>
        <v>0</v>
      </c>
      <c r="AX152" s="695">
        <f t="shared" si="110"/>
        <v>0</v>
      </c>
      <c r="AY152" s="695">
        <f t="shared" si="110"/>
        <v>0</v>
      </c>
      <c r="AZ152" s="695">
        <f t="shared" si="110"/>
        <v>0</v>
      </c>
      <c r="BA152" s="695">
        <f t="shared" si="110"/>
        <v>0</v>
      </c>
      <c r="BB152" s="695">
        <f t="shared" si="110"/>
        <v>0</v>
      </c>
      <c r="BC152" s="635">
        <f t="shared" si="110"/>
        <v>0</v>
      </c>
      <c r="BD152" s="695">
        <f t="shared" si="110"/>
        <v>0</v>
      </c>
      <c r="BE152" s="695">
        <f t="shared" si="110"/>
        <v>0</v>
      </c>
      <c r="BF152" s="695">
        <f t="shared" si="110"/>
        <v>0</v>
      </c>
      <c r="BG152" s="695">
        <f t="shared" si="110"/>
        <v>0</v>
      </c>
      <c r="BH152" s="695">
        <f t="shared" si="110"/>
        <v>0</v>
      </c>
      <c r="BI152" s="695">
        <f t="shared" si="110"/>
        <v>0</v>
      </c>
      <c r="BJ152" s="695">
        <f t="shared" si="110"/>
        <v>0</v>
      </c>
      <c r="BK152" s="695">
        <f t="shared" si="110"/>
        <v>0</v>
      </c>
      <c r="BL152" s="695">
        <f t="shared" si="110"/>
        <v>0</v>
      </c>
      <c r="BM152" s="795"/>
      <c r="BN152" s="214"/>
    </row>
    <row r="153" spans="5:66" x14ac:dyDescent="0.25">
      <c r="E153" s="12"/>
      <c r="F153" s="816" t="s">
        <v>392</v>
      </c>
      <c r="G153" s="71"/>
      <c r="H153" s="636"/>
      <c r="I153" s="635"/>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635"/>
      <c r="BD153" s="71"/>
      <c r="BE153" s="71"/>
      <c r="BF153" s="71"/>
      <c r="BG153" s="71"/>
      <c r="BH153" s="71"/>
      <c r="BI153" s="71"/>
      <c r="BJ153" s="71"/>
      <c r="BK153" s="71"/>
      <c r="BL153" s="71"/>
      <c r="BM153" s="795"/>
      <c r="BN153" s="214"/>
    </row>
    <row r="154" spans="5:66" x14ac:dyDescent="0.25">
      <c r="E154" s="12"/>
      <c r="F154" s="797" t="s">
        <v>899</v>
      </c>
      <c r="G154" s="797"/>
      <c r="H154" s="798">
        <f t="shared" ref="H154:W160" si="111">H144-H134</f>
        <v>1111.707192296115</v>
      </c>
      <c r="I154" s="798">
        <f t="shared" si="111"/>
        <v>12492.84441315732</v>
      </c>
      <c r="J154" s="695">
        <f>J144-J134</f>
        <v>0</v>
      </c>
      <c r="K154" s="695">
        <f t="shared" ref="K154:BL158" si="112">K144-K134</f>
        <v>0</v>
      </c>
      <c r="L154" s="695">
        <f t="shared" si="112"/>
        <v>0</v>
      </c>
      <c r="M154" s="695">
        <f t="shared" si="112"/>
        <v>0</v>
      </c>
      <c r="N154" s="695">
        <f t="shared" si="112"/>
        <v>0</v>
      </c>
      <c r="O154" s="695">
        <f t="shared" si="112"/>
        <v>0</v>
      </c>
      <c r="P154" s="695">
        <f t="shared" si="112"/>
        <v>0</v>
      </c>
      <c r="Q154" s="695">
        <f t="shared" si="112"/>
        <v>0</v>
      </c>
      <c r="R154" s="695">
        <f t="shared" si="112"/>
        <v>0</v>
      </c>
      <c r="S154" s="695">
        <f t="shared" si="112"/>
        <v>0</v>
      </c>
      <c r="T154" s="695">
        <f t="shared" si="112"/>
        <v>0</v>
      </c>
      <c r="U154" s="695">
        <f t="shared" si="112"/>
        <v>0</v>
      </c>
      <c r="V154" s="695">
        <f t="shared" si="112"/>
        <v>0</v>
      </c>
      <c r="W154" s="695">
        <f t="shared" si="112"/>
        <v>0</v>
      </c>
      <c r="X154" s="695">
        <f t="shared" si="112"/>
        <v>0</v>
      </c>
      <c r="Y154" s="695">
        <f t="shared" si="112"/>
        <v>0</v>
      </c>
      <c r="Z154" s="695">
        <f t="shared" si="112"/>
        <v>0</v>
      </c>
      <c r="AA154" s="695">
        <f t="shared" si="112"/>
        <v>0</v>
      </c>
      <c r="AB154" s="695">
        <f t="shared" si="112"/>
        <v>0</v>
      </c>
      <c r="AC154" s="695">
        <f t="shared" si="112"/>
        <v>0</v>
      </c>
      <c r="AD154" s="695">
        <f t="shared" si="112"/>
        <v>0</v>
      </c>
      <c r="AE154" s="695">
        <f t="shared" si="112"/>
        <v>0</v>
      </c>
      <c r="AF154" s="695">
        <f t="shared" si="112"/>
        <v>0</v>
      </c>
      <c r="AG154" s="695">
        <f t="shared" si="112"/>
        <v>0</v>
      </c>
      <c r="AH154" s="695">
        <f t="shared" si="112"/>
        <v>0</v>
      </c>
      <c r="AI154" s="695">
        <f t="shared" si="112"/>
        <v>0</v>
      </c>
      <c r="AJ154" s="695">
        <f t="shared" si="112"/>
        <v>0</v>
      </c>
      <c r="AK154" s="695">
        <f t="shared" si="112"/>
        <v>0</v>
      </c>
      <c r="AL154" s="695">
        <f t="shared" si="112"/>
        <v>0</v>
      </c>
      <c r="AM154" s="695">
        <f t="shared" si="112"/>
        <v>0</v>
      </c>
      <c r="AN154" s="695">
        <f t="shared" si="112"/>
        <v>0</v>
      </c>
      <c r="AO154" s="695">
        <f t="shared" si="112"/>
        <v>0</v>
      </c>
      <c r="AP154" s="695">
        <f t="shared" si="112"/>
        <v>0</v>
      </c>
      <c r="AQ154" s="695">
        <f t="shared" si="112"/>
        <v>0</v>
      </c>
      <c r="AR154" s="695">
        <f t="shared" si="112"/>
        <v>0</v>
      </c>
      <c r="AS154" s="695">
        <f t="shared" si="112"/>
        <v>0</v>
      </c>
      <c r="AT154" s="695">
        <f t="shared" si="112"/>
        <v>0</v>
      </c>
      <c r="AU154" s="695">
        <f t="shared" si="112"/>
        <v>0</v>
      </c>
      <c r="AV154" s="695">
        <f t="shared" si="112"/>
        <v>0</v>
      </c>
      <c r="AW154" s="695">
        <f t="shared" si="112"/>
        <v>0</v>
      </c>
      <c r="AX154" s="695">
        <f t="shared" si="112"/>
        <v>0</v>
      </c>
      <c r="AY154" s="695">
        <f t="shared" si="112"/>
        <v>7617.2584494854091</v>
      </c>
      <c r="AZ154" s="695">
        <f t="shared" si="112"/>
        <v>256.1744379331285</v>
      </c>
      <c r="BA154" s="695">
        <f t="shared" si="112"/>
        <v>4619.4115257390949</v>
      </c>
      <c r="BB154" s="695">
        <f t="shared" si="112"/>
        <v>0</v>
      </c>
      <c r="BC154" s="798">
        <f t="shared" si="112"/>
        <v>68737.080165339867</v>
      </c>
      <c r="BD154" s="695">
        <f t="shared" si="112"/>
        <v>11039.94099806188</v>
      </c>
      <c r="BE154" s="695">
        <f t="shared" si="112"/>
        <v>10068.394125243794</v>
      </c>
      <c r="BF154" s="695">
        <f t="shared" si="112"/>
        <v>6164.6039765109017</v>
      </c>
      <c r="BG154" s="695">
        <f t="shared" si="112"/>
        <v>11392.990695527085</v>
      </c>
      <c r="BH154" s="695">
        <f t="shared" si="112"/>
        <v>8924.6873274533136</v>
      </c>
      <c r="BI154" s="695">
        <f t="shared" si="112"/>
        <v>6498.4605072022823</v>
      </c>
      <c r="BJ154" s="695">
        <f t="shared" si="112"/>
        <v>3665.2752415333089</v>
      </c>
      <c r="BK154" s="695">
        <f t="shared" si="112"/>
        <v>10982.727293807548</v>
      </c>
      <c r="BL154" s="695">
        <f t="shared" si="112"/>
        <v>82341.631770793349</v>
      </c>
      <c r="BM154" s="799"/>
      <c r="BN154" s="800"/>
    </row>
    <row r="155" spans="5:66" x14ac:dyDescent="0.25">
      <c r="E155" s="12"/>
      <c r="F155" s="801" t="s">
        <v>900</v>
      </c>
      <c r="G155" s="801"/>
      <c r="H155" s="798">
        <f t="shared" si="111"/>
        <v>0</v>
      </c>
      <c r="I155" s="798">
        <f t="shared" si="111"/>
        <v>0</v>
      </c>
      <c r="J155" s="695">
        <f>J145-J135</f>
        <v>0</v>
      </c>
      <c r="K155" s="695">
        <f t="shared" si="112"/>
        <v>0</v>
      </c>
      <c r="L155" s="695">
        <f t="shared" si="112"/>
        <v>0</v>
      </c>
      <c r="M155" s="695">
        <f t="shared" si="112"/>
        <v>0</v>
      </c>
      <c r="N155" s="695">
        <f t="shared" si="112"/>
        <v>0</v>
      </c>
      <c r="O155" s="695">
        <f t="shared" si="112"/>
        <v>0</v>
      </c>
      <c r="P155" s="695">
        <f t="shared" si="112"/>
        <v>0</v>
      </c>
      <c r="Q155" s="695">
        <f t="shared" si="112"/>
        <v>0</v>
      </c>
      <c r="R155" s="695">
        <f t="shared" si="112"/>
        <v>0</v>
      </c>
      <c r="S155" s="695">
        <f t="shared" si="112"/>
        <v>0</v>
      </c>
      <c r="T155" s="695">
        <f t="shared" si="112"/>
        <v>0</v>
      </c>
      <c r="U155" s="695">
        <f t="shared" si="112"/>
        <v>0</v>
      </c>
      <c r="V155" s="695">
        <f t="shared" si="112"/>
        <v>0</v>
      </c>
      <c r="W155" s="695">
        <f t="shared" si="112"/>
        <v>0</v>
      </c>
      <c r="X155" s="695">
        <f t="shared" si="112"/>
        <v>0</v>
      </c>
      <c r="Y155" s="695">
        <f t="shared" si="112"/>
        <v>0</v>
      </c>
      <c r="Z155" s="695">
        <f t="shared" si="112"/>
        <v>0</v>
      </c>
      <c r="AA155" s="695">
        <f t="shared" si="112"/>
        <v>0</v>
      </c>
      <c r="AB155" s="695">
        <f t="shared" si="112"/>
        <v>0</v>
      </c>
      <c r="AC155" s="695">
        <f t="shared" si="112"/>
        <v>0</v>
      </c>
      <c r="AD155" s="695">
        <f t="shared" si="112"/>
        <v>0</v>
      </c>
      <c r="AE155" s="695">
        <f t="shared" si="112"/>
        <v>0</v>
      </c>
      <c r="AF155" s="695">
        <f t="shared" si="112"/>
        <v>0</v>
      </c>
      <c r="AG155" s="695">
        <f t="shared" si="112"/>
        <v>0</v>
      </c>
      <c r="AH155" s="695">
        <f t="shared" si="112"/>
        <v>0</v>
      </c>
      <c r="AI155" s="695">
        <f t="shared" si="112"/>
        <v>0</v>
      </c>
      <c r="AJ155" s="695">
        <f t="shared" si="112"/>
        <v>0</v>
      </c>
      <c r="AK155" s="695">
        <f t="shared" si="112"/>
        <v>0</v>
      </c>
      <c r="AL155" s="695">
        <f t="shared" si="112"/>
        <v>0</v>
      </c>
      <c r="AM155" s="695">
        <f t="shared" si="112"/>
        <v>0</v>
      </c>
      <c r="AN155" s="695">
        <f t="shared" si="112"/>
        <v>0</v>
      </c>
      <c r="AO155" s="695">
        <f t="shared" si="112"/>
        <v>0</v>
      </c>
      <c r="AP155" s="695">
        <f t="shared" si="112"/>
        <v>0</v>
      </c>
      <c r="AQ155" s="695">
        <f t="shared" si="112"/>
        <v>0</v>
      </c>
      <c r="AR155" s="695">
        <f t="shared" si="112"/>
        <v>0</v>
      </c>
      <c r="AS155" s="695">
        <f t="shared" si="112"/>
        <v>0</v>
      </c>
      <c r="AT155" s="695">
        <f t="shared" si="112"/>
        <v>0</v>
      </c>
      <c r="AU155" s="695">
        <f t="shared" si="112"/>
        <v>0</v>
      </c>
      <c r="AV155" s="695">
        <f t="shared" si="112"/>
        <v>0</v>
      </c>
      <c r="AW155" s="695">
        <f t="shared" si="112"/>
        <v>0</v>
      </c>
      <c r="AX155" s="695">
        <f t="shared" si="112"/>
        <v>0</v>
      </c>
      <c r="AY155" s="695">
        <f t="shared" si="112"/>
        <v>0</v>
      </c>
      <c r="AZ155" s="695">
        <f t="shared" si="112"/>
        <v>0</v>
      </c>
      <c r="BA155" s="695">
        <f t="shared" si="112"/>
        <v>0</v>
      </c>
      <c r="BB155" s="695">
        <f t="shared" si="112"/>
        <v>0</v>
      </c>
      <c r="BC155" s="798">
        <f t="shared" si="112"/>
        <v>0</v>
      </c>
      <c r="BD155" s="695">
        <f t="shared" si="112"/>
        <v>0</v>
      </c>
      <c r="BE155" s="695">
        <f t="shared" si="112"/>
        <v>0</v>
      </c>
      <c r="BF155" s="695">
        <f t="shared" si="112"/>
        <v>0</v>
      </c>
      <c r="BG155" s="695">
        <f t="shared" si="112"/>
        <v>0</v>
      </c>
      <c r="BH155" s="695">
        <f t="shared" si="112"/>
        <v>0</v>
      </c>
      <c r="BI155" s="695">
        <f t="shared" si="112"/>
        <v>0</v>
      </c>
      <c r="BJ155" s="695">
        <f t="shared" si="112"/>
        <v>0</v>
      </c>
      <c r="BK155" s="695">
        <f t="shared" si="112"/>
        <v>0</v>
      </c>
      <c r="BL155" s="695">
        <f t="shared" si="112"/>
        <v>0</v>
      </c>
      <c r="BM155" s="795"/>
      <c r="BN155" s="214"/>
    </row>
    <row r="156" spans="5:66" x14ac:dyDescent="0.25">
      <c r="E156" s="12"/>
      <c r="F156" s="803" t="s">
        <v>901</v>
      </c>
      <c r="G156" s="803"/>
      <c r="H156" s="798">
        <f t="shared" si="111"/>
        <v>0</v>
      </c>
      <c r="I156" s="798">
        <f t="shared" si="111"/>
        <v>14023.533565961756</v>
      </c>
      <c r="J156" s="695">
        <f t="shared" si="111"/>
        <v>0</v>
      </c>
      <c r="K156" s="695">
        <f t="shared" si="112"/>
        <v>0</v>
      </c>
      <c r="L156" s="695">
        <f t="shared" si="112"/>
        <v>0</v>
      </c>
      <c r="M156" s="695">
        <f t="shared" si="112"/>
        <v>0</v>
      </c>
      <c r="N156" s="695">
        <f t="shared" si="112"/>
        <v>0</v>
      </c>
      <c r="O156" s="695">
        <f t="shared" si="112"/>
        <v>0</v>
      </c>
      <c r="P156" s="695">
        <f t="shared" si="112"/>
        <v>0</v>
      </c>
      <c r="Q156" s="695">
        <f t="shared" si="112"/>
        <v>0</v>
      </c>
      <c r="R156" s="695">
        <f t="shared" si="112"/>
        <v>0</v>
      </c>
      <c r="S156" s="695">
        <f t="shared" si="112"/>
        <v>0</v>
      </c>
      <c r="T156" s="695">
        <f t="shared" si="112"/>
        <v>0</v>
      </c>
      <c r="U156" s="695">
        <f t="shared" si="112"/>
        <v>0</v>
      </c>
      <c r="V156" s="695">
        <f t="shared" si="112"/>
        <v>0</v>
      </c>
      <c r="W156" s="695">
        <f t="shared" si="112"/>
        <v>0</v>
      </c>
      <c r="X156" s="695">
        <f t="shared" si="112"/>
        <v>0</v>
      </c>
      <c r="Y156" s="695">
        <f t="shared" si="112"/>
        <v>0</v>
      </c>
      <c r="Z156" s="695">
        <f t="shared" si="112"/>
        <v>0</v>
      </c>
      <c r="AA156" s="695">
        <f t="shared" si="112"/>
        <v>0</v>
      </c>
      <c r="AB156" s="695">
        <f t="shared" si="112"/>
        <v>0</v>
      </c>
      <c r="AC156" s="695">
        <f t="shared" si="112"/>
        <v>0</v>
      </c>
      <c r="AD156" s="695">
        <f t="shared" si="112"/>
        <v>0</v>
      </c>
      <c r="AE156" s="695">
        <f t="shared" si="112"/>
        <v>0</v>
      </c>
      <c r="AF156" s="695">
        <f t="shared" si="112"/>
        <v>0</v>
      </c>
      <c r="AG156" s="695">
        <f t="shared" si="112"/>
        <v>0</v>
      </c>
      <c r="AH156" s="695">
        <f t="shared" si="112"/>
        <v>0</v>
      </c>
      <c r="AI156" s="695">
        <f t="shared" si="112"/>
        <v>0</v>
      </c>
      <c r="AJ156" s="695">
        <f t="shared" si="112"/>
        <v>0</v>
      </c>
      <c r="AK156" s="695">
        <f t="shared" si="112"/>
        <v>0</v>
      </c>
      <c r="AL156" s="695">
        <f t="shared" si="112"/>
        <v>0</v>
      </c>
      <c r="AM156" s="695">
        <f t="shared" si="112"/>
        <v>0</v>
      </c>
      <c r="AN156" s="695">
        <f t="shared" si="112"/>
        <v>0</v>
      </c>
      <c r="AO156" s="695">
        <f t="shared" si="112"/>
        <v>0</v>
      </c>
      <c r="AP156" s="695">
        <f t="shared" si="112"/>
        <v>0</v>
      </c>
      <c r="AQ156" s="695">
        <f t="shared" si="112"/>
        <v>0</v>
      </c>
      <c r="AR156" s="695">
        <f t="shared" si="112"/>
        <v>0</v>
      </c>
      <c r="AS156" s="695">
        <f t="shared" si="112"/>
        <v>0</v>
      </c>
      <c r="AT156" s="695">
        <f t="shared" si="112"/>
        <v>0</v>
      </c>
      <c r="AU156" s="695">
        <f t="shared" si="112"/>
        <v>0</v>
      </c>
      <c r="AV156" s="695">
        <f t="shared" si="112"/>
        <v>0</v>
      </c>
      <c r="AW156" s="695">
        <f t="shared" si="112"/>
        <v>0</v>
      </c>
      <c r="AX156" s="695">
        <f t="shared" si="112"/>
        <v>0</v>
      </c>
      <c r="AY156" s="695">
        <f t="shared" si="112"/>
        <v>8701.5824294602207</v>
      </c>
      <c r="AZ156" s="695">
        <f t="shared" si="112"/>
        <v>287.58668735108949</v>
      </c>
      <c r="BA156" s="695">
        <f t="shared" si="112"/>
        <v>5034.3644491503801</v>
      </c>
      <c r="BB156" s="695">
        <f t="shared" si="112"/>
        <v>0</v>
      </c>
      <c r="BC156" s="798">
        <f t="shared" si="112"/>
        <v>0</v>
      </c>
      <c r="BD156" s="695">
        <f t="shared" si="112"/>
        <v>0</v>
      </c>
      <c r="BE156" s="695">
        <f t="shared" si="112"/>
        <v>0</v>
      </c>
      <c r="BF156" s="695">
        <f t="shared" si="112"/>
        <v>0</v>
      </c>
      <c r="BG156" s="695">
        <f t="shared" si="112"/>
        <v>0</v>
      </c>
      <c r="BH156" s="695">
        <f t="shared" si="112"/>
        <v>0</v>
      </c>
      <c r="BI156" s="695">
        <f t="shared" si="112"/>
        <v>0</v>
      </c>
      <c r="BJ156" s="695">
        <f t="shared" si="112"/>
        <v>0</v>
      </c>
      <c r="BK156" s="695">
        <f t="shared" si="112"/>
        <v>0</v>
      </c>
      <c r="BL156" s="695">
        <f t="shared" si="112"/>
        <v>14023.533565961756</v>
      </c>
      <c r="BM156" s="795"/>
      <c r="BN156" s="214"/>
    </row>
    <row r="157" spans="5:66" x14ac:dyDescent="0.25">
      <c r="E157" s="12"/>
      <c r="F157" s="804" t="s">
        <v>902</v>
      </c>
      <c r="G157" s="804"/>
      <c r="H157" s="798">
        <f t="shared" si="111"/>
        <v>0</v>
      </c>
      <c r="I157" s="798">
        <f t="shared" si="111"/>
        <v>1648.9640393614973</v>
      </c>
      <c r="J157" s="695">
        <f t="shared" si="111"/>
        <v>35.219844549565778</v>
      </c>
      <c r="K157" s="695">
        <f t="shared" si="112"/>
        <v>10.380067149906324</v>
      </c>
      <c r="L157" s="695">
        <f t="shared" si="112"/>
        <v>10.85951826443403</v>
      </c>
      <c r="M157" s="695">
        <f t="shared" si="112"/>
        <v>10.556590659028274</v>
      </c>
      <c r="N157" s="695">
        <f t="shared" si="112"/>
        <v>18.2598568631077</v>
      </c>
      <c r="O157" s="695">
        <f t="shared" si="112"/>
        <v>42.065804159989739</v>
      </c>
      <c r="P157" s="695">
        <f t="shared" si="112"/>
        <v>5.0983209681208024</v>
      </c>
      <c r="Q157" s="695">
        <f t="shared" si="112"/>
        <v>13.535657249075086</v>
      </c>
      <c r="R157" s="695">
        <f t="shared" si="112"/>
        <v>11.587020299781045</v>
      </c>
      <c r="S157" s="695">
        <f t="shared" si="112"/>
        <v>11.912044116624969</v>
      </c>
      <c r="T157" s="695">
        <f t="shared" si="112"/>
        <v>43.200013733350488</v>
      </c>
      <c r="U157" s="695">
        <f t="shared" si="112"/>
        <v>34.473468960737478</v>
      </c>
      <c r="V157" s="695">
        <f t="shared" si="112"/>
        <v>27.25282893647659</v>
      </c>
      <c r="W157" s="695">
        <f t="shared" si="112"/>
        <v>43.762405261177605</v>
      </c>
      <c r="X157" s="695">
        <f t="shared" si="112"/>
        <v>1.0769725376614829</v>
      </c>
      <c r="Y157" s="695">
        <f t="shared" si="112"/>
        <v>0.84552177848150123</v>
      </c>
      <c r="Z157" s="695">
        <f t="shared" si="112"/>
        <v>4.0659209521858486</v>
      </c>
      <c r="AA157" s="695">
        <f t="shared" si="112"/>
        <v>3.7113092648583006</v>
      </c>
      <c r="AB157" s="695">
        <f t="shared" si="112"/>
        <v>2.2301778340991945</v>
      </c>
      <c r="AC157" s="695">
        <f t="shared" si="112"/>
        <v>2.2981851254860644</v>
      </c>
      <c r="AD157" s="695">
        <f t="shared" si="112"/>
        <v>13.158396480498141</v>
      </c>
      <c r="AE157" s="695">
        <f t="shared" si="112"/>
        <v>5.2534067351870846</v>
      </c>
      <c r="AF157" s="695">
        <f t="shared" si="112"/>
        <v>13.700372564581301</v>
      </c>
      <c r="AG157" s="695">
        <f t="shared" si="112"/>
        <v>42.981827704641205</v>
      </c>
      <c r="AH157" s="695">
        <f t="shared" si="112"/>
        <v>346.03771804070766</v>
      </c>
      <c r="AI157" s="695">
        <f t="shared" si="112"/>
        <v>2.4324311298620813</v>
      </c>
      <c r="AJ157" s="695">
        <f t="shared" si="112"/>
        <v>51.7387332469591</v>
      </c>
      <c r="AK157" s="695">
        <f t="shared" si="112"/>
        <v>44.371046565702159</v>
      </c>
      <c r="AL157" s="695">
        <f t="shared" si="112"/>
        <v>0</v>
      </c>
      <c r="AM157" s="695">
        <f t="shared" si="112"/>
        <v>5.3262120924107279</v>
      </c>
      <c r="AN157" s="695">
        <f t="shared" si="112"/>
        <v>9.0449153230644868</v>
      </c>
      <c r="AO157" s="695">
        <f t="shared" si="112"/>
        <v>53.998380322403932</v>
      </c>
      <c r="AP157" s="695">
        <f t="shared" si="112"/>
        <v>8.1571694658669003</v>
      </c>
      <c r="AQ157" s="695">
        <f t="shared" si="112"/>
        <v>51.443336969561756</v>
      </c>
      <c r="AR157" s="695">
        <f t="shared" si="112"/>
        <v>0.1515849330250183</v>
      </c>
      <c r="AS157" s="695">
        <f t="shared" si="112"/>
        <v>75.760198392140865</v>
      </c>
      <c r="AT157" s="695">
        <f t="shared" si="112"/>
        <v>62.97568883107715</v>
      </c>
      <c r="AU157" s="695">
        <f t="shared" si="112"/>
        <v>87.615828620840148</v>
      </c>
      <c r="AV157" s="695">
        <f t="shared" si="112"/>
        <v>123.40897515201414</v>
      </c>
      <c r="AW157" s="695">
        <f t="shared" si="112"/>
        <v>315.80058796844878</v>
      </c>
      <c r="AX157" s="695">
        <f t="shared" si="112"/>
        <v>3.2157001583503728</v>
      </c>
      <c r="AY157" s="695">
        <f t="shared" si="112"/>
        <v>0</v>
      </c>
      <c r="AZ157" s="695">
        <f t="shared" si="112"/>
        <v>0</v>
      </c>
      <c r="BA157" s="695">
        <f t="shared" si="112"/>
        <v>0</v>
      </c>
      <c r="BB157" s="695">
        <f t="shared" si="112"/>
        <v>0</v>
      </c>
      <c r="BC157" s="798">
        <f t="shared" si="112"/>
        <v>0</v>
      </c>
      <c r="BD157" s="695">
        <f t="shared" si="112"/>
        <v>0</v>
      </c>
      <c r="BE157" s="695">
        <f t="shared" si="112"/>
        <v>0</v>
      </c>
      <c r="BF157" s="695">
        <f t="shared" si="112"/>
        <v>0</v>
      </c>
      <c r="BG157" s="695">
        <f t="shared" si="112"/>
        <v>0</v>
      </c>
      <c r="BH157" s="695">
        <f t="shared" si="112"/>
        <v>0</v>
      </c>
      <c r="BI157" s="695">
        <f t="shared" si="112"/>
        <v>0</v>
      </c>
      <c r="BJ157" s="695">
        <f t="shared" si="112"/>
        <v>0</v>
      </c>
      <c r="BK157" s="695">
        <f t="shared" si="112"/>
        <v>0</v>
      </c>
      <c r="BL157" s="695">
        <f t="shared" si="112"/>
        <v>1648.9640393615118</v>
      </c>
      <c r="BM157" s="795"/>
      <c r="BN157" s="214"/>
    </row>
    <row r="158" spans="5:66" x14ac:dyDescent="0.25">
      <c r="E158" s="12"/>
      <c r="F158" s="805" t="s">
        <v>903</v>
      </c>
      <c r="G158" s="805"/>
      <c r="H158" s="798">
        <f t="shared" si="111"/>
        <v>0</v>
      </c>
      <c r="I158" s="798">
        <f t="shared" si="111"/>
        <v>0</v>
      </c>
      <c r="J158" s="695">
        <f t="shared" si="111"/>
        <v>0</v>
      </c>
      <c r="K158" s="695">
        <f t="shared" si="112"/>
        <v>0</v>
      </c>
      <c r="L158" s="695">
        <f t="shared" si="112"/>
        <v>0</v>
      </c>
      <c r="M158" s="695">
        <f t="shared" si="112"/>
        <v>0</v>
      </c>
      <c r="N158" s="695">
        <f t="shared" si="112"/>
        <v>0</v>
      </c>
      <c r="O158" s="695">
        <f t="shared" si="112"/>
        <v>0</v>
      </c>
      <c r="P158" s="695">
        <f t="shared" si="112"/>
        <v>0</v>
      </c>
      <c r="Q158" s="695">
        <f t="shared" si="112"/>
        <v>0</v>
      </c>
      <c r="R158" s="695">
        <f t="shared" si="112"/>
        <v>0</v>
      </c>
      <c r="S158" s="695">
        <f t="shared" si="112"/>
        <v>0</v>
      </c>
      <c r="T158" s="695">
        <f t="shared" si="112"/>
        <v>0</v>
      </c>
      <c r="U158" s="695">
        <f t="shared" si="112"/>
        <v>0</v>
      </c>
      <c r="V158" s="695">
        <f t="shared" si="112"/>
        <v>0</v>
      </c>
      <c r="W158" s="695">
        <f t="shared" si="112"/>
        <v>0</v>
      </c>
      <c r="X158" s="695">
        <f t="shared" si="112"/>
        <v>0</v>
      </c>
      <c r="Y158" s="695">
        <f t="shared" si="112"/>
        <v>0</v>
      </c>
      <c r="Z158" s="695">
        <f t="shared" si="112"/>
        <v>0</v>
      </c>
      <c r="AA158" s="695">
        <f t="shared" si="112"/>
        <v>0</v>
      </c>
      <c r="AB158" s="695">
        <f t="shared" si="112"/>
        <v>0</v>
      </c>
      <c r="AC158" s="695">
        <f t="shared" si="112"/>
        <v>0</v>
      </c>
      <c r="AD158" s="695">
        <f t="shared" si="112"/>
        <v>0</v>
      </c>
      <c r="AE158" s="695">
        <f t="shared" si="112"/>
        <v>0</v>
      </c>
      <c r="AF158" s="695">
        <f t="shared" si="112"/>
        <v>0</v>
      </c>
      <c r="AG158" s="695">
        <f t="shared" si="112"/>
        <v>0</v>
      </c>
      <c r="AH158" s="695">
        <f t="shared" si="112"/>
        <v>0</v>
      </c>
      <c r="AI158" s="695">
        <f t="shared" si="112"/>
        <v>0</v>
      </c>
      <c r="AJ158" s="695">
        <f t="shared" si="112"/>
        <v>0</v>
      </c>
      <c r="AK158" s="695">
        <f t="shared" si="112"/>
        <v>0</v>
      </c>
      <c r="AL158" s="695">
        <f t="shared" si="112"/>
        <v>0</v>
      </c>
      <c r="AM158" s="695">
        <f t="shared" si="112"/>
        <v>0</v>
      </c>
      <c r="AN158" s="695">
        <f t="shared" si="112"/>
        <v>0</v>
      </c>
      <c r="AO158" s="695">
        <f t="shared" si="112"/>
        <v>0</v>
      </c>
      <c r="AP158" s="695">
        <f t="shared" si="112"/>
        <v>0</v>
      </c>
      <c r="AQ158" s="695">
        <f t="shared" si="112"/>
        <v>0</v>
      </c>
      <c r="AR158" s="695">
        <f t="shared" si="112"/>
        <v>0</v>
      </c>
      <c r="AS158" s="695">
        <f t="shared" si="112"/>
        <v>0</v>
      </c>
      <c r="AT158" s="695">
        <f t="shared" si="112"/>
        <v>0</v>
      </c>
      <c r="AU158" s="695">
        <f t="shared" si="112"/>
        <v>0</v>
      </c>
      <c r="AV158" s="695">
        <f t="shared" si="112"/>
        <v>0</v>
      </c>
      <c r="AW158" s="695">
        <f t="shared" si="112"/>
        <v>0</v>
      </c>
      <c r="AX158" s="695">
        <f t="shared" ref="AX158:BL158" si="113">AX148-AX138</f>
        <v>0</v>
      </c>
      <c r="AY158" s="695">
        <f t="shared" si="113"/>
        <v>0</v>
      </c>
      <c r="AZ158" s="695">
        <f t="shared" si="113"/>
        <v>0</v>
      </c>
      <c r="BA158" s="695">
        <f t="shared" si="113"/>
        <v>0</v>
      </c>
      <c r="BB158" s="695">
        <f t="shared" si="113"/>
        <v>0</v>
      </c>
      <c r="BC158" s="798">
        <f t="shared" si="113"/>
        <v>0</v>
      </c>
      <c r="BD158" s="695">
        <f t="shared" si="113"/>
        <v>0</v>
      </c>
      <c r="BE158" s="695">
        <f t="shared" si="113"/>
        <v>0</v>
      </c>
      <c r="BF158" s="695">
        <f t="shared" si="113"/>
        <v>0</v>
      </c>
      <c r="BG158" s="695">
        <f t="shared" si="113"/>
        <v>0</v>
      </c>
      <c r="BH158" s="695">
        <f t="shared" si="113"/>
        <v>0</v>
      </c>
      <c r="BI158" s="695">
        <f t="shared" si="113"/>
        <v>0</v>
      </c>
      <c r="BJ158" s="695">
        <f t="shared" si="113"/>
        <v>0</v>
      </c>
      <c r="BK158" s="695">
        <f t="shared" si="113"/>
        <v>0</v>
      </c>
      <c r="BL158" s="695">
        <f t="shared" si="113"/>
        <v>0</v>
      </c>
      <c r="BM158" s="795"/>
      <c r="BN158" s="214"/>
    </row>
    <row r="159" spans="5:66" x14ac:dyDescent="0.25">
      <c r="E159" s="12"/>
      <c r="F159" s="806" t="s">
        <v>904</v>
      </c>
      <c r="G159" s="806"/>
      <c r="H159" s="798">
        <f t="shared" si="111"/>
        <v>0</v>
      </c>
      <c r="I159" s="798">
        <f t="shared" si="111"/>
        <v>5637.8362657390535</v>
      </c>
      <c r="J159" s="695">
        <f t="shared" si="111"/>
        <v>0</v>
      </c>
      <c r="K159" s="695">
        <f t="shared" si="111"/>
        <v>0</v>
      </c>
      <c r="L159" s="695">
        <f t="shared" si="111"/>
        <v>0</v>
      </c>
      <c r="M159" s="695">
        <f t="shared" si="111"/>
        <v>0</v>
      </c>
      <c r="N159" s="695">
        <f t="shared" si="111"/>
        <v>0</v>
      </c>
      <c r="O159" s="695">
        <f t="shared" si="111"/>
        <v>0</v>
      </c>
      <c r="P159" s="695">
        <f t="shared" si="111"/>
        <v>0</v>
      </c>
      <c r="Q159" s="695">
        <f t="shared" si="111"/>
        <v>0</v>
      </c>
      <c r="R159" s="695">
        <f t="shared" si="111"/>
        <v>0</v>
      </c>
      <c r="S159" s="695">
        <f t="shared" si="111"/>
        <v>0</v>
      </c>
      <c r="T159" s="695">
        <f t="shared" si="111"/>
        <v>0</v>
      </c>
      <c r="U159" s="695">
        <f t="shared" si="111"/>
        <v>0</v>
      </c>
      <c r="V159" s="695">
        <f t="shared" si="111"/>
        <v>0</v>
      </c>
      <c r="W159" s="695">
        <f t="shared" si="111"/>
        <v>0</v>
      </c>
      <c r="X159" s="695">
        <f t="shared" ref="X159:BL160" si="114">X149-X139</f>
        <v>0</v>
      </c>
      <c r="Y159" s="695">
        <f t="shared" si="114"/>
        <v>0</v>
      </c>
      <c r="Z159" s="695">
        <f t="shared" si="114"/>
        <v>0</v>
      </c>
      <c r="AA159" s="695">
        <f t="shared" si="114"/>
        <v>0</v>
      </c>
      <c r="AB159" s="695">
        <f t="shared" si="114"/>
        <v>0</v>
      </c>
      <c r="AC159" s="695">
        <f t="shared" si="114"/>
        <v>0</v>
      </c>
      <c r="AD159" s="695">
        <f t="shared" si="114"/>
        <v>0</v>
      </c>
      <c r="AE159" s="695">
        <f t="shared" si="114"/>
        <v>0</v>
      </c>
      <c r="AF159" s="695">
        <f t="shared" si="114"/>
        <v>0</v>
      </c>
      <c r="AG159" s="695">
        <f t="shared" si="114"/>
        <v>0</v>
      </c>
      <c r="AH159" s="695">
        <f t="shared" si="114"/>
        <v>0</v>
      </c>
      <c r="AI159" s="695">
        <f t="shared" si="114"/>
        <v>0</v>
      </c>
      <c r="AJ159" s="695">
        <f t="shared" si="114"/>
        <v>0</v>
      </c>
      <c r="AK159" s="695">
        <f t="shared" si="114"/>
        <v>0</v>
      </c>
      <c r="AL159" s="695">
        <f t="shared" si="114"/>
        <v>0</v>
      </c>
      <c r="AM159" s="695">
        <f t="shared" si="114"/>
        <v>0</v>
      </c>
      <c r="AN159" s="695">
        <f t="shared" si="114"/>
        <v>0</v>
      </c>
      <c r="AO159" s="695">
        <f t="shared" si="114"/>
        <v>0</v>
      </c>
      <c r="AP159" s="695">
        <f t="shared" si="114"/>
        <v>0</v>
      </c>
      <c r="AQ159" s="695">
        <f t="shared" si="114"/>
        <v>0</v>
      </c>
      <c r="AR159" s="695">
        <f t="shared" si="114"/>
        <v>0</v>
      </c>
      <c r="AS159" s="695">
        <f t="shared" si="114"/>
        <v>0</v>
      </c>
      <c r="AT159" s="695">
        <f t="shared" si="114"/>
        <v>0</v>
      </c>
      <c r="AU159" s="695">
        <f t="shared" si="114"/>
        <v>0</v>
      </c>
      <c r="AV159" s="695">
        <f t="shared" si="114"/>
        <v>0</v>
      </c>
      <c r="AW159" s="695">
        <f t="shared" si="114"/>
        <v>0</v>
      </c>
      <c r="AX159" s="695">
        <f t="shared" si="114"/>
        <v>0</v>
      </c>
      <c r="AY159" s="695">
        <f t="shared" si="114"/>
        <v>3498.2693027671339</v>
      </c>
      <c r="AZ159" s="695">
        <f t="shared" si="114"/>
        <v>115.6175544391424</v>
      </c>
      <c r="BA159" s="695">
        <f t="shared" si="114"/>
        <v>2023.949408532746</v>
      </c>
      <c r="BB159" s="695">
        <f t="shared" si="114"/>
        <v>0</v>
      </c>
      <c r="BC159" s="798">
        <f t="shared" si="114"/>
        <v>0</v>
      </c>
      <c r="BD159" s="695">
        <f t="shared" si="114"/>
        <v>0</v>
      </c>
      <c r="BE159" s="695">
        <f t="shared" si="114"/>
        <v>0</v>
      </c>
      <c r="BF159" s="695">
        <f t="shared" si="114"/>
        <v>0</v>
      </c>
      <c r="BG159" s="695">
        <f t="shared" si="114"/>
        <v>0</v>
      </c>
      <c r="BH159" s="695">
        <f t="shared" si="114"/>
        <v>0</v>
      </c>
      <c r="BI159" s="695">
        <f t="shared" si="114"/>
        <v>0</v>
      </c>
      <c r="BJ159" s="695">
        <f t="shared" si="114"/>
        <v>0</v>
      </c>
      <c r="BK159" s="695">
        <f t="shared" si="114"/>
        <v>0</v>
      </c>
      <c r="BL159" s="695">
        <f t="shared" si="114"/>
        <v>5637.8362657390535</v>
      </c>
      <c r="BM159" s="795"/>
      <c r="BN159" s="214"/>
    </row>
    <row r="160" spans="5:66" x14ac:dyDescent="0.25">
      <c r="E160" s="12"/>
      <c r="F160" s="807" t="s">
        <v>905</v>
      </c>
      <c r="G160" s="807"/>
      <c r="H160" s="798">
        <f t="shared" si="111"/>
        <v>0</v>
      </c>
      <c r="I160" s="798">
        <f t="shared" si="111"/>
        <v>0</v>
      </c>
      <c r="J160" s="695">
        <f t="shared" si="111"/>
        <v>0</v>
      </c>
      <c r="K160" s="695">
        <f t="shared" si="111"/>
        <v>0</v>
      </c>
      <c r="L160" s="695">
        <f t="shared" si="111"/>
        <v>0</v>
      </c>
      <c r="M160" s="695">
        <f t="shared" si="111"/>
        <v>0</v>
      </c>
      <c r="N160" s="695">
        <f t="shared" si="111"/>
        <v>0</v>
      </c>
      <c r="O160" s="695">
        <f t="shared" si="111"/>
        <v>0</v>
      </c>
      <c r="P160" s="695">
        <f t="shared" si="111"/>
        <v>0</v>
      </c>
      <c r="Q160" s="695">
        <f t="shared" si="111"/>
        <v>0</v>
      </c>
      <c r="R160" s="695">
        <f t="shared" si="111"/>
        <v>0</v>
      </c>
      <c r="S160" s="695">
        <f t="shared" si="111"/>
        <v>0</v>
      </c>
      <c r="T160" s="695">
        <f t="shared" si="111"/>
        <v>0</v>
      </c>
      <c r="U160" s="695">
        <f t="shared" si="111"/>
        <v>0</v>
      </c>
      <c r="V160" s="695">
        <f t="shared" si="111"/>
        <v>0</v>
      </c>
      <c r="W160" s="695">
        <f t="shared" si="111"/>
        <v>0</v>
      </c>
      <c r="X160" s="695">
        <f t="shared" si="114"/>
        <v>0</v>
      </c>
      <c r="Y160" s="695">
        <f t="shared" si="114"/>
        <v>0</v>
      </c>
      <c r="Z160" s="695">
        <f t="shared" si="114"/>
        <v>0</v>
      </c>
      <c r="AA160" s="695">
        <f t="shared" si="114"/>
        <v>0</v>
      </c>
      <c r="AB160" s="695">
        <f t="shared" si="114"/>
        <v>0</v>
      </c>
      <c r="AC160" s="695">
        <f t="shared" si="114"/>
        <v>0</v>
      </c>
      <c r="AD160" s="695">
        <f t="shared" si="114"/>
        <v>0</v>
      </c>
      <c r="AE160" s="695">
        <f t="shared" si="114"/>
        <v>0</v>
      </c>
      <c r="AF160" s="695">
        <f t="shared" si="114"/>
        <v>0</v>
      </c>
      <c r="AG160" s="695">
        <f t="shared" si="114"/>
        <v>0</v>
      </c>
      <c r="AH160" s="695">
        <f t="shared" si="114"/>
        <v>0</v>
      </c>
      <c r="AI160" s="695">
        <f t="shared" si="114"/>
        <v>0</v>
      </c>
      <c r="AJ160" s="695">
        <f t="shared" si="114"/>
        <v>0</v>
      </c>
      <c r="AK160" s="695">
        <f t="shared" si="114"/>
        <v>0</v>
      </c>
      <c r="AL160" s="695">
        <f t="shared" si="114"/>
        <v>0</v>
      </c>
      <c r="AM160" s="695">
        <f t="shared" si="114"/>
        <v>0</v>
      </c>
      <c r="AN160" s="695">
        <f t="shared" si="114"/>
        <v>0</v>
      </c>
      <c r="AO160" s="695">
        <f t="shared" si="114"/>
        <v>0</v>
      </c>
      <c r="AP160" s="695">
        <f t="shared" si="114"/>
        <v>0</v>
      </c>
      <c r="AQ160" s="695">
        <f t="shared" si="114"/>
        <v>0</v>
      </c>
      <c r="AR160" s="695">
        <f t="shared" si="114"/>
        <v>0</v>
      </c>
      <c r="AS160" s="695">
        <f t="shared" si="114"/>
        <v>0</v>
      </c>
      <c r="AT160" s="695">
        <f t="shared" si="114"/>
        <v>0</v>
      </c>
      <c r="AU160" s="695">
        <f t="shared" si="114"/>
        <v>0</v>
      </c>
      <c r="AV160" s="695">
        <f t="shared" si="114"/>
        <v>0</v>
      </c>
      <c r="AW160" s="695">
        <f t="shared" si="114"/>
        <v>0</v>
      </c>
      <c r="AX160" s="695">
        <f t="shared" si="114"/>
        <v>0</v>
      </c>
      <c r="AY160" s="695">
        <f t="shared" si="114"/>
        <v>0</v>
      </c>
      <c r="AZ160" s="695">
        <f t="shared" si="114"/>
        <v>0</v>
      </c>
      <c r="BA160" s="695">
        <f t="shared" si="114"/>
        <v>0</v>
      </c>
      <c r="BB160" s="695">
        <f t="shared" si="114"/>
        <v>0</v>
      </c>
      <c r="BC160" s="798">
        <f t="shared" si="114"/>
        <v>0</v>
      </c>
      <c r="BD160" s="695">
        <f t="shared" si="114"/>
        <v>0</v>
      </c>
      <c r="BE160" s="695">
        <f t="shared" si="114"/>
        <v>0</v>
      </c>
      <c r="BF160" s="695">
        <f t="shared" si="114"/>
        <v>0</v>
      </c>
      <c r="BG160" s="695">
        <f t="shared" si="114"/>
        <v>0</v>
      </c>
      <c r="BH160" s="695">
        <f t="shared" si="114"/>
        <v>0</v>
      </c>
      <c r="BI160" s="695">
        <f t="shared" si="114"/>
        <v>0</v>
      </c>
      <c r="BJ160" s="695">
        <f t="shared" si="114"/>
        <v>0</v>
      </c>
      <c r="BK160" s="695">
        <f t="shared" si="114"/>
        <v>0</v>
      </c>
      <c r="BL160" s="695">
        <f t="shared" si="114"/>
        <v>0</v>
      </c>
      <c r="BM160" s="795"/>
      <c r="BN160" s="214"/>
    </row>
    <row r="161" spans="1:73" x14ac:dyDescent="0.25">
      <c r="E161" s="12"/>
      <c r="F161" s="71" t="s">
        <v>3</v>
      </c>
      <c r="G161" s="71"/>
      <c r="H161" s="808">
        <f t="shared" ref="H161:BK161" si="115">SUM(H154:H160)</f>
        <v>1111.707192296115</v>
      </c>
      <c r="I161" s="808">
        <f t="shared" si="115"/>
        <v>33803.178284219626</v>
      </c>
      <c r="J161" s="809">
        <f t="shared" si="115"/>
        <v>35.219844549565778</v>
      </c>
      <c r="K161" s="809">
        <f t="shared" si="115"/>
        <v>10.380067149906324</v>
      </c>
      <c r="L161" s="809">
        <f t="shared" si="115"/>
        <v>10.85951826443403</v>
      </c>
      <c r="M161" s="809">
        <f t="shared" si="115"/>
        <v>10.556590659028274</v>
      </c>
      <c r="N161" s="809">
        <f t="shared" si="115"/>
        <v>18.2598568631077</v>
      </c>
      <c r="O161" s="809">
        <f t="shared" si="115"/>
        <v>42.065804159989739</v>
      </c>
      <c r="P161" s="809">
        <f t="shared" si="115"/>
        <v>5.0983209681208024</v>
      </c>
      <c r="Q161" s="809">
        <f t="shared" si="115"/>
        <v>13.535657249075086</v>
      </c>
      <c r="R161" s="809">
        <f t="shared" si="115"/>
        <v>11.587020299781045</v>
      </c>
      <c r="S161" s="809">
        <f t="shared" si="115"/>
        <v>11.912044116624969</v>
      </c>
      <c r="T161" s="809">
        <f t="shared" si="115"/>
        <v>43.200013733350488</v>
      </c>
      <c r="U161" s="809">
        <f t="shared" si="115"/>
        <v>34.473468960737478</v>
      </c>
      <c r="V161" s="809">
        <f t="shared" si="115"/>
        <v>27.25282893647659</v>
      </c>
      <c r="W161" s="809">
        <f t="shared" si="115"/>
        <v>43.762405261177605</v>
      </c>
      <c r="X161" s="809">
        <f t="shared" si="115"/>
        <v>1.0769725376614829</v>
      </c>
      <c r="Y161" s="809">
        <f t="shared" si="115"/>
        <v>0.84552177848150123</v>
      </c>
      <c r="Z161" s="809">
        <f t="shared" si="115"/>
        <v>4.0659209521858486</v>
      </c>
      <c r="AA161" s="809">
        <f t="shared" si="115"/>
        <v>3.7113092648583006</v>
      </c>
      <c r="AB161" s="809">
        <f t="shared" si="115"/>
        <v>2.2301778340991945</v>
      </c>
      <c r="AC161" s="809">
        <f t="shared" si="115"/>
        <v>2.2981851254860644</v>
      </c>
      <c r="AD161" s="809">
        <f t="shared" si="115"/>
        <v>13.158396480498141</v>
      </c>
      <c r="AE161" s="809">
        <f t="shared" si="115"/>
        <v>5.2534067351870846</v>
      </c>
      <c r="AF161" s="809">
        <f t="shared" si="115"/>
        <v>13.700372564581301</v>
      </c>
      <c r="AG161" s="809">
        <f t="shared" si="115"/>
        <v>42.981827704641205</v>
      </c>
      <c r="AH161" s="809">
        <f t="shared" si="115"/>
        <v>346.03771804070766</v>
      </c>
      <c r="AI161" s="809">
        <f t="shared" si="115"/>
        <v>2.4324311298620813</v>
      </c>
      <c r="AJ161" s="809">
        <f t="shared" si="115"/>
        <v>51.7387332469591</v>
      </c>
      <c r="AK161" s="809">
        <f t="shared" si="115"/>
        <v>44.371046565702159</v>
      </c>
      <c r="AL161" s="809">
        <f t="shared" si="115"/>
        <v>0</v>
      </c>
      <c r="AM161" s="809">
        <f t="shared" si="115"/>
        <v>5.3262120924107279</v>
      </c>
      <c r="AN161" s="809">
        <f t="shared" si="115"/>
        <v>9.0449153230644868</v>
      </c>
      <c r="AO161" s="809">
        <f t="shared" si="115"/>
        <v>53.998380322403932</v>
      </c>
      <c r="AP161" s="809">
        <f t="shared" si="115"/>
        <v>8.1571694658669003</v>
      </c>
      <c r="AQ161" s="809">
        <f t="shared" si="115"/>
        <v>51.443336969561756</v>
      </c>
      <c r="AR161" s="809">
        <f t="shared" si="115"/>
        <v>0.1515849330250183</v>
      </c>
      <c r="AS161" s="809">
        <f t="shared" si="115"/>
        <v>75.760198392140865</v>
      </c>
      <c r="AT161" s="809">
        <f t="shared" si="115"/>
        <v>62.97568883107715</v>
      </c>
      <c r="AU161" s="809">
        <f t="shared" si="115"/>
        <v>87.615828620840148</v>
      </c>
      <c r="AV161" s="809">
        <f t="shared" si="115"/>
        <v>123.40897515201414</v>
      </c>
      <c r="AW161" s="809">
        <f t="shared" si="115"/>
        <v>315.80058796844878</v>
      </c>
      <c r="AX161" s="809">
        <f t="shared" si="115"/>
        <v>3.2157001583503728</v>
      </c>
      <c r="AY161" s="809">
        <f t="shared" si="115"/>
        <v>19817.110181712764</v>
      </c>
      <c r="AZ161" s="809">
        <f t="shared" si="115"/>
        <v>659.37867972336039</v>
      </c>
      <c r="BA161" s="809">
        <f t="shared" si="115"/>
        <v>11677.725383422221</v>
      </c>
      <c r="BB161" s="809">
        <f t="shared" si="115"/>
        <v>0</v>
      </c>
      <c r="BC161" s="808">
        <f t="shared" si="115"/>
        <v>68737.080165339867</v>
      </c>
      <c r="BD161" s="809">
        <f t="shared" si="115"/>
        <v>11039.94099806188</v>
      </c>
      <c r="BE161" s="809">
        <f t="shared" si="115"/>
        <v>10068.394125243794</v>
      </c>
      <c r="BF161" s="809">
        <f t="shared" si="115"/>
        <v>6164.6039765109017</v>
      </c>
      <c r="BG161" s="809">
        <f t="shared" si="115"/>
        <v>11392.990695527085</v>
      </c>
      <c r="BH161" s="809">
        <f t="shared" si="115"/>
        <v>8924.6873274533136</v>
      </c>
      <c r="BI161" s="809">
        <f t="shared" si="115"/>
        <v>6498.4605072022823</v>
      </c>
      <c r="BJ161" s="809">
        <f t="shared" si="115"/>
        <v>3665.2752415333089</v>
      </c>
      <c r="BK161" s="809">
        <f t="shared" si="115"/>
        <v>10982.727293807548</v>
      </c>
      <c r="BL161" s="809">
        <f>SUM(BL154:BL160)</f>
        <v>103651.96564185567</v>
      </c>
      <c r="BM161" s="799"/>
      <c r="BN161" s="810"/>
    </row>
    <row r="162" spans="1:73" s="73" customFormat="1" ht="15.75" thickBot="1" x14ac:dyDescent="0.3">
      <c r="B162" s="817"/>
      <c r="C162" s="676"/>
      <c r="E162" s="818"/>
      <c r="F162" s="625"/>
      <c r="G162" s="625"/>
      <c r="H162" s="819">
        <f>H161-H130</f>
        <v>0</v>
      </c>
      <c r="I162" s="820"/>
      <c r="J162" s="821">
        <f>J161-J130</f>
        <v>2.5011104298755527E-12</v>
      </c>
      <c r="K162" s="821">
        <f t="shared" ref="K162:BL162" si="116">K161-K130</f>
        <v>-2.8421709430404007E-13</v>
      </c>
      <c r="L162" s="821">
        <f t="shared" si="116"/>
        <v>-8.5265128291212022E-13</v>
      </c>
      <c r="M162" s="821">
        <f t="shared" si="116"/>
        <v>9.9475983006414026E-13</v>
      </c>
      <c r="N162" s="821">
        <f t="shared" si="116"/>
        <v>2.8421709430404007E-13</v>
      </c>
      <c r="O162" s="821">
        <f t="shared" si="116"/>
        <v>6.8212102632969618E-13</v>
      </c>
      <c r="P162" s="821">
        <f t="shared" si="116"/>
        <v>1.4210854715202004E-14</v>
      </c>
      <c r="Q162" s="821">
        <f t="shared" si="116"/>
        <v>5.1159076974727213E-13</v>
      </c>
      <c r="R162" s="821">
        <f t="shared" si="116"/>
        <v>1.6484591469634324E-12</v>
      </c>
      <c r="S162" s="821">
        <f t="shared" si="116"/>
        <v>-1.4210854715202004E-13</v>
      </c>
      <c r="T162" s="821">
        <f t="shared" si="116"/>
        <v>-2.0463630789890885E-12</v>
      </c>
      <c r="U162" s="821">
        <f t="shared" si="116"/>
        <v>1.7053025658242404E-12</v>
      </c>
      <c r="V162" s="821">
        <f t="shared" si="116"/>
        <v>-1.5916157281026244E-12</v>
      </c>
      <c r="W162" s="821">
        <f t="shared" si="116"/>
        <v>-1.4779288903810084E-12</v>
      </c>
      <c r="X162" s="821">
        <f t="shared" si="116"/>
        <v>2.0605739337042905E-13</v>
      </c>
      <c r="Y162" s="821">
        <f t="shared" si="116"/>
        <v>1.1723955140041653E-13</v>
      </c>
      <c r="Z162" s="821">
        <f t="shared" si="116"/>
        <v>-8.5265128291212022E-14</v>
      </c>
      <c r="AA162" s="821">
        <f t="shared" si="116"/>
        <v>-4.5474735088646412E-13</v>
      </c>
      <c r="AB162" s="821">
        <f t="shared" si="116"/>
        <v>9.9475983006414026E-14</v>
      </c>
      <c r="AC162" s="821">
        <f t="shared" si="116"/>
        <v>2.4868995751603507E-13</v>
      </c>
      <c r="AD162" s="821">
        <f t="shared" si="116"/>
        <v>4.5474735088646412E-13</v>
      </c>
      <c r="AE162" s="821">
        <f t="shared" si="116"/>
        <v>-4.2632564145606011E-14</v>
      </c>
      <c r="AF162" s="821">
        <f t="shared" si="116"/>
        <v>-3.2400748750660568E-12</v>
      </c>
      <c r="AG162" s="821">
        <f t="shared" si="116"/>
        <v>-2.1600499167107046E-12</v>
      </c>
      <c r="AH162" s="821">
        <f t="shared" si="116"/>
        <v>-4.4565240386873484E-11</v>
      </c>
      <c r="AI162" s="821">
        <f t="shared" si="116"/>
        <v>-2.9842794901924208E-13</v>
      </c>
      <c r="AJ162" s="821">
        <f t="shared" si="116"/>
        <v>-7.0485839387401938E-12</v>
      </c>
      <c r="AK162" s="821">
        <f t="shared" si="116"/>
        <v>-3.751665644813329E-12</v>
      </c>
      <c r="AL162" s="821">
        <f t="shared" si="116"/>
        <v>0</v>
      </c>
      <c r="AM162" s="821">
        <f t="shared" si="116"/>
        <v>-2.4158453015843406E-13</v>
      </c>
      <c r="AN162" s="821">
        <f t="shared" si="116"/>
        <v>2.4726887204451486E-12</v>
      </c>
      <c r="AO162" s="821">
        <f t="shared" si="116"/>
        <v>1.7053025658242404E-12</v>
      </c>
      <c r="AP162" s="821">
        <f t="shared" si="116"/>
        <v>0</v>
      </c>
      <c r="AQ162" s="821">
        <f t="shared" si="116"/>
        <v>1.1368683772161603E-13</v>
      </c>
      <c r="AR162" s="821">
        <f t="shared" si="116"/>
        <v>-2.2204460492503131E-15</v>
      </c>
      <c r="AS162" s="821">
        <f t="shared" si="116"/>
        <v>-4.5474735088646412E-13</v>
      </c>
      <c r="AT162" s="821">
        <f t="shared" si="116"/>
        <v>4.0927261579781771E-12</v>
      </c>
      <c r="AU162" s="821">
        <f t="shared" si="116"/>
        <v>-4.5474735088646412E-12</v>
      </c>
      <c r="AV162" s="821">
        <f t="shared" si="116"/>
        <v>-8.1854523159563541E-12</v>
      </c>
      <c r="AW162" s="821">
        <f t="shared" si="116"/>
        <v>1.3642420526593924E-11</v>
      </c>
      <c r="AX162" s="821">
        <f t="shared" si="116"/>
        <v>-5.8264504332328215E-13</v>
      </c>
      <c r="AY162" s="821">
        <f t="shared" si="116"/>
        <v>0</v>
      </c>
      <c r="AZ162" s="821">
        <f t="shared" si="116"/>
        <v>0</v>
      </c>
      <c r="BA162" s="821">
        <f t="shared" si="116"/>
        <v>0</v>
      </c>
      <c r="BB162" s="821">
        <f t="shared" si="116"/>
        <v>0</v>
      </c>
      <c r="BC162" s="820">
        <f t="shared" si="116"/>
        <v>-1.8917489796876907E-10</v>
      </c>
      <c r="BD162" s="821">
        <f t="shared" si="116"/>
        <v>-2.9103830456733704E-11</v>
      </c>
      <c r="BE162" s="821">
        <f t="shared" si="116"/>
        <v>0</v>
      </c>
      <c r="BF162" s="821">
        <f t="shared" si="116"/>
        <v>5.8207660913467407E-11</v>
      </c>
      <c r="BG162" s="821">
        <f t="shared" si="116"/>
        <v>2.9103830456733704E-11</v>
      </c>
      <c r="BH162" s="821">
        <f t="shared" si="116"/>
        <v>0</v>
      </c>
      <c r="BI162" s="821">
        <f t="shared" si="116"/>
        <v>0</v>
      </c>
      <c r="BJ162" s="821">
        <f t="shared" si="116"/>
        <v>0</v>
      </c>
      <c r="BK162" s="821">
        <f t="shared" si="116"/>
        <v>0</v>
      </c>
      <c r="BL162" s="821">
        <f t="shared" si="116"/>
        <v>-4.0745362639427185E-10</v>
      </c>
      <c r="BM162" s="822"/>
      <c r="BN162" s="626"/>
      <c r="BU162" s="1252"/>
    </row>
    <row r="163" spans="1:73" s="139" customFormat="1" x14ac:dyDescent="0.25">
      <c r="A163" s="139" t="s">
        <v>96</v>
      </c>
      <c r="B163" s="631"/>
      <c r="C163" s="651"/>
      <c r="H163" s="330">
        <f t="shared" ref="H163:BL163" si="117">H151-H141-H130</f>
        <v>0</v>
      </c>
      <c r="I163" s="330">
        <f t="shared" si="117"/>
        <v>-4.3655745685100555E-10</v>
      </c>
      <c r="J163" s="330">
        <f t="shared" si="117"/>
        <v>0</v>
      </c>
      <c r="K163" s="330">
        <f t="shared" si="117"/>
        <v>0</v>
      </c>
      <c r="L163" s="330">
        <f t="shared" si="117"/>
        <v>-1.8189894035458565E-12</v>
      </c>
      <c r="M163" s="330">
        <f t="shared" si="117"/>
        <v>1.8189894035458565E-12</v>
      </c>
      <c r="N163" s="330">
        <f t="shared" si="117"/>
        <v>0</v>
      </c>
      <c r="O163" s="330">
        <f t="shared" si="117"/>
        <v>0</v>
      </c>
      <c r="P163" s="330">
        <f t="shared" si="117"/>
        <v>0</v>
      </c>
      <c r="Q163" s="330">
        <f t="shared" si="117"/>
        <v>0</v>
      </c>
      <c r="R163" s="330">
        <f t="shared" si="117"/>
        <v>1.8189894035458565E-12</v>
      </c>
      <c r="S163" s="330">
        <f t="shared" si="117"/>
        <v>0</v>
      </c>
      <c r="T163" s="330">
        <f t="shared" si="117"/>
        <v>0</v>
      </c>
      <c r="U163" s="330">
        <f t="shared" si="117"/>
        <v>0</v>
      </c>
      <c r="V163" s="330">
        <f t="shared" si="117"/>
        <v>0</v>
      </c>
      <c r="W163" s="330">
        <f t="shared" si="117"/>
        <v>-7.2759576141834259E-12</v>
      </c>
      <c r="X163" s="330">
        <f t="shared" si="117"/>
        <v>2.2737367544323206E-13</v>
      </c>
      <c r="Y163" s="330">
        <f t="shared" si="117"/>
        <v>1.1368683772161603E-13</v>
      </c>
      <c r="Z163" s="330">
        <f t="shared" si="117"/>
        <v>-4.5474735088646412E-13</v>
      </c>
      <c r="AA163" s="330">
        <f t="shared" si="117"/>
        <v>-4.5474735088646412E-13</v>
      </c>
      <c r="AB163" s="330">
        <f t="shared" si="117"/>
        <v>0</v>
      </c>
      <c r="AC163" s="330">
        <f t="shared" si="117"/>
        <v>4.5474735088646412E-13</v>
      </c>
      <c r="AD163" s="330">
        <f t="shared" si="117"/>
        <v>1.8189894035458565E-12</v>
      </c>
      <c r="AE163" s="330">
        <f t="shared" si="117"/>
        <v>-9.0949470177292824E-13</v>
      </c>
      <c r="AF163" s="330">
        <f t="shared" si="117"/>
        <v>-3.637978807091713E-12</v>
      </c>
      <c r="AG163" s="330">
        <f t="shared" si="117"/>
        <v>0</v>
      </c>
      <c r="AH163" s="330">
        <f t="shared" si="117"/>
        <v>0</v>
      </c>
      <c r="AI163" s="330">
        <f t="shared" si="117"/>
        <v>-4.5474735088646412E-13</v>
      </c>
      <c r="AJ163" s="330">
        <f t="shared" si="117"/>
        <v>0</v>
      </c>
      <c r="AK163" s="330">
        <f t="shared" si="117"/>
        <v>0</v>
      </c>
      <c r="AL163" s="330">
        <f t="shared" si="117"/>
        <v>0</v>
      </c>
      <c r="AM163" s="330">
        <f t="shared" si="117"/>
        <v>0</v>
      </c>
      <c r="AN163" s="330">
        <f t="shared" si="117"/>
        <v>3.637978807091713E-12</v>
      </c>
      <c r="AO163" s="330">
        <f t="shared" si="117"/>
        <v>0</v>
      </c>
      <c r="AP163" s="330">
        <f t="shared" si="117"/>
        <v>0</v>
      </c>
      <c r="AQ163" s="330">
        <f t="shared" si="117"/>
        <v>0</v>
      </c>
      <c r="AR163" s="330">
        <f t="shared" si="117"/>
        <v>0</v>
      </c>
      <c r="AS163" s="330">
        <f t="shared" si="117"/>
        <v>0</v>
      </c>
      <c r="AT163" s="330">
        <f t="shared" si="117"/>
        <v>7.2759576141834259E-12</v>
      </c>
      <c r="AU163" s="330">
        <f t="shared" si="117"/>
        <v>-7.2759576141834259E-12</v>
      </c>
      <c r="AV163" s="330">
        <f t="shared" si="117"/>
        <v>-1.4551915228366852E-11</v>
      </c>
      <c r="AW163" s="330">
        <f t="shared" si="117"/>
        <v>2.9103830456733704E-11</v>
      </c>
      <c r="AX163" s="330">
        <f t="shared" si="117"/>
        <v>-4.5474735088646412E-13</v>
      </c>
      <c r="AY163" s="330">
        <f t="shared" si="117"/>
        <v>-5.8207660913467407E-11</v>
      </c>
      <c r="AZ163" s="330">
        <f t="shared" si="117"/>
        <v>0</v>
      </c>
      <c r="BA163" s="330">
        <f t="shared" si="117"/>
        <v>-2.9103830456733704E-11</v>
      </c>
      <c r="BB163" s="330">
        <f t="shared" si="117"/>
        <v>0</v>
      </c>
      <c r="BC163" s="330">
        <f t="shared" si="117"/>
        <v>0</v>
      </c>
      <c r="BD163" s="330">
        <f t="shared" si="117"/>
        <v>-5.8207660913467407E-11</v>
      </c>
      <c r="BE163" s="330">
        <f t="shared" si="117"/>
        <v>0</v>
      </c>
      <c r="BF163" s="330">
        <f t="shared" si="117"/>
        <v>5.8207660913467407E-11</v>
      </c>
      <c r="BG163" s="330">
        <f t="shared" si="117"/>
        <v>0</v>
      </c>
      <c r="BH163" s="330">
        <f t="shared" si="117"/>
        <v>0</v>
      </c>
      <c r="BI163" s="330">
        <f t="shared" si="117"/>
        <v>0</v>
      </c>
      <c r="BJ163" s="330">
        <f t="shared" si="117"/>
        <v>-1.4551915228366852E-11</v>
      </c>
      <c r="BK163" s="330">
        <f t="shared" si="117"/>
        <v>0</v>
      </c>
      <c r="BL163" s="330">
        <f t="shared" si="117"/>
        <v>1.1641532182693481E-10</v>
      </c>
      <c r="BM163" s="631"/>
      <c r="BP163" s="224"/>
      <c r="BQ163" s="224"/>
      <c r="BR163" s="224"/>
      <c r="BU163" s="1253"/>
    </row>
    <row r="164" spans="1:73" ht="15.75" thickBot="1" x14ac:dyDescent="0.3">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row>
    <row r="165" spans="1:73" x14ac:dyDescent="0.25">
      <c r="E165" s="18"/>
      <c r="F165" s="16"/>
      <c r="G165" s="823"/>
      <c r="H165" s="823"/>
      <c r="I165" s="823"/>
      <c r="J165" s="823"/>
      <c r="K165" s="823"/>
      <c r="L165" s="823"/>
      <c r="M165" s="823"/>
      <c r="N165" s="823"/>
      <c r="O165" s="823"/>
      <c r="P165" s="823"/>
      <c r="Q165" s="823"/>
      <c r="R165" s="823"/>
      <c r="S165" s="823"/>
      <c r="T165" s="823"/>
      <c r="U165" s="823"/>
      <c r="V165" s="823"/>
      <c r="W165" s="823"/>
      <c r="X165" s="824"/>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351"/>
      <c r="BC165" s="351"/>
      <c r="BD165" s="351"/>
      <c r="BE165" s="76"/>
      <c r="BF165" s="76"/>
      <c r="BG165" s="76"/>
      <c r="BH165" s="76"/>
      <c r="BI165" s="76"/>
      <c r="BJ165" s="76"/>
      <c r="BK165" s="76"/>
      <c r="BL165" s="631"/>
      <c r="BM165" s="177"/>
      <c r="BO165" s="204"/>
      <c r="BR165" s="177"/>
    </row>
    <row r="166" spans="1:73" x14ac:dyDescent="0.25">
      <c r="E166" s="825" t="s">
        <v>907</v>
      </c>
      <c r="F166" s="71"/>
      <c r="G166" s="71"/>
      <c r="H166" s="1346" t="s">
        <v>908</v>
      </c>
      <c r="I166" s="1346"/>
      <c r="J166" s="1346"/>
      <c r="K166" s="1346"/>
      <c r="L166" s="1346"/>
      <c r="M166" s="1346"/>
      <c r="N166" s="1346"/>
      <c r="O166" s="1346"/>
      <c r="P166" s="1346"/>
      <c r="Q166" s="1346"/>
      <c r="R166" s="1346"/>
      <c r="S166" s="1346"/>
      <c r="T166" s="1346"/>
      <c r="U166" s="1346"/>
      <c r="V166" s="1346"/>
      <c r="W166" s="1346"/>
      <c r="X166" s="800"/>
      <c r="Y166" s="76"/>
      <c r="Z166" s="76"/>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351"/>
      <c r="BC166" s="351"/>
      <c r="BD166" s="351"/>
      <c r="BE166" s="76"/>
      <c r="BF166" s="76"/>
      <c r="BG166" s="76"/>
      <c r="BH166" s="76"/>
      <c r="BI166" s="76"/>
      <c r="BJ166" s="76"/>
      <c r="BK166" s="76"/>
      <c r="BL166" s="667"/>
      <c r="BM166" s="76"/>
      <c r="BO166" s="204"/>
      <c r="BR166" s="177"/>
    </row>
    <row r="167" spans="1:73" ht="45" x14ac:dyDescent="0.25">
      <c r="E167" s="12"/>
      <c r="F167" s="794" t="s">
        <v>906</v>
      </c>
      <c r="G167" s="826" t="s">
        <v>909</v>
      </c>
      <c r="H167" s="827" t="str">
        <f>H2</f>
        <v>Tribus</v>
      </c>
      <c r="I167" s="827" t="s">
        <v>12</v>
      </c>
      <c r="J167" s="827" t="s">
        <v>8</v>
      </c>
      <c r="K167" s="827" t="s">
        <v>165</v>
      </c>
      <c r="L167" s="827" t="s">
        <v>164</v>
      </c>
      <c r="M167" s="827" t="str">
        <f>AH1</f>
        <v>WSES</v>
      </c>
      <c r="N167" s="827" t="s">
        <v>18</v>
      </c>
      <c r="O167" s="827" t="s">
        <v>16</v>
      </c>
      <c r="P167" s="827" t="s">
        <v>109</v>
      </c>
      <c r="Q167" s="828" t="s">
        <v>114</v>
      </c>
      <c r="R167" s="828" t="s">
        <v>110</v>
      </c>
      <c r="S167" s="828" t="s">
        <v>910</v>
      </c>
      <c r="T167" s="828" t="s">
        <v>911</v>
      </c>
      <c r="U167" s="828" t="s">
        <v>334</v>
      </c>
      <c r="V167" s="828" t="s">
        <v>3</v>
      </c>
      <c r="W167" s="829" t="s">
        <v>96</v>
      </c>
      <c r="X167" s="214"/>
      <c r="Y167" s="76"/>
      <c r="Z167" s="76"/>
      <c r="BB167" s="69"/>
      <c r="BC167" s="69"/>
      <c r="BD167" s="343"/>
      <c r="BL167" s="631"/>
      <c r="BM167" s="177"/>
      <c r="BO167" s="204"/>
      <c r="BR167" s="177"/>
    </row>
    <row r="168" spans="1:73" x14ac:dyDescent="0.25">
      <c r="D168" s="76"/>
      <c r="E168" s="12"/>
      <c r="F168" s="71"/>
      <c r="G168" s="830" t="s">
        <v>899</v>
      </c>
      <c r="H168" s="695">
        <f t="shared" ref="H168:H174" si="118">H144</f>
        <v>28660.563647306648</v>
      </c>
      <c r="I168" s="695">
        <f t="shared" ref="I168:I174" si="119">SUM(J144,K144,X144,Y144,AG144,AI144,AM144+AN144+AO144+AP144+AQ144+AR144+AS144+AT144+AU144+AV144)</f>
        <v>96427.995277563707</v>
      </c>
      <c r="J168" s="695">
        <f t="shared" ref="J168:J174" si="120">SUM(L144:U144,Z144:AF144,AJ144:AL144)</f>
        <v>57955.31542591082</v>
      </c>
      <c r="K168" s="695">
        <f t="shared" ref="K168:L174" si="121">V144</f>
        <v>4621.653031098569</v>
      </c>
      <c r="L168" s="695">
        <f t="shared" si="121"/>
        <v>7411.5761992540456</v>
      </c>
      <c r="M168" s="695">
        <f t="shared" ref="M168:M174" si="122">AH144</f>
        <v>59212.98741918365</v>
      </c>
      <c r="N168" s="695">
        <f t="shared" ref="N168:R174" si="123">AW144</f>
        <v>53348.778416395049</v>
      </c>
      <c r="O168" s="695">
        <f t="shared" si="123"/>
        <v>555.69981442661674</v>
      </c>
      <c r="P168" s="695">
        <f t="shared" si="123"/>
        <v>179304.70556991317</v>
      </c>
      <c r="Q168" s="695">
        <f t="shared" si="123"/>
        <v>6030.1593378705675</v>
      </c>
      <c r="R168" s="695">
        <f t="shared" si="123"/>
        <v>108737.57652070593</v>
      </c>
      <c r="S168" s="831">
        <f t="shared" ref="S168:S174" si="124">BB144*0</f>
        <v>0</v>
      </c>
      <c r="T168" s="695">
        <f t="shared" ref="T168:T174" si="125">SUM(BD144:BJ144)</f>
        <v>1359495.3231120377</v>
      </c>
      <c r="U168" s="695">
        <f t="shared" ref="U168:U174" si="126">BK144</f>
        <v>232900.38637491706</v>
      </c>
      <c r="V168" s="832">
        <f t="shared" ref="V168:V174" si="127">SUM(H168:U168)</f>
        <v>2194662.7201465834</v>
      </c>
      <c r="W168" s="833">
        <f>V168-BL144+BB144</f>
        <v>0</v>
      </c>
      <c r="X168" s="214"/>
      <c r="Y168" s="76"/>
      <c r="Z168" s="76"/>
      <c r="BB168" s="69"/>
      <c r="BC168" s="69"/>
      <c r="BD168" s="343"/>
      <c r="BL168" s="631"/>
      <c r="BM168" s="177"/>
      <c r="BO168" s="204"/>
      <c r="BR168" s="177"/>
    </row>
    <row r="169" spans="1:73" x14ac:dyDescent="0.25">
      <c r="D169" s="76"/>
      <c r="E169" s="12"/>
      <c r="F169" s="71"/>
      <c r="G169" s="834" t="s">
        <v>900</v>
      </c>
      <c r="H169" s="695">
        <f t="shared" si="118"/>
        <v>0</v>
      </c>
      <c r="I169" s="695">
        <f t="shared" si="119"/>
        <v>9672.4380368411039</v>
      </c>
      <c r="J169" s="695">
        <f t="shared" si="120"/>
        <v>9692.9359990404773</v>
      </c>
      <c r="K169" s="695">
        <f t="shared" si="121"/>
        <v>559.39590516660144</v>
      </c>
      <c r="L169" s="695">
        <f t="shared" si="121"/>
        <v>917.88682709037062</v>
      </c>
      <c r="M169" s="695">
        <f t="shared" si="122"/>
        <v>8335.455077681132</v>
      </c>
      <c r="N169" s="695">
        <f t="shared" si="123"/>
        <v>4712.353464365664</v>
      </c>
      <c r="O169" s="695">
        <f t="shared" si="123"/>
        <v>63.52539433199491</v>
      </c>
      <c r="P169" s="695">
        <f t="shared" si="123"/>
        <v>0</v>
      </c>
      <c r="Q169" s="695">
        <f t="shared" si="123"/>
        <v>0</v>
      </c>
      <c r="R169" s="695">
        <f t="shared" si="123"/>
        <v>0</v>
      </c>
      <c r="S169" s="831">
        <f t="shared" si="124"/>
        <v>0</v>
      </c>
      <c r="T169" s="695">
        <f t="shared" si="125"/>
        <v>0</v>
      </c>
      <c r="U169" s="695">
        <f t="shared" si="126"/>
        <v>0</v>
      </c>
      <c r="V169" s="833">
        <f t="shared" si="127"/>
        <v>33953.990704517346</v>
      </c>
      <c r="W169" s="833">
        <f t="shared" ref="W169:W175" si="128">V169-BL145+BB145</f>
        <v>0</v>
      </c>
      <c r="X169" s="214"/>
      <c r="Y169" s="76"/>
      <c r="Z169" s="76"/>
      <c r="BB169" s="69"/>
      <c r="BC169" s="69"/>
      <c r="BD169" s="343"/>
      <c r="BL169" s="631"/>
      <c r="BM169" s="177"/>
      <c r="BO169" s="204"/>
      <c r="BR169" s="177"/>
    </row>
    <row r="170" spans="1:73" x14ac:dyDescent="0.25">
      <c r="D170" s="76"/>
      <c r="E170" s="12"/>
      <c r="F170" s="71"/>
      <c r="G170" s="835" t="s">
        <v>901</v>
      </c>
      <c r="H170" s="695">
        <f t="shared" si="118"/>
        <v>0</v>
      </c>
      <c r="I170" s="695">
        <f t="shared" si="119"/>
        <v>124861.32898485704</v>
      </c>
      <c r="J170" s="695">
        <f t="shared" si="120"/>
        <v>75089.332390186246</v>
      </c>
      <c r="K170" s="695">
        <f t="shared" si="121"/>
        <v>5826.3524078928149</v>
      </c>
      <c r="L170" s="695">
        <f t="shared" si="121"/>
        <v>9468.2908835217531</v>
      </c>
      <c r="M170" s="695">
        <f t="shared" si="122"/>
        <v>69107.624923597497</v>
      </c>
      <c r="N170" s="695">
        <f t="shared" si="123"/>
        <v>68739.283265957434</v>
      </c>
      <c r="O170" s="695">
        <f t="shared" si="123"/>
        <v>578.51701976913466</v>
      </c>
      <c r="P170" s="695">
        <f t="shared" si="123"/>
        <v>153727.9562537974</v>
      </c>
      <c r="Q170" s="695">
        <f t="shared" si="123"/>
        <v>5080.698143202575</v>
      </c>
      <c r="R170" s="695">
        <f t="shared" si="123"/>
        <v>88940.438601656671</v>
      </c>
      <c r="S170" s="831">
        <f t="shared" si="124"/>
        <v>0</v>
      </c>
      <c r="T170" s="695">
        <f t="shared" si="125"/>
        <v>0</v>
      </c>
      <c r="U170" s="695">
        <f t="shared" si="126"/>
        <v>0</v>
      </c>
      <c r="V170" s="833">
        <f t="shared" si="127"/>
        <v>601419.8228744386</v>
      </c>
      <c r="W170" s="833">
        <f t="shared" si="128"/>
        <v>0</v>
      </c>
      <c r="X170" s="214"/>
      <c r="Y170" s="76"/>
      <c r="Z170" s="76"/>
      <c r="BB170" s="69"/>
      <c r="BC170" s="69"/>
      <c r="BD170" s="343"/>
      <c r="BL170" s="631"/>
      <c r="BM170" s="177"/>
      <c r="BO170" s="204"/>
      <c r="BR170" s="177"/>
    </row>
    <row r="171" spans="1:73" x14ac:dyDescent="0.25">
      <c r="D171" s="76"/>
      <c r="E171" s="12"/>
      <c r="F171" s="71"/>
      <c r="G171" s="836" t="s">
        <v>902</v>
      </c>
      <c r="H171" s="695">
        <f t="shared" si="118"/>
        <v>0</v>
      </c>
      <c r="I171" s="695">
        <f t="shared" si="119"/>
        <v>10084.468204161243</v>
      </c>
      <c r="J171" s="695">
        <f t="shared" si="120"/>
        <v>6043.3399114405829</v>
      </c>
      <c r="K171" s="695">
        <f t="shared" si="121"/>
        <v>481.46664454441918</v>
      </c>
      <c r="L171" s="695">
        <f t="shared" si="121"/>
        <v>773.13582628080326</v>
      </c>
      <c r="M171" s="695">
        <f t="shared" si="122"/>
        <v>6113.3330187191486</v>
      </c>
      <c r="N171" s="695">
        <f t="shared" si="123"/>
        <v>5579.1437207759245</v>
      </c>
      <c r="O171" s="695">
        <f t="shared" si="123"/>
        <v>56.810702797523078</v>
      </c>
      <c r="P171" s="695">
        <f t="shared" si="123"/>
        <v>21532.592755022393</v>
      </c>
      <c r="Q171" s="695">
        <f t="shared" si="123"/>
        <v>960.19177797155896</v>
      </c>
      <c r="R171" s="695">
        <f t="shared" si="123"/>
        <v>13485.617628387152</v>
      </c>
      <c r="S171" s="831">
        <f t="shared" si="124"/>
        <v>0</v>
      </c>
      <c r="T171" s="695">
        <f t="shared" si="125"/>
        <v>98228.312738642271</v>
      </c>
      <c r="U171" s="695">
        <f t="shared" si="126"/>
        <v>18679.367315205451</v>
      </c>
      <c r="V171" s="837">
        <f t="shared" si="127"/>
        <v>182017.78024394848</v>
      </c>
      <c r="W171" s="838">
        <f t="shared" si="128"/>
        <v>0</v>
      </c>
      <c r="X171" s="214"/>
      <c r="Y171" s="76"/>
      <c r="Z171" s="76"/>
      <c r="BB171" s="69"/>
      <c r="BC171" s="69"/>
      <c r="BD171" s="343"/>
      <c r="BL171" s="631"/>
      <c r="BM171" s="177"/>
      <c r="BO171" s="204"/>
      <c r="BR171" s="177"/>
    </row>
    <row r="172" spans="1:73" x14ac:dyDescent="0.25">
      <c r="D172" s="76"/>
      <c r="E172" s="12"/>
      <c r="F172" s="71"/>
      <c r="G172" s="839" t="s">
        <v>903</v>
      </c>
      <c r="H172" s="695">
        <f t="shared" si="118"/>
        <v>0</v>
      </c>
      <c r="I172" s="695">
        <f t="shared" si="119"/>
        <v>0</v>
      </c>
      <c r="J172" s="695">
        <f t="shared" si="120"/>
        <v>0</v>
      </c>
      <c r="K172" s="695">
        <f t="shared" si="121"/>
        <v>0</v>
      </c>
      <c r="L172" s="695">
        <f t="shared" si="121"/>
        <v>0</v>
      </c>
      <c r="M172" s="695">
        <f t="shared" si="122"/>
        <v>0</v>
      </c>
      <c r="N172" s="695">
        <f t="shared" si="123"/>
        <v>0</v>
      </c>
      <c r="O172" s="695">
        <f t="shared" si="123"/>
        <v>0</v>
      </c>
      <c r="P172" s="695">
        <f t="shared" si="123"/>
        <v>6871.223222083343</v>
      </c>
      <c r="Q172" s="695">
        <f t="shared" si="123"/>
        <v>280.55526040109538</v>
      </c>
      <c r="R172" s="695">
        <f t="shared" si="123"/>
        <v>4307.2478811439096</v>
      </c>
      <c r="S172" s="831">
        <f t="shared" si="124"/>
        <v>0</v>
      </c>
      <c r="T172" s="695">
        <f t="shared" si="125"/>
        <v>0</v>
      </c>
      <c r="U172" s="695">
        <f t="shared" si="126"/>
        <v>0</v>
      </c>
      <c r="V172" s="837">
        <f t="shared" si="127"/>
        <v>11459.026363628349</v>
      </c>
      <c r="W172" s="833">
        <f t="shared" si="128"/>
        <v>0</v>
      </c>
      <c r="X172" s="214"/>
      <c r="Y172" s="76"/>
      <c r="Z172" s="76"/>
      <c r="BB172" s="69"/>
      <c r="BC172" s="69"/>
      <c r="BD172" s="343"/>
      <c r="BL172" s="631"/>
      <c r="BM172" s="177"/>
      <c r="BO172" s="204"/>
      <c r="BR172" s="177"/>
    </row>
    <row r="173" spans="1:73" x14ac:dyDescent="0.25">
      <c r="D173" s="76"/>
      <c r="E173" s="12"/>
      <c r="F173" s="71"/>
      <c r="G173" s="840" t="s">
        <v>904</v>
      </c>
      <c r="H173" s="695">
        <f t="shared" si="118"/>
        <v>0</v>
      </c>
      <c r="I173" s="695">
        <f t="shared" si="119"/>
        <v>288887.69026859471</v>
      </c>
      <c r="J173" s="695">
        <f t="shared" si="120"/>
        <v>329939.9962281629</v>
      </c>
      <c r="K173" s="695">
        <f t="shared" si="121"/>
        <v>10722.696803095354</v>
      </c>
      <c r="L173" s="695">
        <f t="shared" si="121"/>
        <v>17572.466528949186</v>
      </c>
      <c r="M173" s="695">
        <f t="shared" si="122"/>
        <v>156025.31965956319</v>
      </c>
      <c r="N173" s="695">
        <f t="shared" si="123"/>
        <v>94566.566822209425</v>
      </c>
      <c r="O173" s="695">
        <f t="shared" si="123"/>
        <v>1201.5947105078164</v>
      </c>
      <c r="P173" s="695">
        <f t="shared" si="123"/>
        <v>61802.757682219344</v>
      </c>
      <c r="Q173" s="695">
        <f t="shared" si="123"/>
        <v>2042.5767950915174</v>
      </c>
      <c r="R173" s="695">
        <f t="shared" si="123"/>
        <v>35756.439550745104</v>
      </c>
      <c r="S173" s="831">
        <f t="shared" si="124"/>
        <v>0</v>
      </c>
      <c r="T173" s="695">
        <f t="shared" si="125"/>
        <v>0</v>
      </c>
      <c r="U173" s="695">
        <f t="shared" si="126"/>
        <v>0</v>
      </c>
      <c r="V173" s="837">
        <f t="shared" si="127"/>
        <v>998518.10504913866</v>
      </c>
      <c r="W173" s="838">
        <f t="shared" si="128"/>
        <v>1.8917489796876907E-10</v>
      </c>
      <c r="X173" s="214"/>
      <c r="Y173" s="76"/>
      <c r="Z173" s="76"/>
      <c r="BB173" s="69"/>
      <c r="BC173" s="69"/>
      <c r="BD173" s="343"/>
      <c r="BL173" s="631"/>
      <c r="BM173" s="177"/>
      <c r="BO173" s="204"/>
      <c r="BR173" s="177"/>
    </row>
    <row r="174" spans="1:73" x14ac:dyDescent="0.25">
      <c r="D174" s="76"/>
      <c r="E174" s="12"/>
      <c r="F174" s="71"/>
      <c r="G174" s="841" t="s">
        <v>905</v>
      </c>
      <c r="H174" s="695">
        <f t="shared" si="118"/>
        <v>0</v>
      </c>
      <c r="I174" s="695">
        <f t="shared" si="119"/>
        <v>4477.9205993819123</v>
      </c>
      <c r="J174" s="695">
        <f t="shared" si="120"/>
        <v>4487.4102696003547</v>
      </c>
      <c r="K174" s="695">
        <f t="shared" si="121"/>
        <v>258.97611723274412</v>
      </c>
      <c r="L174" s="695">
        <f t="shared" si="121"/>
        <v>424.94191384570723</v>
      </c>
      <c r="M174" s="695">
        <f t="shared" si="122"/>
        <v>3858.9552970412146</v>
      </c>
      <c r="N174" s="695">
        <f t="shared" si="123"/>
        <v>2181.6159037957741</v>
      </c>
      <c r="O174" s="695">
        <f t="shared" si="123"/>
        <v>29.409510898867499</v>
      </c>
      <c r="P174" s="695">
        <f t="shared" si="123"/>
        <v>0</v>
      </c>
      <c r="Q174" s="695">
        <f t="shared" si="123"/>
        <v>0</v>
      </c>
      <c r="R174" s="695">
        <f t="shared" si="123"/>
        <v>0</v>
      </c>
      <c r="S174" s="831">
        <f t="shared" si="124"/>
        <v>0</v>
      </c>
      <c r="T174" s="695">
        <f t="shared" si="125"/>
        <v>0</v>
      </c>
      <c r="U174" s="695">
        <f t="shared" si="126"/>
        <v>0</v>
      </c>
      <c r="V174" s="837">
        <f t="shared" si="127"/>
        <v>15719.229611796572</v>
      </c>
      <c r="W174" s="838">
        <f t="shared" si="128"/>
        <v>-3.637978807091713E-12</v>
      </c>
      <c r="X174" s="214"/>
      <c r="Y174" s="76"/>
      <c r="Z174" s="76"/>
      <c r="BB174" s="69"/>
      <c r="BC174" s="69"/>
      <c r="BD174" s="343"/>
      <c r="BL174" s="631"/>
      <c r="BM174" s="177"/>
      <c r="BO174" s="204"/>
      <c r="BR174" s="177"/>
    </row>
    <row r="175" spans="1:73" x14ac:dyDescent="0.25">
      <c r="D175" s="76"/>
      <c r="E175" s="12"/>
      <c r="F175" s="71"/>
      <c r="G175" s="842" t="s">
        <v>3</v>
      </c>
      <c r="H175" s="809">
        <f>SUM(H168:H174)</f>
        <v>28660.563647306648</v>
      </c>
      <c r="I175" s="809">
        <f t="shared" ref="I175:V175" si="129">SUM(I168:I174)</f>
        <v>534411.8413713997</v>
      </c>
      <c r="J175" s="809">
        <f t="shared" si="129"/>
        <v>483208.33022434136</v>
      </c>
      <c r="K175" s="809">
        <f t="shared" si="129"/>
        <v>22470.540909030504</v>
      </c>
      <c r="L175" s="809">
        <f t="shared" si="129"/>
        <v>36568.298178941863</v>
      </c>
      <c r="M175" s="809">
        <f t="shared" si="129"/>
        <v>302653.67539578583</v>
      </c>
      <c r="N175" s="809">
        <f t="shared" si="129"/>
        <v>229127.74159349929</v>
      </c>
      <c r="O175" s="809">
        <f t="shared" si="129"/>
        <v>2485.5571527319535</v>
      </c>
      <c r="P175" s="809">
        <f t="shared" si="129"/>
        <v>423239.23548303562</v>
      </c>
      <c r="Q175" s="809">
        <f t="shared" si="129"/>
        <v>14394.181314537314</v>
      </c>
      <c r="R175" s="809">
        <f t="shared" si="129"/>
        <v>251227.32018263874</v>
      </c>
      <c r="S175" s="843">
        <f t="shared" si="129"/>
        <v>0</v>
      </c>
      <c r="T175" s="809">
        <f t="shared" si="129"/>
        <v>1457723.6358506801</v>
      </c>
      <c r="U175" s="809">
        <f t="shared" si="129"/>
        <v>251579.75369012251</v>
      </c>
      <c r="V175" s="809">
        <f t="shared" si="129"/>
        <v>4037750.6749940519</v>
      </c>
      <c r="W175" s="844">
        <f t="shared" si="128"/>
        <v>0</v>
      </c>
      <c r="X175" s="845"/>
      <c r="Y175" s="76"/>
      <c r="Z175" s="76"/>
      <c r="BB175" s="69"/>
      <c r="BC175" s="69"/>
      <c r="BD175" s="343"/>
      <c r="BL175" s="631"/>
      <c r="BM175" s="177"/>
      <c r="BO175" s="204"/>
      <c r="BR175" s="177"/>
    </row>
    <row r="176" spans="1:73" x14ac:dyDescent="0.25">
      <c r="E176" s="12"/>
      <c r="F176" s="71"/>
      <c r="G176" s="846"/>
      <c r="H176" s="71"/>
      <c r="I176" s="71"/>
      <c r="J176" s="71"/>
      <c r="K176" s="71"/>
      <c r="L176" s="71"/>
      <c r="M176" s="71"/>
      <c r="N176" s="71"/>
      <c r="O176" s="71"/>
      <c r="P176" s="71"/>
      <c r="Q176" s="71"/>
      <c r="R176" s="71"/>
      <c r="S176" s="811">
        <f>BB141</f>
        <v>910148.66109619534</v>
      </c>
      <c r="T176" s="71" t="s">
        <v>912</v>
      </c>
      <c r="U176" s="71"/>
      <c r="V176" s="811">
        <f>-V175+BL151</f>
        <v>910148.66109619522</v>
      </c>
      <c r="W176" s="71"/>
      <c r="X176" s="214"/>
      <c r="Y176" s="76"/>
      <c r="Z176" s="76"/>
      <c r="BB176" s="69"/>
      <c r="BC176" s="69"/>
      <c r="BD176" s="343"/>
      <c r="BL176" s="631"/>
      <c r="BM176" s="177"/>
      <c r="BO176" s="204"/>
      <c r="BR176" s="177"/>
    </row>
    <row r="177" spans="5:70" x14ac:dyDescent="0.25">
      <c r="E177" s="12"/>
      <c r="F177" s="71"/>
      <c r="G177" s="846"/>
      <c r="H177" s="71"/>
      <c r="I177" s="71"/>
      <c r="J177" s="71"/>
      <c r="K177" s="71"/>
      <c r="L177" s="71"/>
      <c r="M177" s="71"/>
      <c r="N177" s="71"/>
      <c r="O177" s="71"/>
      <c r="P177" s="71"/>
      <c r="Q177" s="71"/>
      <c r="R177" s="71"/>
      <c r="S177" s="71"/>
      <c r="T177" s="71"/>
      <c r="U177" s="71"/>
      <c r="V177" s="71"/>
      <c r="W177" s="71"/>
      <c r="X177" s="214"/>
      <c r="Y177" s="76"/>
      <c r="Z177" s="76"/>
      <c r="BB177" s="69"/>
      <c r="BC177" s="69"/>
      <c r="BD177" s="343"/>
      <c r="BL177" s="631"/>
      <c r="BM177" s="177"/>
      <c r="BO177" s="204"/>
      <c r="BR177" s="177"/>
    </row>
    <row r="178" spans="5:70" x14ac:dyDescent="0.25">
      <c r="E178" s="12"/>
      <c r="F178" s="71"/>
      <c r="G178" s="847"/>
      <c r="H178" s="1346" t="s">
        <v>908</v>
      </c>
      <c r="I178" s="1346"/>
      <c r="J178" s="1346"/>
      <c r="K178" s="1346"/>
      <c r="L178" s="1346"/>
      <c r="M178" s="1346"/>
      <c r="N178" s="1346"/>
      <c r="O178" s="1346"/>
      <c r="P178" s="1346"/>
      <c r="Q178" s="1346"/>
      <c r="R178" s="1346"/>
      <c r="S178" s="1346"/>
      <c r="T178" s="1346"/>
      <c r="U178" s="1346"/>
      <c r="V178" s="1346"/>
      <c r="W178" s="1346"/>
      <c r="X178" s="214"/>
      <c r="Y178" s="76"/>
      <c r="Z178" s="76"/>
      <c r="BB178" s="69"/>
      <c r="BC178" s="69"/>
      <c r="BD178" s="343"/>
      <c r="BL178" s="631"/>
      <c r="BM178" s="177"/>
      <c r="BO178" s="204"/>
      <c r="BR178" s="177"/>
    </row>
    <row r="179" spans="5:70" x14ac:dyDescent="0.25">
      <c r="E179" s="12"/>
      <c r="F179" s="794" t="s">
        <v>913</v>
      </c>
      <c r="G179" s="848" t="s">
        <v>909</v>
      </c>
      <c r="H179" s="827" t="str">
        <f>H167</f>
        <v>Tribus</v>
      </c>
      <c r="I179" s="827" t="str">
        <f t="shared" ref="I179:U179" si="130">I167</f>
        <v>CUI</v>
      </c>
      <c r="J179" s="827" t="str">
        <f t="shared" si="130"/>
        <v>CMUS</v>
      </c>
      <c r="K179" s="827" t="s">
        <v>165</v>
      </c>
      <c r="L179" s="827" t="s">
        <v>164</v>
      </c>
      <c r="M179" s="827" t="str">
        <f t="shared" si="130"/>
        <v>WSES</v>
      </c>
      <c r="N179" s="827" t="str">
        <f t="shared" si="130"/>
        <v>CWSI</v>
      </c>
      <c r="O179" s="827" t="str">
        <f t="shared" si="130"/>
        <v>CEI</v>
      </c>
      <c r="P179" s="827" t="str">
        <f t="shared" si="130"/>
        <v>Oklahoma</v>
      </c>
      <c r="Q179" s="827" t="str">
        <f t="shared" si="130"/>
        <v>Gillem Enclave</v>
      </c>
      <c r="R179" s="827" t="str">
        <f t="shared" si="130"/>
        <v>Cleveland Thermal</v>
      </c>
      <c r="S179" s="827" t="str">
        <f t="shared" si="130"/>
        <v>Shareholder Bucket (CII)</v>
      </c>
      <c r="T179" s="827" t="str">
        <f t="shared" si="130"/>
        <v>Lower 48</v>
      </c>
      <c r="U179" s="827" t="str">
        <f t="shared" si="130"/>
        <v>FSW</v>
      </c>
      <c r="V179" s="849" t="s">
        <v>3</v>
      </c>
      <c r="W179" s="829" t="s">
        <v>96</v>
      </c>
      <c r="X179" s="214"/>
      <c r="Y179" s="76"/>
      <c r="Z179" s="76"/>
      <c r="BB179" s="69"/>
      <c r="BC179" s="69"/>
      <c r="BD179" s="343"/>
      <c r="BL179" s="631"/>
      <c r="BM179" s="177"/>
      <c r="BO179" s="204"/>
      <c r="BR179" s="177"/>
    </row>
    <row r="180" spans="5:70" x14ac:dyDescent="0.25">
      <c r="E180" s="12"/>
      <c r="F180" s="71"/>
      <c r="G180" s="830" t="s">
        <v>899</v>
      </c>
      <c r="H180" s="695"/>
      <c r="I180" s="695"/>
      <c r="J180" s="695"/>
      <c r="K180" s="695"/>
      <c r="L180" s="695"/>
      <c r="M180" s="695"/>
      <c r="N180" s="695"/>
      <c r="O180" s="695"/>
      <c r="P180" s="695"/>
      <c r="Q180" s="695"/>
      <c r="R180" s="695"/>
      <c r="S180" s="831"/>
      <c r="T180" s="695"/>
      <c r="U180" s="695"/>
      <c r="V180" s="850">
        <f t="shared" ref="V180:V186" si="131">SUM(H180:U180)</f>
        <v>0</v>
      </c>
      <c r="W180" s="833"/>
      <c r="X180" s="214"/>
      <c r="Y180" s="76"/>
      <c r="Z180" s="76"/>
      <c r="BB180" s="69"/>
      <c r="BC180" s="69"/>
      <c r="BD180" s="343"/>
      <c r="BL180" s="631"/>
      <c r="BM180" s="177"/>
      <c r="BO180" s="204"/>
      <c r="BR180" s="177"/>
    </row>
    <row r="181" spans="5:70" x14ac:dyDescent="0.25">
      <c r="E181" s="12"/>
      <c r="F181" s="71"/>
      <c r="G181" s="834" t="s">
        <v>900</v>
      </c>
      <c r="H181" s="695"/>
      <c r="I181" s="695"/>
      <c r="J181" s="695"/>
      <c r="K181" s="695"/>
      <c r="L181" s="695"/>
      <c r="M181" s="695"/>
      <c r="N181" s="695"/>
      <c r="O181" s="695"/>
      <c r="P181" s="695"/>
      <c r="Q181" s="695"/>
      <c r="R181" s="695"/>
      <c r="S181" s="831"/>
      <c r="T181" s="695"/>
      <c r="U181" s="695"/>
      <c r="V181" s="851">
        <f t="shared" si="131"/>
        <v>0</v>
      </c>
      <c r="W181" s="833"/>
      <c r="X181" s="214"/>
      <c r="Y181" s="76"/>
      <c r="Z181" s="76"/>
      <c r="BB181" s="69"/>
      <c r="BC181" s="69"/>
      <c r="BD181" s="343"/>
      <c r="BL181" s="631"/>
      <c r="BM181" s="177"/>
      <c r="BO181" s="204"/>
      <c r="BR181" s="177"/>
    </row>
    <row r="182" spans="5:70" x14ac:dyDescent="0.25">
      <c r="E182" s="12"/>
      <c r="F182" s="71"/>
      <c r="G182" s="835" t="s">
        <v>901</v>
      </c>
      <c r="H182" s="695"/>
      <c r="I182" s="695"/>
      <c r="J182" s="695"/>
      <c r="K182" s="695"/>
      <c r="L182" s="695"/>
      <c r="M182" s="695"/>
      <c r="N182" s="695"/>
      <c r="O182" s="695"/>
      <c r="P182" s="695"/>
      <c r="Q182" s="695"/>
      <c r="R182" s="695"/>
      <c r="S182" s="831"/>
      <c r="T182" s="695"/>
      <c r="U182" s="695"/>
      <c r="V182" s="851">
        <f t="shared" si="131"/>
        <v>0</v>
      </c>
      <c r="W182" s="833"/>
      <c r="X182" s="214"/>
      <c r="Y182" s="76"/>
      <c r="Z182" s="76"/>
      <c r="BB182" s="69"/>
      <c r="BC182" s="69"/>
      <c r="BD182" s="343"/>
      <c r="BL182" s="631"/>
      <c r="BM182" s="177"/>
      <c r="BO182" s="204"/>
      <c r="BR182" s="177"/>
    </row>
    <row r="183" spans="5:70" x14ac:dyDescent="0.25">
      <c r="E183" s="12"/>
      <c r="F183" s="852" t="s">
        <v>914</v>
      </c>
      <c r="G183" s="836" t="s">
        <v>902</v>
      </c>
      <c r="H183" s="695">
        <f t="shared" ref="H183:U186" si="132">H171</f>
        <v>0</v>
      </c>
      <c r="I183" s="695">
        <f t="shared" si="132"/>
        <v>10084.468204161243</v>
      </c>
      <c r="J183" s="695">
        <f t="shared" si="132"/>
        <v>6043.3399114405829</v>
      </c>
      <c r="K183" s="695">
        <f t="shared" si="132"/>
        <v>481.46664454441918</v>
      </c>
      <c r="L183" s="695">
        <f t="shared" si="132"/>
        <v>773.13582628080326</v>
      </c>
      <c r="M183" s="695">
        <f t="shared" si="132"/>
        <v>6113.3330187191486</v>
      </c>
      <c r="N183" s="695">
        <f t="shared" si="132"/>
        <v>5579.1437207759245</v>
      </c>
      <c r="O183" s="695">
        <f t="shared" si="132"/>
        <v>56.810702797523078</v>
      </c>
      <c r="P183" s="695">
        <f t="shared" si="132"/>
        <v>21532.592755022393</v>
      </c>
      <c r="Q183" s="695">
        <f t="shared" si="132"/>
        <v>960.19177797155896</v>
      </c>
      <c r="R183" s="695">
        <f t="shared" si="132"/>
        <v>13485.617628387152</v>
      </c>
      <c r="S183" s="831">
        <f>S171*0</f>
        <v>0</v>
      </c>
      <c r="T183" s="695">
        <f t="shared" si="132"/>
        <v>98228.312738642271</v>
      </c>
      <c r="U183" s="695">
        <f t="shared" si="132"/>
        <v>18679.367315205451</v>
      </c>
      <c r="V183" s="853">
        <f t="shared" si="131"/>
        <v>182017.78024394848</v>
      </c>
      <c r="W183" s="838">
        <f>V183-V171</f>
        <v>0</v>
      </c>
      <c r="X183" s="854"/>
      <c r="Y183" s="76"/>
      <c r="Z183" s="76"/>
      <c r="BB183" s="69"/>
      <c r="BC183" s="69"/>
      <c r="BD183" s="343"/>
      <c r="BL183" s="631"/>
      <c r="BM183" s="177"/>
      <c r="BO183" s="204"/>
      <c r="BR183" s="177"/>
    </row>
    <row r="184" spans="5:70" x14ac:dyDescent="0.25">
      <c r="E184" s="12"/>
      <c r="F184" s="852" t="s">
        <v>914</v>
      </c>
      <c r="G184" s="839" t="s">
        <v>903</v>
      </c>
      <c r="H184" s="695">
        <f t="shared" si="132"/>
        <v>0</v>
      </c>
      <c r="I184" s="695">
        <f t="shared" si="132"/>
        <v>0</v>
      </c>
      <c r="J184" s="695">
        <f t="shared" si="132"/>
        <v>0</v>
      </c>
      <c r="K184" s="695">
        <f t="shared" si="132"/>
        <v>0</v>
      </c>
      <c r="L184" s="695">
        <f t="shared" si="132"/>
        <v>0</v>
      </c>
      <c r="M184" s="695">
        <f t="shared" si="132"/>
        <v>0</v>
      </c>
      <c r="N184" s="695">
        <f t="shared" si="132"/>
        <v>0</v>
      </c>
      <c r="O184" s="695">
        <f t="shared" si="132"/>
        <v>0</v>
      </c>
      <c r="P184" s="695">
        <f t="shared" si="132"/>
        <v>6871.223222083343</v>
      </c>
      <c r="Q184" s="695">
        <f t="shared" si="132"/>
        <v>280.55526040109538</v>
      </c>
      <c r="R184" s="695">
        <f t="shared" si="132"/>
        <v>4307.2478811439096</v>
      </c>
      <c r="S184" s="831">
        <f>S172*0</f>
        <v>0</v>
      </c>
      <c r="T184" s="695">
        <f t="shared" si="132"/>
        <v>0</v>
      </c>
      <c r="U184" s="695">
        <f t="shared" si="132"/>
        <v>0</v>
      </c>
      <c r="V184" s="853">
        <f t="shared" si="131"/>
        <v>11459.026363628349</v>
      </c>
      <c r="W184" s="833"/>
      <c r="X184" s="854"/>
      <c r="Y184" s="76"/>
      <c r="Z184" s="76"/>
      <c r="BB184" s="69"/>
      <c r="BC184" s="69"/>
      <c r="BD184" s="343"/>
      <c r="BL184" s="631"/>
      <c r="BM184" s="177"/>
      <c r="BO184" s="204"/>
      <c r="BR184" s="177"/>
    </row>
    <row r="185" spans="5:70" x14ac:dyDescent="0.25">
      <c r="E185" s="12"/>
      <c r="F185" s="852" t="s">
        <v>915</v>
      </c>
      <c r="G185" s="840" t="s">
        <v>904</v>
      </c>
      <c r="H185" s="695">
        <f t="shared" si="132"/>
        <v>0</v>
      </c>
      <c r="I185" s="695">
        <f>I173</f>
        <v>288887.69026859471</v>
      </c>
      <c r="J185" s="695">
        <f t="shared" si="132"/>
        <v>329939.9962281629</v>
      </c>
      <c r="K185" s="695">
        <f t="shared" si="132"/>
        <v>10722.696803095354</v>
      </c>
      <c r="L185" s="695">
        <f t="shared" si="132"/>
        <v>17572.466528949186</v>
      </c>
      <c r="M185" s="695">
        <f t="shared" si="132"/>
        <v>156025.31965956319</v>
      </c>
      <c r="N185" s="695">
        <f t="shared" si="132"/>
        <v>94566.566822209425</v>
      </c>
      <c r="O185" s="695">
        <f t="shared" si="132"/>
        <v>1201.5947105078164</v>
      </c>
      <c r="P185" s="695">
        <f t="shared" si="132"/>
        <v>61802.757682219344</v>
      </c>
      <c r="Q185" s="695">
        <f t="shared" si="132"/>
        <v>2042.5767950915174</v>
      </c>
      <c r="R185" s="695">
        <f t="shared" si="132"/>
        <v>35756.439550745104</v>
      </c>
      <c r="S185" s="831">
        <f>S173*0</f>
        <v>0</v>
      </c>
      <c r="T185" s="695">
        <f t="shared" si="132"/>
        <v>0</v>
      </c>
      <c r="U185" s="695">
        <f t="shared" si="132"/>
        <v>0</v>
      </c>
      <c r="V185" s="853">
        <f t="shared" si="131"/>
        <v>998518.10504913866</v>
      </c>
      <c r="W185" s="838">
        <f>V185-V173</f>
        <v>0</v>
      </c>
      <c r="X185" s="854"/>
      <c r="Y185" s="76"/>
      <c r="Z185" s="76"/>
      <c r="BB185" s="69"/>
      <c r="BC185" s="69"/>
      <c r="BD185" s="343"/>
      <c r="BL185" s="631"/>
      <c r="BM185" s="177"/>
      <c r="BO185" s="204"/>
      <c r="BR185" s="177"/>
    </row>
    <row r="186" spans="5:70" x14ac:dyDescent="0.25">
      <c r="E186" s="12"/>
      <c r="F186" s="852" t="s">
        <v>916</v>
      </c>
      <c r="G186" s="841" t="s">
        <v>905</v>
      </c>
      <c r="H186" s="695">
        <f t="shared" si="132"/>
        <v>0</v>
      </c>
      <c r="I186" s="695">
        <f t="shared" si="132"/>
        <v>4477.9205993819123</v>
      </c>
      <c r="J186" s="695">
        <f t="shared" si="132"/>
        <v>4487.4102696003547</v>
      </c>
      <c r="K186" s="695">
        <f t="shared" si="132"/>
        <v>258.97611723274412</v>
      </c>
      <c r="L186" s="695">
        <f t="shared" si="132"/>
        <v>424.94191384570723</v>
      </c>
      <c r="M186" s="695">
        <f t="shared" si="132"/>
        <v>3858.9552970412146</v>
      </c>
      <c r="N186" s="695">
        <f t="shared" si="132"/>
        <v>2181.6159037957741</v>
      </c>
      <c r="O186" s="695">
        <f t="shared" si="132"/>
        <v>29.409510898867499</v>
      </c>
      <c r="P186" s="695">
        <f t="shared" si="132"/>
        <v>0</v>
      </c>
      <c r="Q186" s="695">
        <f t="shared" si="132"/>
        <v>0</v>
      </c>
      <c r="R186" s="695">
        <f t="shared" si="132"/>
        <v>0</v>
      </c>
      <c r="S186" s="831">
        <f>S174*0</f>
        <v>0</v>
      </c>
      <c r="T186" s="695">
        <f t="shared" si="132"/>
        <v>0</v>
      </c>
      <c r="U186" s="695">
        <f t="shared" si="132"/>
        <v>0</v>
      </c>
      <c r="V186" s="853">
        <f t="shared" si="131"/>
        <v>15719.229611796572</v>
      </c>
      <c r="W186" s="838">
        <f>V186-V174</f>
        <v>0</v>
      </c>
      <c r="X186" s="854"/>
      <c r="Y186" s="76"/>
      <c r="Z186" s="76"/>
      <c r="BB186" s="69"/>
      <c r="BC186" s="69"/>
      <c r="BD186" s="343"/>
      <c r="BL186" s="631"/>
      <c r="BM186" s="177"/>
      <c r="BO186" s="204"/>
      <c r="BR186" s="177"/>
    </row>
    <row r="187" spans="5:70" x14ac:dyDescent="0.25">
      <c r="E187" s="12"/>
      <c r="F187" s="71"/>
      <c r="G187" s="855" t="s">
        <v>3</v>
      </c>
      <c r="H187" s="809">
        <f>SUM(H180:H186)</f>
        <v>0</v>
      </c>
      <c r="I187" s="809">
        <f t="shared" ref="I187:V187" si="133">SUM(I180:I186)</f>
        <v>303450.07907213789</v>
      </c>
      <c r="J187" s="809">
        <f t="shared" si="133"/>
        <v>340470.7464092038</v>
      </c>
      <c r="K187" s="809">
        <f t="shared" si="133"/>
        <v>11463.139564872517</v>
      </c>
      <c r="L187" s="809">
        <f t="shared" si="133"/>
        <v>18770.544269075697</v>
      </c>
      <c r="M187" s="809">
        <f t="shared" si="133"/>
        <v>165997.60797532357</v>
      </c>
      <c r="N187" s="809">
        <f t="shared" si="133"/>
        <v>102327.32644678112</v>
      </c>
      <c r="O187" s="809">
        <f t="shared" si="133"/>
        <v>1287.814924204207</v>
      </c>
      <c r="P187" s="809">
        <f t="shared" si="133"/>
        <v>90206.573659325077</v>
      </c>
      <c r="Q187" s="809">
        <f t="shared" si="133"/>
        <v>3283.3238334641719</v>
      </c>
      <c r="R187" s="809">
        <f t="shared" si="133"/>
        <v>53549.305060276165</v>
      </c>
      <c r="S187" s="843">
        <f t="shared" si="133"/>
        <v>0</v>
      </c>
      <c r="T187" s="809">
        <f t="shared" si="133"/>
        <v>98228.312738642271</v>
      </c>
      <c r="U187" s="809">
        <f t="shared" si="133"/>
        <v>18679.367315205451</v>
      </c>
      <c r="V187" s="856">
        <f t="shared" si="133"/>
        <v>1207714.141268512</v>
      </c>
      <c r="W187" s="844">
        <v>0</v>
      </c>
      <c r="X187" s="214"/>
      <c r="Y187" s="76"/>
      <c r="Z187" s="76"/>
      <c r="BB187" s="69"/>
      <c r="BC187" s="69"/>
      <c r="BD187" s="343"/>
      <c r="BL187" s="631"/>
      <c r="BM187" s="177"/>
      <c r="BO187" s="204"/>
      <c r="BR187" s="177"/>
    </row>
    <row r="188" spans="5:70" x14ac:dyDescent="0.25">
      <c r="E188" s="12"/>
      <c r="F188" s="71"/>
      <c r="G188" s="71"/>
      <c r="H188" s="71"/>
      <c r="I188" s="71"/>
      <c r="J188" s="71"/>
      <c r="K188" s="71"/>
      <c r="L188" s="71"/>
      <c r="M188" s="71"/>
      <c r="N188" s="71"/>
      <c r="O188" s="71"/>
      <c r="P188" s="71"/>
      <c r="Q188" s="71"/>
      <c r="R188" s="71"/>
      <c r="S188" s="71"/>
      <c r="T188" s="71"/>
      <c r="U188" s="71"/>
      <c r="V188" s="71"/>
      <c r="W188" s="71"/>
      <c r="X188" s="214"/>
      <c r="Y188" s="76"/>
      <c r="Z188" s="76"/>
      <c r="BB188" s="69"/>
      <c r="BC188" s="69"/>
      <c r="BD188" s="343"/>
      <c r="BL188" s="631"/>
      <c r="BM188" s="177"/>
      <c r="BO188" s="204"/>
      <c r="BR188" s="177"/>
    </row>
    <row r="189" spans="5:70" x14ac:dyDescent="0.25">
      <c r="E189" s="12"/>
      <c r="F189" s="71"/>
      <c r="G189" s="857"/>
      <c r="H189" s="1346" t="s">
        <v>908</v>
      </c>
      <c r="I189" s="1346"/>
      <c r="J189" s="1346"/>
      <c r="K189" s="1346"/>
      <c r="L189" s="1346"/>
      <c r="M189" s="1346"/>
      <c r="N189" s="1346"/>
      <c r="O189" s="1346"/>
      <c r="P189" s="1346"/>
      <c r="Q189" s="1346"/>
      <c r="R189" s="1346"/>
      <c r="S189" s="1346"/>
      <c r="T189" s="1346"/>
      <c r="U189" s="1346"/>
      <c r="V189" s="1346"/>
      <c r="W189" s="1346"/>
      <c r="X189" s="214"/>
      <c r="Y189" s="76"/>
      <c r="Z189" s="76"/>
      <c r="BB189" s="69"/>
      <c r="BC189" s="69"/>
      <c r="BD189" s="343"/>
      <c r="BL189" s="631"/>
      <c r="BM189" s="177"/>
      <c r="BO189" s="204"/>
      <c r="BR189" s="177"/>
    </row>
    <row r="190" spans="5:70" x14ac:dyDescent="0.25">
      <c r="E190" s="12"/>
      <c r="F190" s="71"/>
      <c r="G190" s="827" t="s">
        <v>909</v>
      </c>
      <c r="H190" s="827" t="str">
        <f>H179</f>
        <v>Tribus</v>
      </c>
      <c r="I190" s="827" t="str">
        <f>I179</f>
        <v>CUI</v>
      </c>
      <c r="J190" s="827" t="str">
        <f t="shared" ref="J190:V190" si="134">J179</f>
        <v>CMUS</v>
      </c>
      <c r="K190" s="827" t="s">
        <v>165</v>
      </c>
      <c r="L190" s="827" t="s">
        <v>164</v>
      </c>
      <c r="M190" s="827" t="str">
        <f t="shared" si="134"/>
        <v>WSES</v>
      </c>
      <c r="N190" s="827" t="str">
        <f t="shared" si="134"/>
        <v>CWSI</v>
      </c>
      <c r="O190" s="827" t="str">
        <f t="shared" si="134"/>
        <v>CEI</v>
      </c>
      <c r="P190" s="827" t="str">
        <f t="shared" si="134"/>
        <v>Oklahoma</v>
      </c>
      <c r="Q190" s="827" t="str">
        <f t="shared" si="134"/>
        <v>Gillem Enclave</v>
      </c>
      <c r="R190" s="827" t="str">
        <f t="shared" si="134"/>
        <v>Cleveland Thermal</v>
      </c>
      <c r="S190" s="827" t="str">
        <f t="shared" si="134"/>
        <v>Shareholder Bucket (CII)</v>
      </c>
      <c r="T190" s="827" t="str">
        <f t="shared" si="134"/>
        <v>Lower 48</v>
      </c>
      <c r="U190" s="858" t="str">
        <f t="shared" si="134"/>
        <v>FSW</v>
      </c>
      <c r="V190" s="859" t="str">
        <f t="shared" si="134"/>
        <v>Total</v>
      </c>
      <c r="W190" s="828" t="s">
        <v>96</v>
      </c>
      <c r="X190" s="214"/>
      <c r="Y190" s="76"/>
      <c r="Z190" s="76"/>
      <c r="BB190" s="69"/>
      <c r="BC190" s="69"/>
      <c r="BD190" s="343"/>
      <c r="BL190" s="631"/>
      <c r="BM190" s="177"/>
      <c r="BO190" s="204"/>
      <c r="BR190" s="177"/>
    </row>
    <row r="191" spans="5:70" x14ac:dyDescent="0.25">
      <c r="E191" s="12"/>
      <c r="F191" s="794" t="s">
        <v>917</v>
      </c>
      <c r="G191" s="797" t="s">
        <v>899</v>
      </c>
      <c r="H191" s="695">
        <f>H168+H180</f>
        <v>28660.563647306648</v>
      </c>
      <c r="I191" s="695">
        <f>I168+I183</f>
        <v>106512.46348172495</v>
      </c>
      <c r="J191" s="695">
        <f t="shared" ref="J191:U191" si="135">J168+J183</f>
        <v>63998.655337351403</v>
      </c>
      <c r="K191" s="695">
        <f t="shared" si="135"/>
        <v>5103.1196756429881</v>
      </c>
      <c r="L191" s="695">
        <f t="shared" si="135"/>
        <v>8184.7120255348491</v>
      </c>
      <c r="M191" s="695">
        <f t="shared" si="135"/>
        <v>65326.320437902796</v>
      </c>
      <c r="N191" s="695">
        <f t="shared" si="135"/>
        <v>58927.922137170972</v>
      </c>
      <c r="O191" s="695">
        <f t="shared" si="135"/>
        <v>612.51051722413979</v>
      </c>
      <c r="P191" s="695">
        <f t="shared" si="135"/>
        <v>200837.29832493557</v>
      </c>
      <c r="Q191" s="695">
        <f t="shared" si="135"/>
        <v>6990.3511158421261</v>
      </c>
      <c r="R191" s="695">
        <f t="shared" si="135"/>
        <v>122223.19414909308</v>
      </c>
      <c r="S191" s="831">
        <f t="shared" si="135"/>
        <v>0</v>
      </c>
      <c r="T191" s="695">
        <f t="shared" si="135"/>
        <v>1457723.6358506801</v>
      </c>
      <c r="U191" s="695">
        <f t="shared" si="135"/>
        <v>251579.75369012251</v>
      </c>
      <c r="V191" s="850">
        <f t="shared" ref="V191:V197" si="136">SUM(H191:U191)</f>
        <v>2376680.5003905324</v>
      </c>
      <c r="W191" s="838">
        <f>V191-V168-V171</f>
        <v>5.5297277867794037E-10</v>
      </c>
      <c r="X191" s="800"/>
      <c r="Y191" s="76"/>
      <c r="Z191" s="76"/>
      <c r="BB191" s="69"/>
      <c r="BC191" s="69"/>
      <c r="BD191" s="343"/>
      <c r="BL191" s="631"/>
      <c r="BM191" s="177"/>
      <c r="BO191" s="204"/>
      <c r="BR191" s="177"/>
    </row>
    <row r="192" spans="5:70" x14ac:dyDescent="0.25">
      <c r="E192" s="12"/>
      <c r="F192" s="71"/>
      <c r="G192" s="801" t="s">
        <v>900</v>
      </c>
      <c r="H192" s="695">
        <v>0</v>
      </c>
      <c r="I192" s="695">
        <f>I169+I184+I185+I186</f>
        <v>303038.04890481773</v>
      </c>
      <c r="J192" s="695">
        <f t="shared" ref="J192:U192" si="137">J169+J184+J185+J186</f>
        <v>344120.34249680373</v>
      </c>
      <c r="K192" s="695">
        <f t="shared" si="137"/>
        <v>11541.068825494698</v>
      </c>
      <c r="L192" s="695">
        <f t="shared" si="137"/>
        <v>18915.295269885264</v>
      </c>
      <c r="M192" s="695">
        <f t="shared" si="137"/>
        <v>168219.73003428555</v>
      </c>
      <c r="N192" s="695">
        <f t="shared" si="137"/>
        <v>101460.53619037085</v>
      </c>
      <c r="O192" s="695">
        <f t="shared" si="137"/>
        <v>1294.5296157386788</v>
      </c>
      <c r="P192" s="695">
        <f t="shared" si="137"/>
        <v>68673.980904302691</v>
      </c>
      <c r="Q192" s="695">
        <f t="shared" si="137"/>
        <v>2323.1320554926128</v>
      </c>
      <c r="R192" s="695">
        <f t="shared" si="137"/>
        <v>40063.687431889011</v>
      </c>
      <c r="S192" s="831">
        <f t="shared" si="137"/>
        <v>0</v>
      </c>
      <c r="T192" s="695">
        <f t="shared" si="137"/>
        <v>0</v>
      </c>
      <c r="U192" s="695">
        <f t="shared" si="137"/>
        <v>0</v>
      </c>
      <c r="V192" s="851">
        <f t="shared" si="136"/>
        <v>1059650.3517290808</v>
      </c>
      <c r="W192" s="838">
        <f>V192-V169-V173-V174-V172</f>
        <v>-1.4370016288012266E-10</v>
      </c>
      <c r="X192" s="800"/>
      <c r="Y192" s="76"/>
      <c r="Z192" s="76"/>
      <c r="BB192" s="69"/>
      <c r="BC192" s="69"/>
      <c r="BD192" s="343"/>
      <c r="BL192" s="631"/>
      <c r="BM192" s="177"/>
      <c r="BO192" s="204"/>
      <c r="BR192" s="177"/>
    </row>
    <row r="193" spans="2:73" x14ac:dyDescent="0.25">
      <c r="E193" s="12"/>
      <c r="F193" s="71"/>
      <c r="G193" s="803" t="s">
        <v>901</v>
      </c>
      <c r="H193" s="695">
        <v>0</v>
      </c>
      <c r="I193" s="695">
        <f>I170</f>
        <v>124861.32898485704</v>
      </c>
      <c r="J193" s="695">
        <f t="shared" ref="J193:U193" si="138">J170</f>
        <v>75089.332390186246</v>
      </c>
      <c r="K193" s="695">
        <f t="shared" si="138"/>
        <v>5826.3524078928149</v>
      </c>
      <c r="L193" s="695">
        <f t="shared" si="138"/>
        <v>9468.2908835217531</v>
      </c>
      <c r="M193" s="695">
        <f t="shared" si="138"/>
        <v>69107.624923597497</v>
      </c>
      <c r="N193" s="695">
        <f t="shared" si="138"/>
        <v>68739.283265957434</v>
      </c>
      <c r="O193" s="695">
        <f t="shared" si="138"/>
        <v>578.51701976913466</v>
      </c>
      <c r="P193" s="695">
        <f t="shared" si="138"/>
        <v>153727.9562537974</v>
      </c>
      <c r="Q193" s="695">
        <f t="shared" si="138"/>
        <v>5080.698143202575</v>
      </c>
      <c r="R193" s="695">
        <f t="shared" si="138"/>
        <v>88940.438601656671</v>
      </c>
      <c r="S193" s="831">
        <f t="shared" si="138"/>
        <v>0</v>
      </c>
      <c r="T193" s="695">
        <f t="shared" si="138"/>
        <v>0</v>
      </c>
      <c r="U193" s="695">
        <f t="shared" si="138"/>
        <v>0</v>
      </c>
      <c r="V193" s="851">
        <f t="shared" si="136"/>
        <v>601419.8228744386</v>
      </c>
      <c r="W193" s="860">
        <f>V193-V170</f>
        <v>0</v>
      </c>
      <c r="X193" s="800"/>
      <c r="Y193" s="76"/>
      <c r="Z193" s="76"/>
      <c r="BB193" s="69"/>
      <c r="BC193" s="69"/>
      <c r="BD193" s="343"/>
      <c r="BL193" s="631"/>
      <c r="BM193" s="177"/>
      <c r="BO193" s="204"/>
      <c r="BR193" s="177"/>
    </row>
    <row r="194" spans="2:73" x14ac:dyDescent="0.25">
      <c r="E194" s="12"/>
      <c r="F194" s="71"/>
      <c r="G194" s="804" t="s">
        <v>902</v>
      </c>
      <c r="H194" s="695">
        <v>0</v>
      </c>
      <c r="I194" s="695"/>
      <c r="J194" s="695"/>
      <c r="K194" s="695"/>
      <c r="L194" s="695"/>
      <c r="M194" s="695"/>
      <c r="N194" s="695"/>
      <c r="O194" s="695"/>
      <c r="P194" s="695"/>
      <c r="Q194" s="695"/>
      <c r="R194" s="695"/>
      <c r="S194" s="831"/>
      <c r="T194" s="695"/>
      <c r="U194" s="695"/>
      <c r="V194" s="851">
        <f t="shared" si="136"/>
        <v>0</v>
      </c>
      <c r="W194" s="838">
        <f>V194-BM183</f>
        <v>0</v>
      </c>
      <c r="X194" s="214"/>
      <c r="Y194" s="76"/>
      <c r="Z194" s="76"/>
      <c r="BB194" s="69"/>
      <c r="BC194" s="69"/>
      <c r="BD194" s="343"/>
      <c r="BL194" s="631"/>
      <c r="BM194" s="177"/>
      <c r="BO194" s="204"/>
      <c r="BR194" s="177"/>
    </row>
    <row r="195" spans="2:73" x14ac:dyDescent="0.25">
      <c r="E195" s="12"/>
      <c r="F195" s="71"/>
      <c r="G195" s="805" t="s">
        <v>903</v>
      </c>
      <c r="H195" s="695"/>
      <c r="I195" s="695"/>
      <c r="J195" s="695"/>
      <c r="K195" s="695"/>
      <c r="L195" s="695"/>
      <c r="M195" s="695"/>
      <c r="N195" s="695"/>
      <c r="O195" s="695"/>
      <c r="P195" s="695"/>
      <c r="Q195" s="695"/>
      <c r="R195" s="695"/>
      <c r="S195" s="831"/>
      <c r="T195" s="695"/>
      <c r="U195" s="695"/>
      <c r="V195" s="851">
        <f t="shared" si="136"/>
        <v>0</v>
      </c>
      <c r="W195" s="838"/>
      <c r="X195" s="214"/>
      <c r="Y195" s="76"/>
      <c r="Z195" s="76"/>
      <c r="BB195" s="69"/>
      <c r="BC195" s="69"/>
      <c r="BD195" s="343"/>
      <c r="BL195" s="631"/>
      <c r="BM195" s="177"/>
      <c r="BO195" s="204"/>
      <c r="BR195" s="177"/>
    </row>
    <row r="196" spans="2:73" x14ac:dyDescent="0.25">
      <c r="E196" s="12"/>
      <c r="F196" s="71"/>
      <c r="G196" s="806" t="s">
        <v>904</v>
      </c>
      <c r="H196" s="695">
        <v>0</v>
      </c>
      <c r="I196" s="695"/>
      <c r="J196" s="695"/>
      <c r="K196" s="695"/>
      <c r="L196" s="695"/>
      <c r="M196" s="695"/>
      <c r="N196" s="695"/>
      <c r="O196" s="695"/>
      <c r="P196" s="695"/>
      <c r="Q196" s="695"/>
      <c r="R196" s="695"/>
      <c r="S196" s="831"/>
      <c r="T196" s="695"/>
      <c r="U196" s="695"/>
      <c r="V196" s="851">
        <f t="shared" si="136"/>
        <v>0</v>
      </c>
      <c r="W196" s="838">
        <f>V196-BM185</f>
        <v>0</v>
      </c>
      <c r="X196" s="214"/>
      <c r="Y196" s="76"/>
      <c r="Z196" s="76"/>
      <c r="BB196" s="69"/>
      <c r="BC196" s="69"/>
      <c r="BD196" s="343"/>
      <c r="BL196" s="631"/>
      <c r="BM196" s="177"/>
      <c r="BO196" s="204"/>
      <c r="BR196" s="177"/>
    </row>
    <row r="197" spans="2:73" x14ac:dyDescent="0.25">
      <c r="E197" s="12"/>
      <c r="F197" s="71"/>
      <c r="G197" s="807" t="s">
        <v>905</v>
      </c>
      <c r="H197" s="695">
        <v>0</v>
      </c>
      <c r="I197" s="695"/>
      <c r="J197" s="695"/>
      <c r="K197" s="695"/>
      <c r="L197" s="695"/>
      <c r="M197" s="695"/>
      <c r="N197" s="695"/>
      <c r="O197" s="695"/>
      <c r="P197" s="695"/>
      <c r="Q197" s="695"/>
      <c r="R197" s="695"/>
      <c r="S197" s="831"/>
      <c r="T197" s="695"/>
      <c r="U197" s="695"/>
      <c r="V197" s="851">
        <f t="shared" si="136"/>
        <v>0</v>
      </c>
      <c r="W197" s="838">
        <f>V197-BM186</f>
        <v>0</v>
      </c>
      <c r="X197" s="214"/>
      <c r="Y197" s="76"/>
      <c r="Z197" s="76"/>
      <c r="BB197" s="69"/>
      <c r="BC197" s="69"/>
      <c r="BD197" s="343"/>
      <c r="BL197" s="631"/>
      <c r="BM197" s="177"/>
      <c r="BO197" s="204"/>
      <c r="BR197" s="177"/>
    </row>
    <row r="198" spans="2:73" x14ac:dyDescent="0.25">
      <c r="E198" s="12"/>
      <c r="F198" s="71"/>
      <c r="G198" s="855" t="s">
        <v>3</v>
      </c>
      <c r="H198" s="809">
        <f>SUM(H191:H197)</f>
        <v>28660.563647306648</v>
      </c>
      <c r="I198" s="809">
        <f t="shared" ref="I198:V198" si="139">SUM(I191:I197)</f>
        <v>534411.8413713997</v>
      </c>
      <c r="J198" s="809">
        <f t="shared" si="139"/>
        <v>483208.33022434136</v>
      </c>
      <c r="K198" s="809">
        <f t="shared" si="139"/>
        <v>22470.540909030504</v>
      </c>
      <c r="L198" s="809">
        <f t="shared" si="139"/>
        <v>36568.29817894187</v>
      </c>
      <c r="M198" s="809">
        <f t="shared" si="139"/>
        <v>302653.67539578583</v>
      </c>
      <c r="N198" s="809">
        <f t="shared" si="139"/>
        <v>229127.74159349926</v>
      </c>
      <c r="O198" s="809">
        <f t="shared" si="139"/>
        <v>2485.557152731953</v>
      </c>
      <c r="P198" s="809">
        <f t="shared" si="139"/>
        <v>423239.23548303568</v>
      </c>
      <c r="Q198" s="809">
        <f t="shared" si="139"/>
        <v>14394.181314537314</v>
      </c>
      <c r="R198" s="809">
        <f t="shared" si="139"/>
        <v>251227.32018263877</v>
      </c>
      <c r="S198" s="843">
        <f t="shared" si="139"/>
        <v>0</v>
      </c>
      <c r="T198" s="809">
        <f t="shared" si="139"/>
        <v>1457723.6358506801</v>
      </c>
      <c r="U198" s="809">
        <f t="shared" si="139"/>
        <v>251579.75369012251</v>
      </c>
      <c r="V198" s="809">
        <f t="shared" si="139"/>
        <v>4037750.6749940519</v>
      </c>
      <c r="W198" s="844">
        <f>V198-V175</f>
        <v>0</v>
      </c>
      <c r="X198" s="800"/>
      <c r="Y198" s="76"/>
      <c r="Z198" s="76"/>
      <c r="BB198" s="69"/>
      <c r="BC198" s="69"/>
      <c r="BD198" s="343"/>
      <c r="BL198" s="631"/>
      <c r="BM198" s="177"/>
      <c r="BO198" s="204"/>
      <c r="BR198" s="177"/>
    </row>
    <row r="199" spans="2:73" s="69" customFormat="1" x14ac:dyDescent="0.25">
      <c r="B199" s="27"/>
      <c r="C199" s="639"/>
      <c r="E199" s="21"/>
      <c r="F199" s="20"/>
      <c r="G199" s="861" t="s">
        <v>96</v>
      </c>
      <c r="H199" s="862">
        <f>H198-H175</f>
        <v>0</v>
      </c>
      <c r="I199" s="862">
        <f t="shared" ref="I199:V199" si="140">I198-I175</f>
        <v>0</v>
      </c>
      <c r="J199" s="862">
        <f t="shared" si="140"/>
        <v>0</v>
      </c>
      <c r="K199" s="862">
        <f t="shared" si="140"/>
        <v>0</v>
      </c>
      <c r="L199" s="862">
        <f t="shared" si="140"/>
        <v>0</v>
      </c>
      <c r="M199" s="862">
        <f t="shared" si="140"/>
        <v>0</v>
      </c>
      <c r="N199" s="862">
        <f t="shared" si="140"/>
        <v>0</v>
      </c>
      <c r="O199" s="862">
        <f t="shared" si="140"/>
        <v>0</v>
      </c>
      <c r="P199" s="862">
        <f t="shared" si="140"/>
        <v>0</v>
      </c>
      <c r="Q199" s="862">
        <f t="shared" si="140"/>
        <v>0</v>
      </c>
      <c r="R199" s="862">
        <f t="shared" si="140"/>
        <v>0</v>
      </c>
      <c r="S199" s="862">
        <f t="shared" si="140"/>
        <v>0</v>
      </c>
      <c r="T199" s="862">
        <f t="shared" si="140"/>
        <v>0</v>
      </c>
      <c r="U199" s="862">
        <f t="shared" si="140"/>
        <v>0</v>
      </c>
      <c r="V199" s="862">
        <f t="shared" si="140"/>
        <v>0</v>
      </c>
      <c r="W199" s="20"/>
      <c r="X199" s="335"/>
      <c r="Y199" s="76"/>
      <c r="Z199" s="76"/>
      <c r="BD199" s="343"/>
      <c r="BL199" s="863"/>
      <c r="BO199" s="280"/>
      <c r="BP199" s="280"/>
      <c r="BQ199" s="280"/>
      <c r="BU199" s="31"/>
    </row>
    <row r="200" spans="2:73" ht="15.75" thickBot="1" x14ac:dyDescent="0.3">
      <c r="E200" s="9"/>
      <c r="F200" s="7"/>
      <c r="G200" s="7"/>
      <c r="H200" s="864"/>
      <c r="I200" s="7"/>
      <c r="J200" s="7"/>
      <c r="K200" s="7"/>
      <c r="L200" s="7"/>
      <c r="M200" s="7"/>
      <c r="N200" s="7"/>
      <c r="O200" s="7"/>
      <c r="P200" s="7"/>
      <c r="Q200" s="7"/>
      <c r="R200" s="7"/>
      <c r="S200" s="7"/>
      <c r="T200" s="239"/>
      <c r="U200" s="7"/>
      <c r="V200" s="7"/>
      <c r="W200" s="7"/>
      <c r="X200" s="230"/>
      <c r="Y200" s="76"/>
      <c r="Z200" s="76"/>
      <c r="BB200" s="343"/>
      <c r="BC200" s="69"/>
      <c r="BD200" s="69"/>
      <c r="BL200" s="631"/>
      <c r="BM200" s="177"/>
      <c r="BO200" s="204"/>
      <c r="BR200" s="177"/>
    </row>
    <row r="201" spans="2:73" x14ac:dyDescent="0.25">
      <c r="H201" s="343"/>
      <c r="I201" s="177"/>
      <c r="V201" s="76"/>
      <c r="BB201" s="343"/>
      <c r="BC201" s="69"/>
      <c r="BD201" s="69"/>
      <c r="BL201" s="631"/>
      <c r="BM201" s="177"/>
      <c r="BO201" s="204"/>
      <c r="BR201" s="177"/>
    </row>
    <row r="202" spans="2:73" x14ac:dyDescent="0.25">
      <c r="H202" s="343"/>
      <c r="I202" s="177"/>
      <c r="BB202" s="343"/>
      <c r="BC202" s="69"/>
      <c r="BD202" s="69"/>
      <c r="BL202" s="631"/>
      <c r="BM202" s="177"/>
      <c r="BO202" s="204"/>
      <c r="BR202" s="177"/>
    </row>
    <row r="203" spans="2:73" ht="15.75" thickBot="1" x14ac:dyDescent="0.3">
      <c r="H203" s="343"/>
      <c r="I203" s="177"/>
      <c r="BB203" s="343"/>
      <c r="BC203" s="69"/>
      <c r="BD203" s="69"/>
      <c r="BL203" s="631"/>
      <c r="BM203" s="177"/>
      <c r="BO203" s="204"/>
      <c r="BR203" s="177"/>
    </row>
    <row r="204" spans="2:73" x14ac:dyDescent="0.25">
      <c r="E204" s="18"/>
      <c r="F204" s="16"/>
      <c r="G204" s="16"/>
      <c r="H204" s="865"/>
      <c r="I204" s="16"/>
      <c r="J204" s="16"/>
      <c r="K204" s="16"/>
      <c r="L204" s="16"/>
      <c r="M204" s="16"/>
      <c r="N204" s="16"/>
      <c r="O204" s="16"/>
      <c r="P204" s="16"/>
      <c r="Q204" s="16"/>
      <c r="R204" s="16"/>
      <c r="S204" s="16"/>
      <c r="T204" s="16"/>
      <c r="U204" s="16"/>
      <c r="V204" s="16"/>
      <c r="W204" s="16"/>
      <c r="X204" s="209"/>
      <c r="BB204" s="343"/>
      <c r="BC204" s="69"/>
      <c r="BD204" s="69"/>
      <c r="BL204" s="631"/>
      <c r="BM204" s="177"/>
      <c r="BO204" s="204"/>
      <c r="BR204" s="177"/>
    </row>
    <row r="205" spans="2:73" x14ac:dyDescent="0.25">
      <c r="E205" s="825" t="s">
        <v>918</v>
      </c>
      <c r="F205" s="630"/>
      <c r="G205" s="857"/>
      <c r="H205" s="1346"/>
      <c r="I205" s="1346"/>
      <c r="J205" s="1346"/>
      <c r="K205" s="1346"/>
      <c r="L205" s="1346"/>
      <c r="M205" s="1346"/>
      <c r="N205" s="1346"/>
      <c r="O205" s="1346"/>
      <c r="P205" s="1346"/>
      <c r="Q205" s="1346"/>
      <c r="R205" s="1346"/>
      <c r="S205" s="1346"/>
      <c r="T205" s="1346"/>
      <c r="U205" s="1346"/>
      <c r="V205" s="1346"/>
      <c r="W205" s="1346"/>
      <c r="X205" s="214"/>
      <c r="BB205" s="343"/>
      <c r="BC205" s="69"/>
      <c r="BD205" s="69"/>
      <c r="BL205" s="631"/>
      <c r="BM205" s="177"/>
      <c r="BO205" s="204"/>
      <c r="BR205" s="177"/>
    </row>
    <row r="206" spans="2:73" ht="45" x14ac:dyDescent="0.25">
      <c r="E206" s="12"/>
      <c r="F206" s="794" t="s">
        <v>906</v>
      </c>
      <c r="G206" s="866" t="s">
        <v>909</v>
      </c>
      <c r="H206" s="827" t="s">
        <v>2</v>
      </c>
      <c r="I206" s="827" t="s">
        <v>12</v>
      </c>
      <c r="J206" s="827" t="s">
        <v>8</v>
      </c>
      <c r="K206" s="827" t="s">
        <v>165</v>
      </c>
      <c r="L206" s="827" t="s">
        <v>164</v>
      </c>
      <c r="M206" s="827" t="s">
        <v>214</v>
      </c>
      <c r="N206" s="827" t="s">
        <v>18</v>
      </c>
      <c r="O206" s="827" t="s">
        <v>16</v>
      </c>
      <c r="P206" s="827" t="s">
        <v>109</v>
      </c>
      <c r="Q206" s="828" t="s">
        <v>114</v>
      </c>
      <c r="R206" s="828" t="s">
        <v>110</v>
      </c>
      <c r="S206" s="828" t="s">
        <v>910</v>
      </c>
      <c r="T206" s="828" t="s">
        <v>911</v>
      </c>
      <c r="U206" s="828" t="s">
        <v>334</v>
      </c>
      <c r="V206" s="828" t="s">
        <v>3</v>
      </c>
      <c r="W206" s="828" t="s">
        <v>96</v>
      </c>
      <c r="X206" s="214"/>
      <c r="BB206" s="343"/>
      <c r="BC206" s="69"/>
      <c r="BD206" s="69"/>
      <c r="BL206" s="631"/>
      <c r="BM206" s="177"/>
      <c r="BO206" s="204"/>
      <c r="BR206" s="177"/>
    </row>
    <row r="207" spans="2:73" x14ac:dyDescent="0.25">
      <c r="E207" s="12"/>
      <c r="F207" s="71"/>
      <c r="G207" s="797" t="s">
        <v>899</v>
      </c>
      <c r="H207" s="695">
        <f t="shared" ref="H207:H213" si="141">H134</f>
        <v>27548.856455010533</v>
      </c>
      <c r="I207" s="695">
        <f t="shared" ref="I207:I213" si="142">SUM(J134,K134,X134,Y134,AG134,AI134,AM134+AN134+AO134+AP134+AQ134+AR134+AS134+AT134+AU134+AV134)</f>
        <v>96427.995277563707</v>
      </c>
      <c r="J207" s="695">
        <f t="shared" ref="J207:J213" si="143">SUM(L134:U134,Z134:AF134,AJ134:AL134)</f>
        <v>57955.31542591082</v>
      </c>
      <c r="K207" s="695">
        <f t="shared" ref="K207:L213" si="144">V134</f>
        <v>4621.653031098569</v>
      </c>
      <c r="L207" s="695">
        <f t="shared" si="144"/>
        <v>7411.5761992540456</v>
      </c>
      <c r="M207" s="695">
        <f t="shared" ref="M207:M213" si="145">AH134</f>
        <v>59212.98741918365</v>
      </c>
      <c r="N207" s="695">
        <f t="shared" ref="N207:R213" si="146">AW134</f>
        <v>53348.778416395049</v>
      </c>
      <c r="O207" s="695">
        <f t="shared" si="146"/>
        <v>555.69981442661674</v>
      </c>
      <c r="P207" s="695">
        <f t="shared" si="146"/>
        <v>171687.44712042777</v>
      </c>
      <c r="Q207" s="695">
        <f t="shared" si="146"/>
        <v>5773.984899937439</v>
      </c>
      <c r="R207" s="695">
        <f t="shared" si="146"/>
        <v>104118.16499496684</v>
      </c>
      <c r="S207" s="831">
        <f t="shared" ref="S207:S213" si="147">BB134*0</f>
        <v>0</v>
      </c>
      <c r="T207" s="695">
        <f t="shared" ref="T207:T213" si="148">SUM(BD134:BJ134)</f>
        <v>1301740.9702405054</v>
      </c>
      <c r="U207" s="695">
        <f t="shared" ref="U207:U213" si="149">BK134</f>
        <v>221917.65908110951</v>
      </c>
      <c r="V207" s="850">
        <f t="shared" ref="V207:V213" si="150">SUM(H207:U207)</f>
        <v>2112321.08837579</v>
      </c>
      <c r="W207" s="867">
        <v>0</v>
      </c>
      <c r="X207" s="214"/>
      <c r="BB207" s="343"/>
      <c r="BC207" s="69"/>
      <c r="BD207" s="69"/>
      <c r="BL207" s="631"/>
      <c r="BM207" s="177"/>
      <c r="BO207" s="204"/>
      <c r="BR207" s="177"/>
    </row>
    <row r="208" spans="2:73" x14ac:dyDescent="0.25">
      <c r="E208" s="12"/>
      <c r="F208" s="71"/>
      <c r="G208" s="801" t="s">
        <v>900</v>
      </c>
      <c r="H208" s="695">
        <f t="shared" si="141"/>
        <v>0</v>
      </c>
      <c r="I208" s="695">
        <f t="shared" si="142"/>
        <v>9672.4380368411039</v>
      </c>
      <c r="J208" s="695">
        <f t="shared" si="143"/>
        <v>9692.9359990404773</v>
      </c>
      <c r="K208" s="695">
        <f t="shared" si="144"/>
        <v>559.39590516660144</v>
      </c>
      <c r="L208" s="695">
        <f t="shared" si="144"/>
        <v>917.88682709037062</v>
      </c>
      <c r="M208" s="695">
        <f t="shared" si="145"/>
        <v>8335.455077681132</v>
      </c>
      <c r="N208" s="695">
        <f t="shared" si="146"/>
        <v>4712.353464365664</v>
      </c>
      <c r="O208" s="695">
        <f t="shared" si="146"/>
        <v>63.52539433199491</v>
      </c>
      <c r="P208" s="695">
        <f t="shared" si="146"/>
        <v>0</v>
      </c>
      <c r="Q208" s="695">
        <f t="shared" si="146"/>
        <v>0</v>
      </c>
      <c r="R208" s="695">
        <f t="shared" si="146"/>
        <v>0</v>
      </c>
      <c r="S208" s="831">
        <f t="shared" si="147"/>
        <v>0</v>
      </c>
      <c r="T208" s="695">
        <f t="shared" si="148"/>
        <v>0</v>
      </c>
      <c r="U208" s="695">
        <f t="shared" si="149"/>
        <v>0</v>
      </c>
      <c r="V208" s="851">
        <f t="shared" si="150"/>
        <v>33953.990704517346</v>
      </c>
      <c r="W208" s="868">
        <v>0</v>
      </c>
      <c r="X208" s="214"/>
      <c r="BB208" s="343"/>
      <c r="BC208" s="69"/>
      <c r="BD208" s="69"/>
      <c r="BL208" s="631"/>
      <c r="BM208" s="177"/>
      <c r="BO208" s="204"/>
      <c r="BR208" s="177"/>
    </row>
    <row r="209" spans="5:70" x14ac:dyDescent="0.25">
      <c r="E209" s="12"/>
      <c r="F209" s="71"/>
      <c r="G209" s="803" t="s">
        <v>901</v>
      </c>
      <c r="H209" s="695">
        <f t="shared" si="141"/>
        <v>0</v>
      </c>
      <c r="I209" s="695">
        <f t="shared" si="142"/>
        <v>124861.32898485704</v>
      </c>
      <c r="J209" s="695">
        <f t="shared" si="143"/>
        <v>75089.332390186246</v>
      </c>
      <c r="K209" s="695">
        <f t="shared" si="144"/>
        <v>5826.3524078928149</v>
      </c>
      <c r="L209" s="695">
        <f t="shared" si="144"/>
        <v>9468.2908835217531</v>
      </c>
      <c r="M209" s="695">
        <f t="shared" si="145"/>
        <v>69107.624923597497</v>
      </c>
      <c r="N209" s="695">
        <f t="shared" si="146"/>
        <v>68739.283265957434</v>
      </c>
      <c r="O209" s="695">
        <f t="shared" si="146"/>
        <v>578.51701976913466</v>
      </c>
      <c r="P209" s="695">
        <f t="shared" si="146"/>
        <v>145026.37382433718</v>
      </c>
      <c r="Q209" s="695">
        <f t="shared" si="146"/>
        <v>4793.1114558514855</v>
      </c>
      <c r="R209" s="695">
        <f t="shared" si="146"/>
        <v>83906.074152506291</v>
      </c>
      <c r="S209" s="831">
        <f t="shared" si="147"/>
        <v>0</v>
      </c>
      <c r="T209" s="695">
        <f t="shared" si="148"/>
        <v>0</v>
      </c>
      <c r="U209" s="695">
        <f t="shared" si="149"/>
        <v>0</v>
      </c>
      <c r="V209" s="851">
        <f t="shared" si="150"/>
        <v>587396.28930847684</v>
      </c>
      <c r="W209" s="868">
        <v>0</v>
      </c>
      <c r="X209" s="214"/>
      <c r="BB209" s="343"/>
      <c r="BC209" s="69"/>
      <c r="BD209" s="69"/>
      <c r="BL209" s="631"/>
      <c r="BM209" s="177"/>
      <c r="BO209" s="204"/>
      <c r="BR209" s="177"/>
    </row>
    <row r="210" spans="5:70" x14ac:dyDescent="0.25">
      <c r="E210" s="12"/>
      <c r="F210" s="71"/>
      <c r="G210" s="804" t="s">
        <v>902</v>
      </c>
      <c r="H210" s="695">
        <f t="shared" si="141"/>
        <v>0</v>
      </c>
      <c r="I210" s="695">
        <f t="shared" si="142"/>
        <v>9513.64924920872</v>
      </c>
      <c r="J210" s="695">
        <f t="shared" si="143"/>
        <v>5701.2640673967753</v>
      </c>
      <c r="K210" s="695">
        <f t="shared" si="144"/>
        <v>454.21381560794259</v>
      </c>
      <c r="L210" s="695">
        <f t="shared" si="144"/>
        <v>729.37342101962565</v>
      </c>
      <c r="M210" s="695">
        <f t="shared" si="145"/>
        <v>5767.295300678441</v>
      </c>
      <c r="N210" s="695">
        <f t="shared" si="146"/>
        <v>5263.3431328074757</v>
      </c>
      <c r="O210" s="695">
        <f t="shared" si="146"/>
        <v>53.595002639172705</v>
      </c>
      <c r="P210" s="695">
        <f t="shared" si="146"/>
        <v>21532.592755022393</v>
      </c>
      <c r="Q210" s="695">
        <f t="shared" si="146"/>
        <v>960.19177797155896</v>
      </c>
      <c r="R210" s="695">
        <f t="shared" si="146"/>
        <v>13485.617628387152</v>
      </c>
      <c r="S210" s="831">
        <f t="shared" si="147"/>
        <v>0</v>
      </c>
      <c r="T210" s="695">
        <f t="shared" si="148"/>
        <v>98228.312738642271</v>
      </c>
      <c r="U210" s="695">
        <f t="shared" si="149"/>
        <v>18679.367315205451</v>
      </c>
      <c r="V210" s="851">
        <f t="shared" si="150"/>
        <v>180368.816204587</v>
      </c>
      <c r="W210" s="868">
        <v>0</v>
      </c>
      <c r="X210" s="214"/>
      <c r="BB210" s="343"/>
      <c r="BC210" s="69"/>
      <c r="BD210" s="69"/>
      <c r="BL210" s="631"/>
      <c r="BM210" s="177"/>
      <c r="BO210" s="204"/>
      <c r="BR210" s="177"/>
    </row>
    <row r="211" spans="5:70" x14ac:dyDescent="0.25">
      <c r="E211" s="12"/>
      <c r="F211" s="71"/>
      <c r="G211" s="805" t="s">
        <v>903</v>
      </c>
      <c r="H211" s="695">
        <f t="shared" si="141"/>
        <v>0</v>
      </c>
      <c r="I211" s="695">
        <f t="shared" si="142"/>
        <v>0</v>
      </c>
      <c r="J211" s="695">
        <f t="shared" si="143"/>
        <v>0</v>
      </c>
      <c r="K211" s="695">
        <f t="shared" si="144"/>
        <v>0</v>
      </c>
      <c r="L211" s="695">
        <f t="shared" si="144"/>
        <v>0</v>
      </c>
      <c r="M211" s="695">
        <f t="shared" si="145"/>
        <v>0</v>
      </c>
      <c r="N211" s="695">
        <f t="shared" si="146"/>
        <v>0</v>
      </c>
      <c r="O211" s="695">
        <f t="shared" si="146"/>
        <v>0</v>
      </c>
      <c r="P211" s="695">
        <f t="shared" si="146"/>
        <v>6871.223222083343</v>
      </c>
      <c r="Q211" s="695">
        <f t="shared" si="146"/>
        <v>280.55526040109538</v>
      </c>
      <c r="R211" s="695">
        <f t="shared" si="146"/>
        <v>4307.2478811439096</v>
      </c>
      <c r="S211" s="831">
        <f t="shared" si="147"/>
        <v>0</v>
      </c>
      <c r="T211" s="695">
        <f t="shared" si="148"/>
        <v>0</v>
      </c>
      <c r="U211" s="695">
        <f t="shared" si="149"/>
        <v>0</v>
      </c>
      <c r="V211" s="851">
        <f t="shared" si="150"/>
        <v>11459.026363628349</v>
      </c>
      <c r="W211" s="868"/>
      <c r="X211" s="214"/>
      <c r="BB211" s="343"/>
      <c r="BC211" s="69"/>
      <c r="BD211" s="69"/>
      <c r="BL211" s="631"/>
      <c r="BM211" s="177"/>
      <c r="BO211" s="204"/>
      <c r="BR211" s="177"/>
    </row>
    <row r="212" spans="5:70" x14ac:dyDescent="0.25">
      <c r="E212" s="12"/>
      <c r="F212" s="71"/>
      <c r="G212" s="806" t="s">
        <v>904</v>
      </c>
      <c r="H212" s="695">
        <f t="shared" si="141"/>
        <v>0</v>
      </c>
      <c r="I212" s="695">
        <f t="shared" si="142"/>
        <v>288887.69026859471</v>
      </c>
      <c r="J212" s="695">
        <f t="shared" si="143"/>
        <v>329939.9962281629</v>
      </c>
      <c r="K212" s="695">
        <f t="shared" si="144"/>
        <v>10722.696803095354</v>
      </c>
      <c r="L212" s="695">
        <f t="shared" si="144"/>
        <v>17572.466528949186</v>
      </c>
      <c r="M212" s="695">
        <f t="shared" si="145"/>
        <v>156025.31965956319</v>
      </c>
      <c r="N212" s="695">
        <f t="shared" si="146"/>
        <v>94566.566822209425</v>
      </c>
      <c r="O212" s="695">
        <f t="shared" si="146"/>
        <v>1201.5947105078164</v>
      </c>
      <c r="P212" s="695">
        <f t="shared" si="146"/>
        <v>58304.48837945221</v>
      </c>
      <c r="Q212" s="695">
        <f t="shared" si="146"/>
        <v>1926.959240652375</v>
      </c>
      <c r="R212" s="695">
        <f t="shared" si="146"/>
        <v>33732.490142212358</v>
      </c>
      <c r="S212" s="831">
        <f t="shared" si="147"/>
        <v>0</v>
      </c>
      <c r="T212" s="695">
        <f t="shared" si="148"/>
        <v>0</v>
      </c>
      <c r="U212" s="695">
        <f t="shared" si="149"/>
        <v>0</v>
      </c>
      <c r="V212" s="851">
        <f t="shared" si="150"/>
        <v>992880.26878339972</v>
      </c>
      <c r="W212" s="868">
        <v>0</v>
      </c>
      <c r="X212" s="214"/>
      <c r="BB212" s="343"/>
      <c r="BC212" s="69"/>
      <c r="BD212" s="69"/>
      <c r="BL212" s="631"/>
      <c r="BM212" s="177"/>
      <c r="BO212" s="204"/>
      <c r="BR212" s="177"/>
    </row>
    <row r="213" spans="5:70" x14ac:dyDescent="0.25">
      <c r="E213" s="12"/>
      <c r="F213" s="71"/>
      <c r="G213" s="807" t="s">
        <v>905</v>
      </c>
      <c r="H213" s="695">
        <f t="shared" si="141"/>
        <v>0</v>
      </c>
      <c r="I213" s="695">
        <f t="shared" si="142"/>
        <v>4477.9205993819123</v>
      </c>
      <c r="J213" s="695">
        <f t="shared" si="143"/>
        <v>4487.4102696003547</v>
      </c>
      <c r="K213" s="695">
        <f t="shared" si="144"/>
        <v>258.97611723274412</v>
      </c>
      <c r="L213" s="695">
        <f t="shared" si="144"/>
        <v>424.94191384570723</v>
      </c>
      <c r="M213" s="695">
        <f t="shared" si="145"/>
        <v>3858.9552970412146</v>
      </c>
      <c r="N213" s="695">
        <f t="shared" si="146"/>
        <v>2181.6159037957741</v>
      </c>
      <c r="O213" s="695">
        <f t="shared" si="146"/>
        <v>29.409510898867499</v>
      </c>
      <c r="P213" s="695">
        <f t="shared" si="146"/>
        <v>0</v>
      </c>
      <c r="Q213" s="695">
        <f t="shared" si="146"/>
        <v>0</v>
      </c>
      <c r="R213" s="695">
        <f t="shared" si="146"/>
        <v>0</v>
      </c>
      <c r="S213" s="831">
        <f t="shared" si="147"/>
        <v>0</v>
      </c>
      <c r="T213" s="695">
        <f t="shared" si="148"/>
        <v>0</v>
      </c>
      <c r="U213" s="695">
        <f t="shared" si="149"/>
        <v>0</v>
      </c>
      <c r="V213" s="851">
        <f t="shared" si="150"/>
        <v>15719.229611796572</v>
      </c>
      <c r="W213" s="868">
        <v>0</v>
      </c>
      <c r="X213" s="214"/>
      <c r="BB213" s="343"/>
      <c r="BC213" s="69"/>
      <c r="BD213" s="69"/>
      <c r="BL213" s="631"/>
      <c r="BM213" s="177"/>
      <c r="BO213" s="204"/>
      <c r="BR213" s="177"/>
    </row>
    <row r="214" spans="5:70" x14ac:dyDescent="0.25">
      <c r="E214" s="12"/>
      <c r="F214" s="71"/>
      <c r="G214" s="855" t="s">
        <v>3</v>
      </c>
      <c r="H214" s="809">
        <f>SUM(H207:H213)</f>
        <v>27548.856455010533</v>
      </c>
      <c r="I214" s="809">
        <f t="shared" ref="I214:V214" si="151">SUM(I207:I213)</f>
        <v>533841.02241644717</v>
      </c>
      <c r="J214" s="809">
        <f t="shared" si="151"/>
        <v>482866.25438029761</v>
      </c>
      <c r="K214" s="809">
        <f t="shared" si="151"/>
        <v>22443.288080094026</v>
      </c>
      <c r="L214" s="809">
        <f t="shared" si="151"/>
        <v>36524.535773680691</v>
      </c>
      <c r="M214" s="809">
        <f t="shared" si="151"/>
        <v>302307.63767774508</v>
      </c>
      <c r="N214" s="809">
        <f t="shared" si="151"/>
        <v>228811.94100553083</v>
      </c>
      <c r="O214" s="809">
        <f t="shared" si="151"/>
        <v>2482.341452573603</v>
      </c>
      <c r="P214" s="809">
        <f t="shared" si="151"/>
        <v>403422.1253013229</v>
      </c>
      <c r="Q214" s="809">
        <f t="shared" si="151"/>
        <v>13734.802634813954</v>
      </c>
      <c r="R214" s="809">
        <f t="shared" si="151"/>
        <v>239549.59479921655</v>
      </c>
      <c r="S214" s="843">
        <f t="shared" si="151"/>
        <v>0</v>
      </c>
      <c r="T214" s="809">
        <f t="shared" si="151"/>
        <v>1399969.2829791477</v>
      </c>
      <c r="U214" s="809">
        <f t="shared" si="151"/>
        <v>240597.02639631496</v>
      </c>
      <c r="V214" s="809">
        <f t="shared" si="151"/>
        <v>3934098.7093521962</v>
      </c>
      <c r="W214" s="869">
        <v>0</v>
      </c>
      <c r="X214" s="214"/>
      <c r="BB214" s="343"/>
      <c r="BC214" s="69"/>
      <c r="BD214" s="69"/>
      <c r="BL214" s="631"/>
      <c r="BM214" s="177"/>
      <c r="BO214" s="204"/>
      <c r="BR214" s="177"/>
    </row>
    <row r="215" spans="5:70" x14ac:dyDescent="0.25">
      <c r="E215" s="12"/>
      <c r="F215" s="71"/>
      <c r="G215" s="71"/>
      <c r="H215" s="71"/>
      <c r="I215" s="71"/>
      <c r="J215" s="71"/>
      <c r="K215" s="71"/>
      <c r="L215" s="71"/>
      <c r="M215" s="71"/>
      <c r="N215" s="71"/>
      <c r="O215" s="71"/>
      <c r="P215" s="71"/>
      <c r="Q215" s="71"/>
      <c r="R215" s="71"/>
      <c r="S215" s="71"/>
      <c r="T215" s="71"/>
      <c r="U215" s="71"/>
      <c r="V215" s="811">
        <v>0</v>
      </c>
      <c r="W215" s="71"/>
      <c r="X215" s="214"/>
      <c r="BB215" s="343"/>
      <c r="BC215" s="69"/>
      <c r="BD215" s="69"/>
      <c r="BL215" s="631"/>
      <c r="BM215" s="177"/>
      <c r="BO215" s="204"/>
      <c r="BR215" s="177"/>
    </row>
    <row r="216" spans="5:70" x14ac:dyDescent="0.25">
      <c r="E216" s="12"/>
      <c r="F216" s="71"/>
      <c r="G216" s="71"/>
      <c r="H216" s="71"/>
      <c r="I216" s="71"/>
      <c r="J216" s="71"/>
      <c r="K216" s="71"/>
      <c r="L216" s="71"/>
      <c r="M216" s="71"/>
      <c r="N216" s="71"/>
      <c r="O216" s="71"/>
      <c r="P216" s="71"/>
      <c r="Q216" s="71"/>
      <c r="R216" s="71"/>
      <c r="S216" s="71"/>
      <c r="T216" s="71"/>
      <c r="U216" s="71"/>
      <c r="V216" s="71"/>
      <c r="W216" s="71"/>
      <c r="X216" s="214"/>
      <c r="BB216" s="343"/>
      <c r="BC216" s="69"/>
      <c r="BD216" s="69"/>
      <c r="BL216" s="631"/>
      <c r="BM216" s="177"/>
      <c r="BO216" s="204"/>
      <c r="BR216" s="177"/>
    </row>
    <row r="217" spans="5:70" x14ac:dyDescent="0.25">
      <c r="E217" s="12"/>
      <c r="F217" s="71"/>
      <c r="G217" s="857"/>
      <c r="H217" s="1346" t="s">
        <v>908</v>
      </c>
      <c r="I217" s="1346"/>
      <c r="J217" s="1346"/>
      <c r="K217" s="1346"/>
      <c r="L217" s="1346"/>
      <c r="M217" s="1346"/>
      <c r="N217" s="1346"/>
      <c r="O217" s="1346"/>
      <c r="P217" s="1346"/>
      <c r="Q217" s="1346"/>
      <c r="R217" s="1346"/>
      <c r="S217" s="1346"/>
      <c r="T217" s="1346"/>
      <c r="U217" s="1346"/>
      <c r="V217" s="1346"/>
      <c r="W217" s="1346"/>
      <c r="X217" s="214"/>
      <c r="BB217" s="343"/>
      <c r="BC217" s="69"/>
      <c r="BD217" s="69"/>
      <c r="BL217" s="631"/>
      <c r="BM217" s="177"/>
      <c r="BO217" s="204"/>
      <c r="BR217" s="177"/>
    </row>
    <row r="218" spans="5:70" x14ac:dyDescent="0.25">
      <c r="E218" s="12"/>
      <c r="F218" s="794" t="s">
        <v>919</v>
      </c>
      <c r="G218" s="866" t="s">
        <v>909</v>
      </c>
      <c r="H218" s="827" t="s">
        <v>2</v>
      </c>
      <c r="I218" s="827" t="s">
        <v>12</v>
      </c>
      <c r="J218" s="827" t="s">
        <v>8</v>
      </c>
      <c r="K218" s="827" t="s">
        <v>165</v>
      </c>
      <c r="L218" s="827" t="s">
        <v>164</v>
      </c>
      <c r="M218" s="827" t="s">
        <v>214</v>
      </c>
      <c r="N218" s="827" t="s">
        <v>18</v>
      </c>
      <c r="O218" s="827" t="s">
        <v>16</v>
      </c>
      <c r="P218" s="827" t="s">
        <v>109</v>
      </c>
      <c r="Q218" s="827" t="s">
        <v>114</v>
      </c>
      <c r="R218" s="827" t="s">
        <v>110</v>
      </c>
      <c r="S218" s="827" t="s">
        <v>910</v>
      </c>
      <c r="T218" s="827" t="s">
        <v>911</v>
      </c>
      <c r="U218" s="827" t="s">
        <v>334</v>
      </c>
      <c r="V218" s="849" t="s">
        <v>3</v>
      </c>
      <c r="W218" s="829" t="s">
        <v>96</v>
      </c>
      <c r="X218" s="214"/>
      <c r="BB218" s="343"/>
      <c r="BC218" s="69"/>
      <c r="BD218" s="69"/>
      <c r="BL218" s="631"/>
      <c r="BM218" s="177"/>
      <c r="BO218" s="204"/>
      <c r="BR218" s="177"/>
    </row>
    <row r="219" spans="5:70" x14ac:dyDescent="0.25">
      <c r="E219" s="12" t="s">
        <v>920</v>
      </c>
      <c r="F219" s="71" t="s">
        <v>921</v>
      </c>
      <c r="G219" s="797" t="s">
        <v>899</v>
      </c>
      <c r="H219" s="695"/>
      <c r="I219" s="695"/>
      <c r="J219" s="695"/>
      <c r="K219" s="695"/>
      <c r="L219" s="695"/>
      <c r="M219" s="695"/>
      <c r="N219" s="695"/>
      <c r="O219" s="695"/>
      <c r="P219" s="695"/>
      <c r="Q219" s="695"/>
      <c r="R219" s="695"/>
      <c r="S219" s="831"/>
      <c r="T219" s="695"/>
      <c r="U219" s="695"/>
      <c r="V219" s="850">
        <f t="shared" ref="V219:V225" si="152">SUM(H219:U219)</f>
        <v>0</v>
      </c>
      <c r="W219" s="833"/>
      <c r="X219" s="214"/>
      <c r="BB219" s="343"/>
      <c r="BC219" s="69"/>
      <c r="BD219" s="69"/>
      <c r="BL219" s="631"/>
      <c r="BM219" s="177"/>
      <c r="BO219" s="204"/>
      <c r="BR219" s="177"/>
    </row>
    <row r="220" spans="5:70" x14ac:dyDescent="0.25">
      <c r="E220" s="12" t="s">
        <v>920</v>
      </c>
      <c r="F220" s="71" t="s">
        <v>922</v>
      </c>
      <c r="G220" s="801" t="s">
        <v>900</v>
      </c>
      <c r="H220" s="695"/>
      <c r="I220" s="695"/>
      <c r="J220" s="695"/>
      <c r="K220" s="695"/>
      <c r="L220" s="695"/>
      <c r="M220" s="695"/>
      <c r="N220" s="695"/>
      <c r="O220" s="695"/>
      <c r="P220" s="695"/>
      <c r="Q220" s="695"/>
      <c r="R220" s="695"/>
      <c r="S220" s="831"/>
      <c r="T220" s="695"/>
      <c r="U220" s="695"/>
      <c r="V220" s="851">
        <f t="shared" si="152"/>
        <v>0</v>
      </c>
      <c r="W220" s="833"/>
      <c r="X220" s="214"/>
      <c r="BB220" s="343"/>
      <c r="BC220" s="69"/>
      <c r="BD220" s="69"/>
      <c r="BL220" s="631"/>
      <c r="BM220" s="177"/>
      <c r="BO220" s="204"/>
      <c r="BR220" s="177"/>
    </row>
    <row r="221" spans="5:70" x14ac:dyDescent="0.25">
      <c r="E221" s="12" t="s">
        <v>920</v>
      </c>
      <c r="F221" s="71" t="s">
        <v>923</v>
      </c>
      <c r="G221" s="803" t="s">
        <v>901</v>
      </c>
      <c r="H221" s="695"/>
      <c r="I221" s="695"/>
      <c r="J221" s="695"/>
      <c r="K221" s="695"/>
      <c r="L221" s="695"/>
      <c r="M221" s="695"/>
      <c r="N221" s="695"/>
      <c r="O221" s="695"/>
      <c r="P221" s="695"/>
      <c r="Q221" s="695"/>
      <c r="R221" s="695"/>
      <c r="S221" s="831"/>
      <c r="T221" s="695"/>
      <c r="U221" s="695"/>
      <c r="V221" s="851">
        <f t="shared" si="152"/>
        <v>0</v>
      </c>
      <c r="W221" s="833"/>
      <c r="X221" s="214"/>
      <c r="BB221" s="343"/>
      <c r="BC221" s="69"/>
      <c r="BD221" s="69"/>
      <c r="BL221" s="631"/>
      <c r="BM221" s="177"/>
      <c r="BO221" s="204"/>
      <c r="BR221" s="177"/>
    </row>
    <row r="222" spans="5:70" x14ac:dyDescent="0.25">
      <c r="E222" s="12" t="s">
        <v>920</v>
      </c>
      <c r="F222" s="71" t="s">
        <v>924</v>
      </c>
      <c r="G222" s="804" t="s">
        <v>902</v>
      </c>
      <c r="H222" s="695">
        <v>0</v>
      </c>
      <c r="I222" s="695">
        <v>9513.64924920872</v>
      </c>
      <c r="J222" s="695">
        <v>5701.2640673967753</v>
      </c>
      <c r="K222" s="695">
        <v>454.21381560794259</v>
      </c>
      <c r="L222" s="695">
        <v>729.37342101962565</v>
      </c>
      <c r="M222" s="695">
        <v>5767.295300678441</v>
      </c>
      <c r="N222" s="695">
        <v>5263.3431328074757</v>
      </c>
      <c r="O222" s="695">
        <v>53.595002639172705</v>
      </c>
      <c r="P222" s="695">
        <v>21532.592755022393</v>
      </c>
      <c r="Q222" s="695">
        <v>960.19177797155896</v>
      </c>
      <c r="R222" s="695">
        <v>13485.617628387152</v>
      </c>
      <c r="S222" s="831">
        <v>0</v>
      </c>
      <c r="T222" s="695">
        <v>98228.312738642271</v>
      </c>
      <c r="U222" s="695">
        <v>18679.367315205451</v>
      </c>
      <c r="V222" s="851">
        <f t="shared" si="152"/>
        <v>180368.816204587</v>
      </c>
      <c r="W222" s="833">
        <v>0</v>
      </c>
      <c r="X222" s="214"/>
      <c r="BB222" s="343"/>
      <c r="BC222" s="69"/>
      <c r="BD222" s="69"/>
      <c r="BL222" s="631"/>
      <c r="BM222" s="177"/>
      <c r="BO222" s="204"/>
      <c r="BR222" s="177"/>
    </row>
    <row r="223" spans="5:70" x14ac:dyDescent="0.25">
      <c r="E223" s="12" t="s">
        <v>920</v>
      </c>
      <c r="F223" s="71" t="s">
        <v>925</v>
      </c>
      <c r="G223" s="805" t="s">
        <v>903</v>
      </c>
      <c r="H223" s="695">
        <v>0</v>
      </c>
      <c r="I223" s="695">
        <v>0</v>
      </c>
      <c r="J223" s="695">
        <v>0</v>
      </c>
      <c r="K223" s="695">
        <v>0</v>
      </c>
      <c r="L223" s="695">
        <v>0</v>
      </c>
      <c r="M223" s="695">
        <v>0</v>
      </c>
      <c r="N223" s="695">
        <v>0</v>
      </c>
      <c r="O223" s="695">
        <v>0</v>
      </c>
      <c r="P223" s="695">
        <v>6871.223222083343</v>
      </c>
      <c r="Q223" s="695">
        <v>280.55526040109538</v>
      </c>
      <c r="R223" s="695">
        <v>4307.2478811439096</v>
      </c>
      <c r="S223" s="831">
        <v>0</v>
      </c>
      <c r="T223" s="695">
        <v>0</v>
      </c>
      <c r="U223" s="695">
        <v>0</v>
      </c>
      <c r="V223" s="851">
        <f t="shared" si="152"/>
        <v>11459.026363628349</v>
      </c>
      <c r="W223" s="833"/>
      <c r="X223" s="214"/>
      <c r="BB223" s="343"/>
      <c r="BC223" s="69"/>
      <c r="BD223" s="69"/>
      <c r="BL223" s="631"/>
      <c r="BM223" s="177"/>
      <c r="BO223" s="204"/>
      <c r="BR223" s="177"/>
    </row>
    <row r="224" spans="5:70" x14ac:dyDescent="0.25">
      <c r="E224" s="12" t="s">
        <v>920</v>
      </c>
      <c r="F224" s="71" t="s">
        <v>926</v>
      </c>
      <c r="G224" s="806" t="s">
        <v>904</v>
      </c>
      <c r="H224" s="695">
        <v>0</v>
      </c>
      <c r="I224" s="695">
        <v>288887.69026859471</v>
      </c>
      <c r="J224" s="695">
        <v>329939.9962281629</v>
      </c>
      <c r="K224" s="695">
        <v>10722.696803095354</v>
      </c>
      <c r="L224" s="695">
        <v>17572.466528949186</v>
      </c>
      <c r="M224" s="695">
        <v>156025.31965956319</v>
      </c>
      <c r="N224" s="695">
        <v>94566.566822209425</v>
      </c>
      <c r="O224" s="695">
        <v>1201.5947105078164</v>
      </c>
      <c r="P224" s="695">
        <v>58304.48837945221</v>
      </c>
      <c r="Q224" s="695">
        <v>1926.959240652375</v>
      </c>
      <c r="R224" s="695">
        <v>33732.490142212358</v>
      </c>
      <c r="S224" s="831">
        <v>0</v>
      </c>
      <c r="T224" s="695">
        <v>0</v>
      </c>
      <c r="U224" s="695">
        <v>0</v>
      </c>
      <c r="V224" s="851">
        <f t="shared" si="152"/>
        <v>992880.26878339972</v>
      </c>
      <c r="W224" s="833">
        <v>0</v>
      </c>
      <c r="X224" s="214"/>
      <c r="BB224" s="343"/>
      <c r="BC224" s="69"/>
      <c r="BD224" s="69"/>
      <c r="BL224" s="631"/>
      <c r="BM224" s="177"/>
      <c r="BO224" s="204"/>
      <c r="BR224" s="177"/>
    </row>
    <row r="225" spans="5:70" x14ac:dyDescent="0.25">
      <c r="E225" s="12" t="s">
        <v>920</v>
      </c>
      <c r="F225" s="71" t="s">
        <v>927</v>
      </c>
      <c r="G225" s="807" t="s">
        <v>905</v>
      </c>
      <c r="H225" s="695">
        <v>0</v>
      </c>
      <c r="I225" s="695">
        <v>4477.9205993819123</v>
      </c>
      <c r="J225" s="695">
        <v>4487.4102696003547</v>
      </c>
      <c r="K225" s="695">
        <v>258.97611723274412</v>
      </c>
      <c r="L225" s="695">
        <v>424.94191384570723</v>
      </c>
      <c r="M225" s="695">
        <v>3858.9552970412146</v>
      </c>
      <c r="N225" s="695">
        <v>2181.6159037957741</v>
      </c>
      <c r="O225" s="695">
        <v>29.409510898867499</v>
      </c>
      <c r="P225" s="695">
        <v>0</v>
      </c>
      <c r="Q225" s="695">
        <v>0</v>
      </c>
      <c r="R225" s="695">
        <v>0</v>
      </c>
      <c r="S225" s="831">
        <v>0</v>
      </c>
      <c r="T225" s="695">
        <v>0</v>
      </c>
      <c r="U225" s="695">
        <v>0</v>
      </c>
      <c r="V225" s="851">
        <f t="shared" si="152"/>
        <v>15719.229611796572</v>
      </c>
      <c r="W225" s="833">
        <v>0</v>
      </c>
      <c r="X225" s="214"/>
      <c r="BB225" s="343"/>
      <c r="BC225" s="69"/>
      <c r="BD225" s="69"/>
      <c r="BL225" s="631"/>
      <c r="BM225" s="177"/>
      <c r="BO225" s="204"/>
      <c r="BR225" s="177"/>
    </row>
    <row r="226" spans="5:70" x14ac:dyDescent="0.25">
      <c r="E226" s="12"/>
      <c r="F226" s="71"/>
      <c r="G226" s="855" t="s">
        <v>3</v>
      </c>
      <c r="H226" s="809">
        <f>SUM(H219:H225)</f>
        <v>0</v>
      </c>
      <c r="I226" s="809">
        <f t="shared" ref="I226:V226" si="153">SUM(I219:I225)</f>
        <v>302879.26011718536</v>
      </c>
      <c r="J226" s="809">
        <f t="shared" si="153"/>
        <v>340128.67056515999</v>
      </c>
      <c r="K226" s="809">
        <f t="shared" si="153"/>
        <v>11435.886735936039</v>
      </c>
      <c r="L226" s="809">
        <f t="shared" si="153"/>
        <v>18726.781863814522</v>
      </c>
      <c r="M226" s="809">
        <f t="shared" si="153"/>
        <v>165651.57025728284</v>
      </c>
      <c r="N226" s="809">
        <f t="shared" si="153"/>
        <v>102011.52585881267</v>
      </c>
      <c r="O226" s="809">
        <f t="shared" si="153"/>
        <v>1284.5992240458565</v>
      </c>
      <c r="P226" s="809">
        <f t="shared" si="153"/>
        <v>86708.304356557943</v>
      </c>
      <c r="Q226" s="809">
        <f t="shared" si="153"/>
        <v>3167.7062790250293</v>
      </c>
      <c r="R226" s="809">
        <f t="shared" si="153"/>
        <v>51525.355651743419</v>
      </c>
      <c r="S226" s="843">
        <f t="shared" si="153"/>
        <v>0</v>
      </c>
      <c r="T226" s="809">
        <f t="shared" si="153"/>
        <v>98228.312738642271</v>
      </c>
      <c r="U226" s="809">
        <f t="shared" si="153"/>
        <v>18679.367315205451</v>
      </c>
      <c r="V226" s="809">
        <f t="shared" si="153"/>
        <v>1200427.3409634116</v>
      </c>
      <c r="W226" s="869">
        <v>0</v>
      </c>
      <c r="X226" s="214"/>
      <c r="BB226" s="343"/>
      <c r="BC226" s="69"/>
      <c r="BD226" s="69"/>
      <c r="BL226" s="631"/>
      <c r="BM226" s="177"/>
      <c r="BO226" s="204"/>
      <c r="BR226" s="177"/>
    </row>
    <row r="227" spans="5:70" x14ac:dyDescent="0.25">
      <c r="E227" s="12"/>
      <c r="F227" s="71"/>
      <c r="G227" s="71"/>
      <c r="H227" s="71"/>
      <c r="I227" s="71"/>
      <c r="J227" s="71"/>
      <c r="K227" s="71"/>
      <c r="L227" s="71"/>
      <c r="M227" s="71"/>
      <c r="N227" s="71"/>
      <c r="O227" s="71"/>
      <c r="P227" s="71"/>
      <c r="Q227" s="71"/>
      <c r="R227" s="71"/>
      <c r="S227" s="71"/>
      <c r="T227" s="71"/>
      <c r="U227" s="71"/>
      <c r="V227" s="71"/>
      <c r="W227" s="71"/>
      <c r="X227" s="214"/>
      <c r="BB227" s="343"/>
      <c r="BC227" s="69"/>
      <c r="BD227" s="69"/>
      <c r="BL227" s="631"/>
      <c r="BM227" s="177"/>
      <c r="BO227" s="204"/>
      <c r="BR227" s="177"/>
    </row>
    <row r="228" spans="5:70" x14ac:dyDescent="0.25">
      <c r="E228" s="12"/>
      <c r="F228" s="71"/>
      <c r="G228" s="71"/>
      <c r="H228" s="1346" t="s">
        <v>908</v>
      </c>
      <c r="I228" s="1346"/>
      <c r="J228" s="1346"/>
      <c r="K228" s="1346"/>
      <c r="L228" s="1346"/>
      <c r="M228" s="1346"/>
      <c r="N228" s="1346"/>
      <c r="O228" s="1346"/>
      <c r="P228" s="1346"/>
      <c r="Q228" s="1346"/>
      <c r="R228" s="1346"/>
      <c r="S228" s="1346"/>
      <c r="T228" s="1346"/>
      <c r="U228" s="1346"/>
      <c r="V228" s="1346"/>
      <c r="W228" s="1346"/>
      <c r="X228" s="214"/>
      <c r="BB228" s="343"/>
      <c r="BC228" s="69"/>
      <c r="BD228" s="69"/>
      <c r="BL228" s="631"/>
      <c r="BM228" s="177"/>
      <c r="BO228" s="204"/>
      <c r="BR228" s="177"/>
    </row>
    <row r="229" spans="5:70" x14ac:dyDescent="0.25">
      <c r="E229" s="12"/>
      <c r="F229" s="71"/>
      <c r="G229" s="870" t="s">
        <v>909</v>
      </c>
      <c r="H229" s="827" t="s">
        <v>2</v>
      </c>
      <c r="I229" s="827" t="s">
        <v>12</v>
      </c>
      <c r="J229" s="827" t="s">
        <v>8</v>
      </c>
      <c r="K229" s="827" t="s">
        <v>165</v>
      </c>
      <c r="L229" s="827" t="s">
        <v>164</v>
      </c>
      <c r="M229" s="827" t="s">
        <v>214</v>
      </c>
      <c r="N229" s="827" t="s">
        <v>18</v>
      </c>
      <c r="O229" s="827" t="s">
        <v>16</v>
      </c>
      <c r="P229" s="827" t="s">
        <v>109</v>
      </c>
      <c r="Q229" s="827" t="s">
        <v>114</v>
      </c>
      <c r="R229" s="827" t="s">
        <v>110</v>
      </c>
      <c r="S229" s="827" t="s">
        <v>910</v>
      </c>
      <c r="T229" s="827" t="s">
        <v>911</v>
      </c>
      <c r="U229" s="858" t="s">
        <v>334</v>
      </c>
      <c r="V229" s="859" t="s">
        <v>3</v>
      </c>
      <c r="W229" s="828" t="s">
        <v>96</v>
      </c>
      <c r="X229" s="214"/>
      <c r="BB229" s="343"/>
      <c r="BC229" s="69"/>
      <c r="BD229" s="69"/>
      <c r="BL229" s="631"/>
      <c r="BM229" s="177"/>
      <c r="BO229" s="204"/>
      <c r="BR229" s="177"/>
    </row>
    <row r="230" spans="5:70" x14ac:dyDescent="0.25">
      <c r="E230" s="12" t="s">
        <v>920</v>
      </c>
      <c r="F230" s="71" t="s">
        <v>928</v>
      </c>
      <c r="G230" s="797" t="s">
        <v>899</v>
      </c>
      <c r="H230" s="695">
        <v>27548.856455010533</v>
      </c>
      <c r="I230" s="695">
        <v>105941.64452677243</v>
      </c>
      <c r="J230" s="695">
        <v>63656.579493307596</v>
      </c>
      <c r="K230" s="695">
        <v>5075.8668467065118</v>
      </c>
      <c r="L230" s="695">
        <v>8140.9496202736709</v>
      </c>
      <c r="M230" s="695">
        <v>64980.282719862094</v>
      </c>
      <c r="N230" s="695">
        <v>58612.121549202522</v>
      </c>
      <c r="O230" s="695">
        <v>609.2948170657894</v>
      </c>
      <c r="P230" s="695">
        <v>193220.03987545017</v>
      </c>
      <c r="Q230" s="695">
        <v>6734.1766779089976</v>
      </c>
      <c r="R230" s="695">
        <v>117603.78262335398</v>
      </c>
      <c r="S230" s="831">
        <v>0</v>
      </c>
      <c r="T230" s="695">
        <v>1399969.2829791477</v>
      </c>
      <c r="U230" s="695">
        <v>240597.02639631496</v>
      </c>
      <c r="V230" s="850">
        <f t="shared" ref="V230:V236" si="154">SUM(H230:U230)</f>
        <v>2292689.904580377</v>
      </c>
      <c r="W230" s="868"/>
      <c r="X230" s="214"/>
      <c r="BB230" s="343"/>
      <c r="BC230" s="69"/>
      <c r="BD230" s="69"/>
      <c r="BL230" s="631"/>
      <c r="BM230" s="177"/>
      <c r="BO230" s="204"/>
      <c r="BR230" s="177"/>
    </row>
    <row r="231" spans="5:70" x14ac:dyDescent="0.25">
      <c r="E231" s="12" t="s">
        <v>920</v>
      </c>
      <c r="F231" s="71" t="s">
        <v>929</v>
      </c>
      <c r="G231" s="801" t="s">
        <v>900</v>
      </c>
      <c r="H231" s="695">
        <v>0</v>
      </c>
      <c r="I231" s="695">
        <v>303038.04890481773</v>
      </c>
      <c r="J231" s="695">
        <v>344120.34249680373</v>
      </c>
      <c r="K231" s="695">
        <v>11541.068825494698</v>
      </c>
      <c r="L231" s="695">
        <v>18915.295269885264</v>
      </c>
      <c r="M231" s="695">
        <v>168219.73003428555</v>
      </c>
      <c r="N231" s="695">
        <v>101460.53619037085</v>
      </c>
      <c r="O231" s="695">
        <v>1294.5296157386788</v>
      </c>
      <c r="P231" s="695">
        <v>65175.711601535557</v>
      </c>
      <c r="Q231" s="695">
        <v>2207.5145010534702</v>
      </c>
      <c r="R231" s="695">
        <v>38039.738023356265</v>
      </c>
      <c r="S231" s="831">
        <v>0</v>
      </c>
      <c r="T231" s="695">
        <v>0</v>
      </c>
      <c r="U231" s="695">
        <v>0</v>
      </c>
      <c r="V231" s="851">
        <f t="shared" si="154"/>
        <v>1054012.5154633417</v>
      </c>
      <c r="W231" s="868"/>
      <c r="X231" s="214"/>
      <c r="BB231" s="343"/>
      <c r="BC231" s="69"/>
      <c r="BD231" s="69"/>
      <c r="BL231" s="631"/>
      <c r="BM231" s="177"/>
      <c r="BO231" s="204"/>
      <c r="BR231" s="177"/>
    </row>
    <row r="232" spans="5:70" x14ac:dyDescent="0.25">
      <c r="E232" s="12" t="s">
        <v>920</v>
      </c>
      <c r="F232" s="71" t="s">
        <v>930</v>
      </c>
      <c r="G232" s="803" t="s">
        <v>901</v>
      </c>
      <c r="H232" s="695">
        <v>0</v>
      </c>
      <c r="I232" s="695">
        <v>124861.32898485704</v>
      </c>
      <c r="J232" s="695">
        <v>75089.332390186246</v>
      </c>
      <c r="K232" s="695">
        <v>5826.3524078928149</v>
      </c>
      <c r="L232" s="695">
        <v>9468.2908835217531</v>
      </c>
      <c r="M232" s="695">
        <v>69107.624923597497</v>
      </c>
      <c r="N232" s="695">
        <v>68739.283265957434</v>
      </c>
      <c r="O232" s="695">
        <v>578.51701976913466</v>
      </c>
      <c r="P232" s="695">
        <v>145026.37382433718</v>
      </c>
      <c r="Q232" s="695">
        <v>4793.1114558514855</v>
      </c>
      <c r="R232" s="695">
        <v>83906.074152506291</v>
      </c>
      <c r="S232" s="831">
        <v>0</v>
      </c>
      <c r="T232" s="695">
        <v>0</v>
      </c>
      <c r="U232" s="695">
        <v>0</v>
      </c>
      <c r="V232" s="851">
        <f t="shared" si="154"/>
        <v>587396.28930847684</v>
      </c>
      <c r="W232" s="871"/>
      <c r="X232" s="214"/>
      <c r="BB232" s="343"/>
      <c r="BC232" s="69"/>
      <c r="BD232" s="69"/>
      <c r="BL232" s="631"/>
      <c r="BM232" s="177"/>
      <c r="BO232" s="204"/>
      <c r="BR232" s="177"/>
    </row>
    <row r="233" spans="5:70" x14ac:dyDescent="0.25">
      <c r="E233" s="12" t="s">
        <v>920</v>
      </c>
      <c r="F233" s="71" t="s">
        <v>931</v>
      </c>
      <c r="G233" s="804" t="s">
        <v>902</v>
      </c>
      <c r="H233" s="695">
        <v>0</v>
      </c>
      <c r="I233" s="695"/>
      <c r="J233" s="695"/>
      <c r="K233" s="695"/>
      <c r="L233" s="695"/>
      <c r="M233" s="695"/>
      <c r="N233" s="695"/>
      <c r="O233" s="695"/>
      <c r="P233" s="695"/>
      <c r="Q233" s="695"/>
      <c r="R233" s="695"/>
      <c r="S233" s="831"/>
      <c r="T233" s="695"/>
      <c r="U233" s="695"/>
      <c r="V233" s="851">
        <f t="shared" si="154"/>
        <v>0</v>
      </c>
      <c r="W233" s="868"/>
      <c r="X233" s="214"/>
      <c r="BB233" s="343"/>
      <c r="BC233" s="69"/>
      <c r="BD233" s="69"/>
      <c r="BL233" s="631"/>
      <c r="BM233" s="177"/>
      <c r="BO233" s="204"/>
      <c r="BR233" s="177"/>
    </row>
    <row r="234" spans="5:70" x14ac:dyDescent="0.25">
      <c r="E234" s="12" t="s">
        <v>920</v>
      </c>
      <c r="F234" s="71" t="s">
        <v>932</v>
      </c>
      <c r="G234" s="805" t="s">
        <v>903</v>
      </c>
      <c r="H234" s="695"/>
      <c r="I234" s="695"/>
      <c r="J234" s="695"/>
      <c r="K234" s="695"/>
      <c r="L234" s="695"/>
      <c r="M234" s="695"/>
      <c r="N234" s="695"/>
      <c r="O234" s="695"/>
      <c r="P234" s="695"/>
      <c r="Q234" s="695"/>
      <c r="R234" s="695"/>
      <c r="S234" s="831"/>
      <c r="T234" s="695"/>
      <c r="U234" s="695"/>
      <c r="V234" s="851">
        <f t="shared" si="154"/>
        <v>0</v>
      </c>
      <c r="W234" s="868"/>
      <c r="X234" s="214"/>
      <c r="BB234" s="343"/>
      <c r="BC234" s="69"/>
      <c r="BD234" s="69"/>
      <c r="BL234" s="631"/>
      <c r="BM234" s="177"/>
      <c r="BO234" s="204"/>
      <c r="BR234" s="177"/>
    </row>
    <row r="235" spans="5:70" x14ac:dyDescent="0.25">
      <c r="E235" s="12" t="s">
        <v>920</v>
      </c>
      <c r="F235" s="71" t="s">
        <v>933</v>
      </c>
      <c r="G235" s="806" t="s">
        <v>904</v>
      </c>
      <c r="H235" s="695">
        <v>0</v>
      </c>
      <c r="I235" s="695"/>
      <c r="J235" s="695"/>
      <c r="K235" s="695"/>
      <c r="L235" s="695"/>
      <c r="M235" s="695"/>
      <c r="N235" s="695"/>
      <c r="O235" s="695"/>
      <c r="P235" s="695"/>
      <c r="Q235" s="695"/>
      <c r="R235" s="695"/>
      <c r="S235" s="831"/>
      <c r="T235" s="695"/>
      <c r="U235" s="695"/>
      <c r="V235" s="851">
        <f t="shared" si="154"/>
        <v>0</v>
      </c>
      <c r="W235" s="868"/>
      <c r="X235" s="214"/>
      <c r="BB235" s="343"/>
      <c r="BC235" s="69"/>
      <c r="BD235" s="69"/>
      <c r="BL235" s="631"/>
      <c r="BM235" s="177"/>
      <c r="BO235" s="204"/>
      <c r="BR235" s="177"/>
    </row>
    <row r="236" spans="5:70" x14ac:dyDescent="0.25">
      <c r="E236" s="12" t="s">
        <v>920</v>
      </c>
      <c r="F236" s="71" t="s">
        <v>934</v>
      </c>
      <c r="G236" s="807" t="s">
        <v>905</v>
      </c>
      <c r="H236" s="695">
        <v>0</v>
      </c>
      <c r="I236" s="695"/>
      <c r="J236" s="695"/>
      <c r="K236" s="695"/>
      <c r="L236" s="695"/>
      <c r="M236" s="695"/>
      <c r="N236" s="695"/>
      <c r="O236" s="695"/>
      <c r="P236" s="695"/>
      <c r="Q236" s="695"/>
      <c r="R236" s="695"/>
      <c r="S236" s="831"/>
      <c r="T236" s="695"/>
      <c r="U236" s="695"/>
      <c r="V236" s="851">
        <f t="shared" si="154"/>
        <v>0</v>
      </c>
      <c r="W236" s="833"/>
      <c r="X236" s="214"/>
      <c r="BB236" s="343"/>
      <c r="BC236" s="69"/>
      <c r="BD236" s="69"/>
      <c r="BL236" s="631"/>
      <c r="BM236" s="177"/>
      <c r="BO236" s="204"/>
      <c r="BR236" s="177"/>
    </row>
    <row r="237" spans="5:70" x14ac:dyDescent="0.25">
      <c r="E237" s="12"/>
      <c r="F237" s="71"/>
      <c r="G237" s="855" t="s">
        <v>3</v>
      </c>
      <c r="H237" s="809">
        <f>SUM(H230:H236)</f>
        <v>27548.856455010533</v>
      </c>
      <c r="I237" s="809">
        <f t="shared" ref="I237:V237" si="155">SUM(I230:I236)</f>
        <v>533841.02241644717</v>
      </c>
      <c r="J237" s="809">
        <f t="shared" si="155"/>
        <v>482866.25438029761</v>
      </c>
      <c r="K237" s="809">
        <f t="shared" si="155"/>
        <v>22443.288080094026</v>
      </c>
      <c r="L237" s="809">
        <f t="shared" si="155"/>
        <v>36524.535773680691</v>
      </c>
      <c r="M237" s="809">
        <f t="shared" si="155"/>
        <v>302307.63767774514</v>
      </c>
      <c r="N237" s="809">
        <f t="shared" si="155"/>
        <v>228811.94100553083</v>
      </c>
      <c r="O237" s="809">
        <f t="shared" si="155"/>
        <v>2482.341452573603</v>
      </c>
      <c r="P237" s="809">
        <f t="shared" si="155"/>
        <v>403422.1253013229</v>
      </c>
      <c r="Q237" s="809">
        <f t="shared" si="155"/>
        <v>13734.802634813954</v>
      </c>
      <c r="R237" s="809">
        <f t="shared" si="155"/>
        <v>239549.59479921655</v>
      </c>
      <c r="S237" s="843">
        <f t="shared" si="155"/>
        <v>0</v>
      </c>
      <c r="T237" s="809">
        <f t="shared" si="155"/>
        <v>1399969.2829791477</v>
      </c>
      <c r="U237" s="809">
        <f t="shared" si="155"/>
        <v>240597.02639631496</v>
      </c>
      <c r="V237" s="809">
        <f t="shared" si="155"/>
        <v>3934098.7093521957</v>
      </c>
      <c r="W237" s="869"/>
      <c r="X237" s="214"/>
      <c r="BB237" s="343"/>
      <c r="BC237" s="69"/>
      <c r="BD237" s="69"/>
      <c r="BL237" s="631"/>
      <c r="BM237" s="177"/>
      <c r="BO237" s="204"/>
      <c r="BR237" s="177"/>
    </row>
    <row r="238" spans="5:70" ht="15.75" thickBot="1" x14ac:dyDescent="0.3">
      <c r="E238" s="9"/>
      <c r="F238" s="7"/>
      <c r="G238" s="7"/>
      <c r="H238" s="864"/>
      <c r="I238" s="7"/>
      <c r="J238" s="7"/>
      <c r="K238" s="7"/>
      <c r="L238" s="7"/>
      <c r="M238" s="7"/>
      <c r="N238" s="7"/>
      <c r="O238" s="7"/>
      <c r="P238" s="7"/>
      <c r="Q238" s="7"/>
      <c r="R238" s="7"/>
      <c r="S238" s="7"/>
      <c r="T238" s="7"/>
      <c r="U238" s="7"/>
      <c r="V238" s="7"/>
      <c r="W238" s="7"/>
      <c r="X238" s="230"/>
      <c r="BB238" s="343"/>
      <c r="BC238" s="69"/>
      <c r="BD238" s="69"/>
      <c r="BL238" s="631"/>
      <c r="BM238" s="177"/>
      <c r="BO238" s="204"/>
      <c r="BR238" s="177"/>
    </row>
    <row r="239" spans="5:70" x14ac:dyDescent="0.25">
      <c r="F239" s="71"/>
      <c r="G239" s="71"/>
      <c r="H239" s="629"/>
      <c r="I239" s="71"/>
      <c r="J239" s="71"/>
      <c r="K239" s="71"/>
      <c r="L239" s="71"/>
      <c r="M239" s="71"/>
      <c r="N239" s="71"/>
      <c r="O239" s="71"/>
      <c r="P239" s="71"/>
      <c r="Q239" s="71"/>
      <c r="R239" s="71"/>
      <c r="S239" s="71"/>
      <c r="T239" s="71"/>
      <c r="U239" s="71"/>
      <c r="V239" s="71"/>
      <c r="W239" s="71"/>
      <c r="X239" s="71"/>
      <c r="BB239" s="343"/>
      <c r="BC239" s="69"/>
      <c r="BD239" s="69"/>
      <c r="BL239" s="631"/>
      <c r="BM239" s="177"/>
      <c r="BO239" s="204"/>
      <c r="BR239" s="177"/>
    </row>
    <row r="240" spans="5:70" ht="15.75" thickBot="1" x14ac:dyDescent="0.3">
      <c r="F240" s="71"/>
      <c r="G240" s="71"/>
      <c r="H240" s="629"/>
      <c r="I240" s="71"/>
      <c r="J240" s="71"/>
      <c r="K240" s="71"/>
      <c r="L240" s="71"/>
      <c r="M240" s="71"/>
      <c r="N240" s="71"/>
      <c r="O240" s="71"/>
      <c r="P240" s="71"/>
      <c r="Q240" s="71"/>
      <c r="R240" s="71"/>
      <c r="S240" s="71"/>
      <c r="T240" s="71"/>
      <c r="U240" s="71"/>
      <c r="V240" s="71"/>
      <c r="W240" s="71"/>
      <c r="X240" s="71"/>
      <c r="BB240" s="343"/>
      <c r="BC240" s="69"/>
      <c r="BD240" s="69"/>
      <c r="BL240" s="631"/>
      <c r="BM240" s="177"/>
      <c r="BO240" s="204"/>
      <c r="BR240" s="177"/>
    </row>
    <row r="241" spans="5:70" x14ac:dyDescent="0.25">
      <c r="E241" s="18"/>
      <c r="F241" s="16"/>
      <c r="G241" s="16"/>
      <c r="H241" s="865"/>
      <c r="I241" s="16"/>
      <c r="J241" s="16"/>
      <c r="K241" s="16"/>
      <c r="L241" s="16"/>
      <c r="M241" s="16"/>
      <c r="N241" s="16"/>
      <c r="O241" s="16"/>
      <c r="P241" s="16"/>
      <c r="Q241" s="16"/>
      <c r="R241" s="16"/>
      <c r="S241" s="16"/>
      <c r="T241" s="16"/>
      <c r="U241" s="16"/>
      <c r="V241" s="16"/>
      <c r="W241" s="16"/>
      <c r="X241" s="209"/>
      <c r="BB241" s="343"/>
      <c r="BC241" s="69"/>
      <c r="BD241" s="69"/>
      <c r="BL241" s="631"/>
      <c r="BM241" s="177"/>
      <c r="BO241" s="204"/>
      <c r="BR241" s="177"/>
    </row>
    <row r="242" spans="5:70" x14ac:dyDescent="0.25">
      <c r="E242" s="825" t="s">
        <v>935</v>
      </c>
      <c r="F242" s="71" t="s">
        <v>906</v>
      </c>
      <c r="G242" s="71" t="s">
        <v>909</v>
      </c>
      <c r="H242" s="872" t="s">
        <v>2</v>
      </c>
      <c r="I242" s="873" t="s">
        <v>12</v>
      </c>
      <c r="J242" s="873" t="s">
        <v>8</v>
      </c>
      <c r="K242" s="873" t="s">
        <v>165</v>
      </c>
      <c r="L242" s="873" t="s">
        <v>164</v>
      </c>
      <c r="M242" s="873" t="s">
        <v>214</v>
      </c>
      <c r="N242" s="873" t="s">
        <v>18</v>
      </c>
      <c r="O242" s="873" t="s">
        <v>16</v>
      </c>
      <c r="P242" s="873" t="s">
        <v>109</v>
      </c>
      <c r="Q242" s="873" t="s">
        <v>156</v>
      </c>
      <c r="R242" s="873" t="s">
        <v>846</v>
      </c>
      <c r="S242" s="874" t="s">
        <v>910</v>
      </c>
      <c r="T242" s="873" t="s">
        <v>911</v>
      </c>
      <c r="U242" s="873" t="s">
        <v>334</v>
      </c>
      <c r="V242" s="873" t="s">
        <v>3</v>
      </c>
      <c r="W242" s="71"/>
      <c r="X242" s="214"/>
      <c r="BB242" s="343"/>
      <c r="BC242" s="69"/>
      <c r="BD242" s="69"/>
      <c r="BL242" s="631"/>
      <c r="BM242" s="177"/>
      <c r="BO242" s="204"/>
      <c r="BR242" s="177"/>
    </row>
    <row r="243" spans="5:70" x14ac:dyDescent="0.25">
      <c r="E243" s="12"/>
      <c r="F243" s="71"/>
      <c r="G243" s="797" t="s">
        <v>899</v>
      </c>
      <c r="H243" s="875">
        <f>H168-H207</f>
        <v>1111.707192296115</v>
      </c>
      <c r="I243" s="875">
        <f t="shared" ref="I243:V243" si="156">I168-I207</f>
        <v>0</v>
      </c>
      <c r="J243" s="875">
        <f t="shared" si="156"/>
        <v>0</v>
      </c>
      <c r="K243" s="875">
        <f t="shared" si="156"/>
        <v>0</v>
      </c>
      <c r="L243" s="875">
        <f t="shared" si="156"/>
        <v>0</v>
      </c>
      <c r="M243" s="875">
        <f t="shared" si="156"/>
        <v>0</v>
      </c>
      <c r="N243" s="875">
        <f t="shared" si="156"/>
        <v>0</v>
      </c>
      <c r="O243" s="875">
        <f t="shared" si="156"/>
        <v>0</v>
      </c>
      <c r="P243" s="875">
        <f>P168-P207</f>
        <v>7617.2584494854091</v>
      </c>
      <c r="Q243" s="875">
        <f t="shared" si="156"/>
        <v>256.1744379331285</v>
      </c>
      <c r="R243" s="875">
        <f t="shared" si="156"/>
        <v>4619.4115257390949</v>
      </c>
      <c r="S243" s="875">
        <f t="shared" si="156"/>
        <v>0</v>
      </c>
      <c r="T243" s="875">
        <f t="shared" si="156"/>
        <v>57754.352871532319</v>
      </c>
      <c r="U243" s="875">
        <f t="shared" si="156"/>
        <v>10982.727293807548</v>
      </c>
      <c r="V243" s="875">
        <f t="shared" si="156"/>
        <v>82341.631770793349</v>
      </c>
      <c r="W243" s="71"/>
      <c r="X243" s="214"/>
      <c r="BB243" s="343"/>
      <c r="BC243" s="69"/>
      <c r="BD243" s="69"/>
      <c r="BL243" s="631"/>
      <c r="BM243" s="177"/>
      <c r="BO243" s="204"/>
      <c r="BR243" s="177"/>
    </row>
    <row r="244" spans="5:70" x14ac:dyDescent="0.25">
      <c r="E244" s="12"/>
      <c r="F244" s="71"/>
      <c r="G244" s="801" t="s">
        <v>900</v>
      </c>
      <c r="H244" s="875">
        <f t="shared" ref="H244:V250" si="157">H169-H208</f>
        <v>0</v>
      </c>
      <c r="I244" s="875">
        <f t="shared" si="157"/>
        <v>0</v>
      </c>
      <c r="J244" s="875">
        <f t="shared" si="157"/>
        <v>0</v>
      </c>
      <c r="K244" s="875">
        <f t="shared" si="157"/>
        <v>0</v>
      </c>
      <c r="L244" s="875">
        <f t="shared" si="157"/>
        <v>0</v>
      </c>
      <c r="M244" s="875">
        <f t="shared" si="157"/>
        <v>0</v>
      </c>
      <c r="N244" s="875">
        <f t="shared" si="157"/>
        <v>0</v>
      </c>
      <c r="O244" s="875">
        <f t="shared" si="157"/>
        <v>0</v>
      </c>
      <c r="P244" s="875">
        <f t="shared" si="157"/>
        <v>0</v>
      </c>
      <c r="Q244" s="875">
        <f t="shared" si="157"/>
        <v>0</v>
      </c>
      <c r="R244" s="875">
        <f t="shared" si="157"/>
        <v>0</v>
      </c>
      <c r="S244" s="875">
        <f t="shared" si="157"/>
        <v>0</v>
      </c>
      <c r="T244" s="875">
        <f t="shared" si="157"/>
        <v>0</v>
      </c>
      <c r="U244" s="875">
        <f t="shared" si="157"/>
        <v>0</v>
      </c>
      <c r="V244" s="875">
        <f t="shared" si="157"/>
        <v>0</v>
      </c>
      <c r="W244" s="71"/>
      <c r="X244" s="214"/>
      <c r="BB244" s="343"/>
      <c r="BC244" s="69"/>
      <c r="BD244" s="69"/>
      <c r="BL244" s="631"/>
      <c r="BM244" s="177"/>
      <c r="BO244" s="204"/>
      <c r="BR244" s="177"/>
    </row>
    <row r="245" spans="5:70" x14ac:dyDescent="0.25">
      <c r="E245" s="12"/>
      <c r="F245" s="71"/>
      <c r="G245" s="803" t="s">
        <v>901</v>
      </c>
      <c r="H245" s="875">
        <f t="shared" si="157"/>
        <v>0</v>
      </c>
      <c r="I245" s="875">
        <f t="shared" si="157"/>
        <v>0</v>
      </c>
      <c r="J245" s="875">
        <f t="shared" si="157"/>
        <v>0</v>
      </c>
      <c r="K245" s="875">
        <f t="shared" si="157"/>
        <v>0</v>
      </c>
      <c r="L245" s="875">
        <f t="shared" si="157"/>
        <v>0</v>
      </c>
      <c r="M245" s="875">
        <f t="shared" si="157"/>
        <v>0</v>
      </c>
      <c r="N245" s="875">
        <f t="shared" si="157"/>
        <v>0</v>
      </c>
      <c r="O245" s="875">
        <f t="shared" si="157"/>
        <v>0</v>
      </c>
      <c r="P245" s="875">
        <f t="shared" si="157"/>
        <v>8701.5824294602207</v>
      </c>
      <c r="Q245" s="875">
        <f t="shared" si="157"/>
        <v>287.58668735108949</v>
      </c>
      <c r="R245" s="875">
        <f t="shared" si="157"/>
        <v>5034.3644491503801</v>
      </c>
      <c r="S245" s="875">
        <f t="shared" si="157"/>
        <v>0</v>
      </c>
      <c r="T245" s="875">
        <f t="shared" si="157"/>
        <v>0</v>
      </c>
      <c r="U245" s="875">
        <f t="shared" si="157"/>
        <v>0</v>
      </c>
      <c r="V245" s="875">
        <f t="shared" si="157"/>
        <v>14023.533565961756</v>
      </c>
      <c r="W245" s="71"/>
      <c r="X245" s="214"/>
      <c r="BB245" s="343"/>
      <c r="BC245" s="69"/>
      <c r="BD245" s="69"/>
      <c r="BL245" s="631"/>
      <c r="BM245" s="177"/>
      <c r="BO245" s="204"/>
      <c r="BR245" s="177"/>
    </row>
    <row r="246" spans="5:70" x14ac:dyDescent="0.25">
      <c r="E246" s="12"/>
      <c r="F246" s="71"/>
      <c r="G246" s="804" t="s">
        <v>902</v>
      </c>
      <c r="H246" s="875">
        <f t="shared" si="157"/>
        <v>0</v>
      </c>
      <c r="I246" s="875">
        <f t="shared" si="157"/>
        <v>570.8189549525232</v>
      </c>
      <c r="J246" s="875">
        <f t="shared" si="157"/>
        <v>342.07584404380759</v>
      </c>
      <c r="K246" s="875">
        <f t="shared" si="157"/>
        <v>27.25282893647659</v>
      </c>
      <c r="L246" s="875">
        <f t="shared" si="157"/>
        <v>43.762405261177605</v>
      </c>
      <c r="M246" s="875">
        <f t="shared" si="157"/>
        <v>346.03771804070766</v>
      </c>
      <c r="N246" s="875">
        <f t="shared" si="157"/>
        <v>315.80058796844878</v>
      </c>
      <c r="O246" s="875">
        <f t="shared" si="157"/>
        <v>3.2157001583503728</v>
      </c>
      <c r="P246" s="875">
        <f t="shared" si="157"/>
        <v>0</v>
      </c>
      <c r="Q246" s="875">
        <f t="shared" si="157"/>
        <v>0</v>
      </c>
      <c r="R246" s="875">
        <f t="shared" si="157"/>
        <v>0</v>
      </c>
      <c r="S246" s="875">
        <f t="shared" si="157"/>
        <v>0</v>
      </c>
      <c r="T246" s="875">
        <f t="shared" si="157"/>
        <v>0</v>
      </c>
      <c r="U246" s="875">
        <f t="shared" si="157"/>
        <v>0</v>
      </c>
      <c r="V246" s="875">
        <f t="shared" si="157"/>
        <v>1648.9640393614827</v>
      </c>
      <c r="W246" s="71"/>
      <c r="X246" s="214"/>
      <c r="BB246" s="343"/>
      <c r="BC246" s="69"/>
      <c r="BD246" s="69"/>
      <c r="BL246" s="631"/>
      <c r="BM246" s="177"/>
      <c r="BO246" s="204"/>
      <c r="BR246" s="177"/>
    </row>
    <row r="247" spans="5:70" x14ac:dyDescent="0.25">
      <c r="E247" s="12"/>
      <c r="F247" s="71"/>
      <c r="G247" s="805" t="s">
        <v>903</v>
      </c>
      <c r="H247" s="875">
        <f t="shared" si="157"/>
        <v>0</v>
      </c>
      <c r="I247" s="875">
        <f t="shared" si="157"/>
        <v>0</v>
      </c>
      <c r="J247" s="875">
        <f t="shared" si="157"/>
        <v>0</v>
      </c>
      <c r="K247" s="875">
        <f t="shared" si="157"/>
        <v>0</v>
      </c>
      <c r="L247" s="875">
        <f t="shared" si="157"/>
        <v>0</v>
      </c>
      <c r="M247" s="875">
        <f t="shared" si="157"/>
        <v>0</v>
      </c>
      <c r="N247" s="875">
        <f t="shared" si="157"/>
        <v>0</v>
      </c>
      <c r="O247" s="875">
        <f t="shared" si="157"/>
        <v>0</v>
      </c>
      <c r="P247" s="875">
        <f t="shared" si="157"/>
        <v>0</v>
      </c>
      <c r="Q247" s="875">
        <f t="shared" si="157"/>
        <v>0</v>
      </c>
      <c r="R247" s="875">
        <f t="shared" si="157"/>
        <v>0</v>
      </c>
      <c r="S247" s="875">
        <f t="shared" si="157"/>
        <v>0</v>
      </c>
      <c r="T247" s="875">
        <f t="shared" si="157"/>
        <v>0</v>
      </c>
      <c r="U247" s="875">
        <f t="shared" si="157"/>
        <v>0</v>
      </c>
      <c r="V247" s="875">
        <f t="shared" si="157"/>
        <v>0</v>
      </c>
      <c r="W247" s="71"/>
      <c r="X247" s="214"/>
      <c r="BB247" s="343"/>
      <c r="BC247" s="69"/>
      <c r="BD247" s="69"/>
      <c r="BL247" s="631"/>
      <c r="BM247" s="177"/>
      <c r="BO247" s="204"/>
      <c r="BR247" s="177"/>
    </row>
    <row r="248" spans="5:70" x14ac:dyDescent="0.25">
      <c r="E248" s="12"/>
      <c r="F248" s="71"/>
      <c r="G248" s="806" t="s">
        <v>904</v>
      </c>
      <c r="H248" s="875">
        <f t="shared" si="157"/>
        <v>0</v>
      </c>
      <c r="I248" s="875">
        <f t="shared" si="157"/>
        <v>0</v>
      </c>
      <c r="J248" s="875">
        <f t="shared" si="157"/>
        <v>0</v>
      </c>
      <c r="K248" s="875">
        <f t="shared" si="157"/>
        <v>0</v>
      </c>
      <c r="L248" s="875">
        <f t="shared" si="157"/>
        <v>0</v>
      </c>
      <c r="M248" s="875">
        <f t="shared" si="157"/>
        <v>0</v>
      </c>
      <c r="N248" s="875">
        <f t="shared" si="157"/>
        <v>0</v>
      </c>
      <c r="O248" s="875">
        <f t="shared" si="157"/>
        <v>0</v>
      </c>
      <c r="P248" s="875">
        <f t="shared" si="157"/>
        <v>3498.2693027671339</v>
      </c>
      <c r="Q248" s="875">
        <f t="shared" si="157"/>
        <v>115.6175544391424</v>
      </c>
      <c r="R248" s="875">
        <f t="shared" si="157"/>
        <v>2023.949408532746</v>
      </c>
      <c r="S248" s="875">
        <f t="shared" si="157"/>
        <v>0</v>
      </c>
      <c r="T248" s="875">
        <f t="shared" si="157"/>
        <v>0</v>
      </c>
      <c r="U248" s="875">
        <f t="shared" si="157"/>
        <v>0</v>
      </c>
      <c r="V248" s="875">
        <f t="shared" si="157"/>
        <v>5637.8362657389371</v>
      </c>
      <c r="W248" s="71"/>
      <c r="X248" s="214"/>
      <c r="BB248" s="343"/>
      <c r="BC248" s="69"/>
      <c r="BD248" s="69"/>
      <c r="BL248" s="631"/>
      <c r="BM248" s="177"/>
      <c r="BO248" s="204"/>
      <c r="BR248" s="177"/>
    </row>
    <row r="249" spans="5:70" x14ac:dyDescent="0.25">
      <c r="E249" s="12"/>
      <c r="F249" s="71"/>
      <c r="G249" s="807" t="s">
        <v>905</v>
      </c>
      <c r="H249" s="875">
        <f t="shared" si="157"/>
        <v>0</v>
      </c>
      <c r="I249" s="875">
        <f t="shared" si="157"/>
        <v>0</v>
      </c>
      <c r="J249" s="875">
        <f t="shared" si="157"/>
        <v>0</v>
      </c>
      <c r="K249" s="875">
        <f t="shared" si="157"/>
        <v>0</v>
      </c>
      <c r="L249" s="875">
        <f t="shared" si="157"/>
        <v>0</v>
      </c>
      <c r="M249" s="875">
        <f t="shared" si="157"/>
        <v>0</v>
      </c>
      <c r="N249" s="875">
        <f t="shared" si="157"/>
        <v>0</v>
      </c>
      <c r="O249" s="875">
        <f t="shared" si="157"/>
        <v>0</v>
      </c>
      <c r="P249" s="875">
        <f t="shared" si="157"/>
        <v>0</v>
      </c>
      <c r="Q249" s="875">
        <f t="shared" si="157"/>
        <v>0</v>
      </c>
      <c r="R249" s="875">
        <f t="shared" si="157"/>
        <v>0</v>
      </c>
      <c r="S249" s="875">
        <f t="shared" si="157"/>
        <v>0</v>
      </c>
      <c r="T249" s="875">
        <f t="shared" si="157"/>
        <v>0</v>
      </c>
      <c r="U249" s="875">
        <f t="shared" si="157"/>
        <v>0</v>
      </c>
      <c r="V249" s="875">
        <f t="shared" si="157"/>
        <v>0</v>
      </c>
      <c r="W249" s="71"/>
      <c r="X249" s="214"/>
      <c r="BB249" s="343"/>
      <c r="BC249" s="69"/>
      <c r="BD249" s="69"/>
      <c r="BL249" s="631"/>
      <c r="BM249" s="177"/>
      <c r="BO249" s="204"/>
      <c r="BR249" s="177"/>
    </row>
    <row r="250" spans="5:70" ht="15.75" thickBot="1" x14ac:dyDescent="0.3">
      <c r="E250" s="12"/>
      <c r="F250" s="71"/>
      <c r="G250" s="71" t="s">
        <v>3</v>
      </c>
      <c r="H250" s="876">
        <f t="shared" si="157"/>
        <v>1111.707192296115</v>
      </c>
      <c r="I250" s="876">
        <f t="shared" si="157"/>
        <v>570.81895495252684</v>
      </c>
      <c r="J250" s="876">
        <f t="shared" si="157"/>
        <v>342.07584404374938</v>
      </c>
      <c r="K250" s="876">
        <f t="shared" si="157"/>
        <v>27.252828936478181</v>
      </c>
      <c r="L250" s="876">
        <f t="shared" si="157"/>
        <v>43.762405261171807</v>
      </c>
      <c r="M250" s="876">
        <f t="shared" si="157"/>
        <v>346.03771804075222</v>
      </c>
      <c r="N250" s="876">
        <f t="shared" si="157"/>
        <v>315.80058796846424</v>
      </c>
      <c r="O250" s="876">
        <f t="shared" si="157"/>
        <v>3.2157001583505007</v>
      </c>
      <c r="P250" s="876">
        <f t="shared" si="157"/>
        <v>19817.11018171272</v>
      </c>
      <c r="Q250" s="876">
        <f t="shared" si="157"/>
        <v>659.37867972336062</v>
      </c>
      <c r="R250" s="876">
        <f t="shared" si="157"/>
        <v>11677.725383422192</v>
      </c>
      <c r="S250" s="876">
        <f t="shared" si="157"/>
        <v>0</v>
      </c>
      <c r="T250" s="876">
        <f t="shared" si="157"/>
        <v>57754.352871532319</v>
      </c>
      <c r="U250" s="876">
        <f t="shared" si="157"/>
        <v>10982.727293807548</v>
      </c>
      <c r="V250" s="876">
        <f t="shared" si="157"/>
        <v>103651.96564185573</v>
      </c>
      <c r="W250" s="71"/>
      <c r="X250" s="214"/>
      <c r="BB250" s="343"/>
      <c r="BC250" s="69"/>
      <c r="BD250" s="69"/>
      <c r="BL250" s="631"/>
      <c r="BM250" s="177"/>
      <c r="BO250" s="204"/>
      <c r="BR250" s="177"/>
    </row>
    <row r="251" spans="5:70" x14ac:dyDescent="0.25">
      <c r="E251" s="12"/>
      <c r="F251" s="71"/>
      <c r="G251" s="71"/>
      <c r="H251" s="877"/>
      <c r="I251" s="878"/>
      <c r="J251" s="878"/>
      <c r="K251" s="878"/>
      <c r="L251" s="878"/>
      <c r="M251" s="878"/>
      <c r="N251" s="878"/>
      <c r="O251" s="878"/>
      <c r="P251" s="878"/>
      <c r="Q251" s="878"/>
      <c r="R251" s="878"/>
      <c r="S251" s="878"/>
      <c r="T251" s="878"/>
      <c r="U251" s="878"/>
      <c r="V251" s="878"/>
      <c r="W251" s="71"/>
      <c r="X251" s="214"/>
      <c r="BB251" s="343"/>
      <c r="BC251" s="69"/>
      <c r="BD251" s="69"/>
      <c r="BL251" s="631"/>
      <c r="BM251" s="177"/>
      <c r="BO251" s="204"/>
      <c r="BR251" s="177"/>
    </row>
    <row r="252" spans="5:70" x14ac:dyDescent="0.25">
      <c r="E252" s="12"/>
      <c r="F252" s="71"/>
      <c r="G252" s="71"/>
      <c r="H252" s="877"/>
      <c r="I252" s="878"/>
      <c r="J252" s="878"/>
      <c r="K252" s="878"/>
      <c r="L252" s="878"/>
      <c r="M252" s="878"/>
      <c r="N252" s="878"/>
      <c r="O252" s="878"/>
      <c r="P252" s="878"/>
      <c r="Q252" s="878"/>
      <c r="R252" s="878"/>
      <c r="S252" s="878"/>
      <c r="T252" s="878"/>
      <c r="U252" s="878"/>
      <c r="V252" s="878"/>
      <c r="W252" s="71"/>
      <c r="X252" s="214"/>
      <c r="BB252" s="343"/>
      <c r="BC252" s="69"/>
      <c r="BD252" s="69"/>
      <c r="BL252" s="631"/>
      <c r="BM252" s="177"/>
      <c r="BO252" s="204"/>
      <c r="BR252" s="177"/>
    </row>
    <row r="253" spans="5:70" x14ac:dyDescent="0.25">
      <c r="E253" s="12"/>
      <c r="F253" s="71"/>
      <c r="G253" s="71"/>
      <c r="H253" s="877"/>
      <c r="I253" s="878"/>
      <c r="J253" s="878"/>
      <c r="K253" s="878"/>
      <c r="L253" s="878"/>
      <c r="M253" s="878"/>
      <c r="N253" s="878"/>
      <c r="O253" s="878"/>
      <c r="P253" s="878"/>
      <c r="Q253" s="878"/>
      <c r="R253" s="878"/>
      <c r="S253" s="878"/>
      <c r="T253" s="878"/>
      <c r="U253" s="878"/>
      <c r="V253" s="878"/>
      <c r="W253" s="71"/>
      <c r="X253" s="214"/>
      <c r="BB253" s="343"/>
      <c r="BC253" s="69"/>
      <c r="BD253" s="69"/>
      <c r="BL253" s="631"/>
      <c r="BM253" s="177"/>
      <c r="BO253" s="204"/>
      <c r="BR253" s="177"/>
    </row>
    <row r="254" spans="5:70" x14ac:dyDescent="0.25">
      <c r="E254" s="12"/>
      <c r="F254" s="879" t="s">
        <v>919</v>
      </c>
      <c r="G254" s="71" t="s">
        <v>909</v>
      </c>
      <c r="H254" s="872" t="s">
        <v>2</v>
      </c>
      <c r="I254" s="873" t="s">
        <v>12</v>
      </c>
      <c r="J254" s="873" t="s">
        <v>8</v>
      </c>
      <c r="K254" s="873" t="s">
        <v>165</v>
      </c>
      <c r="L254" s="873" t="s">
        <v>164</v>
      </c>
      <c r="M254" s="873" t="s">
        <v>214</v>
      </c>
      <c r="N254" s="873" t="s">
        <v>18</v>
      </c>
      <c r="O254" s="873" t="s">
        <v>16</v>
      </c>
      <c r="P254" s="873" t="s">
        <v>109</v>
      </c>
      <c r="Q254" s="873" t="s">
        <v>156</v>
      </c>
      <c r="R254" s="873" t="s">
        <v>846</v>
      </c>
      <c r="S254" s="874" t="s">
        <v>910</v>
      </c>
      <c r="T254" s="873" t="s">
        <v>911</v>
      </c>
      <c r="U254" s="873" t="s">
        <v>334</v>
      </c>
      <c r="V254" s="873" t="s">
        <v>3</v>
      </c>
      <c r="W254" s="71"/>
      <c r="X254" s="214"/>
      <c r="BB254" s="343"/>
      <c r="BC254" s="69"/>
      <c r="BD254" s="69"/>
      <c r="BL254" s="631"/>
      <c r="BM254" s="177"/>
      <c r="BO254" s="204"/>
      <c r="BR254" s="177"/>
    </row>
    <row r="255" spans="5:70" x14ac:dyDescent="0.25">
      <c r="E255" s="12"/>
      <c r="F255" s="71"/>
      <c r="G255" s="797" t="s">
        <v>899</v>
      </c>
      <c r="H255" s="875">
        <f t="shared" ref="H255:V262" si="158">H180-H219</f>
        <v>0</v>
      </c>
      <c r="I255" s="875">
        <f>I180-I219</f>
        <v>0</v>
      </c>
      <c r="J255" s="875">
        <f t="shared" si="158"/>
        <v>0</v>
      </c>
      <c r="K255" s="875">
        <f t="shared" si="158"/>
        <v>0</v>
      </c>
      <c r="L255" s="875">
        <f t="shared" si="158"/>
        <v>0</v>
      </c>
      <c r="M255" s="875">
        <f t="shared" si="158"/>
        <v>0</v>
      </c>
      <c r="N255" s="875">
        <f t="shared" si="158"/>
        <v>0</v>
      </c>
      <c r="O255" s="875">
        <f t="shared" si="158"/>
        <v>0</v>
      </c>
      <c r="P255" s="875">
        <f t="shared" si="158"/>
        <v>0</v>
      </c>
      <c r="Q255" s="875">
        <f t="shared" si="158"/>
        <v>0</v>
      </c>
      <c r="R255" s="875">
        <f t="shared" si="158"/>
        <v>0</v>
      </c>
      <c r="S255" s="875">
        <f t="shared" si="158"/>
        <v>0</v>
      </c>
      <c r="T255" s="875">
        <f t="shared" si="158"/>
        <v>0</v>
      </c>
      <c r="U255" s="875">
        <f t="shared" si="158"/>
        <v>0</v>
      </c>
      <c r="V255" s="875">
        <f t="shared" si="158"/>
        <v>0</v>
      </c>
      <c r="W255" s="71"/>
      <c r="X255" s="214"/>
      <c r="BB255" s="343"/>
      <c r="BC255" s="69"/>
      <c r="BD255" s="69"/>
      <c r="BL255" s="631"/>
      <c r="BM255" s="177"/>
      <c r="BO255" s="204"/>
      <c r="BR255" s="177"/>
    </row>
    <row r="256" spans="5:70" x14ac:dyDescent="0.25">
      <c r="E256" s="12"/>
      <c r="F256" s="71"/>
      <c r="G256" s="801" t="s">
        <v>900</v>
      </c>
      <c r="H256" s="875">
        <f t="shared" si="158"/>
        <v>0</v>
      </c>
      <c r="I256" s="875">
        <f t="shared" si="158"/>
        <v>0</v>
      </c>
      <c r="J256" s="875">
        <f t="shared" si="158"/>
        <v>0</v>
      </c>
      <c r="K256" s="875">
        <f t="shared" si="158"/>
        <v>0</v>
      </c>
      <c r="L256" s="875">
        <f t="shared" si="158"/>
        <v>0</v>
      </c>
      <c r="M256" s="875">
        <f t="shared" si="158"/>
        <v>0</v>
      </c>
      <c r="N256" s="875">
        <f t="shared" si="158"/>
        <v>0</v>
      </c>
      <c r="O256" s="875">
        <f t="shared" si="158"/>
        <v>0</v>
      </c>
      <c r="P256" s="875">
        <f t="shared" si="158"/>
        <v>0</v>
      </c>
      <c r="Q256" s="875">
        <f t="shared" si="158"/>
        <v>0</v>
      </c>
      <c r="R256" s="875">
        <f t="shared" si="158"/>
        <v>0</v>
      </c>
      <c r="S256" s="875">
        <f t="shared" si="158"/>
        <v>0</v>
      </c>
      <c r="T256" s="875">
        <f t="shared" si="158"/>
        <v>0</v>
      </c>
      <c r="U256" s="875">
        <f t="shared" si="158"/>
        <v>0</v>
      </c>
      <c r="V256" s="875">
        <f t="shared" si="158"/>
        <v>0</v>
      </c>
      <c r="W256" s="71"/>
      <c r="X256" s="214"/>
      <c r="BB256" s="343"/>
      <c r="BC256" s="69"/>
      <c r="BD256" s="69"/>
      <c r="BL256" s="631"/>
      <c r="BM256" s="177"/>
      <c r="BO256" s="204"/>
      <c r="BR256" s="177"/>
    </row>
    <row r="257" spans="5:70" x14ac:dyDescent="0.25">
      <c r="E257" s="12"/>
      <c r="F257" s="71"/>
      <c r="G257" s="803" t="s">
        <v>901</v>
      </c>
      <c r="H257" s="875">
        <f t="shared" si="158"/>
        <v>0</v>
      </c>
      <c r="I257" s="875">
        <f t="shared" si="158"/>
        <v>0</v>
      </c>
      <c r="J257" s="875">
        <f t="shared" si="158"/>
        <v>0</v>
      </c>
      <c r="K257" s="875">
        <f t="shared" si="158"/>
        <v>0</v>
      </c>
      <c r="L257" s="875">
        <f t="shared" si="158"/>
        <v>0</v>
      </c>
      <c r="M257" s="875">
        <f t="shared" si="158"/>
        <v>0</v>
      </c>
      <c r="N257" s="875">
        <f t="shared" si="158"/>
        <v>0</v>
      </c>
      <c r="O257" s="875">
        <f t="shared" si="158"/>
        <v>0</v>
      </c>
      <c r="P257" s="875">
        <f t="shared" si="158"/>
        <v>0</v>
      </c>
      <c r="Q257" s="875">
        <f t="shared" si="158"/>
        <v>0</v>
      </c>
      <c r="R257" s="875">
        <f t="shared" si="158"/>
        <v>0</v>
      </c>
      <c r="S257" s="875">
        <f t="shared" si="158"/>
        <v>0</v>
      </c>
      <c r="T257" s="875">
        <f t="shared" si="158"/>
        <v>0</v>
      </c>
      <c r="U257" s="875">
        <f t="shared" si="158"/>
        <v>0</v>
      </c>
      <c r="V257" s="875">
        <f t="shared" si="158"/>
        <v>0</v>
      </c>
      <c r="W257" s="71"/>
      <c r="X257" s="214"/>
      <c r="BB257" s="343"/>
      <c r="BC257" s="69"/>
      <c r="BD257" s="69"/>
      <c r="BL257" s="631"/>
      <c r="BM257" s="177"/>
      <c r="BO257" s="204"/>
      <c r="BR257" s="177"/>
    </row>
    <row r="258" spans="5:70" x14ac:dyDescent="0.25">
      <c r="E258" s="12"/>
      <c r="F258" s="71"/>
      <c r="G258" s="804" t="s">
        <v>902</v>
      </c>
      <c r="H258" s="875">
        <f t="shared" si="158"/>
        <v>0</v>
      </c>
      <c r="I258" s="875">
        <f>I183-I222</f>
        <v>570.8189549525232</v>
      </c>
      <c r="J258" s="875">
        <f t="shared" si="158"/>
        <v>342.07584404380759</v>
      </c>
      <c r="K258" s="875">
        <f t="shared" si="158"/>
        <v>27.25282893647659</v>
      </c>
      <c r="L258" s="875">
        <f t="shared" si="158"/>
        <v>43.762405261177605</v>
      </c>
      <c r="M258" s="875">
        <f t="shared" si="158"/>
        <v>346.03771804070766</v>
      </c>
      <c r="N258" s="875">
        <f t="shared" si="158"/>
        <v>315.80058796844878</v>
      </c>
      <c r="O258" s="875">
        <f t="shared" si="158"/>
        <v>3.2157001583503728</v>
      </c>
      <c r="P258" s="875">
        <f t="shared" si="158"/>
        <v>0</v>
      </c>
      <c r="Q258" s="875">
        <f t="shared" si="158"/>
        <v>0</v>
      </c>
      <c r="R258" s="875">
        <f t="shared" si="158"/>
        <v>0</v>
      </c>
      <c r="S258" s="875">
        <f t="shared" si="158"/>
        <v>0</v>
      </c>
      <c r="T258" s="875">
        <f t="shared" si="158"/>
        <v>0</v>
      </c>
      <c r="U258" s="875">
        <f t="shared" si="158"/>
        <v>0</v>
      </c>
      <c r="V258" s="875">
        <f t="shared" si="158"/>
        <v>1648.9640393614827</v>
      </c>
      <c r="W258" s="71"/>
      <c r="X258" s="214"/>
      <c r="BB258" s="343"/>
      <c r="BC258" s="69"/>
      <c r="BD258" s="69"/>
      <c r="BL258" s="631"/>
      <c r="BM258" s="177"/>
      <c r="BO258" s="204"/>
      <c r="BR258" s="177"/>
    </row>
    <row r="259" spans="5:70" x14ac:dyDescent="0.25">
      <c r="E259" s="12"/>
      <c r="F259" s="71"/>
      <c r="G259" s="805" t="s">
        <v>903</v>
      </c>
      <c r="H259" s="875">
        <f t="shared" si="158"/>
        <v>0</v>
      </c>
      <c r="I259" s="875">
        <f t="shared" si="158"/>
        <v>0</v>
      </c>
      <c r="J259" s="875">
        <f t="shared" si="158"/>
        <v>0</v>
      </c>
      <c r="K259" s="875">
        <f t="shared" si="158"/>
        <v>0</v>
      </c>
      <c r="L259" s="875">
        <f t="shared" si="158"/>
        <v>0</v>
      </c>
      <c r="M259" s="875">
        <f t="shared" si="158"/>
        <v>0</v>
      </c>
      <c r="N259" s="875">
        <f t="shared" si="158"/>
        <v>0</v>
      </c>
      <c r="O259" s="875">
        <f t="shared" si="158"/>
        <v>0</v>
      </c>
      <c r="P259" s="875">
        <f t="shared" si="158"/>
        <v>0</v>
      </c>
      <c r="Q259" s="875">
        <f t="shared" si="158"/>
        <v>0</v>
      </c>
      <c r="R259" s="875">
        <f t="shared" si="158"/>
        <v>0</v>
      </c>
      <c r="S259" s="875">
        <f t="shared" si="158"/>
        <v>0</v>
      </c>
      <c r="T259" s="875">
        <f t="shared" si="158"/>
        <v>0</v>
      </c>
      <c r="U259" s="875">
        <f t="shared" si="158"/>
        <v>0</v>
      </c>
      <c r="V259" s="875">
        <f t="shared" si="158"/>
        <v>0</v>
      </c>
      <c r="W259" s="71"/>
      <c r="X259" s="214"/>
      <c r="BB259" s="343"/>
      <c r="BC259" s="69"/>
      <c r="BD259" s="69"/>
      <c r="BL259" s="631"/>
      <c r="BM259" s="177"/>
      <c r="BO259" s="204"/>
      <c r="BR259" s="177"/>
    </row>
    <row r="260" spans="5:70" x14ac:dyDescent="0.25">
      <c r="E260" s="12"/>
      <c r="F260" s="71"/>
      <c r="G260" s="806" t="s">
        <v>904</v>
      </c>
      <c r="H260" s="875">
        <f t="shared" si="158"/>
        <v>0</v>
      </c>
      <c r="I260" s="875">
        <f>I185-I224</f>
        <v>0</v>
      </c>
      <c r="J260" s="875">
        <f t="shared" si="158"/>
        <v>0</v>
      </c>
      <c r="K260" s="875">
        <f t="shared" si="158"/>
        <v>0</v>
      </c>
      <c r="L260" s="875">
        <f t="shared" si="158"/>
        <v>0</v>
      </c>
      <c r="M260" s="875">
        <f t="shared" si="158"/>
        <v>0</v>
      </c>
      <c r="N260" s="875">
        <f t="shared" si="158"/>
        <v>0</v>
      </c>
      <c r="O260" s="875">
        <f t="shared" si="158"/>
        <v>0</v>
      </c>
      <c r="P260" s="875">
        <f t="shared" si="158"/>
        <v>3498.2693027671339</v>
      </c>
      <c r="Q260" s="875">
        <f t="shared" si="158"/>
        <v>115.6175544391424</v>
      </c>
      <c r="R260" s="875">
        <f t="shared" si="158"/>
        <v>2023.949408532746</v>
      </c>
      <c r="S260" s="875">
        <f t="shared" si="158"/>
        <v>0</v>
      </c>
      <c r="T260" s="875">
        <f t="shared" si="158"/>
        <v>0</v>
      </c>
      <c r="U260" s="875">
        <f t="shared" si="158"/>
        <v>0</v>
      </c>
      <c r="V260" s="875">
        <f t="shared" si="158"/>
        <v>5637.8362657389371</v>
      </c>
      <c r="W260" s="71"/>
      <c r="X260" s="214"/>
      <c r="BB260" s="343"/>
      <c r="BC260" s="69"/>
      <c r="BD260" s="69"/>
      <c r="BL260" s="631"/>
      <c r="BM260" s="177"/>
      <c r="BO260" s="204"/>
      <c r="BR260" s="177"/>
    </row>
    <row r="261" spans="5:70" x14ac:dyDescent="0.25">
      <c r="E261" s="12"/>
      <c r="F261" s="71"/>
      <c r="G261" s="807" t="s">
        <v>905</v>
      </c>
      <c r="H261" s="875">
        <f t="shared" si="158"/>
        <v>0</v>
      </c>
      <c r="I261" s="875">
        <f t="shared" si="158"/>
        <v>0</v>
      </c>
      <c r="J261" s="875">
        <f t="shared" si="158"/>
        <v>0</v>
      </c>
      <c r="K261" s="875">
        <f t="shared" si="158"/>
        <v>0</v>
      </c>
      <c r="L261" s="875">
        <f t="shared" si="158"/>
        <v>0</v>
      </c>
      <c r="M261" s="875">
        <f t="shared" si="158"/>
        <v>0</v>
      </c>
      <c r="N261" s="875">
        <f t="shared" si="158"/>
        <v>0</v>
      </c>
      <c r="O261" s="875">
        <f t="shared" si="158"/>
        <v>0</v>
      </c>
      <c r="P261" s="875">
        <f t="shared" si="158"/>
        <v>0</v>
      </c>
      <c r="Q261" s="875">
        <f t="shared" si="158"/>
        <v>0</v>
      </c>
      <c r="R261" s="875">
        <f t="shared" si="158"/>
        <v>0</v>
      </c>
      <c r="S261" s="875">
        <f t="shared" si="158"/>
        <v>0</v>
      </c>
      <c r="T261" s="875">
        <f t="shared" si="158"/>
        <v>0</v>
      </c>
      <c r="U261" s="875">
        <f t="shared" si="158"/>
        <v>0</v>
      </c>
      <c r="V261" s="875">
        <f t="shared" si="158"/>
        <v>0</v>
      </c>
      <c r="W261" s="71"/>
      <c r="X261" s="214"/>
      <c r="BB261" s="343"/>
      <c r="BC261" s="69"/>
      <c r="BD261" s="69"/>
      <c r="BL261" s="631"/>
      <c r="BM261" s="177"/>
      <c r="BO261" s="204"/>
      <c r="BR261" s="177"/>
    </row>
    <row r="262" spans="5:70" ht="15.75" thickBot="1" x14ac:dyDescent="0.3">
      <c r="E262" s="12"/>
      <c r="F262" s="71"/>
      <c r="G262" s="71" t="s">
        <v>3</v>
      </c>
      <c r="H262" s="876">
        <f t="shared" si="158"/>
        <v>0</v>
      </c>
      <c r="I262" s="876">
        <f t="shared" si="158"/>
        <v>570.81895495252684</v>
      </c>
      <c r="J262" s="876">
        <f t="shared" si="158"/>
        <v>342.07584404380759</v>
      </c>
      <c r="K262" s="876">
        <f t="shared" si="158"/>
        <v>27.252828936478181</v>
      </c>
      <c r="L262" s="876">
        <f t="shared" si="158"/>
        <v>43.762405261175445</v>
      </c>
      <c r="M262" s="876">
        <f t="shared" si="158"/>
        <v>346.03771804072312</v>
      </c>
      <c r="N262" s="876">
        <f t="shared" si="158"/>
        <v>315.80058796844969</v>
      </c>
      <c r="O262" s="876">
        <f t="shared" si="158"/>
        <v>3.2157001583505007</v>
      </c>
      <c r="P262" s="876">
        <f t="shared" si="158"/>
        <v>3498.2693027671339</v>
      </c>
      <c r="Q262" s="876">
        <f t="shared" si="158"/>
        <v>115.61755443914262</v>
      </c>
      <c r="R262" s="876">
        <f t="shared" si="158"/>
        <v>2023.949408532746</v>
      </c>
      <c r="S262" s="876">
        <f t="shared" si="158"/>
        <v>0</v>
      </c>
      <c r="T262" s="876">
        <f t="shared" si="158"/>
        <v>0</v>
      </c>
      <c r="U262" s="876">
        <f t="shared" si="158"/>
        <v>0</v>
      </c>
      <c r="V262" s="876">
        <f t="shared" si="158"/>
        <v>7286.8003051003907</v>
      </c>
      <c r="W262" s="71"/>
      <c r="X262" s="214"/>
      <c r="BB262" s="343"/>
      <c r="BC262" s="69"/>
      <c r="BD262" s="69"/>
      <c r="BL262" s="631"/>
      <c r="BM262" s="177"/>
      <c r="BO262" s="204"/>
      <c r="BR262" s="177"/>
    </row>
    <row r="263" spans="5:70" x14ac:dyDescent="0.25">
      <c r="E263" s="12"/>
      <c r="F263" s="71"/>
      <c r="G263" s="71"/>
      <c r="H263" s="877"/>
      <c r="I263" s="878"/>
      <c r="J263" s="878"/>
      <c r="K263" s="878"/>
      <c r="L263" s="878"/>
      <c r="M263" s="878"/>
      <c r="N263" s="878"/>
      <c r="O263" s="878"/>
      <c r="P263" s="878"/>
      <c r="Q263" s="878"/>
      <c r="R263" s="878"/>
      <c r="S263" s="878"/>
      <c r="T263" s="878"/>
      <c r="U263" s="878"/>
      <c r="V263" s="878"/>
      <c r="W263" s="71"/>
      <c r="X263" s="214"/>
      <c r="BB263" s="343"/>
      <c r="BC263" s="69"/>
      <c r="BD263" s="69"/>
      <c r="BL263" s="631"/>
      <c r="BM263" s="177"/>
      <c r="BO263" s="204"/>
      <c r="BR263" s="177"/>
    </row>
    <row r="264" spans="5:70" x14ac:dyDescent="0.25">
      <c r="E264" s="12"/>
      <c r="F264" s="71"/>
      <c r="G264" s="71"/>
      <c r="H264" s="877"/>
      <c r="I264" s="878"/>
      <c r="J264" s="878"/>
      <c r="K264" s="878"/>
      <c r="L264" s="878"/>
      <c r="M264" s="878"/>
      <c r="N264" s="878"/>
      <c r="O264" s="878"/>
      <c r="P264" s="878"/>
      <c r="Q264" s="878"/>
      <c r="R264" s="878"/>
      <c r="S264" s="878"/>
      <c r="T264" s="878"/>
      <c r="U264" s="878"/>
      <c r="V264" s="878"/>
      <c r="W264" s="71"/>
      <c r="X264" s="214"/>
      <c r="BB264" s="343"/>
      <c r="BC264" s="69"/>
      <c r="BD264" s="69"/>
      <c r="BL264" s="631"/>
      <c r="BM264" s="177"/>
      <c r="BO264" s="204"/>
      <c r="BR264" s="177"/>
    </row>
    <row r="265" spans="5:70" x14ac:dyDescent="0.25">
      <c r="E265" s="12"/>
      <c r="F265" s="71"/>
      <c r="G265" s="71" t="s">
        <v>909</v>
      </c>
      <c r="H265" s="872" t="s">
        <v>2</v>
      </c>
      <c r="I265" s="873" t="s">
        <v>12</v>
      </c>
      <c r="J265" s="873" t="s">
        <v>8</v>
      </c>
      <c r="K265" s="873" t="s">
        <v>165</v>
      </c>
      <c r="L265" s="873" t="s">
        <v>164</v>
      </c>
      <c r="M265" s="873" t="s">
        <v>214</v>
      </c>
      <c r="N265" s="873" t="s">
        <v>18</v>
      </c>
      <c r="O265" s="873" t="s">
        <v>16</v>
      </c>
      <c r="P265" s="873" t="s">
        <v>109</v>
      </c>
      <c r="Q265" s="873" t="s">
        <v>156</v>
      </c>
      <c r="R265" s="873" t="s">
        <v>846</v>
      </c>
      <c r="S265" s="874" t="s">
        <v>910</v>
      </c>
      <c r="T265" s="873" t="s">
        <v>911</v>
      </c>
      <c r="U265" s="873" t="s">
        <v>334</v>
      </c>
      <c r="V265" s="873" t="s">
        <v>3</v>
      </c>
      <c r="W265" s="71"/>
      <c r="X265" s="214"/>
      <c r="BB265" s="343"/>
      <c r="BC265" s="69"/>
      <c r="BD265" s="69"/>
      <c r="BL265" s="631"/>
      <c r="BM265" s="177"/>
      <c r="BO265" s="204"/>
      <c r="BR265" s="177"/>
    </row>
    <row r="266" spans="5:70" x14ac:dyDescent="0.25">
      <c r="E266" s="12"/>
      <c r="F266" s="71"/>
      <c r="G266" s="797" t="s">
        <v>899</v>
      </c>
      <c r="H266" s="875">
        <f t="shared" ref="H266:U272" si="159">ROUND(H191-H230,0)</f>
        <v>1112</v>
      </c>
      <c r="I266" s="875">
        <f t="shared" si="159"/>
        <v>571</v>
      </c>
      <c r="J266" s="875">
        <f t="shared" si="159"/>
        <v>342</v>
      </c>
      <c r="K266" s="875">
        <f t="shared" si="159"/>
        <v>27</v>
      </c>
      <c r="L266" s="875">
        <f t="shared" si="159"/>
        <v>44</v>
      </c>
      <c r="M266" s="875">
        <f t="shared" si="159"/>
        <v>346</v>
      </c>
      <c r="N266" s="875">
        <f t="shared" si="159"/>
        <v>316</v>
      </c>
      <c r="O266" s="875">
        <f t="shared" si="159"/>
        <v>3</v>
      </c>
      <c r="P266" s="875">
        <f t="shared" si="159"/>
        <v>7617</v>
      </c>
      <c r="Q266" s="875">
        <f t="shared" si="159"/>
        <v>256</v>
      </c>
      <c r="R266" s="875">
        <f t="shared" si="159"/>
        <v>4619</v>
      </c>
      <c r="S266" s="875">
        <f t="shared" si="159"/>
        <v>0</v>
      </c>
      <c r="T266" s="875">
        <f t="shared" si="159"/>
        <v>57754</v>
      </c>
      <c r="U266" s="875">
        <f t="shared" si="159"/>
        <v>10983</v>
      </c>
      <c r="V266" s="875">
        <f>SUM(H266:U266)</f>
        <v>83990</v>
      </c>
      <c r="W266" s="71"/>
      <c r="X266" s="214"/>
      <c r="BB266" s="343"/>
      <c r="BC266" s="69"/>
      <c r="BD266" s="69"/>
      <c r="BL266" s="631"/>
      <c r="BM266" s="177"/>
      <c r="BO266" s="204"/>
      <c r="BR266" s="177"/>
    </row>
    <row r="267" spans="5:70" x14ac:dyDescent="0.25">
      <c r="E267" s="12"/>
      <c r="F267" s="71"/>
      <c r="G267" s="801" t="s">
        <v>900</v>
      </c>
      <c r="H267" s="875">
        <f t="shared" si="159"/>
        <v>0</v>
      </c>
      <c r="I267" s="875">
        <f t="shared" si="159"/>
        <v>0</v>
      </c>
      <c r="J267" s="875">
        <f t="shared" si="159"/>
        <v>0</v>
      </c>
      <c r="K267" s="875">
        <f t="shared" si="159"/>
        <v>0</v>
      </c>
      <c r="L267" s="875">
        <f t="shared" si="159"/>
        <v>0</v>
      </c>
      <c r="M267" s="875">
        <f t="shared" si="159"/>
        <v>0</v>
      </c>
      <c r="N267" s="875">
        <f t="shared" si="159"/>
        <v>0</v>
      </c>
      <c r="O267" s="875">
        <f t="shared" si="159"/>
        <v>0</v>
      </c>
      <c r="P267" s="875">
        <f t="shared" si="159"/>
        <v>3498</v>
      </c>
      <c r="Q267" s="875">
        <f t="shared" si="159"/>
        <v>116</v>
      </c>
      <c r="R267" s="875">
        <f t="shared" si="159"/>
        <v>2024</v>
      </c>
      <c r="S267" s="875">
        <f t="shared" si="159"/>
        <v>0</v>
      </c>
      <c r="T267" s="875">
        <f t="shared" si="159"/>
        <v>0</v>
      </c>
      <c r="U267" s="875">
        <f t="shared" si="159"/>
        <v>0</v>
      </c>
      <c r="V267" s="875">
        <f t="shared" ref="V267:V272" si="160">SUM(H267:U267)</f>
        <v>5638</v>
      </c>
      <c r="W267" s="71"/>
      <c r="X267" s="214"/>
      <c r="BB267" s="343"/>
      <c r="BC267" s="69"/>
      <c r="BD267" s="69"/>
      <c r="BL267" s="631"/>
      <c r="BM267" s="177"/>
      <c r="BO267" s="204"/>
      <c r="BR267" s="177"/>
    </row>
    <row r="268" spans="5:70" x14ac:dyDescent="0.25">
      <c r="E268" s="12"/>
      <c r="F268" s="71"/>
      <c r="G268" s="803" t="s">
        <v>901</v>
      </c>
      <c r="H268" s="875">
        <f t="shared" si="159"/>
        <v>0</v>
      </c>
      <c r="I268" s="875">
        <f t="shared" si="159"/>
        <v>0</v>
      </c>
      <c r="J268" s="875">
        <f t="shared" si="159"/>
        <v>0</v>
      </c>
      <c r="K268" s="875">
        <f t="shared" si="159"/>
        <v>0</v>
      </c>
      <c r="L268" s="875">
        <f t="shared" si="159"/>
        <v>0</v>
      </c>
      <c r="M268" s="875">
        <f t="shared" si="159"/>
        <v>0</v>
      </c>
      <c r="N268" s="875">
        <f t="shared" si="159"/>
        <v>0</v>
      </c>
      <c r="O268" s="875">
        <f t="shared" si="159"/>
        <v>0</v>
      </c>
      <c r="P268" s="875">
        <f t="shared" si="159"/>
        <v>8702</v>
      </c>
      <c r="Q268" s="875">
        <f t="shared" si="159"/>
        <v>288</v>
      </c>
      <c r="R268" s="875">
        <f t="shared" si="159"/>
        <v>5034</v>
      </c>
      <c r="S268" s="875">
        <f t="shared" si="159"/>
        <v>0</v>
      </c>
      <c r="T268" s="875">
        <f t="shared" si="159"/>
        <v>0</v>
      </c>
      <c r="U268" s="875">
        <f t="shared" si="159"/>
        <v>0</v>
      </c>
      <c r="V268" s="875">
        <f t="shared" si="160"/>
        <v>14024</v>
      </c>
      <c r="W268" s="71"/>
      <c r="X268" s="214"/>
      <c r="BB268" s="343"/>
      <c r="BC268" s="69"/>
      <c r="BD268" s="69"/>
      <c r="BL268" s="631"/>
      <c r="BM268" s="177"/>
      <c r="BO268" s="204"/>
      <c r="BR268" s="177"/>
    </row>
    <row r="269" spans="5:70" x14ac:dyDescent="0.25">
      <c r="E269" s="12"/>
      <c r="F269" s="71"/>
      <c r="G269" s="804" t="s">
        <v>902</v>
      </c>
      <c r="H269" s="875">
        <f t="shared" si="159"/>
        <v>0</v>
      </c>
      <c r="I269" s="875">
        <f t="shared" si="159"/>
        <v>0</v>
      </c>
      <c r="J269" s="875">
        <f t="shared" si="159"/>
        <v>0</v>
      </c>
      <c r="K269" s="875">
        <f t="shared" si="159"/>
        <v>0</v>
      </c>
      <c r="L269" s="875">
        <f t="shared" si="159"/>
        <v>0</v>
      </c>
      <c r="M269" s="875">
        <f t="shared" si="159"/>
        <v>0</v>
      </c>
      <c r="N269" s="875">
        <f t="shared" si="159"/>
        <v>0</v>
      </c>
      <c r="O269" s="875">
        <f t="shared" si="159"/>
        <v>0</v>
      </c>
      <c r="P269" s="875">
        <f t="shared" si="159"/>
        <v>0</v>
      </c>
      <c r="Q269" s="875">
        <f t="shared" si="159"/>
        <v>0</v>
      </c>
      <c r="R269" s="875">
        <f t="shared" si="159"/>
        <v>0</v>
      </c>
      <c r="S269" s="875">
        <f t="shared" si="159"/>
        <v>0</v>
      </c>
      <c r="T269" s="875">
        <f t="shared" si="159"/>
        <v>0</v>
      </c>
      <c r="U269" s="875">
        <f t="shared" si="159"/>
        <v>0</v>
      </c>
      <c r="V269" s="875">
        <f t="shared" si="160"/>
        <v>0</v>
      </c>
      <c r="W269" s="71"/>
      <c r="X269" s="214"/>
      <c r="BB269" s="343"/>
      <c r="BC269" s="69"/>
      <c r="BD269" s="69"/>
      <c r="BL269" s="631"/>
      <c r="BM269" s="177"/>
      <c r="BO269" s="204"/>
      <c r="BR269" s="177"/>
    </row>
    <row r="270" spans="5:70" x14ac:dyDescent="0.25">
      <c r="E270" s="12"/>
      <c r="F270" s="71"/>
      <c r="G270" s="805" t="s">
        <v>903</v>
      </c>
      <c r="H270" s="875">
        <f t="shared" si="159"/>
        <v>0</v>
      </c>
      <c r="I270" s="875">
        <f t="shared" si="159"/>
        <v>0</v>
      </c>
      <c r="J270" s="875">
        <f t="shared" si="159"/>
        <v>0</v>
      </c>
      <c r="K270" s="875">
        <f t="shared" si="159"/>
        <v>0</v>
      </c>
      <c r="L270" s="875">
        <f t="shared" si="159"/>
        <v>0</v>
      </c>
      <c r="M270" s="875">
        <f t="shared" si="159"/>
        <v>0</v>
      </c>
      <c r="N270" s="875">
        <f t="shared" si="159"/>
        <v>0</v>
      </c>
      <c r="O270" s="875">
        <f t="shared" si="159"/>
        <v>0</v>
      </c>
      <c r="P270" s="875">
        <f t="shared" si="159"/>
        <v>0</v>
      </c>
      <c r="Q270" s="875">
        <f t="shared" si="159"/>
        <v>0</v>
      </c>
      <c r="R270" s="875">
        <f t="shared" si="159"/>
        <v>0</v>
      </c>
      <c r="S270" s="875">
        <f t="shared" si="159"/>
        <v>0</v>
      </c>
      <c r="T270" s="875">
        <f t="shared" si="159"/>
        <v>0</v>
      </c>
      <c r="U270" s="875">
        <f t="shared" si="159"/>
        <v>0</v>
      </c>
      <c r="V270" s="875">
        <f t="shared" si="160"/>
        <v>0</v>
      </c>
      <c r="W270" s="71"/>
      <c r="X270" s="214"/>
      <c r="BB270" s="343"/>
      <c r="BC270" s="69"/>
      <c r="BD270" s="69"/>
      <c r="BL270" s="631"/>
      <c r="BM270" s="177"/>
      <c r="BO270" s="204"/>
      <c r="BR270" s="177"/>
    </row>
    <row r="271" spans="5:70" x14ac:dyDescent="0.25">
      <c r="E271" s="12"/>
      <c r="F271" s="71"/>
      <c r="G271" s="806" t="s">
        <v>904</v>
      </c>
      <c r="H271" s="875">
        <f t="shared" si="159"/>
        <v>0</v>
      </c>
      <c r="I271" s="875">
        <f t="shared" si="159"/>
        <v>0</v>
      </c>
      <c r="J271" s="875">
        <f t="shared" si="159"/>
        <v>0</v>
      </c>
      <c r="K271" s="875">
        <f t="shared" si="159"/>
        <v>0</v>
      </c>
      <c r="L271" s="875">
        <f t="shared" si="159"/>
        <v>0</v>
      </c>
      <c r="M271" s="875">
        <f t="shared" si="159"/>
        <v>0</v>
      </c>
      <c r="N271" s="875">
        <f t="shared" si="159"/>
        <v>0</v>
      </c>
      <c r="O271" s="875">
        <f t="shared" si="159"/>
        <v>0</v>
      </c>
      <c r="P271" s="875">
        <f t="shared" si="159"/>
        <v>0</v>
      </c>
      <c r="Q271" s="875">
        <f t="shared" si="159"/>
        <v>0</v>
      </c>
      <c r="R271" s="875">
        <f t="shared" si="159"/>
        <v>0</v>
      </c>
      <c r="S271" s="875">
        <f t="shared" si="159"/>
        <v>0</v>
      </c>
      <c r="T271" s="875">
        <f t="shared" si="159"/>
        <v>0</v>
      </c>
      <c r="U271" s="875">
        <f t="shared" si="159"/>
        <v>0</v>
      </c>
      <c r="V271" s="875">
        <f t="shared" si="160"/>
        <v>0</v>
      </c>
      <c r="W271" s="71"/>
      <c r="X271" s="214"/>
      <c r="BB271" s="343"/>
      <c r="BC271" s="69"/>
      <c r="BD271" s="69"/>
      <c r="BL271" s="631"/>
      <c r="BM271" s="177"/>
      <c r="BO271" s="204"/>
      <c r="BR271" s="177"/>
    </row>
    <row r="272" spans="5:70" x14ac:dyDescent="0.25">
      <c r="E272" s="12"/>
      <c r="F272" s="71"/>
      <c r="G272" s="807" t="s">
        <v>905</v>
      </c>
      <c r="H272" s="875">
        <f t="shared" si="159"/>
        <v>0</v>
      </c>
      <c r="I272" s="875">
        <f t="shared" si="159"/>
        <v>0</v>
      </c>
      <c r="J272" s="875">
        <f t="shared" si="159"/>
        <v>0</v>
      </c>
      <c r="K272" s="875">
        <f t="shared" si="159"/>
        <v>0</v>
      </c>
      <c r="L272" s="875">
        <f t="shared" si="159"/>
        <v>0</v>
      </c>
      <c r="M272" s="875">
        <f t="shared" si="159"/>
        <v>0</v>
      </c>
      <c r="N272" s="875">
        <f t="shared" si="159"/>
        <v>0</v>
      </c>
      <c r="O272" s="875">
        <f t="shared" si="159"/>
        <v>0</v>
      </c>
      <c r="P272" s="875">
        <f t="shared" si="159"/>
        <v>0</v>
      </c>
      <c r="Q272" s="875">
        <f t="shared" si="159"/>
        <v>0</v>
      </c>
      <c r="R272" s="875">
        <f t="shared" si="159"/>
        <v>0</v>
      </c>
      <c r="S272" s="875">
        <f t="shared" si="159"/>
        <v>0</v>
      </c>
      <c r="T272" s="875">
        <f t="shared" si="159"/>
        <v>0</v>
      </c>
      <c r="U272" s="875">
        <f t="shared" si="159"/>
        <v>0</v>
      </c>
      <c r="V272" s="875">
        <f t="shared" si="160"/>
        <v>0</v>
      </c>
      <c r="W272" s="71"/>
      <c r="X272" s="214"/>
      <c r="BB272" s="343"/>
      <c r="BC272" s="69"/>
      <c r="BD272" s="69"/>
      <c r="BL272" s="631"/>
      <c r="BM272" s="177"/>
      <c r="BO272" s="204"/>
      <c r="BR272" s="177"/>
    </row>
    <row r="273" spans="5:70" ht="15.75" thickBot="1" x14ac:dyDescent="0.3">
      <c r="E273" s="12"/>
      <c r="F273" s="71"/>
      <c r="G273" s="71" t="s">
        <v>3</v>
      </c>
      <c r="H273" s="876">
        <f>SUM(H266:H272)</f>
        <v>1112</v>
      </c>
      <c r="I273" s="876">
        <f t="shared" ref="I273:V273" si="161">SUM(I266:I272)</f>
        <v>571</v>
      </c>
      <c r="J273" s="876">
        <f t="shared" si="161"/>
        <v>342</v>
      </c>
      <c r="K273" s="876">
        <f t="shared" si="161"/>
        <v>27</v>
      </c>
      <c r="L273" s="876">
        <f t="shared" si="161"/>
        <v>44</v>
      </c>
      <c r="M273" s="876">
        <f t="shared" si="161"/>
        <v>346</v>
      </c>
      <c r="N273" s="876">
        <f t="shared" si="161"/>
        <v>316</v>
      </c>
      <c r="O273" s="876">
        <f t="shared" si="161"/>
        <v>3</v>
      </c>
      <c r="P273" s="876">
        <f t="shared" si="161"/>
        <v>19817</v>
      </c>
      <c r="Q273" s="876">
        <f t="shared" si="161"/>
        <v>660</v>
      </c>
      <c r="R273" s="876">
        <f t="shared" si="161"/>
        <v>11677</v>
      </c>
      <c r="S273" s="876">
        <f t="shared" si="161"/>
        <v>0</v>
      </c>
      <c r="T273" s="876">
        <f t="shared" si="161"/>
        <v>57754</v>
      </c>
      <c r="U273" s="876">
        <f t="shared" si="161"/>
        <v>10983</v>
      </c>
      <c r="V273" s="876">
        <f t="shared" si="161"/>
        <v>103652</v>
      </c>
      <c r="W273" s="71"/>
      <c r="X273" s="214"/>
      <c r="BB273" s="343"/>
      <c r="BC273" s="69"/>
      <c r="BD273" s="69"/>
      <c r="BL273" s="631"/>
      <c r="BM273" s="177"/>
      <c r="BO273" s="204"/>
      <c r="BR273" s="177"/>
    </row>
    <row r="274" spans="5:70" ht="15.75" thickBot="1" x14ac:dyDescent="0.3">
      <c r="E274" s="9"/>
      <c r="F274" s="7"/>
      <c r="G274" s="7"/>
      <c r="H274" s="864"/>
      <c r="I274" s="7"/>
      <c r="J274" s="7"/>
      <c r="K274" s="7"/>
      <c r="L274" s="7"/>
      <c r="M274" s="7"/>
      <c r="N274" s="7"/>
      <c r="O274" s="7"/>
      <c r="P274" s="7"/>
      <c r="Q274" s="7"/>
      <c r="R274" s="7"/>
      <c r="S274" s="7"/>
      <c r="T274" s="7"/>
      <c r="U274" s="7"/>
      <c r="V274" s="7"/>
      <c r="W274" s="7"/>
      <c r="X274" s="230"/>
      <c r="BB274" s="343"/>
      <c r="BC274" s="69"/>
      <c r="BD274" s="69"/>
      <c r="BL274" s="631"/>
      <c r="BM274" s="177"/>
      <c r="BO274" s="204"/>
      <c r="BR274" s="177"/>
    </row>
    <row r="275" spans="5:70" x14ac:dyDescent="0.25">
      <c r="H275" s="343"/>
      <c r="I275" s="69"/>
      <c r="BB275" s="241"/>
      <c r="BC275" s="177"/>
      <c r="BL275" s="631"/>
      <c r="BM275" s="177"/>
      <c r="BO275" s="204"/>
      <c r="BR275" s="177"/>
    </row>
    <row r="276" spans="5:70" x14ac:dyDescent="0.25">
      <c r="H276" s="343"/>
      <c r="I276" s="69"/>
      <c r="BB276" s="241"/>
      <c r="BC276" s="177"/>
      <c r="BL276" s="631"/>
      <c r="BM276" s="177"/>
      <c r="BO276" s="204"/>
      <c r="BR276" s="177"/>
    </row>
    <row r="277" spans="5:70" x14ac:dyDescent="0.25">
      <c r="H277" s="343"/>
      <c r="I277" s="69"/>
      <c r="BB277" s="241"/>
      <c r="BC277" s="177"/>
      <c r="BL277" s="631"/>
      <c r="BM277" s="177"/>
      <c r="BO277" s="204"/>
      <c r="BR277" s="177"/>
    </row>
    <row r="278" spans="5:70" x14ac:dyDescent="0.25">
      <c r="H278" s="343"/>
      <c r="I278" s="69"/>
    </row>
    <row r="279" spans="5:70" x14ac:dyDescent="0.25">
      <c r="H279" s="343"/>
      <c r="I279" s="69"/>
    </row>
    <row r="280" spans="5:70" x14ac:dyDescent="0.25">
      <c r="H280" s="343"/>
      <c r="I280" s="69"/>
    </row>
    <row r="281" spans="5:70" x14ac:dyDescent="0.25">
      <c r="H281" s="343"/>
      <c r="I281" s="69"/>
    </row>
    <row r="282" spans="5:70" x14ac:dyDescent="0.25">
      <c r="H282" s="343"/>
      <c r="I282" s="69"/>
    </row>
    <row r="283" spans="5:70" x14ac:dyDescent="0.25">
      <c r="H283" s="343"/>
      <c r="I283" s="69"/>
    </row>
    <row r="284" spans="5:70" x14ac:dyDescent="0.25">
      <c r="H284" s="343"/>
      <c r="I284" s="69"/>
    </row>
    <row r="285" spans="5:70" x14ac:dyDescent="0.25">
      <c r="H285" s="343"/>
      <c r="I285" s="69"/>
    </row>
    <row r="286" spans="5:70" x14ac:dyDescent="0.25">
      <c r="H286" s="343"/>
      <c r="I286" s="69"/>
    </row>
    <row r="287" spans="5:70" x14ac:dyDescent="0.25">
      <c r="H287" s="343"/>
      <c r="I287" s="69"/>
    </row>
    <row r="288" spans="5:70" x14ac:dyDescent="0.25">
      <c r="H288" s="343"/>
      <c r="I288" s="69"/>
    </row>
    <row r="289" spans="8:9" x14ac:dyDescent="0.25">
      <c r="H289" s="343"/>
      <c r="I289" s="69"/>
    </row>
    <row r="290" spans="8:9" x14ac:dyDescent="0.25">
      <c r="H290" s="343"/>
      <c r="I290" s="69"/>
    </row>
    <row r="291" spans="8:9" x14ac:dyDescent="0.25">
      <c r="H291" s="343"/>
      <c r="I291" s="69"/>
    </row>
    <row r="292" spans="8:9" x14ac:dyDescent="0.25">
      <c r="H292" s="343"/>
      <c r="I292" s="69"/>
    </row>
    <row r="293" spans="8:9" x14ac:dyDescent="0.25">
      <c r="H293" s="343"/>
      <c r="I293" s="69"/>
    </row>
    <row r="294" spans="8:9" x14ac:dyDescent="0.25">
      <c r="H294" s="343"/>
      <c r="I294" s="69"/>
    </row>
    <row r="295" spans="8:9" x14ac:dyDescent="0.25">
      <c r="H295" s="343"/>
      <c r="I295" s="69"/>
    </row>
    <row r="296" spans="8:9" x14ac:dyDescent="0.25">
      <c r="H296" s="343"/>
      <c r="I296" s="69"/>
    </row>
    <row r="297" spans="8:9" x14ac:dyDescent="0.25">
      <c r="H297" s="343"/>
      <c r="I297" s="69"/>
    </row>
    <row r="298" spans="8:9" x14ac:dyDescent="0.25">
      <c r="H298" s="343"/>
      <c r="I298" s="69"/>
    </row>
    <row r="299" spans="8:9" x14ac:dyDescent="0.25">
      <c r="H299" s="343"/>
      <c r="I299" s="69"/>
    </row>
    <row r="300" spans="8:9" x14ac:dyDescent="0.25">
      <c r="H300" s="343"/>
      <c r="I300" s="69"/>
    </row>
    <row r="301" spans="8:9" x14ac:dyDescent="0.25">
      <c r="H301" s="343"/>
      <c r="I301" s="69"/>
    </row>
    <row r="302" spans="8:9" x14ac:dyDescent="0.25">
      <c r="H302" s="343"/>
      <c r="I302" s="69"/>
    </row>
    <row r="303" spans="8:9" x14ac:dyDescent="0.25">
      <c r="H303" s="343"/>
      <c r="I303" s="69"/>
    </row>
    <row r="304" spans="8:9" x14ac:dyDescent="0.25">
      <c r="H304" s="343"/>
      <c r="I304" s="69"/>
    </row>
    <row r="305" spans="8:9" x14ac:dyDescent="0.25">
      <c r="H305" s="343"/>
      <c r="I305" s="69"/>
    </row>
    <row r="306" spans="8:9" x14ac:dyDescent="0.25">
      <c r="H306" s="343"/>
      <c r="I306" s="69"/>
    </row>
    <row r="307" spans="8:9" x14ac:dyDescent="0.25">
      <c r="H307" s="343"/>
      <c r="I307" s="69"/>
    </row>
    <row r="308" spans="8:9" x14ac:dyDescent="0.25">
      <c r="H308" s="343"/>
      <c r="I308" s="69"/>
    </row>
    <row r="309" spans="8:9" x14ac:dyDescent="0.25">
      <c r="H309" s="343"/>
      <c r="I309" s="69"/>
    </row>
    <row r="310" spans="8:9" x14ac:dyDescent="0.25">
      <c r="H310" s="343"/>
      <c r="I310" s="69"/>
    </row>
    <row r="311" spans="8:9" x14ac:dyDescent="0.25">
      <c r="H311" s="343"/>
      <c r="I311" s="69"/>
    </row>
    <row r="312" spans="8:9" x14ac:dyDescent="0.25">
      <c r="H312" s="343"/>
      <c r="I312" s="69"/>
    </row>
    <row r="313" spans="8:9" x14ac:dyDescent="0.25">
      <c r="H313" s="343"/>
      <c r="I313" s="69"/>
    </row>
    <row r="314" spans="8:9" x14ac:dyDescent="0.25">
      <c r="H314" s="343"/>
      <c r="I314" s="69"/>
    </row>
    <row r="315" spans="8:9" x14ac:dyDescent="0.25">
      <c r="H315" s="343"/>
      <c r="I315" s="69"/>
    </row>
    <row r="316" spans="8:9" x14ac:dyDescent="0.25">
      <c r="H316" s="343"/>
      <c r="I316" s="69"/>
    </row>
    <row r="317" spans="8:9" x14ac:dyDescent="0.25">
      <c r="H317" s="343"/>
      <c r="I317" s="69"/>
    </row>
    <row r="318" spans="8:9" x14ac:dyDescent="0.25">
      <c r="H318" s="343"/>
      <c r="I318" s="69"/>
    </row>
    <row r="319" spans="8:9" x14ac:dyDescent="0.25">
      <c r="H319" s="343"/>
      <c r="I319" s="69"/>
    </row>
    <row r="320" spans="8:9" x14ac:dyDescent="0.25">
      <c r="H320" s="343"/>
      <c r="I320" s="69"/>
    </row>
    <row r="321" spans="8:9" x14ac:dyDescent="0.25">
      <c r="H321" s="343"/>
      <c r="I321" s="69"/>
    </row>
    <row r="322" spans="8:9" x14ac:dyDescent="0.25">
      <c r="H322" s="343"/>
      <c r="I322" s="69"/>
    </row>
    <row r="323" spans="8:9" x14ac:dyDescent="0.25">
      <c r="H323" s="343"/>
      <c r="I323" s="69"/>
    </row>
    <row r="324" spans="8:9" x14ac:dyDescent="0.25">
      <c r="H324" s="343"/>
      <c r="I324" s="69"/>
    </row>
    <row r="325" spans="8:9" x14ac:dyDescent="0.25">
      <c r="H325" s="343"/>
      <c r="I325" s="69"/>
    </row>
    <row r="326" spans="8:9" x14ac:dyDescent="0.25">
      <c r="H326" s="343"/>
      <c r="I326" s="69"/>
    </row>
    <row r="327" spans="8:9" x14ac:dyDescent="0.25">
      <c r="H327" s="343"/>
      <c r="I327" s="69"/>
    </row>
    <row r="328" spans="8:9" x14ac:dyDescent="0.25">
      <c r="H328" s="343"/>
      <c r="I328" s="69"/>
    </row>
    <row r="329" spans="8:9" x14ac:dyDescent="0.25">
      <c r="H329" s="343"/>
      <c r="I329" s="69"/>
    </row>
    <row r="330" spans="8:9" x14ac:dyDescent="0.25">
      <c r="H330" s="343"/>
      <c r="I330" s="69"/>
    </row>
    <row r="331" spans="8:9" x14ac:dyDescent="0.25">
      <c r="H331" s="343"/>
      <c r="I331" s="69"/>
    </row>
    <row r="332" spans="8:9" x14ac:dyDescent="0.25">
      <c r="H332" s="343"/>
      <c r="I332" s="69"/>
    </row>
    <row r="333" spans="8:9" x14ac:dyDescent="0.25">
      <c r="H333" s="343"/>
      <c r="I333" s="69"/>
    </row>
    <row r="334" spans="8:9" x14ac:dyDescent="0.25">
      <c r="H334" s="343"/>
      <c r="I334" s="69"/>
    </row>
    <row r="335" spans="8:9" x14ac:dyDescent="0.25">
      <c r="H335" s="343"/>
      <c r="I335" s="69"/>
    </row>
    <row r="336" spans="8:9" x14ac:dyDescent="0.25">
      <c r="H336" s="343"/>
      <c r="I336" s="69"/>
    </row>
    <row r="337" spans="8:9" x14ac:dyDescent="0.25">
      <c r="H337" s="343"/>
      <c r="I337" s="69"/>
    </row>
    <row r="338" spans="8:9" x14ac:dyDescent="0.25">
      <c r="H338" s="343"/>
      <c r="I338" s="69"/>
    </row>
    <row r="339" spans="8:9" x14ac:dyDescent="0.25">
      <c r="H339" s="343"/>
      <c r="I339" s="69"/>
    </row>
    <row r="340" spans="8:9" x14ac:dyDescent="0.25">
      <c r="H340" s="343"/>
      <c r="I340" s="69"/>
    </row>
    <row r="341" spans="8:9" x14ac:dyDescent="0.25">
      <c r="H341" s="343"/>
      <c r="I341" s="69"/>
    </row>
    <row r="342" spans="8:9" x14ac:dyDescent="0.25">
      <c r="H342" s="343"/>
      <c r="I342" s="69"/>
    </row>
    <row r="343" spans="8:9" x14ac:dyDescent="0.25">
      <c r="H343" s="343"/>
      <c r="I343" s="69"/>
    </row>
    <row r="344" spans="8:9" x14ac:dyDescent="0.25">
      <c r="H344" s="343"/>
      <c r="I344" s="69"/>
    </row>
    <row r="345" spans="8:9" x14ac:dyDescent="0.25">
      <c r="H345" s="343"/>
      <c r="I345" s="69"/>
    </row>
    <row r="346" spans="8:9" x14ac:dyDescent="0.25">
      <c r="H346" s="343"/>
      <c r="I346" s="69"/>
    </row>
    <row r="347" spans="8:9" x14ac:dyDescent="0.25">
      <c r="H347" s="343"/>
      <c r="I347" s="69"/>
    </row>
    <row r="348" spans="8:9" x14ac:dyDescent="0.25">
      <c r="H348" s="343"/>
      <c r="I348" s="69"/>
    </row>
    <row r="349" spans="8:9" x14ac:dyDescent="0.25">
      <c r="H349" s="343"/>
      <c r="I349" s="69"/>
    </row>
    <row r="350" spans="8:9" x14ac:dyDescent="0.25">
      <c r="H350" s="343"/>
      <c r="I350" s="69"/>
    </row>
    <row r="351" spans="8:9" x14ac:dyDescent="0.25">
      <c r="H351" s="343"/>
      <c r="I351" s="69"/>
    </row>
    <row r="352" spans="8:9" x14ac:dyDescent="0.25">
      <c r="H352" s="343"/>
      <c r="I352" s="69"/>
    </row>
    <row r="353" spans="8:9" x14ac:dyDescent="0.25">
      <c r="H353" s="343"/>
      <c r="I353" s="69"/>
    </row>
    <row r="354" spans="8:9" x14ac:dyDescent="0.25">
      <c r="H354" s="343"/>
      <c r="I354" s="69"/>
    </row>
    <row r="355" spans="8:9" x14ac:dyDescent="0.25">
      <c r="H355" s="343"/>
      <c r="I355" s="69"/>
    </row>
    <row r="356" spans="8:9" x14ac:dyDescent="0.25">
      <c r="H356" s="343"/>
      <c r="I356" s="69"/>
    </row>
    <row r="357" spans="8:9" x14ac:dyDescent="0.25">
      <c r="H357" s="343"/>
      <c r="I357" s="69"/>
    </row>
    <row r="358" spans="8:9" x14ac:dyDescent="0.25">
      <c r="H358" s="343"/>
      <c r="I358" s="69"/>
    </row>
    <row r="359" spans="8:9" x14ac:dyDescent="0.25">
      <c r="H359" s="343"/>
      <c r="I359" s="69"/>
    </row>
    <row r="360" spans="8:9" x14ac:dyDescent="0.25">
      <c r="H360" s="343"/>
      <c r="I360" s="69"/>
    </row>
    <row r="361" spans="8:9" x14ac:dyDescent="0.25">
      <c r="H361" s="343"/>
      <c r="I361" s="69"/>
    </row>
    <row r="362" spans="8:9" x14ac:dyDescent="0.25">
      <c r="H362" s="343"/>
      <c r="I362" s="69"/>
    </row>
    <row r="363" spans="8:9" x14ac:dyDescent="0.25">
      <c r="H363" s="343"/>
      <c r="I363" s="69"/>
    </row>
    <row r="364" spans="8:9" x14ac:dyDescent="0.25">
      <c r="H364" s="343"/>
      <c r="I364" s="69"/>
    </row>
    <row r="365" spans="8:9" x14ac:dyDescent="0.25">
      <c r="H365" s="343"/>
      <c r="I365" s="69"/>
    </row>
    <row r="366" spans="8:9" x14ac:dyDescent="0.25">
      <c r="H366" s="343"/>
      <c r="I366" s="69"/>
    </row>
    <row r="367" spans="8:9" x14ac:dyDescent="0.25">
      <c r="H367" s="343"/>
      <c r="I367" s="69"/>
    </row>
    <row r="368" spans="8:9" x14ac:dyDescent="0.25">
      <c r="H368" s="343"/>
      <c r="I368" s="69"/>
    </row>
    <row r="369" spans="8:9" x14ac:dyDescent="0.25">
      <c r="H369" s="343"/>
      <c r="I369" s="69"/>
    </row>
    <row r="370" spans="8:9" x14ac:dyDescent="0.25">
      <c r="H370" s="343"/>
      <c r="I370" s="69"/>
    </row>
    <row r="371" spans="8:9" x14ac:dyDescent="0.25">
      <c r="H371" s="343"/>
      <c r="I371" s="69"/>
    </row>
    <row r="372" spans="8:9" x14ac:dyDescent="0.25">
      <c r="H372" s="343"/>
      <c r="I372" s="69"/>
    </row>
    <row r="373" spans="8:9" x14ac:dyDescent="0.25">
      <c r="H373" s="343"/>
      <c r="I373" s="69"/>
    </row>
    <row r="374" spans="8:9" x14ac:dyDescent="0.25">
      <c r="H374" s="343"/>
      <c r="I374" s="69"/>
    </row>
    <row r="375" spans="8:9" x14ac:dyDescent="0.25">
      <c r="H375" s="343"/>
      <c r="I375" s="69"/>
    </row>
    <row r="376" spans="8:9" x14ac:dyDescent="0.25">
      <c r="H376" s="343"/>
      <c r="I376" s="69"/>
    </row>
    <row r="377" spans="8:9" x14ac:dyDescent="0.25">
      <c r="H377" s="343"/>
      <c r="I377" s="69"/>
    </row>
    <row r="378" spans="8:9" x14ac:dyDescent="0.25">
      <c r="H378" s="343"/>
      <c r="I378" s="69"/>
    </row>
    <row r="379" spans="8:9" x14ac:dyDescent="0.25">
      <c r="H379" s="343"/>
      <c r="I379" s="69"/>
    </row>
    <row r="380" spans="8:9" x14ac:dyDescent="0.25">
      <c r="H380" s="343"/>
      <c r="I380" s="69"/>
    </row>
    <row r="381" spans="8:9" x14ac:dyDescent="0.25">
      <c r="H381" s="343"/>
      <c r="I381" s="69"/>
    </row>
    <row r="382" spans="8:9" x14ac:dyDescent="0.25">
      <c r="H382" s="343"/>
      <c r="I382" s="69"/>
    </row>
    <row r="383" spans="8:9" x14ac:dyDescent="0.25">
      <c r="H383" s="343"/>
      <c r="I383" s="69"/>
    </row>
    <row r="384" spans="8:9" x14ac:dyDescent="0.25">
      <c r="H384" s="343"/>
      <c r="I384" s="69"/>
    </row>
    <row r="385" spans="8:9" x14ac:dyDescent="0.25">
      <c r="H385" s="343"/>
      <c r="I385" s="69"/>
    </row>
    <row r="386" spans="8:9" x14ac:dyDescent="0.25">
      <c r="H386" s="343"/>
      <c r="I386" s="69"/>
    </row>
    <row r="387" spans="8:9" x14ac:dyDescent="0.25">
      <c r="H387" s="343"/>
      <c r="I387" s="69"/>
    </row>
    <row r="388" spans="8:9" x14ac:dyDescent="0.25">
      <c r="H388" s="343"/>
      <c r="I388" s="69"/>
    </row>
    <row r="389" spans="8:9" x14ac:dyDescent="0.25">
      <c r="H389" s="343"/>
      <c r="I389" s="69"/>
    </row>
    <row r="390" spans="8:9" x14ac:dyDescent="0.25">
      <c r="H390" s="343"/>
      <c r="I390" s="69"/>
    </row>
    <row r="391" spans="8:9" x14ac:dyDescent="0.25">
      <c r="H391" s="343"/>
      <c r="I391" s="69"/>
    </row>
    <row r="392" spans="8:9" x14ac:dyDescent="0.25">
      <c r="H392" s="343"/>
      <c r="I392" s="69"/>
    </row>
    <row r="393" spans="8:9" x14ac:dyDescent="0.25">
      <c r="H393" s="343"/>
      <c r="I393" s="69"/>
    </row>
    <row r="394" spans="8:9" x14ac:dyDescent="0.25">
      <c r="H394" s="343"/>
      <c r="I394" s="69"/>
    </row>
    <row r="395" spans="8:9" x14ac:dyDescent="0.25">
      <c r="H395" s="343"/>
      <c r="I395" s="69"/>
    </row>
    <row r="396" spans="8:9" x14ac:dyDescent="0.25">
      <c r="H396" s="343"/>
      <c r="I396" s="69"/>
    </row>
    <row r="397" spans="8:9" x14ac:dyDescent="0.25">
      <c r="H397" s="343"/>
      <c r="I397" s="69"/>
    </row>
    <row r="398" spans="8:9" x14ac:dyDescent="0.25">
      <c r="H398" s="343"/>
      <c r="I398" s="69"/>
    </row>
    <row r="399" spans="8:9" x14ac:dyDescent="0.25">
      <c r="H399" s="343"/>
      <c r="I399" s="69"/>
    </row>
    <row r="400" spans="8:9" x14ac:dyDescent="0.25">
      <c r="H400" s="343"/>
      <c r="I400" s="69"/>
    </row>
    <row r="401" spans="8:9" x14ac:dyDescent="0.25">
      <c r="H401" s="343"/>
      <c r="I401" s="69"/>
    </row>
    <row r="402" spans="8:9" x14ac:dyDescent="0.25">
      <c r="H402" s="343"/>
      <c r="I402" s="69"/>
    </row>
    <row r="403" spans="8:9" x14ac:dyDescent="0.25">
      <c r="H403" s="343"/>
      <c r="I403" s="69"/>
    </row>
    <row r="404" spans="8:9" x14ac:dyDescent="0.25">
      <c r="H404" s="343"/>
      <c r="I404" s="69"/>
    </row>
    <row r="405" spans="8:9" x14ac:dyDescent="0.25">
      <c r="H405" s="343"/>
      <c r="I405" s="69"/>
    </row>
    <row r="406" spans="8:9" x14ac:dyDescent="0.25">
      <c r="H406" s="343"/>
      <c r="I406" s="69"/>
    </row>
    <row r="407" spans="8:9" x14ac:dyDescent="0.25">
      <c r="H407" s="343"/>
      <c r="I407" s="69"/>
    </row>
    <row r="408" spans="8:9" x14ac:dyDescent="0.25">
      <c r="H408" s="343"/>
      <c r="I408" s="69"/>
    </row>
    <row r="409" spans="8:9" x14ac:dyDescent="0.25">
      <c r="H409" s="343"/>
      <c r="I409" s="69"/>
    </row>
    <row r="410" spans="8:9" x14ac:dyDescent="0.25">
      <c r="H410" s="343"/>
      <c r="I410" s="69"/>
    </row>
    <row r="411" spans="8:9" x14ac:dyDescent="0.25">
      <c r="H411" s="343"/>
      <c r="I411" s="69"/>
    </row>
    <row r="412" spans="8:9" x14ac:dyDescent="0.25">
      <c r="H412" s="343"/>
      <c r="I412" s="69"/>
    </row>
    <row r="413" spans="8:9" x14ac:dyDescent="0.25">
      <c r="H413" s="343"/>
      <c r="I413" s="69"/>
    </row>
    <row r="414" spans="8:9" x14ac:dyDescent="0.25">
      <c r="H414" s="343"/>
      <c r="I414" s="69"/>
    </row>
    <row r="415" spans="8:9" x14ac:dyDescent="0.25">
      <c r="H415" s="343"/>
      <c r="I415" s="69"/>
    </row>
    <row r="416" spans="8:9" x14ac:dyDescent="0.25">
      <c r="H416" s="343"/>
      <c r="I416" s="69"/>
    </row>
    <row r="417" spans="8:9" x14ac:dyDescent="0.25">
      <c r="H417" s="343"/>
      <c r="I417" s="69"/>
    </row>
    <row r="418" spans="8:9" x14ac:dyDescent="0.25">
      <c r="H418" s="343"/>
      <c r="I418" s="69"/>
    </row>
    <row r="419" spans="8:9" x14ac:dyDescent="0.25">
      <c r="H419" s="343"/>
      <c r="I419" s="69"/>
    </row>
    <row r="420" spans="8:9" x14ac:dyDescent="0.25">
      <c r="H420" s="343"/>
      <c r="I420" s="69"/>
    </row>
    <row r="421" spans="8:9" x14ac:dyDescent="0.25">
      <c r="H421" s="343"/>
      <c r="I421" s="69"/>
    </row>
    <row r="422" spans="8:9" x14ac:dyDescent="0.25">
      <c r="H422" s="343"/>
      <c r="I422" s="69"/>
    </row>
    <row r="423" spans="8:9" x14ac:dyDescent="0.25">
      <c r="H423" s="343"/>
      <c r="I423" s="69"/>
    </row>
    <row r="424" spans="8:9" x14ac:dyDescent="0.25">
      <c r="H424" s="343"/>
      <c r="I424" s="69"/>
    </row>
    <row r="425" spans="8:9" x14ac:dyDescent="0.25">
      <c r="H425" s="343"/>
      <c r="I425" s="69"/>
    </row>
    <row r="426" spans="8:9" x14ac:dyDescent="0.25">
      <c r="H426" s="343"/>
      <c r="I426" s="69"/>
    </row>
    <row r="427" spans="8:9" x14ac:dyDescent="0.25">
      <c r="H427" s="343"/>
      <c r="I427" s="69"/>
    </row>
    <row r="428" spans="8:9" x14ac:dyDescent="0.25">
      <c r="H428" s="343"/>
      <c r="I428" s="69"/>
    </row>
    <row r="429" spans="8:9" x14ac:dyDescent="0.25">
      <c r="H429" s="343"/>
      <c r="I429" s="69"/>
    </row>
    <row r="430" spans="8:9" x14ac:dyDescent="0.25">
      <c r="H430" s="343"/>
      <c r="I430" s="69"/>
    </row>
    <row r="431" spans="8:9" x14ac:dyDescent="0.25">
      <c r="H431" s="343"/>
      <c r="I431" s="69"/>
    </row>
    <row r="432" spans="8:9" x14ac:dyDescent="0.25">
      <c r="H432" s="343"/>
      <c r="I432" s="69"/>
    </row>
    <row r="433" spans="8:9" x14ac:dyDescent="0.25">
      <c r="H433" s="343"/>
      <c r="I433" s="69"/>
    </row>
    <row r="434" spans="8:9" x14ac:dyDescent="0.25">
      <c r="H434" s="343"/>
      <c r="I434" s="69"/>
    </row>
    <row r="435" spans="8:9" x14ac:dyDescent="0.25">
      <c r="H435" s="343"/>
      <c r="I435" s="69"/>
    </row>
    <row r="436" spans="8:9" x14ac:dyDescent="0.25">
      <c r="H436" s="343"/>
      <c r="I436" s="69"/>
    </row>
    <row r="437" spans="8:9" x14ac:dyDescent="0.25">
      <c r="H437" s="343"/>
      <c r="I437" s="69"/>
    </row>
    <row r="438" spans="8:9" x14ac:dyDescent="0.25">
      <c r="H438" s="343"/>
      <c r="I438" s="69"/>
    </row>
    <row r="439" spans="8:9" x14ac:dyDescent="0.25">
      <c r="H439" s="343"/>
      <c r="I439" s="69"/>
    </row>
    <row r="440" spans="8:9" x14ac:dyDescent="0.25">
      <c r="H440" s="343"/>
      <c r="I440" s="69"/>
    </row>
    <row r="441" spans="8:9" x14ac:dyDescent="0.25">
      <c r="H441" s="343"/>
      <c r="I441" s="69"/>
    </row>
    <row r="442" spans="8:9" x14ac:dyDescent="0.25">
      <c r="H442" s="343"/>
      <c r="I442" s="69"/>
    </row>
    <row r="443" spans="8:9" x14ac:dyDescent="0.25">
      <c r="H443" s="343"/>
      <c r="I443" s="69"/>
    </row>
    <row r="444" spans="8:9" x14ac:dyDescent="0.25">
      <c r="H444" s="343"/>
      <c r="I444" s="69"/>
    </row>
    <row r="445" spans="8:9" x14ac:dyDescent="0.25">
      <c r="H445" s="343"/>
      <c r="I445" s="69"/>
    </row>
    <row r="446" spans="8:9" x14ac:dyDescent="0.25">
      <c r="H446" s="343"/>
      <c r="I446" s="69"/>
    </row>
    <row r="447" spans="8:9" x14ac:dyDescent="0.25">
      <c r="H447" s="343"/>
      <c r="I447" s="69"/>
    </row>
    <row r="448" spans="8:9" x14ac:dyDescent="0.25">
      <c r="H448" s="343"/>
      <c r="I448" s="69"/>
    </row>
    <row r="449" spans="8:9" x14ac:dyDescent="0.25">
      <c r="H449" s="343"/>
      <c r="I449" s="69"/>
    </row>
    <row r="450" spans="8:9" x14ac:dyDescent="0.25">
      <c r="H450" s="343"/>
      <c r="I450" s="69"/>
    </row>
    <row r="451" spans="8:9" x14ac:dyDescent="0.25">
      <c r="H451" s="343"/>
      <c r="I451" s="69"/>
    </row>
    <row r="452" spans="8:9" x14ac:dyDescent="0.25">
      <c r="H452" s="343"/>
      <c r="I452" s="69"/>
    </row>
    <row r="453" spans="8:9" x14ac:dyDescent="0.25">
      <c r="H453" s="343"/>
      <c r="I453" s="69"/>
    </row>
    <row r="454" spans="8:9" x14ac:dyDescent="0.25">
      <c r="H454" s="343"/>
      <c r="I454" s="69"/>
    </row>
    <row r="455" spans="8:9" x14ac:dyDescent="0.25">
      <c r="H455" s="343"/>
      <c r="I455" s="69"/>
    </row>
    <row r="456" spans="8:9" x14ac:dyDescent="0.25">
      <c r="H456" s="343"/>
      <c r="I456" s="69"/>
    </row>
    <row r="457" spans="8:9" x14ac:dyDescent="0.25">
      <c r="H457" s="343"/>
      <c r="I457" s="69"/>
    </row>
    <row r="458" spans="8:9" x14ac:dyDescent="0.25">
      <c r="H458" s="343"/>
      <c r="I458" s="69"/>
    </row>
    <row r="459" spans="8:9" x14ac:dyDescent="0.25">
      <c r="H459" s="343"/>
      <c r="I459" s="69"/>
    </row>
    <row r="460" spans="8:9" x14ac:dyDescent="0.25">
      <c r="H460" s="343"/>
      <c r="I460" s="69"/>
    </row>
    <row r="461" spans="8:9" x14ac:dyDescent="0.25">
      <c r="H461" s="343"/>
      <c r="I461" s="69"/>
    </row>
    <row r="462" spans="8:9" x14ac:dyDescent="0.25">
      <c r="H462" s="343"/>
      <c r="I462" s="69"/>
    </row>
    <row r="463" spans="8:9" x14ac:dyDescent="0.25">
      <c r="H463" s="343"/>
      <c r="I463" s="69"/>
    </row>
    <row r="464" spans="8:9" x14ac:dyDescent="0.25">
      <c r="H464" s="343"/>
      <c r="I464" s="69"/>
    </row>
    <row r="465" spans="8:9" x14ac:dyDescent="0.25">
      <c r="H465" s="343"/>
      <c r="I465" s="69"/>
    </row>
    <row r="466" spans="8:9" x14ac:dyDescent="0.25">
      <c r="H466" s="343"/>
      <c r="I466" s="69"/>
    </row>
    <row r="467" spans="8:9" x14ac:dyDescent="0.25">
      <c r="H467" s="343"/>
      <c r="I467" s="69"/>
    </row>
    <row r="468" spans="8:9" x14ac:dyDescent="0.25">
      <c r="H468" s="343"/>
      <c r="I468" s="69"/>
    </row>
    <row r="469" spans="8:9" x14ac:dyDescent="0.25">
      <c r="H469" s="343"/>
      <c r="I469" s="69"/>
    </row>
    <row r="470" spans="8:9" x14ac:dyDescent="0.25">
      <c r="H470" s="343"/>
      <c r="I470" s="69"/>
    </row>
    <row r="471" spans="8:9" x14ac:dyDescent="0.25">
      <c r="H471" s="343"/>
      <c r="I471" s="69"/>
    </row>
    <row r="472" spans="8:9" x14ac:dyDescent="0.25">
      <c r="H472" s="343"/>
      <c r="I472" s="69"/>
    </row>
    <row r="473" spans="8:9" x14ac:dyDescent="0.25">
      <c r="H473" s="343"/>
      <c r="I473" s="69"/>
    </row>
    <row r="474" spans="8:9" x14ac:dyDescent="0.25">
      <c r="H474" s="343"/>
      <c r="I474" s="69"/>
    </row>
    <row r="475" spans="8:9" x14ac:dyDescent="0.25">
      <c r="H475" s="343"/>
      <c r="I475" s="69"/>
    </row>
    <row r="476" spans="8:9" x14ac:dyDescent="0.25">
      <c r="H476" s="343"/>
      <c r="I476" s="69"/>
    </row>
    <row r="477" spans="8:9" x14ac:dyDescent="0.25">
      <c r="H477" s="343"/>
      <c r="I477" s="69"/>
    </row>
    <row r="478" spans="8:9" x14ac:dyDescent="0.25">
      <c r="H478" s="343"/>
      <c r="I478" s="69"/>
    </row>
    <row r="479" spans="8:9" x14ac:dyDescent="0.25">
      <c r="H479" s="343"/>
      <c r="I479" s="69"/>
    </row>
    <row r="480" spans="8:9" x14ac:dyDescent="0.25">
      <c r="H480" s="343"/>
      <c r="I480" s="69"/>
    </row>
    <row r="481" spans="8:9" x14ac:dyDescent="0.25">
      <c r="H481" s="343"/>
      <c r="I481" s="69"/>
    </row>
    <row r="482" spans="8:9" x14ac:dyDescent="0.25">
      <c r="H482" s="343"/>
      <c r="I482" s="69"/>
    </row>
    <row r="483" spans="8:9" x14ac:dyDescent="0.25">
      <c r="H483" s="343"/>
      <c r="I483" s="69"/>
    </row>
    <row r="484" spans="8:9" x14ac:dyDescent="0.25">
      <c r="H484" s="343"/>
      <c r="I484" s="69"/>
    </row>
    <row r="485" spans="8:9" x14ac:dyDescent="0.25">
      <c r="H485" s="343"/>
      <c r="I485" s="69"/>
    </row>
    <row r="486" spans="8:9" x14ac:dyDescent="0.25">
      <c r="H486" s="343"/>
      <c r="I486" s="69"/>
    </row>
    <row r="487" spans="8:9" x14ac:dyDescent="0.25">
      <c r="H487" s="343"/>
      <c r="I487" s="69"/>
    </row>
    <row r="488" spans="8:9" x14ac:dyDescent="0.25">
      <c r="H488" s="343"/>
      <c r="I488" s="69"/>
    </row>
    <row r="489" spans="8:9" x14ac:dyDescent="0.25">
      <c r="H489" s="343"/>
      <c r="I489" s="69"/>
    </row>
    <row r="490" spans="8:9" x14ac:dyDescent="0.25">
      <c r="H490" s="343"/>
      <c r="I490" s="69"/>
    </row>
    <row r="491" spans="8:9" x14ac:dyDescent="0.25">
      <c r="H491" s="343"/>
      <c r="I491" s="69"/>
    </row>
    <row r="492" spans="8:9" x14ac:dyDescent="0.25">
      <c r="H492" s="343"/>
      <c r="I492" s="69"/>
    </row>
    <row r="493" spans="8:9" x14ac:dyDescent="0.25">
      <c r="H493" s="343"/>
      <c r="I493" s="69"/>
    </row>
    <row r="494" spans="8:9" x14ac:dyDescent="0.25">
      <c r="H494" s="343"/>
      <c r="I494" s="69"/>
    </row>
    <row r="495" spans="8:9" x14ac:dyDescent="0.25">
      <c r="H495" s="343"/>
      <c r="I495" s="69"/>
    </row>
    <row r="496" spans="8:9" x14ac:dyDescent="0.25">
      <c r="H496" s="343"/>
      <c r="I496" s="69"/>
    </row>
    <row r="497" spans="8:9" x14ac:dyDescent="0.25">
      <c r="H497" s="343"/>
      <c r="I497" s="69"/>
    </row>
    <row r="498" spans="8:9" x14ac:dyDescent="0.25">
      <c r="H498" s="343"/>
      <c r="I498" s="69"/>
    </row>
    <row r="499" spans="8:9" x14ac:dyDescent="0.25">
      <c r="H499" s="343"/>
      <c r="I499" s="69"/>
    </row>
    <row r="500" spans="8:9" x14ac:dyDescent="0.25">
      <c r="H500" s="343"/>
      <c r="I500" s="69"/>
    </row>
    <row r="501" spans="8:9" x14ac:dyDescent="0.25">
      <c r="H501" s="343"/>
      <c r="I501" s="69"/>
    </row>
    <row r="502" spans="8:9" x14ac:dyDescent="0.25">
      <c r="H502" s="343"/>
      <c r="I502" s="69"/>
    </row>
    <row r="503" spans="8:9" x14ac:dyDescent="0.25">
      <c r="H503" s="343"/>
      <c r="I503" s="69"/>
    </row>
    <row r="504" spans="8:9" x14ac:dyDescent="0.25">
      <c r="H504" s="343"/>
      <c r="I504" s="69"/>
    </row>
    <row r="505" spans="8:9" x14ac:dyDescent="0.25">
      <c r="H505" s="343"/>
      <c r="I505" s="69"/>
    </row>
    <row r="506" spans="8:9" x14ac:dyDescent="0.25">
      <c r="H506" s="343"/>
      <c r="I506" s="69"/>
    </row>
    <row r="507" spans="8:9" x14ac:dyDescent="0.25">
      <c r="H507" s="343"/>
      <c r="I507" s="69"/>
    </row>
    <row r="508" spans="8:9" x14ac:dyDescent="0.25">
      <c r="H508" s="343"/>
      <c r="I508" s="69"/>
    </row>
    <row r="509" spans="8:9" x14ac:dyDescent="0.25">
      <c r="H509" s="343"/>
      <c r="I509" s="69"/>
    </row>
    <row r="510" spans="8:9" x14ac:dyDescent="0.25">
      <c r="H510" s="343"/>
      <c r="I510" s="69"/>
    </row>
    <row r="511" spans="8:9" x14ac:dyDescent="0.25">
      <c r="H511" s="343"/>
      <c r="I511" s="69"/>
    </row>
    <row r="512" spans="8:9" x14ac:dyDescent="0.25">
      <c r="H512" s="343"/>
      <c r="I512" s="69"/>
    </row>
    <row r="513" spans="8:9" x14ac:dyDescent="0.25">
      <c r="H513" s="343"/>
      <c r="I513" s="69"/>
    </row>
    <row r="514" spans="8:9" x14ac:dyDescent="0.25">
      <c r="H514" s="343"/>
      <c r="I514" s="69"/>
    </row>
    <row r="515" spans="8:9" x14ac:dyDescent="0.25">
      <c r="H515" s="343"/>
      <c r="I515" s="69"/>
    </row>
    <row r="516" spans="8:9" x14ac:dyDescent="0.25">
      <c r="H516" s="343"/>
      <c r="I516" s="69"/>
    </row>
    <row r="517" spans="8:9" x14ac:dyDescent="0.25">
      <c r="H517" s="343"/>
      <c r="I517" s="69"/>
    </row>
    <row r="518" spans="8:9" x14ac:dyDescent="0.25">
      <c r="H518" s="343"/>
      <c r="I518" s="69"/>
    </row>
    <row r="519" spans="8:9" x14ac:dyDescent="0.25">
      <c r="H519" s="343"/>
      <c r="I519" s="69"/>
    </row>
    <row r="520" spans="8:9" x14ac:dyDescent="0.25">
      <c r="H520" s="343"/>
      <c r="I520" s="69"/>
    </row>
    <row r="521" spans="8:9" x14ac:dyDescent="0.25">
      <c r="H521" s="343"/>
      <c r="I521" s="69"/>
    </row>
    <row r="522" spans="8:9" x14ac:dyDescent="0.25">
      <c r="H522" s="343"/>
      <c r="I522" s="69"/>
    </row>
    <row r="523" spans="8:9" x14ac:dyDescent="0.25">
      <c r="H523" s="343"/>
      <c r="I523" s="69"/>
    </row>
    <row r="524" spans="8:9" x14ac:dyDescent="0.25">
      <c r="H524" s="343"/>
      <c r="I524" s="69"/>
    </row>
    <row r="525" spans="8:9" x14ac:dyDescent="0.25">
      <c r="H525" s="343"/>
      <c r="I525" s="69"/>
    </row>
    <row r="526" spans="8:9" x14ac:dyDescent="0.25">
      <c r="H526" s="343"/>
      <c r="I526" s="69"/>
    </row>
    <row r="527" spans="8:9" x14ac:dyDescent="0.25">
      <c r="H527" s="343"/>
      <c r="I527" s="69"/>
    </row>
    <row r="528" spans="8:9" x14ac:dyDescent="0.25">
      <c r="H528" s="343"/>
      <c r="I528" s="69"/>
    </row>
    <row r="529" spans="8:9" x14ac:dyDescent="0.25">
      <c r="H529" s="343"/>
      <c r="I529" s="69"/>
    </row>
    <row r="530" spans="8:9" x14ac:dyDescent="0.25">
      <c r="H530" s="343"/>
      <c r="I530" s="69"/>
    </row>
    <row r="531" spans="8:9" x14ac:dyDescent="0.25">
      <c r="H531" s="343"/>
      <c r="I531" s="69"/>
    </row>
    <row r="532" spans="8:9" x14ac:dyDescent="0.25">
      <c r="H532" s="343"/>
      <c r="I532" s="69"/>
    </row>
    <row r="533" spans="8:9" x14ac:dyDescent="0.25">
      <c r="H533" s="343"/>
      <c r="I533" s="69"/>
    </row>
    <row r="534" spans="8:9" x14ac:dyDescent="0.25">
      <c r="H534" s="343"/>
      <c r="I534" s="69"/>
    </row>
    <row r="535" spans="8:9" x14ac:dyDescent="0.25">
      <c r="H535" s="343"/>
      <c r="I535" s="69"/>
    </row>
    <row r="536" spans="8:9" x14ac:dyDescent="0.25">
      <c r="H536" s="343"/>
      <c r="I536" s="69"/>
    </row>
    <row r="537" spans="8:9" x14ac:dyDescent="0.25">
      <c r="H537" s="343"/>
      <c r="I537" s="69"/>
    </row>
    <row r="538" spans="8:9" x14ac:dyDescent="0.25">
      <c r="H538" s="343"/>
      <c r="I538" s="69"/>
    </row>
    <row r="539" spans="8:9" x14ac:dyDescent="0.25">
      <c r="H539" s="343"/>
      <c r="I539" s="69"/>
    </row>
    <row r="540" spans="8:9" x14ac:dyDescent="0.25">
      <c r="H540" s="343"/>
      <c r="I540" s="69"/>
    </row>
    <row r="541" spans="8:9" x14ac:dyDescent="0.25">
      <c r="H541" s="343"/>
      <c r="I541" s="69"/>
    </row>
    <row r="542" spans="8:9" x14ac:dyDescent="0.25">
      <c r="H542" s="343"/>
      <c r="I542" s="69"/>
    </row>
    <row r="543" spans="8:9" x14ac:dyDescent="0.25">
      <c r="H543" s="343"/>
      <c r="I543" s="69"/>
    </row>
    <row r="544" spans="8:9" x14ac:dyDescent="0.25">
      <c r="H544" s="343"/>
      <c r="I544" s="69"/>
    </row>
    <row r="545" spans="8:9" x14ac:dyDescent="0.25">
      <c r="H545" s="343"/>
      <c r="I545" s="69"/>
    </row>
    <row r="546" spans="8:9" x14ac:dyDescent="0.25">
      <c r="H546" s="343"/>
      <c r="I546" s="69"/>
    </row>
    <row r="547" spans="8:9" x14ac:dyDescent="0.25">
      <c r="H547" s="343"/>
      <c r="I547" s="69"/>
    </row>
    <row r="548" spans="8:9" x14ac:dyDescent="0.25">
      <c r="H548" s="343"/>
      <c r="I548" s="69"/>
    </row>
    <row r="549" spans="8:9" x14ac:dyDescent="0.25">
      <c r="H549" s="343"/>
      <c r="I549" s="69"/>
    </row>
    <row r="550" spans="8:9" x14ac:dyDescent="0.25">
      <c r="H550" s="343"/>
      <c r="I550" s="69"/>
    </row>
    <row r="551" spans="8:9" x14ac:dyDescent="0.25">
      <c r="H551" s="343"/>
      <c r="I551" s="69"/>
    </row>
    <row r="552" spans="8:9" x14ac:dyDescent="0.25">
      <c r="H552" s="343"/>
      <c r="I552" s="69"/>
    </row>
    <row r="553" spans="8:9" x14ac:dyDescent="0.25">
      <c r="H553" s="343"/>
      <c r="I553" s="69"/>
    </row>
    <row r="554" spans="8:9" x14ac:dyDescent="0.25">
      <c r="H554" s="343"/>
      <c r="I554" s="69"/>
    </row>
    <row r="555" spans="8:9" x14ac:dyDescent="0.25">
      <c r="H555" s="343"/>
      <c r="I555" s="69"/>
    </row>
    <row r="556" spans="8:9" x14ac:dyDescent="0.25">
      <c r="H556" s="343"/>
      <c r="I556" s="69"/>
    </row>
    <row r="557" spans="8:9" x14ac:dyDescent="0.25">
      <c r="H557" s="343"/>
      <c r="I557" s="69"/>
    </row>
    <row r="558" spans="8:9" x14ac:dyDescent="0.25">
      <c r="H558" s="343"/>
      <c r="I558" s="69"/>
    </row>
    <row r="559" spans="8:9" x14ac:dyDescent="0.25">
      <c r="H559" s="343"/>
      <c r="I559" s="69"/>
    </row>
    <row r="560" spans="8:9" x14ac:dyDescent="0.25">
      <c r="H560" s="343"/>
      <c r="I560" s="69"/>
    </row>
    <row r="561" spans="8:9" x14ac:dyDescent="0.25">
      <c r="H561" s="343"/>
      <c r="I561" s="69"/>
    </row>
    <row r="562" spans="8:9" x14ac:dyDescent="0.25">
      <c r="H562" s="343"/>
      <c r="I562" s="69"/>
    </row>
    <row r="563" spans="8:9" x14ac:dyDescent="0.25">
      <c r="H563" s="343"/>
      <c r="I563" s="69"/>
    </row>
    <row r="564" spans="8:9" x14ac:dyDescent="0.25">
      <c r="H564" s="343"/>
      <c r="I564" s="69"/>
    </row>
    <row r="565" spans="8:9" x14ac:dyDescent="0.25">
      <c r="H565" s="343"/>
      <c r="I565" s="69"/>
    </row>
    <row r="566" spans="8:9" x14ac:dyDescent="0.25">
      <c r="H566" s="343"/>
      <c r="I566" s="69"/>
    </row>
    <row r="567" spans="8:9" x14ac:dyDescent="0.25">
      <c r="H567" s="343"/>
      <c r="I567" s="69"/>
    </row>
    <row r="568" spans="8:9" x14ac:dyDescent="0.25">
      <c r="H568" s="343"/>
      <c r="I568" s="69"/>
    </row>
    <row r="569" spans="8:9" x14ac:dyDescent="0.25">
      <c r="H569" s="343"/>
      <c r="I569" s="69"/>
    </row>
    <row r="570" spans="8:9" x14ac:dyDescent="0.25">
      <c r="H570" s="343"/>
      <c r="I570" s="69"/>
    </row>
    <row r="571" spans="8:9" x14ac:dyDescent="0.25">
      <c r="H571" s="343"/>
      <c r="I571" s="69"/>
    </row>
    <row r="572" spans="8:9" x14ac:dyDescent="0.25">
      <c r="H572" s="343"/>
      <c r="I572" s="69"/>
    </row>
    <row r="573" spans="8:9" x14ac:dyDescent="0.25">
      <c r="H573" s="343"/>
      <c r="I573" s="69"/>
    </row>
    <row r="574" spans="8:9" x14ac:dyDescent="0.25">
      <c r="H574" s="343"/>
      <c r="I574" s="69"/>
    </row>
    <row r="575" spans="8:9" x14ac:dyDescent="0.25">
      <c r="H575" s="343"/>
      <c r="I575" s="69"/>
    </row>
    <row r="576" spans="8:9" x14ac:dyDescent="0.25">
      <c r="H576" s="343"/>
      <c r="I576" s="69"/>
    </row>
    <row r="577" spans="8:9" x14ac:dyDescent="0.25">
      <c r="H577" s="343"/>
      <c r="I577" s="69"/>
    </row>
    <row r="578" spans="8:9" x14ac:dyDescent="0.25">
      <c r="H578" s="343"/>
      <c r="I578" s="69"/>
    </row>
    <row r="579" spans="8:9" x14ac:dyDescent="0.25">
      <c r="H579" s="343"/>
      <c r="I579" s="69"/>
    </row>
    <row r="580" spans="8:9" x14ac:dyDescent="0.25">
      <c r="H580" s="343"/>
      <c r="I580" s="69"/>
    </row>
    <row r="581" spans="8:9" x14ac:dyDescent="0.25">
      <c r="H581" s="343"/>
      <c r="I581" s="69"/>
    </row>
    <row r="582" spans="8:9" x14ac:dyDescent="0.25">
      <c r="H582" s="343"/>
      <c r="I582" s="69"/>
    </row>
    <row r="583" spans="8:9" x14ac:dyDescent="0.25">
      <c r="H583" s="343"/>
      <c r="I583" s="69"/>
    </row>
    <row r="584" spans="8:9" x14ac:dyDescent="0.25">
      <c r="H584" s="343"/>
      <c r="I584" s="69"/>
    </row>
    <row r="585" spans="8:9" x14ac:dyDescent="0.25">
      <c r="H585" s="343"/>
      <c r="I585" s="69"/>
    </row>
    <row r="586" spans="8:9" x14ac:dyDescent="0.25">
      <c r="H586" s="343"/>
      <c r="I586" s="69"/>
    </row>
    <row r="587" spans="8:9" x14ac:dyDescent="0.25">
      <c r="H587" s="343"/>
      <c r="I587" s="69"/>
    </row>
    <row r="588" spans="8:9" x14ac:dyDescent="0.25">
      <c r="H588" s="343"/>
      <c r="I588" s="69"/>
    </row>
    <row r="589" spans="8:9" x14ac:dyDescent="0.25">
      <c r="H589" s="343"/>
      <c r="I589" s="69"/>
    </row>
    <row r="590" spans="8:9" x14ac:dyDescent="0.25">
      <c r="H590" s="343"/>
      <c r="I590" s="69"/>
    </row>
    <row r="591" spans="8:9" x14ac:dyDescent="0.25">
      <c r="H591" s="343"/>
      <c r="I591" s="69"/>
    </row>
    <row r="592" spans="8:9" x14ac:dyDescent="0.25">
      <c r="H592" s="343"/>
      <c r="I592" s="69"/>
    </row>
    <row r="593" spans="8:9" x14ac:dyDescent="0.25">
      <c r="H593" s="343"/>
      <c r="I593" s="69"/>
    </row>
    <row r="594" spans="8:9" x14ac:dyDescent="0.25">
      <c r="H594" s="343"/>
      <c r="I594" s="69"/>
    </row>
    <row r="595" spans="8:9" x14ac:dyDescent="0.25">
      <c r="H595" s="343"/>
      <c r="I595" s="69"/>
    </row>
    <row r="596" spans="8:9" x14ac:dyDescent="0.25">
      <c r="H596" s="343"/>
      <c r="I596" s="69"/>
    </row>
    <row r="597" spans="8:9" x14ac:dyDescent="0.25">
      <c r="H597" s="343"/>
      <c r="I597" s="69"/>
    </row>
    <row r="598" spans="8:9" x14ac:dyDescent="0.25">
      <c r="H598" s="343"/>
      <c r="I598" s="69"/>
    </row>
    <row r="599" spans="8:9" x14ac:dyDescent="0.25">
      <c r="H599" s="343"/>
      <c r="I599" s="69"/>
    </row>
    <row r="600" spans="8:9" x14ac:dyDescent="0.25">
      <c r="H600" s="343"/>
      <c r="I600" s="69"/>
    </row>
    <row r="601" spans="8:9" x14ac:dyDescent="0.25">
      <c r="H601" s="343"/>
      <c r="I601" s="69"/>
    </row>
    <row r="602" spans="8:9" x14ac:dyDescent="0.25">
      <c r="H602" s="343"/>
      <c r="I602" s="69"/>
    </row>
    <row r="603" spans="8:9" x14ac:dyDescent="0.25">
      <c r="H603" s="343"/>
      <c r="I603" s="69"/>
    </row>
    <row r="604" spans="8:9" x14ac:dyDescent="0.25">
      <c r="H604" s="343"/>
      <c r="I604" s="69"/>
    </row>
    <row r="605" spans="8:9" x14ac:dyDescent="0.25">
      <c r="H605" s="343"/>
      <c r="I605" s="69"/>
    </row>
    <row r="606" spans="8:9" x14ac:dyDescent="0.25">
      <c r="H606" s="343"/>
      <c r="I606" s="69"/>
    </row>
    <row r="607" spans="8:9" x14ac:dyDescent="0.25">
      <c r="H607" s="343"/>
      <c r="I607" s="69"/>
    </row>
    <row r="608" spans="8:9" x14ac:dyDescent="0.25">
      <c r="H608" s="343"/>
      <c r="I608" s="69"/>
    </row>
    <row r="609" spans="8:9" x14ac:dyDescent="0.25">
      <c r="H609" s="343"/>
      <c r="I609" s="69"/>
    </row>
    <row r="610" spans="8:9" x14ac:dyDescent="0.25">
      <c r="H610" s="343"/>
      <c r="I610" s="69"/>
    </row>
    <row r="611" spans="8:9" x14ac:dyDescent="0.25">
      <c r="H611" s="343"/>
      <c r="I611" s="69"/>
    </row>
    <row r="612" spans="8:9" x14ac:dyDescent="0.25">
      <c r="H612" s="343"/>
      <c r="I612" s="69"/>
    </row>
    <row r="613" spans="8:9" x14ac:dyDescent="0.25">
      <c r="H613" s="343"/>
      <c r="I613" s="69"/>
    </row>
    <row r="614" spans="8:9" x14ac:dyDescent="0.25">
      <c r="H614" s="343"/>
      <c r="I614" s="69"/>
    </row>
    <row r="615" spans="8:9" x14ac:dyDescent="0.25">
      <c r="H615" s="343"/>
      <c r="I615" s="69"/>
    </row>
    <row r="616" spans="8:9" x14ac:dyDescent="0.25">
      <c r="H616" s="343"/>
      <c r="I616" s="69"/>
    </row>
    <row r="617" spans="8:9" x14ac:dyDescent="0.25">
      <c r="H617" s="343"/>
      <c r="I617" s="69"/>
    </row>
    <row r="618" spans="8:9" x14ac:dyDescent="0.25">
      <c r="H618" s="343"/>
      <c r="I618" s="69"/>
    </row>
    <row r="619" spans="8:9" x14ac:dyDescent="0.25">
      <c r="H619" s="343"/>
      <c r="I619" s="69"/>
    </row>
    <row r="620" spans="8:9" x14ac:dyDescent="0.25">
      <c r="H620" s="343"/>
      <c r="I620" s="69"/>
    </row>
    <row r="621" spans="8:9" x14ac:dyDescent="0.25">
      <c r="H621" s="343"/>
      <c r="I621" s="69"/>
    </row>
    <row r="622" spans="8:9" x14ac:dyDescent="0.25">
      <c r="H622" s="343"/>
      <c r="I622" s="69"/>
    </row>
    <row r="623" spans="8:9" x14ac:dyDescent="0.25">
      <c r="H623" s="343"/>
      <c r="I623" s="69"/>
    </row>
    <row r="624" spans="8:9" x14ac:dyDescent="0.25">
      <c r="H624" s="343"/>
      <c r="I624" s="69"/>
    </row>
    <row r="625" spans="8:9" x14ac:dyDescent="0.25">
      <c r="H625" s="343"/>
      <c r="I625" s="69"/>
    </row>
    <row r="626" spans="8:9" x14ac:dyDescent="0.25">
      <c r="H626" s="343"/>
      <c r="I626" s="69"/>
    </row>
    <row r="627" spans="8:9" x14ac:dyDescent="0.25">
      <c r="H627" s="343"/>
      <c r="I627" s="69"/>
    </row>
    <row r="628" spans="8:9" x14ac:dyDescent="0.25">
      <c r="H628" s="343"/>
      <c r="I628" s="69"/>
    </row>
    <row r="629" spans="8:9" x14ac:dyDescent="0.25">
      <c r="H629" s="343"/>
      <c r="I629" s="69"/>
    </row>
    <row r="630" spans="8:9" x14ac:dyDescent="0.25">
      <c r="H630" s="343"/>
      <c r="I630" s="69"/>
    </row>
    <row r="631" spans="8:9" x14ac:dyDescent="0.25">
      <c r="H631" s="343"/>
      <c r="I631" s="69"/>
    </row>
    <row r="632" spans="8:9" x14ac:dyDescent="0.25">
      <c r="H632" s="343"/>
      <c r="I632" s="69"/>
    </row>
    <row r="633" spans="8:9" x14ac:dyDescent="0.25">
      <c r="H633" s="343"/>
      <c r="I633" s="69"/>
    </row>
    <row r="634" spans="8:9" x14ac:dyDescent="0.25">
      <c r="H634" s="343"/>
      <c r="I634" s="69"/>
    </row>
    <row r="635" spans="8:9" x14ac:dyDescent="0.25">
      <c r="H635" s="343"/>
      <c r="I635" s="69"/>
    </row>
    <row r="636" spans="8:9" x14ac:dyDescent="0.25">
      <c r="H636" s="343"/>
      <c r="I636" s="69"/>
    </row>
    <row r="637" spans="8:9" x14ac:dyDescent="0.25">
      <c r="H637" s="343"/>
      <c r="I637" s="69"/>
    </row>
    <row r="638" spans="8:9" x14ac:dyDescent="0.25">
      <c r="H638" s="343"/>
      <c r="I638" s="69"/>
    </row>
    <row r="639" spans="8:9" x14ac:dyDescent="0.25">
      <c r="H639" s="343"/>
      <c r="I639" s="69"/>
    </row>
    <row r="640" spans="8:9" x14ac:dyDescent="0.25">
      <c r="H640" s="343"/>
      <c r="I640" s="69"/>
    </row>
    <row r="641" spans="8:9" x14ac:dyDescent="0.25">
      <c r="H641" s="343"/>
      <c r="I641" s="69"/>
    </row>
    <row r="642" spans="8:9" x14ac:dyDescent="0.25">
      <c r="H642" s="343"/>
      <c r="I642" s="69"/>
    </row>
    <row r="643" spans="8:9" x14ac:dyDescent="0.25">
      <c r="H643" s="343"/>
      <c r="I643" s="69"/>
    </row>
  </sheetData>
  <mergeCells count="6">
    <mergeCell ref="H228:W228"/>
    <mergeCell ref="H166:W166"/>
    <mergeCell ref="H178:W178"/>
    <mergeCell ref="H189:W189"/>
    <mergeCell ref="H205:W205"/>
    <mergeCell ref="H217:W217"/>
  </mergeCells>
  <pageMargins left="0.7" right="0.7" top="0.75" bottom="0.75" header="0.3" footer="0.3"/>
  <pageSetup scale="62" orientation="portrait" horizontalDpi="90" verticalDpi="90"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CT159"/>
  <sheetViews>
    <sheetView zoomScale="85" zoomScaleNormal="85" workbookViewId="0">
      <pane xSplit="1" ySplit="2" topLeftCell="B3" activePane="bottomRight" state="frozen"/>
      <selection activeCell="F9" sqref="F9"/>
      <selection pane="topRight" activeCell="F9" sqref="F9"/>
      <selection pane="bottomLeft" activeCell="F9" sqref="F9"/>
      <selection pane="bottomRight" activeCell="B9" sqref="B9"/>
    </sheetView>
  </sheetViews>
  <sheetFormatPr defaultRowHeight="15" outlineLevelCol="1" x14ac:dyDescent="0.25"/>
  <cols>
    <col min="1" max="1" width="39.28515625" style="177" customWidth="1"/>
    <col min="2" max="2" width="20.42578125" style="3" customWidth="1"/>
    <col min="3" max="3" width="12.28515625" style="3" customWidth="1"/>
    <col min="4" max="7" width="16.42578125" style="177" customWidth="1"/>
    <col min="8" max="8" width="11.7109375" style="177" customWidth="1"/>
    <col min="9" max="9" width="11.7109375" style="241" customWidth="1"/>
    <col min="10" max="50" width="11.7109375" style="177" customWidth="1" outlineLevel="1"/>
    <col min="51" max="51" width="10.5703125" style="177" customWidth="1" outlineLevel="1"/>
    <col min="52" max="52" width="10.28515625" style="177" customWidth="1" outlineLevel="1"/>
    <col min="53" max="54" width="10.5703125" style="177" customWidth="1" outlineLevel="1"/>
    <col min="55" max="55" width="13" style="241" customWidth="1"/>
    <col min="56" max="57" width="10.5703125" style="177" customWidth="1" outlineLevel="1"/>
    <col min="58" max="58" width="11.7109375" style="177" customWidth="1" outlineLevel="1"/>
    <col min="59" max="60" width="10.5703125" style="177" customWidth="1" outlineLevel="1"/>
    <col min="61" max="61" width="11.85546875" style="177" customWidth="1" outlineLevel="1"/>
    <col min="62" max="62" width="9.7109375" style="177" customWidth="1" outlineLevel="1"/>
    <col min="63" max="63" width="10.5703125" style="177" customWidth="1" outlineLevel="1"/>
    <col min="64" max="64" width="14.28515625" style="177" bestFit="1" customWidth="1"/>
    <col min="65" max="65" width="11.5703125" style="177" customWidth="1"/>
    <col min="66" max="66" width="8.85546875" style="177" customWidth="1"/>
    <col min="67" max="67" width="10.5703125" style="177" hidden="1" customWidth="1"/>
    <col min="68" max="68" width="13.28515625" style="177" hidden="1" customWidth="1"/>
    <col min="69" max="69" width="10.5703125" style="177" hidden="1" customWidth="1"/>
    <col min="70" max="70" width="11.28515625" style="177" hidden="1" customWidth="1"/>
    <col min="71" max="71" width="9.7109375" style="177" hidden="1" customWidth="1"/>
    <col min="72" max="72" width="10.5703125" style="177" bestFit="1" customWidth="1"/>
    <col min="73" max="16384" width="9.140625" style="177"/>
  </cols>
  <sheetData>
    <row r="1" spans="1:70" x14ac:dyDescent="0.25">
      <c r="A1" s="638" t="str">
        <f>'Cost Allocation - Tier 1 (2)'!A1</f>
        <v>in USD</v>
      </c>
      <c r="B1" s="881"/>
      <c r="C1" s="881"/>
      <c r="D1" s="49">
        <f>'Cost Allocation - Tier 1 (2)'!D1</f>
        <v>0</v>
      </c>
      <c r="E1" s="69"/>
      <c r="F1" s="69"/>
      <c r="G1" s="69"/>
      <c r="H1" s="3" t="s">
        <v>841</v>
      </c>
      <c r="J1" s="23" t="s">
        <v>12</v>
      </c>
      <c r="K1" s="19" t="s">
        <v>12</v>
      </c>
      <c r="L1" s="19" t="s">
        <v>8</v>
      </c>
      <c r="M1" s="19" t="s">
        <v>8</v>
      </c>
      <c r="N1" s="19" t="s">
        <v>8</v>
      </c>
      <c r="O1" s="19" t="s">
        <v>8</v>
      </c>
      <c r="P1" s="19" t="s">
        <v>8</v>
      </c>
      <c r="Q1" s="19" t="s">
        <v>8</v>
      </c>
      <c r="R1" s="19" t="s">
        <v>8</v>
      </c>
      <c r="S1" s="19" t="s">
        <v>8</v>
      </c>
      <c r="T1" s="19" t="s">
        <v>8</v>
      </c>
      <c r="U1" s="19" t="s">
        <v>47</v>
      </c>
      <c r="V1" s="19" t="s">
        <v>164</v>
      </c>
      <c r="W1" s="19" t="s">
        <v>165</v>
      </c>
      <c r="X1" s="19" t="s">
        <v>12</v>
      </c>
      <c r="Y1" s="19" t="s">
        <v>12</v>
      </c>
      <c r="Z1" s="641" t="s">
        <v>8</v>
      </c>
      <c r="AA1" s="641" t="s">
        <v>8</v>
      </c>
      <c r="AB1" s="19" t="s">
        <v>8</v>
      </c>
      <c r="AC1" s="19" t="s">
        <v>8</v>
      </c>
      <c r="AD1" s="19" t="s">
        <v>8</v>
      </c>
      <c r="AE1" s="19" t="s">
        <v>8</v>
      </c>
      <c r="AF1" s="641" t="s">
        <v>8</v>
      </c>
      <c r="AG1" s="19" t="s">
        <v>12</v>
      </c>
      <c r="AH1" s="19" t="s">
        <v>214</v>
      </c>
      <c r="AI1" s="641" t="s">
        <v>12</v>
      </c>
      <c r="AJ1" s="19" t="s">
        <v>8</v>
      </c>
      <c r="AK1" s="19" t="s">
        <v>8</v>
      </c>
      <c r="AL1" s="19" t="s">
        <v>8</v>
      </c>
      <c r="AM1" s="19" t="s">
        <v>12</v>
      </c>
      <c r="AN1" s="19" t="s">
        <v>12</v>
      </c>
      <c r="AO1" s="19" t="s">
        <v>12</v>
      </c>
      <c r="AP1" s="641" t="s">
        <v>12</v>
      </c>
      <c r="AQ1" s="19" t="s">
        <v>12</v>
      </c>
      <c r="AR1" s="641" t="s">
        <v>12</v>
      </c>
      <c r="AS1" s="19" t="s">
        <v>12</v>
      </c>
      <c r="AT1" s="19" t="s">
        <v>12</v>
      </c>
      <c r="AU1" s="19" t="s">
        <v>12</v>
      </c>
      <c r="AV1" s="19" t="s">
        <v>12</v>
      </c>
      <c r="AW1" s="19" t="s">
        <v>18</v>
      </c>
      <c r="AX1" s="19" t="s">
        <v>16</v>
      </c>
      <c r="AY1" s="642" t="s">
        <v>844</v>
      </c>
      <c r="AZ1" s="642" t="s">
        <v>845</v>
      </c>
      <c r="BA1" s="642" t="s">
        <v>846</v>
      </c>
      <c r="BB1" s="19" t="s">
        <v>265</v>
      </c>
    </row>
    <row r="2" spans="1:70" ht="90" x14ac:dyDescent="0.25">
      <c r="A2" s="177" t="str">
        <f>'Cost Allocation - Tier 1 (2)'!A2</f>
        <v>Detail</v>
      </c>
      <c r="B2" s="644" t="str">
        <f>'Cost Allocation - Tier 1 (2)'!B2</f>
        <v>Allocation</v>
      </c>
      <c r="C2" s="644"/>
      <c r="D2" s="645" t="str">
        <f>'Cost Allocation - Tier 1 (2)'!D2</f>
        <v>Amount (2019A 1Q) in CDN</v>
      </c>
      <c r="E2" s="645" t="str">
        <f>'Cost Allocation - Tier 1 (2)'!E2</f>
        <v>Amount (2019A 1Q) in USD</v>
      </c>
      <c r="F2" s="645" t="str">
        <f>'Cost Allocation - Tier 1 (2)'!F2</f>
        <v>Consulting/Pass through (USD)</v>
      </c>
      <c r="G2" s="645" t="s">
        <v>851</v>
      </c>
      <c r="H2" s="882" t="str">
        <f>'Cost Allocation - Tier 1 (2)'!H2</f>
        <v>Tribus</v>
      </c>
      <c r="I2" s="647" t="str">
        <f>'Cost Allocation - Tier 1 (2)'!I2</f>
        <v>Total Contract</v>
      </c>
      <c r="J2" s="882" t="str">
        <f>'Cost Allocation - Tier 1 (2)'!J2</f>
        <v>Panorama - Wastewater Treatment Plant</v>
      </c>
      <c r="K2" s="648" t="str">
        <f>'Cost Allocation - Tier 1 (2)'!K2</f>
        <v>Panorama - Propane Storage Farm</v>
      </c>
      <c r="L2" s="648" t="str">
        <f>'Cost Allocation - Tier 1 (2)'!L2</f>
        <v>Panorama - Propane Distribution</v>
      </c>
      <c r="M2" s="648" t="str">
        <f>'Cost Allocation - Tier 1 (2)'!M2</f>
        <v>Panorama - Water</v>
      </c>
      <c r="N2" s="648" t="str">
        <f>'Cost Allocation - Tier 1 (2)'!N2</f>
        <v>Panorama - Sewer</v>
      </c>
      <c r="O2" s="648" t="str">
        <f>'Cost Allocation - Tier 1 (2)'!O2</f>
        <v>Sun Rivers - Electric</v>
      </c>
      <c r="P2" s="648" t="str">
        <f>'Cost Allocation - Tier 1 (2)'!P2</f>
        <v>Sun Rivers - Gas</v>
      </c>
      <c r="Q2" s="648" t="str">
        <f>'Cost Allocation - Tier 1 (2)'!Q2</f>
        <v>Sun Rivers - Domestic Water</v>
      </c>
      <c r="R2" s="648" t="str">
        <f>'Cost Allocation - Tier 1 (2)'!R2</f>
        <v>Sun Rivers - Irrigation Water</v>
      </c>
      <c r="S2" s="648" t="str">
        <f>'Cost Allocation - Tier 1 (2)'!S2</f>
        <v>Sun Rivers - Sewer</v>
      </c>
      <c r="T2" s="648" t="str">
        <f>'Cost Allocation - Tier 1 (2)'!T2</f>
        <v>Sun Rivers - Geothermal</v>
      </c>
      <c r="U2" s="648" t="str">
        <f>'Cost Allocation - Tier 1 (2)'!U2</f>
        <v>Sun Rivers - Municipal</v>
      </c>
      <c r="V2" s="648" t="str">
        <f>'Cost Allocation - Tier 1 (2)'!V2</f>
        <v>Foothills - Wastewater</v>
      </c>
      <c r="W2" s="648" t="str">
        <f>'Cost Allocation - Tier 1 (2)'!W2</f>
        <v>Foothills - Water</v>
      </c>
      <c r="X2" s="648" t="str">
        <f>'Cost Allocation - Tier 1 (2)'!X2</f>
        <v>Sage Meadows - Wastewater</v>
      </c>
      <c r="Y2" s="648" t="str">
        <f>'Cost Allocation - Tier 1 (2)'!Y2</f>
        <v>Sage Meadows - Water</v>
      </c>
      <c r="Z2" s="648" t="str">
        <f>'Cost Allocation - Tier 1 (2)'!Z2</f>
        <v>Canadian Lakeview Estates (in Adventure Bay) - Wastewater</v>
      </c>
      <c r="AA2" s="648" t="str">
        <f>'Cost Allocation - Tier 1 (2)'!AA2</f>
        <v>Canadian Lakeview Estates (in Adventure Bay) - Water</v>
      </c>
      <c r="AB2" s="648" t="str">
        <f>'Cost Allocation - Tier 1 (2)'!AB2</f>
        <v>Cultus Lake - Water</v>
      </c>
      <c r="AC2" s="648" t="str">
        <f>'Cost Allocation - Tier 1 (2)'!AC2</f>
        <v>Cultus Lake - Wastewater</v>
      </c>
      <c r="AD2" s="648" t="str">
        <f>'Cost Allocation - Tier 1 (2)'!AD2</f>
        <v>Sonoma Pines - Electric</v>
      </c>
      <c r="AE2" s="648" t="str">
        <f>'Cost Allocation - Tier 1 (2)'!AE2</f>
        <v>Sonoma Pines - Gas</v>
      </c>
      <c r="AF2" s="648" t="str">
        <f>'Cost Allocation - Tier 1 (2)'!AF2</f>
        <v>Dockside Green - Energy</v>
      </c>
      <c r="AG2" s="648" t="str">
        <f>'Cost Allocation - Tier 1 (2)'!AG2</f>
        <v>Dockside Green  - Wastewater and Admin</v>
      </c>
      <c r="AH2" s="648" t="str">
        <f>'Cost Allocation - Tier 1 (2)'!AH2</f>
        <v>West Shore Environmental Services</v>
      </c>
      <c r="AI2" s="648" t="str">
        <f>'Cost Allocation - Tier 1 (2)'!AI2</f>
        <v>Rise</v>
      </c>
      <c r="AJ2" s="648" t="str">
        <f>'Cost Allocation - Tier 1 (2)'!AJ2</f>
        <v>UBC</v>
      </c>
      <c r="AK2" s="648" t="str">
        <f>'Cost Allocation - Tier 1 (2)'!AK2</f>
        <v>SFU UniverCity</v>
      </c>
      <c r="AL2" s="648" t="str">
        <f>'Cost Allocation - Tier 1 (2)'!AL2</f>
        <v>SFU Biomass</v>
      </c>
      <c r="AM2" s="648" t="str">
        <f>'Cost Allocation - Tier 1 (2)'!AM2</f>
        <v>Riverport</v>
      </c>
      <c r="AN2" s="648" t="str">
        <f>'Cost Allocation - Tier 1 (2)'!AN2</f>
        <v>RG GAAP - Related to LIEC</v>
      </c>
      <c r="AO2" s="648" t="str">
        <f>'Cost Allocation - Tier 1 (2)'!AO2</f>
        <v>LIEC</v>
      </c>
      <c r="AP2" s="648" t="str">
        <f>'Cost Allocation - Tier 1 (2)'!AP2</f>
        <v>Beaver Barracks</v>
      </c>
      <c r="AQ2" s="648" t="str">
        <f>'Cost Allocation - Tier 1 (2)'!AQ2</f>
        <v>Coastal Ops</v>
      </c>
      <c r="AR2" s="648" t="str">
        <f>'Cost Allocation - Tier 1 (2)'!AR2</f>
        <v>Island Ops</v>
      </c>
      <c r="AS2" s="648" t="str">
        <f>'Cost Allocation - Tier 1 (2)'!AS2</f>
        <v>Kamloops Ops</v>
      </c>
      <c r="AT2" s="648" t="str">
        <f>'Cost Allocation - Tier 1 (2)'!AT2</f>
        <v>Kootenay Ops</v>
      </c>
      <c r="AU2" s="648" t="str">
        <f>'Cost Allocation - Tier 1 (2)'!AU2</f>
        <v>Alberta Ops (North)</v>
      </c>
      <c r="AV2" s="648" t="str">
        <f>'Cost Allocation - Tier 1 (2)'!AV2</f>
        <v>Alberta Ops (South)</v>
      </c>
      <c r="AW2" s="649" t="str">
        <f>'Cost Allocation - Tier 1 (2)'!AW2</f>
        <v>Corix Water Services Inc. (See note)</v>
      </c>
      <c r="AX2" s="648" t="str">
        <f>'Cost Allocation - Tier 1 (2)'!AX2</f>
        <v>Corix Energy Inc.</v>
      </c>
      <c r="AY2" s="648" t="str">
        <f>'Cost Allocation - Tier 1 (2)'!AY2</f>
        <v>Oklahoma</v>
      </c>
      <c r="AZ2" s="648" t="str">
        <f>'Cost Allocation - Tier 1 (2)'!AZ2</f>
        <v>Gillem Enclave</v>
      </c>
      <c r="BA2" s="648" t="str">
        <f>'Cost Allocation - Tier 1 (2)'!BA2</f>
        <v>Cleveland Thermal</v>
      </c>
      <c r="BB2" s="650" t="str">
        <f>'Cost Allocation - Tier 1 (2)'!BB2</f>
        <v>Shareholder Bucket</v>
      </c>
      <c r="BC2" s="647" t="str">
        <f>'Cost Allocation - Tier 1 (2)'!BC2</f>
        <v>Total Regulated</v>
      </c>
      <c r="BD2" s="648" t="str">
        <f>'Cost Allocation - Tier 1 (2)'!BD2</f>
        <v>Atlantic</v>
      </c>
      <c r="BE2" s="648" t="str">
        <f>'Cost Allocation - Tier 1 (2)'!BE2</f>
        <v>Midwest</v>
      </c>
      <c r="BF2" s="648" t="str">
        <f>'Cost Allocation - Tier 1 (2)'!BF2</f>
        <v>South Carolina</v>
      </c>
      <c r="BG2" s="648" t="str">
        <f>'Cost Allocation - Tier 1 (2)'!BG2</f>
        <v>Florida</v>
      </c>
      <c r="BH2" s="648" t="str">
        <f>'Cost Allocation - Tier 1 (2)'!BH2</f>
        <v>South</v>
      </c>
      <c r="BI2" s="648" t="str">
        <f>'Cost Allocation - Tier 1 (2)'!BI2</f>
        <v>West</v>
      </c>
      <c r="BJ2" s="648" t="str">
        <f>'Cost Allocation - Tier 1 (2)'!BJ2</f>
        <v>Texas</v>
      </c>
      <c r="BK2" s="650" t="str">
        <f>'Cost Allocation - Tier 1 (2)'!BK2</f>
        <v>Alaska</v>
      </c>
      <c r="BL2" s="177" t="str">
        <f>'Cost Allocation - Tier 1 (2)'!BL2</f>
        <v>Total</v>
      </c>
      <c r="BM2" s="177" t="str">
        <f>'Cost Allocation - Tier 1 (2)'!BM2</f>
        <v>Check</v>
      </c>
      <c r="BN2" s="177" t="s">
        <v>936</v>
      </c>
      <c r="BP2" s="177" t="s">
        <v>937</v>
      </c>
      <c r="BQ2" s="177" t="s">
        <v>116</v>
      </c>
      <c r="BR2" s="177" t="s">
        <v>938</v>
      </c>
    </row>
    <row r="3" spans="1:70" x14ac:dyDescent="0.25">
      <c r="A3" s="199" t="str">
        <f>'Cost Allocation - Tier 1 (2)'!A3</f>
        <v>Corporate cost allocation</v>
      </c>
      <c r="B3" s="653"/>
      <c r="C3" s="653"/>
      <c r="D3" s="656"/>
      <c r="E3" s="656"/>
      <c r="F3" s="656"/>
      <c r="G3" s="656"/>
      <c r="H3" s="656"/>
      <c r="I3" s="658"/>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61"/>
      <c r="AX3" s="656"/>
      <c r="AY3" s="656"/>
      <c r="AZ3" s="656"/>
      <c r="BA3" s="656"/>
      <c r="BB3" s="656"/>
      <c r="BC3" s="658"/>
      <c r="BD3" s="656"/>
      <c r="BE3" s="656"/>
      <c r="BF3" s="656"/>
      <c r="BG3" s="656"/>
      <c r="BH3" s="656"/>
      <c r="BI3" s="656"/>
      <c r="BJ3" s="656"/>
      <c r="BK3" s="656"/>
    </row>
    <row r="4" spans="1:70" x14ac:dyDescent="0.25">
      <c r="A4" s="1"/>
      <c r="B4" s="653"/>
      <c r="C4" s="653"/>
      <c r="D4" s="656"/>
      <c r="E4" s="656"/>
      <c r="F4" s="656"/>
      <c r="G4" s="656"/>
      <c r="H4" s="656"/>
      <c r="I4" s="658"/>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6"/>
      <c r="AO4" s="656"/>
      <c r="AP4" s="656"/>
      <c r="AQ4" s="656"/>
      <c r="AR4" s="656"/>
      <c r="AS4" s="656"/>
      <c r="AT4" s="656"/>
      <c r="AU4" s="656"/>
      <c r="AV4" s="656"/>
      <c r="AW4" s="661"/>
      <c r="AX4" s="656"/>
      <c r="AY4" s="656"/>
      <c r="AZ4" s="656"/>
      <c r="BA4" s="656"/>
      <c r="BB4" s="656"/>
      <c r="BC4" s="658"/>
      <c r="BD4" s="656"/>
      <c r="BE4" s="656"/>
      <c r="BF4" s="656"/>
      <c r="BG4" s="656"/>
      <c r="BH4" s="656"/>
      <c r="BI4" s="656"/>
      <c r="BJ4" s="656"/>
      <c r="BK4" s="661"/>
    </row>
    <row r="5" spans="1:70" x14ac:dyDescent="0.25">
      <c r="A5" s="177" t="str">
        <f>'Cost Allocation - Tier 1 (2)'!A5</f>
        <v>6300 - BD ($Cdn)</v>
      </c>
      <c r="B5" s="3" t="str">
        <f>'Cost Allocation - Tier 1 (2)'!B5</f>
        <v>ALL</v>
      </c>
      <c r="D5" s="664">
        <f>'Cost Allocation - Tier 1 (2)'!D5</f>
        <v>301462</v>
      </c>
      <c r="E5" s="664">
        <f>'Cost Allocation - Tier 1 (2)'!E5</f>
        <v>226799.57869395125</v>
      </c>
      <c r="F5" s="775">
        <f>'Cost Allocation - Tier 1 (2)'!F5</f>
        <v>38611.194703581103</v>
      </c>
      <c r="G5" s="775"/>
      <c r="H5" s="351">
        <f>'Cost Allocation - Tier 1 (2)'!H5</f>
        <v>0</v>
      </c>
      <c r="I5" s="666">
        <f>SUM(J5:BB5)</f>
        <v>86367.218758673916</v>
      </c>
      <c r="J5" s="73">
        <f>'Cost Allocation - Tier 1 (2)'!J5</f>
        <v>542.70345715582278</v>
      </c>
      <c r="K5" s="73">
        <f>'Cost Allocation - Tier 1 (2)'!K5</f>
        <v>160.97248189699172</v>
      </c>
      <c r="L5" s="73">
        <f>'Cost Allocation - Tier 1 (2)'!L5</f>
        <v>169.01791690915769</v>
      </c>
      <c r="M5" s="73">
        <f>'Cost Allocation - Tier 1 (2)'!M5</f>
        <v>161.61995611874002</v>
      </c>
      <c r="N5" s="73">
        <f>'Cost Allocation - Tier 1 (2)'!N5</f>
        <v>282.83228875944093</v>
      </c>
      <c r="O5" s="73">
        <f>'Cost Allocation - Tier 1 (2)'!O5</f>
        <v>647.67425400162551</v>
      </c>
      <c r="P5" s="73">
        <f>'Cost Allocation - Tier 1 (2)'!P5</f>
        <v>78.351521075132041</v>
      </c>
      <c r="Q5" s="73">
        <f>'Cost Allocation - Tier 1 (2)'!Q5</f>
        <v>207.46973531021285</v>
      </c>
      <c r="R5" s="73">
        <f>'Cost Allocation - Tier 1 (2)'!R5</f>
        <v>177.45347371971593</v>
      </c>
      <c r="S5" s="73">
        <f>'Cost Allocation - Tier 1 (2)'!S5</f>
        <v>182.55630895276022</v>
      </c>
      <c r="T5" s="73">
        <f>'Cost Allocation - Tier 1 (2)'!T5</f>
        <v>661.25528116220278</v>
      </c>
      <c r="U5" s="73">
        <f>'Cost Allocation - Tier 1 (2)'!U5</f>
        <v>527.93408853178585</v>
      </c>
      <c r="V5" s="73">
        <f>'Cost Allocation - Tier 1 (2)'!V5</f>
        <v>418.9224165773897</v>
      </c>
      <c r="W5" s="73">
        <f>'Cost Allocation - Tier 1 (2)'!W5</f>
        <v>671.81058187333019</v>
      </c>
      <c r="X5" s="73">
        <f>'Cost Allocation - Tier 1 (2)'!X5</f>
        <v>16.610423345084033</v>
      </c>
      <c r="Y5" s="73">
        <f>'Cost Allocation - Tier 1 (2)'!Y5</f>
        <v>13.10242753854806</v>
      </c>
      <c r="Z5" s="73">
        <f>'Cost Allocation - Tier 1 (2)'!Z5</f>
        <v>63.352622388467942</v>
      </c>
      <c r="AA5" s="73">
        <f>'Cost Allocation - Tier 1 (2)'!AA5</f>
        <v>57.907513966978868</v>
      </c>
      <c r="AB5" s="73">
        <f>'Cost Allocation - Tier 1 (2)'!AB5</f>
        <v>34.838599014969432</v>
      </c>
      <c r="AC5" s="73">
        <f>'Cost Allocation - Tier 1 (2)'!AC5</f>
        <v>35.63287075080855</v>
      </c>
      <c r="AD5" s="73">
        <f>'Cost Allocation - Tier 1 (2)'!AD5</f>
        <v>202.17434935397696</v>
      </c>
      <c r="AE5" s="73">
        <f>'Cost Allocation - Tier 1 (2)'!AE5</f>
        <v>81.089008779167202</v>
      </c>
      <c r="AF5" s="73">
        <f>'Cost Allocation - Tier 1 (2)'!AF5</f>
        <v>210.99012413065398</v>
      </c>
      <c r="AG5" s="73">
        <f>'Cost Allocation - Tier 1 (2)'!AG5</f>
        <v>655.44190178083124</v>
      </c>
      <c r="AH5" s="73">
        <f>'Cost Allocation - Tier 1 (2)'!AH5</f>
        <v>5367.2674290987779</v>
      </c>
      <c r="AI5" s="73">
        <f>'Cost Allocation - Tier 1 (2)'!AI5</f>
        <v>37.278447252890423</v>
      </c>
      <c r="AJ5" s="73">
        <f>'Cost Allocation - Tier 1 (2)'!AJ5</f>
        <v>790.99004039629062</v>
      </c>
      <c r="AK5" s="73">
        <f>'Cost Allocation - Tier 1 (2)'!AK5</f>
        <v>680.12779056918339</v>
      </c>
      <c r="AL5" s="73">
        <f>'Cost Allocation - Tier 1 (2)'!AL5</f>
        <v>0</v>
      </c>
      <c r="AM5" s="73">
        <f>'Cost Allocation - Tier 1 (2)'!AM5</f>
        <v>82.947819781082003</v>
      </c>
      <c r="AN5" s="73">
        <f>'Cost Allocation - Tier 1 (2)'!AN5</f>
        <v>140.27261530094282</v>
      </c>
      <c r="AO5" s="73">
        <f>'Cost Allocation - Tier 1 (2)'!AO5</f>
        <v>826.96616005115425</v>
      </c>
      <c r="AP5" s="73">
        <f>'Cost Allocation - Tier 1 (2)'!AP5</f>
        <v>125.24841899275664</v>
      </c>
      <c r="AQ5" s="73">
        <f>'Cost Allocation - Tier 1 (2)'!AQ5</f>
        <v>785.93257680746865</v>
      </c>
      <c r="AR5" s="73">
        <f>'Cost Allocation - Tier 1 (2)'!AR5</f>
        <v>2.3744170555882205</v>
      </c>
      <c r="AS5" s="73">
        <f>'Cost Allocation - Tier 1 (2)'!AS5</f>
        <v>1158.2954836363283</v>
      </c>
      <c r="AT5" s="73">
        <f>'Cost Allocation - Tier 1 (2)'!AT5</f>
        <v>960.92155853553299</v>
      </c>
      <c r="AU5" s="73">
        <f>'Cost Allocation - Tier 1 (2)'!AU5</f>
        <v>1343.3754701855983</v>
      </c>
      <c r="AV5" s="73">
        <f>'Cost Allocation - Tier 1 (2)'!AV5</f>
        <v>1888.1191946170513</v>
      </c>
      <c r="AW5" s="73">
        <f>'Cost Allocation - Tier 1 (2)'!AW5</f>
        <v>4835.7154951408238</v>
      </c>
      <c r="AX5" s="73">
        <f>'Cost Allocation - Tier 1 (2)'!AX5</f>
        <v>50.370529242406107</v>
      </c>
      <c r="AY5" s="73">
        <f>'Cost Allocation - Tier 1 (2)'!AY5</f>
        <v>15562.336627117185</v>
      </c>
      <c r="AZ5" s="73">
        <f>'Cost Allocation - Tier 1 (2)'!AZ5</f>
        <v>523.37371310372635</v>
      </c>
      <c r="BA5" s="73">
        <f>'Cost Allocation - Tier 1 (2)'!BA5</f>
        <v>9437.6261038633202</v>
      </c>
      <c r="BB5" s="73">
        <f>'Cost Allocation - Tier 1 (2)'!BB5</f>
        <v>35505.965264832019</v>
      </c>
      <c r="BC5" s="694">
        <f>'Cost Allocation - Tier 1 (2)'!BC5</f>
        <v>140432.35993527737</v>
      </c>
      <c r="BD5" s="883">
        <v>22370.413688705845</v>
      </c>
      <c r="BE5" s="883">
        <v>20795.18832563793</v>
      </c>
      <c r="BF5" s="883">
        <v>11745.861305753468</v>
      </c>
      <c r="BG5" s="883">
        <v>26322.328459665627</v>
      </c>
      <c r="BH5" s="883">
        <v>19709.183005794635</v>
      </c>
      <c r="BI5" s="883">
        <v>12944.233243757266</v>
      </c>
      <c r="BJ5" s="883">
        <v>4107.0397736891282</v>
      </c>
      <c r="BK5" s="81">
        <f>'Cost Allocation - Tier 1 (2)'!BK5</f>
        <v>22438.112132273483</v>
      </c>
      <c r="BL5" s="76">
        <f>BC5+I5+H5</f>
        <v>226799.57869395131</v>
      </c>
      <c r="BM5" s="76">
        <f>BL5-E5</f>
        <v>0</v>
      </c>
      <c r="BN5" s="76">
        <f>SUM(BD5:BK5)-BC5</f>
        <v>0</v>
      </c>
    </row>
    <row r="6" spans="1:70" x14ac:dyDescent="0.25">
      <c r="A6" s="177" t="str">
        <f>'Cost Allocation - Tier 1 (2)'!A6</f>
        <v>6300 - BD ($Usd)</v>
      </c>
      <c r="B6" s="3" t="str">
        <f>'Cost Allocation - Tier 1 (2)'!B6</f>
        <v>ALL</v>
      </c>
      <c r="D6" s="664">
        <f>'Cost Allocation - Tier 1 (2)'!D6</f>
        <v>152564.24679999999</v>
      </c>
      <c r="E6" s="664">
        <f>'Cost Allocation - Tier 1 (2)'!E6</f>
        <v>114779</v>
      </c>
      <c r="F6" s="775">
        <f>'Cost Allocation - Tier 1 (2)'!F6</f>
        <v>0</v>
      </c>
      <c r="G6" s="775"/>
      <c r="H6" s="351">
        <f>'Cost Allocation - Tier 1 (2)'!H6</f>
        <v>0</v>
      </c>
      <c r="I6" s="666">
        <f t="shared" ref="I6" si="0">SUM(J6:BB6)</f>
        <v>43708.824588597956</v>
      </c>
      <c r="J6" s="73">
        <f>'Cost Allocation - Tier 1 (2)'!J6</f>
        <v>274.65200979471433</v>
      </c>
      <c r="K6" s="73">
        <f>'Cost Allocation - Tier 1 (2)'!K6</f>
        <v>81.465144715225065</v>
      </c>
      <c r="L6" s="73">
        <f>'Cost Allocation - Tier 1 (2)'!L6</f>
        <v>85.536788016236301</v>
      </c>
      <c r="M6" s="73">
        <f>'Cost Allocation - Tier 1 (2)'!M6</f>
        <v>81.792819237929237</v>
      </c>
      <c r="N6" s="73">
        <f>'Cost Allocation - Tier 1 (2)'!N6</f>
        <v>143.136100421626</v>
      </c>
      <c r="O6" s="73">
        <f>'Cost Allocation - Tier 1 (2)'!O6</f>
        <v>327.77575526437784</v>
      </c>
      <c r="P6" s="73">
        <f>'Cost Allocation - Tier 1 (2)'!P6</f>
        <v>39.652230790155457</v>
      </c>
      <c r="Q6" s="73">
        <f>'Cost Allocation - Tier 1 (2)'!Q6</f>
        <v>104.99652991553825</v>
      </c>
      <c r="R6" s="73">
        <f>'Cost Allocation - Tier 1 (2)'!R6</f>
        <v>89.805864620058429</v>
      </c>
      <c r="S6" s="73">
        <f>'Cost Allocation - Tier 1 (2)'!S6</f>
        <v>92.388313531940881</v>
      </c>
      <c r="T6" s="73">
        <f>'Cost Allocation - Tier 1 (2)'!T6</f>
        <v>334.64885761068956</v>
      </c>
      <c r="U6" s="73">
        <f>'Cost Allocation - Tier 1 (2)'!U6</f>
        <v>267.17751018999547</v>
      </c>
      <c r="V6" s="73">
        <f>'Cost Allocation - Tier 1 (2)'!V6</f>
        <v>212.0087538487945</v>
      </c>
      <c r="W6" s="73">
        <f>'Cost Allocation - Tier 1 (2)'!W6</f>
        <v>339.99069672388015</v>
      </c>
      <c r="X6" s="73">
        <f>'Cost Allocation - Tier 1 (2)'!X6</f>
        <v>8.4062227633064275</v>
      </c>
      <c r="Y6" s="73">
        <f>'Cost Allocation - Tier 1 (2)'!Y6</f>
        <v>6.6308920814900807</v>
      </c>
      <c r="Z6" s="73">
        <f>'Cost Allocation - Tier 1 (2)'!Z6</f>
        <v>32.06157033888659</v>
      </c>
      <c r="AA6" s="73">
        <f>'Cost Allocation - Tier 1 (2)'!AA6</f>
        <v>29.305903405512506</v>
      </c>
      <c r="AB6" s="73">
        <f>'Cost Allocation - Tier 1 (2)'!AB6</f>
        <v>17.631159543445055</v>
      </c>
      <c r="AC6" s="73">
        <f>'Cost Allocation - Tier 1 (2)'!AC6</f>
        <v>18.033125526331204</v>
      </c>
      <c r="AD6" s="73">
        <f>'Cost Allocation - Tier 1 (2)'!AD6</f>
        <v>102.31663470510235</v>
      </c>
      <c r="AE6" s="73">
        <f>'Cost Allocation - Tier 1 (2)'!AE6</f>
        <v>41.037621816853303</v>
      </c>
      <c r="AF6" s="73">
        <f>'Cost Allocation - Tier 1 (2)'!AF6</f>
        <v>106.77813246854241</v>
      </c>
      <c r="AG6" s="73">
        <f>'Cost Allocation - Tier 1 (2)'!AG6</f>
        <v>331.7068156727949</v>
      </c>
      <c r="AH6" s="73">
        <f>'Cost Allocation - Tier 1 (2)'!AH6</f>
        <v>2716.2730715467537</v>
      </c>
      <c r="AI6" s="73">
        <f>'Cost Allocation - Tier 1 (2)'!AI6</f>
        <v>18.865920835829247</v>
      </c>
      <c r="AJ6" s="73">
        <f>'Cost Allocation - Tier 1 (2)'!AJ6</f>
        <v>400.30517856101812</v>
      </c>
      <c r="AK6" s="73">
        <f>'Cost Allocation - Tier 1 (2)'!AK6</f>
        <v>344.19987957333132</v>
      </c>
      <c r="AL6" s="73">
        <f>'Cost Allocation - Tier 1 (2)'!AL6</f>
        <v>0</v>
      </c>
      <c r="AM6" s="73">
        <f>'Cost Allocation - Tier 1 (2)'!AM6</f>
        <v>41.97833109513941</v>
      </c>
      <c r="AN6" s="73">
        <f>'Cost Allocation - Tier 1 (2)'!AN6</f>
        <v>70.989331657238722</v>
      </c>
      <c r="AO6" s="73">
        <f>'Cost Allocation - Tier 1 (2)'!AO6</f>
        <v>418.51201590015523</v>
      </c>
      <c r="AP6" s="73">
        <f>'Cost Allocation - Tier 1 (2)'!AP6</f>
        <v>63.385868555641281</v>
      </c>
      <c r="AQ6" s="73">
        <f>'Cost Allocation - Tier 1 (2)'!AQ6</f>
        <v>397.74569138470054</v>
      </c>
      <c r="AR6" s="73">
        <f>'Cost Allocation - Tier 1 (2)'!AR6</f>
        <v>1.2016478019614101</v>
      </c>
      <c r="AS6" s="73">
        <f>'Cost Allocation - Tier 1 (2)'!AS6</f>
        <v>586.19155327310955</v>
      </c>
      <c r="AT6" s="73">
        <f>'Cost Allocation - Tier 1 (2)'!AT6</f>
        <v>486.30432297223433</v>
      </c>
      <c r="AU6" s="73">
        <f>'Cost Allocation - Tier 1 (2)'!AU6</f>
        <v>679.85705255873586</v>
      </c>
      <c r="AV6" s="73">
        <f>'Cost Allocation - Tier 1 (2)'!AV6</f>
        <v>955.54160323812971</v>
      </c>
      <c r="AW6" s="73">
        <f>'Cost Allocation - Tier 1 (2)'!AW6</f>
        <v>2447.2646378490449</v>
      </c>
      <c r="AX6" s="73">
        <f>'Cost Allocation - Tier 1 (2)'!AX6</f>
        <v>25.491577229584699</v>
      </c>
      <c r="AY6" s="73">
        <f>'Cost Allocation - Tier 1 (2)'!AY6</f>
        <v>7875.8057929828165</v>
      </c>
      <c r="AZ6" s="73">
        <f>'Cost Allocation - Tier 1 (2)'!AZ6</f>
        <v>264.86958998012784</v>
      </c>
      <c r="BA6" s="73">
        <f>'Cost Allocation - Tier 1 (2)'!BA6</f>
        <v>4776.2050212495305</v>
      </c>
      <c r="BB6" s="73">
        <f>'Cost Allocation - Tier 1 (2)'!BB6</f>
        <v>17968.901047349449</v>
      </c>
      <c r="BC6" s="694">
        <f>'Cost Allocation - Tier 1 (2)'!BC6</f>
        <v>71070.175411402044</v>
      </c>
      <c r="BD6" s="883">
        <v>11321.245513603093</v>
      </c>
      <c r="BE6" s="883">
        <v>10524.053592045109</v>
      </c>
      <c r="BF6" s="883">
        <v>5944.3594321325463</v>
      </c>
      <c r="BG6" s="883">
        <v>13321.235231873634</v>
      </c>
      <c r="BH6" s="883">
        <v>9974.4467306739061</v>
      </c>
      <c r="BI6" s="883">
        <v>6550.8329250033084</v>
      </c>
      <c r="BJ6" s="883">
        <v>2078.4955637875555</v>
      </c>
      <c r="BK6" s="81">
        <f>'Cost Allocation - Tier 1 (2)'!BK6</f>
        <v>11355.506422282895</v>
      </c>
      <c r="BL6" s="76">
        <f t="shared" ref="BL6" si="1">BC6+I6+H6</f>
        <v>114779</v>
      </c>
      <c r="BM6" s="76">
        <f t="shared" ref="BM6:BM20" si="2">BL6-E6</f>
        <v>0</v>
      </c>
      <c r="BN6" s="76">
        <f t="shared" ref="BN6:BN21" si="3">SUM(BD6:BK6)-BC6</f>
        <v>0</v>
      </c>
    </row>
    <row r="7" spans="1:70" x14ac:dyDescent="0.25">
      <c r="A7" s="177" t="str">
        <f>'Cost Allocation - Tier 1 (2)'!A7</f>
        <v>7501 - Corp Communications</v>
      </c>
      <c r="B7" s="3" t="str">
        <f>'Cost Allocation - Tier 1 (2)'!B7</f>
        <v>ALL</v>
      </c>
      <c r="D7" s="664">
        <f>'Cost Allocation - Tier 1 (2)'!D7</f>
        <v>81200</v>
      </c>
      <c r="E7" s="664">
        <f>'Cost Allocation - Tier 1 (2)'!E7</f>
        <v>61089.377068913636</v>
      </c>
      <c r="F7" s="775">
        <f>'Cost Allocation - Tier 1 (2)'!F7</f>
        <v>4616.3105627445084</v>
      </c>
      <c r="G7" s="775"/>
      <c r="H7" s="351">
        <f>'Cost Allocation - Tier 1 (2)'!H7</f>
        <v>0</v>
      </c>
      <c r="I7" s="666">
        <f t="shared" ref="I7:I20" si="4">SUM(J7:BB7)</f>
        <v>23263.357116997577</v>
      </c>
      <c r="J7" s="73">
        <f>'Cost Allocation - Tier 1 (2)'!J7</f>
        <v>146.17935501341069</v>
      </c>
      <c r="K7" s="73">
        <f>'Cost Allocation - Tier 1 (2)'!K7</f>
        <v>43.35858426612883</v>
      </c>
      <c r="L7" s="73">
        <f>'Cost Allocation - Tier 1 (2)'!L7</f>
        <v>45.525654487211007</v>
      </c>
      <c r="M7" s="73">
        <f>'Cost Allocation - Tier 1 (2)'!M7</f>
        <v>43.532984047215535</v>
      </c>
      <c r="N7" s="73">
        <f>'Cost Allocation - Tier 1 (2)'!N7</f>
        <v>76.182012483386316</v>
      </c>
      <c r="O7" s="73">
        <f>'Cost Allocation - Tier 1 (2)'!O7</f>
        <v>174.45366057722694</v>
      </c>
      <c r="P7" s="73">
        <f>'Cost Allocation - Tier 1 (2)'!P7</f>
        <v>21.104296764768765</v>
      </c>
      <c r="Q7" s="73">
        <f>'Cost Allocation - Tier 1 (2)'!Q7</f>
        <v>55.882806148666454</v>
      </c>
      <c r="R7" s="73">
        <f>'Cost Allocation - Tier 1 (2)'!R7</f>
        <v>47.797805580938672</v>
      </c>
      <c r="S7" s="73">
        <f>'Cost Allocation - Tier 1 (2)'!S7</f>
        <v>49.17227473765891</v>
      </c>
      <c r="T7" s="73">
        <f>'Cost Allocation - Tier 1 (2)'!T7</f>
        <v>178.11176476760212</v>
      </c>
      <c r="U7" s="73">
        <f>'Cost Allocation - Tier 1 (2)'!U7</f>
        <v>142.20116627893736</v>
      </c>
      <c r="V7" s="73">
        <f>'Cost Allocation - Tier 1 (2)'!V7</f>
        <v>112.83843478144524</v>
      </c>
      <c r="W7" s="73">
        <f>'Cost Allocation - Tier 1 (2)'!W7</f>
        <v>180.95487739122814</v>
      </c>
      <c r="X7" s="73">
        <f>'Cost Allocation - Tier 1 (2)'!X7</f>
        <v>4.4740842149950026</v>
      </c>
      <c r="Y7" s="73">
        <f>'Cost Allocation - Tier 1 (2)'!Y7</f>
        <v>3.5291914607151234</v>
      </c>
      <c r="Z7" s="73">
        <f>'Cost Allocation - Tier 1 (2)'!Z7</f>
        <v>17.064283186416851</v>
      </c>
      <c r="AA7" s="73">
        <f>'Cost Allocation - Tier 1 (2)'!AA7</f>
        <v>15.597621372241557</v>
      </c>
      <c r="AB7" s="73">
        <f>'Cost Allocation - Tier 1 (2)'!AB7</f>
        <v>9.3839165135755689</v>
      </c>
      <c r="AC7" s="73">
        <f>'Cost Allocation - Tier 1 (2)'!AC7</f>
        <v>9.5978567944406077</v>
      </c>
      <c r="AD7" s="73">
        <f>'Cost Allocation - Tier 1 (2)'!AD7</f>
        <v>54.456472681608069</v>
      </c>
      <c r="AE7" s="73">
        <f>'Cost Allocation - Tier 1 (2)'!AE7</f>
        <v>21.841650068228756</v>
      </c>
      <c r="AF7" s="73">
        <f>'Cost Allocation - Tier 1 (2)'!AF7</f>
        <v>56.831037010996759</v>
      </c>
      <c r="AG7" s="73">
        <f>'Cost Allocation - Tier 1 (2)'!AG7</f>
        <v>176.54590769186001</v>
      </c>
      <c r="AH7" s="73">
        <f>'Cost Allocation - Tier 1 (2)'!AH7</f>
        <v>1445.6950303614412</v>
      </c>
      <c r="AI7" s="73">
        <f>'Cost Allocation - Tier 1 (2)'!AI7</f>
        <v>10.041099431884291</v>
      </c>
      <c r="AJ7" s="73">
        <f>'Cost Allocation - Tier 1 (2)'!AJ7</f>
        <v>213.0563430222675</v>
      </c>
      <c r="AK7" s="73">
        <f>'Cost Allocation - Tier 1 (2)'!AK7</f>
        <v>183.19515094511976</v>
      </c>
      <c r="AL7" s="73">
        <f>'Cost Allocation - Tier 1 (2)'!AL7</f>
        <v>0</v>
      </c>
      <c r="AM7" s="73">
        <f>'Cost Allocation - Tier 1 (2)'!AM7</f>
        <v>22.342328274289493</v>
      </c>
      <c r="AN7" s="73">
        <f>'Cost Allocation - Tier 1 (2)'!AN7</f>
        <v>37.782992093320409</v>
      </c>
      <c r="AO7" s="73">
        <f>'Cost Allocation - Tier 1 (2)'!AO7</f>
        <v>222.74665528708005</v>
      </c>
      <c r="AP7" s="73">
        <f>'Cost Allocation - Tier 1 (2)'!AP7</f>
        <v>33.73616449904744</v>
      </c>
      <c r="AQ7" s="73">
        <f>'Cost Allocation - Tier 1 (2)'!AQ7</f>
        <v>211.69409490007516</v>
      </c>
      <c r="AR7" s="73">
        <f>'Cost Allocation - Tier 1 (2)'!AR7</f>
        <v>0.63955876665637301</v>
      </c>
      <c r="AS7" s="73">
        <f>'Cost Allocation - Tier 1 (2)'!AS7</f>
        <v>311.99153880512256</v>
      </c>
      <c r="AT7" s="73">
        <f>'Cost Allocation - Tier 1 (2)'!AT7</f>
        <v>258.82807966869882</v>
      </c>
      <c r="AU7" s="73">
        <f>'Cost Allocation - Tier 1 (2)'!AU7</f>
        <v>361.84357623538153</v>
      </c>
      <c r="AV7" s="73">
        <f>'Cost Allocation - Tier 1 (2)'!AV7</f>
        <v>508.57248543068306</v>
      </c>
      <c r="AW7" s="73">
        <f>'Cost Allocation - Tier 1 (2)'!AW7</f>
        <v>1302.5193828921551</v>
      </c>
      <c r="AX7" s="73">
        <f>'Cost Allocation - Tier 1 (2)'!AX7</f>
        <v>13.567504277432565</v>
      </c>
      <c r="AY7" s="73">
        <f>'Cost Allocation - Tier 1 (2)'!AY7</f>
        <v>4191.7778496855844</v>
      </c>
      <c r="AZ7" s="73">
        <f>'Cost Allocation - Tier 1 (2)'!AZ7</f>
        <v>140.97281084854004</v>
      </c>
      <c r="BA7" s="73">
        <f>'Cost Allocation - Tier 1 (2)'!BA7</f>
        <v>2542.0624809551509</v>
      </c>
      <c r="BB7" s="73">
        <f>'Cost Allocation - Tier 1 (2)'!BB7</f>
        <v>9563.6742922967405</v>
      </c>
      <c r="BC7" s="694">
        <f>'Cost Allocation - Tier 1 (2)'!BC7</f>
        <v>37826.019951916074</v>
      </c>
      <c r="BD7" s="883">
        <v>6025.5607390746254</v>
      </c>
      <c r="BE7" s="883">
        <v>5601.2674633678544</v>
      </c>
      <c r="BF7" s="883">
        <v>3163.7948996131572</v>
      </c>
      <c r="BG7" s="883">
        <v>7090.0248486537248</v>
      </c>
      <c r="BH7" s="883">
        <v>5308.7475704086237</v>
      </c>
      <c r="BI7" s="883">
        <v>3486.5811922998255</v>
      </c>
      <c r="BJ7" s="883">
        <v>1106.24765185515</v>
      </c>
      <c r="BK7" s="81">
        <f>'Cost Allocation - Tier 1 (2)'!BK7</f>
        <v>6043.7955866431157</v>
      </c>
      <c r="BL7" s="76">
        <f>BC7+I7+H7</f>
        <v>61089.377068913651</v>
      </c>
      <c r="BM7" s="76">
        <f t="shared" si="2"/>
        <v>0</v>
      </c>
      <c r="BN7" s="76">
        <f t="shared" si="3"/>
        <v>0</v>
      </c>
    </row>
    <row r="8" spans="1:70" x14ac:dyDescent="0.25">
      <c r="A8" s="177" t="str">
        <f>'Cost Allocation - Tier 1 (2)'!A8</f>
        <v xml:space="preserve">8000 - Corporate Functions </v>
      </c>
      <c r="B8" s="3" t="str">
        <f>'Cost Allocation - Tier 1 (2)'!B8</f>
        <v>ALL + TRIBUS</v>
      </c>
      <c r="D8" s="664">
        <f>'Cost Allocation - Tier 1 (2)'!D8</f>
        <v>846550</v>
      </c>
      <c r="E8" s="664">
        <f>'Cost Allocation - Tier 1 (2)'!E8</f>
        <v>636886.84923262114</v>
      </c>
      <c r="F8" s="775">
        <f>'Cost Allocation - Tier 1 (2)'!F8</f>
        <v>245055.67258501356</v>
      </c>
      <c r="G8" s="775"/>
      <c r="H8" s="351">
        <f>'Cost Allocation - Tier 1 (2)'!H8</f>
        <v>12737.736984652423</v>
      </c>
      <c r="I8" s="666">
        <f t="shared" si="4"/>
        <v>237681.31857200008</v>
      </c>
      <c r="J8" s="73">
        <f>'Cost Allocation - Tier 1 (2)'!J8</f>
        <v>1493.5119498383096</v>
      </c>
      <c r="K8" s="73">
        <f>'Cost Allocation - Tier 1 (2)'!K8</f>
        <v>442.9939078852405</v>
      </c>
      <c r="L8" s="73">
        <f>'Cost Allocation - Tier 1 (2)'!L8</f>
        <v>465.13482697075744</v>
      </c>
      <c r="M8" s="73">
        <f>'Cost Allocation - Tier 1 (2)'!M8</f>
        <v>444.77574744171062</v>
      </c>
      <c r="N8" s="73">
        <f>'Cost Allocation - Tier 1 (2)'!N8</f>
        <v>778.35030805978408</v>
      </c>
      <c r="O8" s="73">
        <f>'Cost Allocation - Tier 1 (2)'!O8</f>
        <v>1782.3900422957936</v>
      </c>
      <c r="P8" s="73">
        <f>'Cost Allocation - Tier 1 (2)'!P8</f>
        <v>215.62223617845686</v>
      </c>
      <c r="Q8" s="73">
        <f>'Cost Allocation - Tier 1 (2)'!Q8</f>
        <v>570.95366692426728</v>
      </c>
      <c r="R8" s="73">
        <f>'Cost Allocation - Tier 1 (2)'!R8</f>
        <v>488.34935552035415</v>
      </c>
      <c r="S8" s="73">
        <f>'Cost Allocation - Tier 1 (2)'!S8</f>
        <v>502.39228319682076</v>
      </c>
      <c r="T8" s="73">
        <f>'Cost Allocation - Tier 1 (2)'!T8</f>
        <v>1819.7648297380947</v>
      </c>
      <c r="U8" s="73">
        <f>'Cost Allocation - Tier 1 (2)'!U8</f>
        <v>1452.8668641276565</v>
      </c>
      <c r="V8" s="73">
        <f>'Cost Allocation - Tier 1 (2)'!V8</f>
        <v>1152.868342671771</v>
      </c>
      <c r="W8" s="73">
        <f>'Cost Allocation - Tier 1 (2)'!W8</f>
        <v>1848.8128623944986</v>
      </c>
      <c r="X8" s="73">
        <f>'Cost Allocation - Tier 1 (2)'!X8</f>
        <v>45.711641285220921</v>
      </c>
      <c r="Y8" s="73">
        <f>'Cost Allocation - Tier 1 (2)'!Y8</f>
        <v>36.057688305997779</v>
      </c>
      <c r="Z8" s="73">
        <f>'Cost Allocation - Tier 1 (2)'!Z8</f>
        <v>174.34548710384189</v>
      </c>
      <c r="AA8" s="73">
        <f>'Cost Allocation - Tier 1 (2)'!AA8</f>
        <v>159.36062863568554</v>
      </c>
      <c r="AB8" s="73">
        <f>'Cost Allocation - Tier 1 (2)'!AB8</f>
        <v>95.875313227537546</v>
      </c>
      <c r="AC8" s="73">
        <f>'Cost Allocation - Tier 1 (2)'!AC8</f>
        <v>98.061137388510119</v>
      </c>
      <c r="AD8" s="73">
        <f>'Cost Allocation - Tier 1 (2)'!AD8</f>
        <v>556.38084248328812</v>
      </c>
      <c r="AE8" s="73">
        <f>'Cost Allocation - Tier 1 (2)'!AE8</f>
        <v>223.15576216691957</v>
      </c>
      <c r="AF8" s="73">
        <f>'Cost Allocation - Tier 1 (2)'!AF8</f>
        <v>580.64172529588814</v>
      </c>
      <c r="AG8" s="73">
        <f>'Cost Allocation - Tier 1 (2)'!AG8</f>
        <v>1803.7664949927732</v>
      </c>
      <c r="AH8" s="73">
        <f>'Cost Allocation - Tier 1 (2)'!AH8</f>
        <v>14770.641199426458</v>
      </c>
      <c r="AI8" s="73">
        <f>'Cost Allocation - Tier 1 (2)'!AI8</f>
        <v>102.5897397731578</v>
      </c>
      <c r="AJ8" s="73">
        <f>'Cost Allocation - Tier 1 (2)'!AJ8</f>
        <v>2176.7929832732821</v>
      </c>
      <c r="AK8" s="73">
        <f>'Cost Allocation - Tier 1 (2)'!AK8</f>
        <v>1871.7016986692033</v>
      </c>
      <c r="AL8" s="73">
        <f>'Cost Allocation - Tier 1 (2)'!AL8</f>
        <v>0</v>
      </c>
      <c r="AM8" s="73">
        <f>'Cost Allocation - Tier 1 (2)'!AM8</f>
        <v>228.27118276585927</v>
      </c>
      <c r="AN8" s="73">
        <f>'Cost Allocation - Tier 1 (2)'!AN8</f>
        <v>386.02817878655645</v>
      </c>
      <c r="AO8" s="73">
        <f>'Cost Allocation - Tier 1 (2)'!AO8</f>
        <v>2275.7987366085226</v>
      </c>
      <c r="AP8" s="73">
        <f>'Cost Allocation - Tier 1 (2)'!AP8</f>
        <v>344.68181102875906</v>
      </c>
      <c r="AQ8" s="73">
        <f>'Cost Allocation - Tier 1 (2)'!AQ8</f>
        <v>2162.8749176958795</v>
      </c>
      <c r="AR8" s="73">
        <f>'Cost Allocation - Tier 1 (2)'!AR8</f>
        <v>6.5343608920528746</v>
      </c>
      <c r="AS8" s="73">
        <f>'Cost Allocation - Tier 1 (2)'!AS8</f>
        <v>3187.612172807475</v>
      </c>
      <c r="AT8" s="73">
        <f>'Cost Allocation - Tier 1 (2)'!AT8</f>
        <v>2644.4420274219979</v>
      </c>
      <c r="AU8" s="73">
        <f>'Cost Allocation - Tier 1 (2)'!AU8</f>
        <v>3696.9495797145437</v>
      </c>
      <c r="AV8" s="73">
        <f>'Cost Allocation - Tier 1 (2)'!AV8</f>
        <v>5196.0763151541605</v>
      </c>
      <c r="AW8" s="73">
        <f>'Cost Allocation - Tier 1 (2)'!AW8</f>
        <v>13307.818077778409</v>
      </c>
      <c r="AX8" s="73">
        <f>'Cost Allocation - Tier 1 (2)'!AX8</f>
        <v>138.61895728004097</v>
      </c>
      <c r="AY8" s="73">
        <f>'Cost Allocation - Tier 1 (2)'!AY8</f>
        <v>42827.322018205719</v>
      </c>
      <c r="AZ8" s="73">
        <f>'Cost Allocation - Tier 1 (2)'!AZ8</f>
        <v>1440.3167778738293</v>
      </c>
      <c r="BA8" s="73">
        <f>'Cost Allocation - Tier 1 (2)'!BA8</f>
        <v>25972.208539255309</v>
      </c>
      <c r="BB8" s="73">
        <f>'Cost Allocation - Tier 1 (2)'!BB8</f>
        <v>97711.895353459724</v>
      </c>
      <c r="BC8" s="694">
        <f>'Cost Allocation - Tier 1 (2)'!BC8</f>
        <v>386467.79367596866</v>
      </c>
      <c r="BD8" s="883">
        <v>61563.05018214717</v>
      </c>
      <c r="BE8" s="883">
        <v>57228.053099652396</v>
      </c>
      <c r="BF8" s="883">
        <v>32324.437941159696</v>
      </c>
      <c r="BG8" s="883">
        <v>72438.661636887351</v>
      </c>
      <c r="BH8" s="883">
        <v>54239.382396734371</v>
      </c>
      <c r="BI8" s="883">
        <v>35622.33992825848</v>
      </c>
      <c r="BJ8" s="883">
        <v>11302.513185768688</v>
      </c>
      <c r="BK8" s="81">
        <f>'Cost Allocation - Tier 1 (2)'!BK8</f>
        <v>61749.355305360528</v>
      </c>
      <c r="BL8" s="76">
        <f>BC8+I8+H8</f>
        <v>636886.84923262126</v>
      </c>
      <c r="BM8" s="76">
        <f t="shared" si="2"/>
        <v>0</v>
      </c>
      <c r="BN8" s="76">
        <f t="shared" si="3"/>
        <v>0</v>
      </c>
    </row>
    <row r="9" spans="1:70" x14ac:dyDescent="0.25">
      <c r="A9" s="69" t="str">
        <f>'Cost Allocation - Tier 1 (2)'!A9</f>
        <v>8000 - Corporate Functions (Vancouver rent)</v>
      </c>
      <c r="B9" s="3" t="str">
        <f>'Cost Allocation - Tier 1 (2)'!B9</f>
        <v>PRORATA CORP. ALL</v>
      </c>
      <c r="D9" s="664">
        <f>'Cost Allocation - Tier 1 (2)'!D9</f>
        <v>99934.35555555555</v>
      </c>
      <c r="E9" s="664">
        <f>'Cost Allocation - Tier 1 (2)'!E9</f>
        <v>75183.836560002674</v>
      </c>
      <c r="F9" s="775">
        <f>'Cost Allocation - Tier 1 (2)'!F9</f>
        <v>0</v>
      </c>
      <c r="G9" s="775"/>
      <c r="H9" s="351">
        <f>'Cost Allocation - Tier 1 (2)'!H9</f>
        <v>0</v>
      </c>
      <c r="I9" s="666">
        <f t="shared" si="4"/>
        <v>28630.647802289401</v>
      </c>
      <c r="J9" s="73">
        <f>'Cost Allocation - Tier 1 (2)'!J9</f>
        <v>179.90566057625574</v>
      </c>
      <c r="K9" s="73">
        <f>'Cost Allocation - Tier 1 (2)'!K9</f>
        <v>53.3622189216359</v>
      </c>
      <c r="L9" s="73">
        <f>'Cost Allocation - Tier 1 (2)'!L9</f>
        <v>56.029272689954652</v>
      </c>
      <c r="M9" s="73">
        <f>'Cost Allocation - Tier 1 (2)'!M9</f>
        <v>53.576855987300064</v>
      </c>
      <c r="N9" s="73">
        <f>'Cost Allocation - Tier 1 (2)'!N9</f>
        <v>93.75862466074507</v>
      </c>
      <c r="O9" s="73">
        <f>'Cost Allocation - Tier 1 (2)'!O9</f>
        <v>214.70337615877835</v>
      </c>
      <c r="P9" s="73">
        <f>'Cost Allocation - Tier 1 (2)'!P9</f>
        <v>25.973451929068503</v>
      </c>
      <c r="Q9" s="73">
        <f>'Cost Allocation - Tier 1 (2)'!Q9</f>
        <v>68.776012550529785</v>
      </c>
      <c r="R9" s="73">
        <f>'Cost Allocation - Tier 1 (2)'!R9</f>
        <v>58.825651449517764</v>
      </c>
      <c r="S9" s="73">
        <f>'Cost Allocation - Tier 1 (2)'!S9</f>
        <v>60.517236294441723</v>
      </c>
      <c r="T9" s="73">
        <f>'Cost Allocation - Tier 1 (2)'!T9</f>
        <v>219.20547326247564</v>
      </c>
      <c r="U9" s="73">
        <f>'Cost Allocation - Tier 1 (2)'!U9</f>
        <v>175.00962944992611</v>
      </c>
      <c r="V9" s="73">
        <f>'Cost Allocation - Tier 1 (2)'!V9</f>
        <v>138.87236775592751</v>
      </c>
      <c r="W9" s="73">
        <f>'Cost Allocation - Tier 1 (2)'!W9</f>
        <v>222.70454503358317</v>
      </c>
      <c r="X9" s="73">
        <f>'Cost Allocation - Tier 1 (2)'!X9</f>
        <v>5.5063389498375521</v>
      </c>
      <c r="Y9" s="73">
        <f>'Cost Allocation - Tier 1 (2)'!Y9</f>
        <v>4.3434418012159552</v>
      </c>
      <c r="Z9" s="73">
        <f>'Cost Allocation - Tier 1 (2)'!Z9</f>
        <v>21.001331813449138</v>
      </c>
      <c r="AA9" s="73">
        <f>'Cost Allocation - Tier 1 (2)'!AA9</f>
        <v>19.196283744267486</v>
      </c>
      <c r="AB9" s="73">
        <f>'Cost Allocation - Tier 1 (2)'!AB9</f>
        <v>11.548961199154066</v>
      </c>
      <c r="AC9" s="73">
        <f>'Cost Allocation - Tier 1 (2)'!AC9</f>
        <v>11.812261495898181</v>
      </c>
      <c r="AD9" s="73">
        <f>'Cost Allocation - Tier 1 (2)'!AD9</f>
        <v>67.020597330852439</v>
      </c>
      <c r="AE9" s="73">
        <f>'Cost Allocation - Tier 1 (2)'!AE9</f>
        <v>26.880926401950695</v>
      </c>
      <c r="AF9" s="73">
        <f>'Cost Allocation - Tier 1 (2)'!AF9</f>
        <v>69.943017971033086</v>
      </c>
      <c r="AG9" s="73">
        <f>'Cost Allocation - Tier 1 (2)'!AG9</f>
        <v>217.27834373345598</v>
      </c>
      <c r="AH9" s="73">
        <f>'Cost Allocation - Tier 1 (2)'!AH9</f>
        <v>1779.2438570078812</v>
      </c>
      <c r="AI9" s="73">
        <f>'Cost Allocation - Tier 1 (2)'!AI9</f>
        <v>12.357768482692261</v>
      </c>
      <c r="AJ9" s="73">
        <f>'Cost Allocation - Tier 1 (2)'!AJ9</f>
        <v>262.21241794277938</v>
      </c>
      <c r="AK9" s="73">
        <f>'Cost Allocation - Tier 1 (2)'!AK9</f>
        <v>225.46169150989246</v>
      </c>
      <c r="AL9" s="73">
        <f>'Cost Allocation - Tier 1 (2)'!AL9</f>
        <v>0</v>
      </c>
      <c r="AM9" s="73">
        <f>'Cost Allocation - Tier 1 (2)'!AM9</f>
        <v>27.497120415046648</v>
      </c>
      <c r="AN9" s="73">
        <f>'Cost Allocation - Tier 1 (2)'!AN9</f>
        <v>46.500233569047118</v>
      </c>
      <c r="AO9" s="73">
        <f>'Cost Allocation - Tier 1 (2)'!AO9</f>
        <v>274.13846611169737</v>
      </c>
      <c r="AP9" s="73">
        <f>'Cost Allocation - Tier 1 (2)'!AP9</f>
        <v>41.519727316853668</v>
      </c>
      <c r="AQ9" s="73">
        <f>'Cost Allocation - Tier 1 (2)'!AQ9</f>
        <v>260.53587375314811</v>
      </c>
      <c r="AR9" s="73">
        <f>'Cost Allocation - Tier 1 (2)'!AR9</f>
        <v>0.7871169111540709</v>
      </c>
      <c r="AS9" s="73">
        <f>'Cost Allocation - Tier 1 (2)'!AS9</f>
        <v>383.97380996645353</v>
      </c>
      <c r="AT9" s="73">
        <f>'Cost Allocation - Tier 1 (2)'!AT9</f>
        <v>318.54454853908135</v>
      </c>
      <c r="AU9" s="73">
        <f>'Cost Allocation - Tier 1 (2)'!AU9</f>
        <v>445.3276428940934</v>
      </c>
      <c r="AV9" s="73">
        <f>'Cost Allocation - Tier 1 (2)'!AV9</f>
        <v>625.90965005914381</v>
      </c>
      <c r="AW9" s="73">
        <f>'Cost Allocation - Tier 1 (2)'!AW9</f>
        <v>1603.0349153688107</v>
      </c>
      <c r="AX9" s="73">
        <f>'Cost Allocation - Tier 1 (2)'!AX9</f>
        <v>16.697780744611659</v>
      </c>
      <c r="AY9" s="73">
        <f>'Cost Allocation - Tier 1 (2)'!AY9</f>
        <v>5158.8992369505077</v>
      </c>
      <c r="AZ9" s="73">
        <f>'Cost Allocation - Tier 1 (2)'!AZ9</f>
        <v>173.49786949512412</v>
      </c>
      <c r="BA9" s="73">
        <f>'Cost Allocation - Tier 1 (2)'!BA9</f>
        <v>3128.563741578937</v>
      </c>
      <c r="BB9" s="73">
        <f>'Cost Allocation - Tier 1 (2)'!BB9</f>
        <v>11770.19245251119</v>
      </c>
      <c r="BC9" s="694">
        <f>'Cost Allocation - Tier 1 (2)'!BC9</f>
        <v>46553.188757713287</v>
      </c>
      <c r="BD9" s="883">
        <v>7415.7700655206845</v>
      </c>
      <c r="BE9" s="883">
        <v>6893.5844118961541</v>
      </c>
      <c r="BF9" s="883">
        <v>3893.7414335319504</v>
      </c>
      <c r="BG9" s="883">
        <v>8725.8259128458758</v>
      </c>
      <c r="BH9" s="883">
        <v>6533.5747199003317</v>
      </c>
      <c r="BI9" s="883">
        <v>4291.0005485788606</v>
      </c>
      <c r="BJ9" s="883">
        <v>1361.4796326723024</v>
      </c>
      <c r="BK9" s="81">
        <f>'Cost Allocation - Tier 1 (2)'!BK9</f>
        <v>7438.2120327671255</v>
      </c>
      <c r="BL9" s="76">
        <f t="shared" ref="BL9:BL18" si="5">BC9+I9+H9</f>
        <v>75183.836560002688</v>
      </c>
      <c r="BM9" s="76">
        <f t="shared" si="2"/>
        <v>0</v>
      </c>
      <c r="BN9" s="76">
        <f t="shared" si="3"/>
        <v>0</v>
      </c>
    </row>
    <row r="10" spans="1:70" x14ac:dyDescent="0.25">
      <c r="A10" s="69" t="str">
        <f>'Cost Allocation - Tier 1 (2)'!A10</f>
        <v>8000 - Corporate Functions ($Usd)</v>
      </c>
      <c r="B10" s="27" t="str">
        <f>'Cost Allocation - Tier 1 (2)'!B10</f>
        <v>ALL CONTRACT</v>
      </c>
      <c r="C10" s="27"/>
      <c r="D10" s="664">
        <f>'Cost Allocation - Tier 1 (2)'!D10</f>
        <v>28904.783199999998</v>
      </c>
      <c r="E10" s="664">
        <f>'Cost Allocation - Tier 1 (2)'!E10</f>
        <v>21746</v>
      </c>
      <c r="F10" s="775">
        <f>'Cost Allocation - Tier 1 (2)'!F10</f>
        <v>0</v>
      </c>
      <c r="G10" s="775"/>
      <c r="H10" s="351">
        <f>'Cost Allocation - Tier 1 (2)'!H10</f>
        <v>0</v>
      </c>
      <c r="I10" s="666">
        <f t="shared" si="4"/>
        <v>21746</v>
      </c>
      <c r="J10" s="73">
        <f>'Cost Allocation - Tier 1 (2)'!J10</f>
        <v>135.20551331340749</v>
      </c>
      <c r="K10" s="73">
        <f>'Cost Allocation - Tier 1 (2)'!K10</f>
        <v>38.994118073900104</v>
      </c>
      <c r="L10" s="73">
        <f>'Cost Allocation - Tier 1 (2)'!L10</f>
        <v>40.287274788155699</v>
      </c>
      <c r="M10" s="73">
        <f>'Cost Allocation - Tier 1 (2)'!M10</f>
        <v>41.397164687684004</v>
      </c>
      <c r="N10" s="73">
        <f>'Cost Allocation - Tier 1 (2)'!N10</f>
        <v>68.877618169450258</v>
      </c>
      <c r="O10" s="73">
        <f>'Cost Allocation - Tier 1 (2)'!O10</f>
        <v>161.91834078640471</v>
      </c>
      <c r="P10" s="73">
        <f>'Cost Allocation - Tier 1 (2)'!P10</f>
        <v>19.745635536135154</v>
      </c>
      <c r="Q10" s="73">
        <f>'Cost Allocation - Tier 1 (2)'!Q10</f>
        <v>52.879071079467323</v>
      </c>
      <c r="R10" s="73">
        <f>'Cost Allocation - Tier 1 (2)'!R10</f>
        <v>45.389843396062624</v>
      </c>
      <c r="S10" s="73">
        <f>'Cost Allocation - Tier 1 (2)'!S10</f>
        <v>46.558878784531792</v>
      </c>
      <c r="T10" s="73">
        <f>'Cost Allocation - Tier 1 (2)'!T10</f>
        <v>169.51584708674235</v>
      </c>
      <c r="U10" s="73">
        <f>'Cost Allocation - Tier 1 (2)'!U10</f>
        <v>135.06118190289257</v>
      </c>
      <c r="V10" s="73">
        <f>'Cost Allocation - Tier 1 (2)'!V10</f>
        <v>105.46764437514437</v>
      </c>
      <c r="W10" s="73">
        <f>'Cost Allocation - Tier 1 (2)'!W10</f>
        <v>170.10192121264319</v>
      </c>
      <c r="X10" s="73">
        <f>'Cost Allocation - Tier 1 (2)'!X10</f>
        <v>4.1216321254979675</v>
      </c>
      <c r="Y10" s="73">
        <f>'Cost Allocation - Tier 1 (2)'!Y10</f>
        <v>3.1844695368976148</v>
      </c>
      <c r="Z10" s="73">
        <f>'Cost Allocation - Tier 1 (2)'!Z10</f>
        <v>15.025310424451805</v>
      </c>
      <c r="AA10" s="73">
        <f>'Cost Allocation - Tier 1 (2)'!AA10</f>
        <v>13.648080783374384</v>
      </c>
      <c r="AB10" s="73">
        <f>'Cost Allocation - Tier 1 (2)'!AB10</f>
        <v>8.1670574502474338</v>
      </c>
      <c r="AC10" s="73">
        <f>'Cost Allocation - Tier 1 (2)'!AC10</f>
        <v>8.6392938666427703</v>
      </c>
      <c r="AD10" s="73">
        <f>'Cost Allocation - Tier 1 (2)'!AD10</f>
        <v>50.999715207649075</v>
      </c>
      <c r="AE10" s="73">
        <f>'Cost Allocation - Tier 1 (2)'!AE10</f>
        <v>20.051483853835094</v>
      </c>
      <c r="AF10" s="73">
        <f>'Cost Allocation - Tier 1 (2)'!AF10</f>
        <v>52.693659288834951</v>
      </c>
      <c r="AG10" s="73">
        <f>'Cost Allocation - Tier 1 (2)'!AG10</f>
        <v>170.71895807116357</v>
      </c>
      <c r="AH10" s="73">
        <f>'Cost Allocation - Tier 1 (2)'!AH10</f>
        <v>1299.1315266472341</v>
      </c>
      <c r="AI10" s="73">
        <f>'Cost Allocation - Tier 1 (2)'!AI10</f>
        <v>9.5068113126696261</v>
      </c>
      <c r="AJ10" s="73">
        <f>'Cost Allocation - Tier 1 (2)'!AJ10</f>
        <v>203.82573938300291</v>
      </c>
      <c r="AK10" s="73">
        <f>'Cost Allocation - Tier 1 (2)'!AK10</f>
        <v>173.32200054141936</v>
      </c>
      <c r="AL10" s="73">
        <f>'Cost Allocation - Tier 1 (2)'!AL10</f>
        <v>0</v>
      </c>
      <c r="AM10" s="73">
        <f>'Cost Allocation - Tier 1 (2)'!AM10</f>
        <v>19.717476223875501</v>
      </c>
      <c r="AN10" s="73">
        <f>'Cost Allocation - Tier 1 (2)'!AN10</f>
        <v>33.97389350164589</v>
      </c>
      <c r="AO10" s="73">
        <f>'Cost Allocation - Tier 1 (2)'!AO10</f>
        <v>211.53698322596262</v>
      </c>
      <c r="AP10" s="73">
        <f>'Cost Allocation - Tier 1 (2)'!AP10</f>
        <v>31.685530898456268</v>
      </c>
      <c r="AQ10" s="73">
        <f>'Cost Allocation - Tier 1 (2)'!AQ10</f>
        <v>203.11272515486843</v>
      </c>
      <c r="AR10" s="676">
        <f>'Cost Allocation - Tier 1 (2)'!AR10</f>
        <v>0.54975155661210762</v>
      </c>
      <c r="AS10" s="676">
        <f>'Cost Allocation - Tier 1 (2)'!AS10</f>
        <v>298.40762034306249</v>
      </c>
      <c r="AT10" s="73">
        <f>'Cost Allocation - Tier 1 (2)'!AT10</f>
        <v>249.64307784192016</v>
      </c>
      <c r="AU10" s="73">
        <f>'Cost Allocation - Tier 1 (2)'!AU10</f>
        <v>341.92534666968413</v>
      </c>
      <c r="AV10" s="73">
        <f>'Cost Allocation - Tier 1 (2)'!AV10</f>
        <v>484.98740333134913</v>
      </c>
      <c r="AW10" s="73">
        <f>'Cost Allocation - Tier 1 (2)'!AW10</f>
        <v>1237.6877909909012</v>
      </c>
      <c r="AX10" s="73">
        <f>'Cost Allocation - Tier 1 (2)'!AX10</f>
        <v>11.662347519453958</v>
      </c>
      <c r="AY10" s="73">
        <f>'Cost Allocation - Tier 1 (2)'!AY10</f>
        <v>3984.3550577458318</v>
      </c>
      <c r="AZ10" s="73">
        <f>'Cost Allocation - Tier 1 (2)'!AZ10</f>
        <v>131.68265445699623</v>
      </c>
      <c r="BA10" s="73">
        <f>'Cost Allocation - Tier 1 (2)'!BA10</f>
        <v>2305.1778935745115</v>
      </c>
      <c r="BB10" s="73">
        <f>'Cost Allocation - Tier 1 (2)'!BB10</f>
        <v>8935.4586552793298</v>
      </c>
      <c r="BC10" s="694">
        <f>'Cost Allocation - Tier 1 (2)'!BC10</f>
        <v>0</v>
      </c>
      <c r="BD10" s="883">
        <v>0</v>
      </c>
      <c r="BE10" s="883">
        <v>0</v>
      </c>
      <c r="BF10" s="883">
        <v>0</v>
      </c>
      <c r="BG10" s="883">
        <v>0</v>
      </c>
      <c r="BH10" s="883">
        <v>0</v>
      </c>
      <c r="BI10" s="883">
        <v>0</v>
      </c>
      <c r="BJ10" s="883">
        <v>0</v>
      </c>
      <c r="BK10" s="81">
        <f>'Cost Allocation - Tier 1 (2)'!BK10</f>
        <v>0</v>
      </c>
      <c r="BL10" s="76">
        <f t="shared" si="5"/>
        <v>21746</v>
      </c>
      <c r="BM10" s="76">
        <f t="shared" si="2"/>
        <v>0</v>
      </c>
      <c r="BN10" s="76">
        <f t="shared" si="3"/>
        <v>0</v>
      </c>
    </row>
    <row r="11" spans="1:70" x14ac:dyDescent="0.25">
      <c r="A11" s="177" t="str">
        <f>'Cost Allocation - Tier 1 (2)'!A11</f>
        <v>8020 - Finance</v>
      </c>
      <c r="B11" s="3" t="str">
        <f>'Cost Allocation - Tier 1 (2)'!B11</f>
        <v>ALL + TRIBUS</v>
      </c>
      <c r="D11" s="664">
        <f>'Cost Allocation - Tier 1 (2)'!D11</f>
        <v>937188</v>
      </c>
      <c r="E11" s="664">
        <f>'Cost Allocation - Tier 1 (2)'!E11</f>
        <v>705076.73788745108</v>
      </c>
      <c r="F11" s="775">
        <f>'Cost Allocation - Tier 1 (2)'!F11</f>
        <v>205935.14896178152</v>
      </c>
      <c r="G11" s="775"/>
      <c r="H11" s="351">
        <f>'Cost Allocation - Tier 1 (2)'!H11</f>
        <v>14101.534757749021</v>
      </c>
      <c r="I11" s="666">
        <f t="shared" si="4"/>
        <v>263129.26535922941</v>
      </c>
      <c r="J11" s="73">
        <f>'Cost Allocation - Tier 1 (2)'!J11</f>
        <v>1653.4185544209624</v>
      </c>
      <c r="K11" s="73">
        <f>'Cost Allocation - Tier 1 (2)'!K11</f>
        <v>490.42416223867787</v>
      </c>
      <c r="L11" s="73">
        <f>'Cost Allocation - Tier 1 (2)'!L11</f>
        <v>514.93565438434848</v>
      </c>
      <c r="M11" s="73">
        <f>'Cost Allocation - Tier 1 (2)'!M11</f>
        <v>492.39677891843587</v>
      </c>
      <c r="N11" s="73">
        <f>'Cost Allocation - Tier 1 (2)'!N11</f>
        <v>861.68633690854983</v>
      </c>
      <c r="O11" s="73">
        <f>'Cost Allocation - Tier 1 (2)'!O11</f>
        <v>1973.2261047299155</v>
      </c>
      <c r="P11" s="73">
        <f>'Cost Allocation - Tier 1 (2)'!P11</f>
        <v>238.70837195631165</v>
      </c>
      <c r="Q11" s="73">
        <f>'Cost Allocation - Tier 1 (2)'!Q11</f>
        <v>632.08425396895666</v>
      </c>
      <c r="R11" s="73">
        <f>'Cost Allocation - Tier 1 (2)'!R11</f>
        <v>540.63570468538137</v>
      </c>
      <c r="S11" s="73">
        <f>'Cost Allocation - Tier 1 (2)'!S11</f>
        <v>556.18217365148189</v>
      </c>
      <c r="T11" s="73">
        <f>'Cost Allocation - Tier 1 (2)'!T11</f>
        <v>2014.602517574373</v>
      </c>
      <c r="U11" s="73">
        <f>'Cost Allocation - Tier 1 (2)'!U11</f>
        <v>1608.4217006178844</v>
      </c>
      <c r="V11" s="73">
        <f>'Cost Allocation - Tier 1 (2)'!V11</f>
        <v>1276.3030846752958</v>
      </c>
      <c r="W11" s="73">
        <f>'Cost Allocation - Tier 1 (2)'!W11</f>
        <v>2046.7606507374346</v>
      </c>
      <c r="X11" s="73">
        <f>'Cost Allocation - Tier 1 (2)'!X11</f>
        <v>50.605872863757163</v>
      </c>
      <c r="Y11" s="73">
        <f>'Cost Allocation - Tier 1 (2)'!Y11</f>
        <v>39.918295184125505</v>
      </c>
      <c r="Z11" s="73">
        <f>'Cost Allocation - Tier 1 (2)'!Z11</f>
        <v>193.01222416617489</v>
      </c>
      <c r="AA11" s="73">
        <f>'Cost Allocation - Tier 1 (2)'!AA11</f>
        <v>176.42297422458316</v>
      </c>
      <c r="AB11" s="73">
        <f>'Cost Allocation - Tier 1 (2)'!AB11</f>
        <v>106.14044421840347</v>
      </c>
      <c r="AC11" s="73">
        <f>'Cost Allocation - Tier 1 (2)'!AC11</f>
        <v>108.56029912806453</v>
      </c>
      <c r="AD11" s="73">
        <f>'Cost Allocation - Tier 1 (2)'!AD11</f>
        <v>615.95115351157972</v>
      </c>
      <c r="AE11" s="73">
        <f>'Cost Allocation - Tier 1 (2)'!AE11</f>
        <v>247.04849380862444</v>
      </c>
      <c r="AF11" s="73">
        <f>'Cost Allocation - Tier 1 (2)'!AF11</f>
        <v>642.8095886204037</v>
      </c>
      <c r="AG11" s="73">
        <f>'Cost Allocation - Tier 1 (2)'!AG11</f>
        <v>1996.8912809748829</v>
      </c>
      <c r="AH11" s="73">
        <f>'Cost Allocation - Tier 1 (2)'!AH11</f>
        <v>16352.096963449392</v>
      </c>
      <c r="AI11" s="73">
        <f>'Cost Allocation - Tier 1 (2)'!AI11</f>
        <v>113.57376769065762</v>
      </c>
      <c r="AJ11" s="73">
        <f>'Cost Allocation - Tier 1 (2)'!AJ11</f>
        <v>2409.8567862594305</v>
      </c>
      <c r="AK11" s="73">
        <f>'Cost Allocation - Tier 1 (2)'!AK11</f>
        <v>2072.1001377029038</v>
      </c>
      <c r="AL11" s="73">
        <f>'Cost Allocation - Tier 1 (2)'!AL11</f>
        <v>0</v>
      </c>
      <c r="AM11" s="73">
        <f>'Cost Allocation - Tier 1 (2)'!AM11</f>
        <v>252.71160975012711</v>
      </c>
      <c r="AN11" s="73">
        <f>'Cost Allocation - Tier 1 (2)'!AN11</f>
        <v>427.35925440979889</v>
      </c>
      <c r="AO11" s="73">
        <f>'Cost Allocation - Tier 1 (2)'!AO11</f>
        <v>2519.4628390108892</v>
      </c>
      <c r="AP11" s="73">
        <f>'Cost Allocation - Tier 1 (2)'!AP11</f>
        <v>381.58603403747048</v>
      </c>
      <c r="AQ11" s="73">
        <f>'Cost Allocation - Tier 1 (2)'!AQ11</f>
        <v>2394.448548066347</v>
      </c>
      <c r="AR11" s="73">
        <f>'Cost Allocation - Tier 1 (2)'!AR11</f>
        <v>7.2339786376483959</v>
      </c>
      <c r="AS11" s="73">
        <f>'Cost Allocation - Tier 1 (2)'!AS11</f>
        <v>3528.9018687721832</v>
      </c>
      <c r="AT11" s="73">
        <f>'Cost Allocation - Tier 1 (2)'!AT11</f>
        <v>2927.5758487928265</v>
      </c>
      <c r="AU11" s="73">
        <f>'Cost Allocation - Tier 1 (2)'!AU11</f>
        <v>4092.7727632313668</v>
      </c>
      <c r="AV11" s="73">
        <f>'Cost Allocation - Tier 1 (2)'!AV11</f>
        <v>5752.4072643632353</v>
      </c>
      <c r="AW11" s="73">
        <f>'Cost Allocation - Tier 1 (2)'!AW11</f>
        <v>14732.653013616433</v>
      </c>
      <c r="AX11" s="73">
        <f>'Cost Allocation - Tier 1 (2)'!AX11</f>
        <v>153.46054377811947</v>
      </c>
      <c r="AY11" s="73">
        <f>'Cost Allocation - Tier 1 (2)'!AY11</f>
        <v>47412.736716789528</v>
      </c>
      <c r="AZ11" s="73">
        <f>'Cost Allocation - Tier 1 (2)'!AZ11</f>
        <v>1594.5279078873289</v>
      </c>
      <c r="BA11" s="73">
        <f>'Cost Allocation - Tier 1 (2)'!BA11</f>
        <v>28752.988218637533</v>
      </c>
      <c r="BB11" s="73">
        <f>'Cost Allocation - Tier 1 (2)'!BB11</f>
        <v>108173.66461817754</v>
      </c>
      <c r="BC11" s="694">
        <f>'Cost Allocation - Tier 1 (2)'!BC11</f>
        <v>427845.93777047272</v>
      </c>
      <c r="BD11" s="883">
        <v>68154.452630212196</v>
      </c>
      <c r="BE11" s="883">
        <v>63355.318207261262</v>
      </c>
      <c r="BF11" s="883">
        <v>35785.33500112169</v>
      </c>
      <c r="BG11" s="883">
        <v>80194.488715552739</v>
      </c>
      <c r="BH11" s="883">
        <v>60046.657976056558</v>
      </c>
      <c r="BI11" s="883">
        <v>39436.335139902782</v>
      </c>
      <c r="BJ11" s="883">
        <v>12512.645121427184</v>
      </c>
      <c r="BK11" s="81">
        <f>'Cost Allocation - Tier 1 (2)'!BK11</f>
        <v>68360.704978938302</v>
      </c>
      <c r="BL11" s="76">
        <f t="shared" si="5"/>
        <v>705076.73788745119</v>
      </c>
      <c r="BM11" s="76">
        <f t="shared" si="2"/>
        <v>0</v>
      </c>
      <c r="BN11" s="76">
        <f t="shared" si="3"/>
        <v>0</v>
      </c>
    </row>
    <row r="12" spans="1:70" x14ac:dyDescent="0.25">
      <c r="A12" s="177" t="str">
        <f>'Cost Allocation - Tier 1 (2)'!A12</f>
        <v>8030 - IT Governance</v>
      </c>
      <c r="B12" s="3" t="str">
        <f>'Cost Allocation - Tier 1 (2)'!B12</f>
        <v>ALL</v>
      </c>
      <c r="D12" s="664">
        <f>'Cost Allocation - Tier 1 (2)'!D12</f>
        <v>151155</v>
      </c>
      <c r="E12" s="664">
        <f>'Cost Allocation - Tier 1 (2)'!E12</f>
        <v>113718.77821245862</v>
      </c>
      <c r="F12" s="775">
        <f>'Cost Allocation - Tier 1 (2)'!F12</f>
        <v>0</v>
      </c>
      <c r="G12" s="775"/>
      <c r="H12" s="884">
        <f>'Cost Allocation - Tier 1 (2)'!H12</f>
        <v>0</v>
      </c>
      <c r="I12" s="666">
        <f t="shared" si="4"/>
        <v>43305.083066745909</v>
      </c>
      <c r="J12" s="73">
        <f>'Cost Allocation - Tier 1 (2)'!J12</f>
        <v>272.11502964349864</v>
      </c>
      <c r="K12" s="73">
        <f>'Cost Allocation - Tier 1 (2)'!K12</f>
        <v>80.712645378653974</v>
      </c>
      <c r="L12" s="73">
        <f>'Cost Allocation - Tier 1 (2)'!L12</f>
        <v>84.746678620866746</v>
      </c>
      <c r="M12" s="73">
        <f>'Cost Allocation - Tier 1 (2)'!M12</f>
        <v>81.037293148483542</v>
      </c>
      <c r="N12" s="73">
        <f>'Cost Allocation - Tier 1 (2)'!N12</f>
        <v>141.81394208037264</v>
      </c>
      <c r="O12" s="73">
        <f>'Cost Allocation - Tier 1 (2)'!O12</f>
        <v>324.74806729742289</v>
      </c>
      <c r="P12" s="73">
        <f>'Cost Allocation - Tier 1 (2)'!P12</f>
        <v>39.285960313776144</v>
      </c>
      <c r="Q12" s="73">
        <f>'Cost Allocation - Tier 1 (2)'!Q12</f>
        <v>104.02666950002066</v>
      </c>
      <c r="R12" s="73">
        <f>'Cost Allocation - Tier 1 (2)'!R12</f>
        <v>88.97632146042838</v>
      </c>
      <c r="S12" s="73">
        <f>'Cost Allocation - Tier 1 (2)'!S12</f>
        <v>91.534916108015182</v>
      </c>
      <c r="T12" s="73">
        <f>'Cost Allocation - Tier 1 (2)'!T12</f>
        <v>331.55768230845933</v>
      </c>
      <c r="U12" s="73">
        <f>'Cost Allocation - Tier 1 (2)'!U12</f>
        <v>264.70957252331004</v>
      </c>
      <c r="V12" s="73">
        <f>'Cost Allocation - Tier 1 (2)'!V12</f>
        <v>210.05041390873589</v>
      </c>
      <c r="W12" s="73">
        <f>'Cost Allocation - Tier 1 (2)'!W12</f>
        <v>336.85017847378191</v>
      </c>
      <c r="X12" s="73">
        <f>'Cost Allocation - Tier 1 (2)'!X12</f>
        <v>8.3285738856843547</v>
      </c>
      <c r="Y12" s="73">
        <f>'Cost Allocation - Tier 1 (2)'!Y12</f>
        <v>6.5696420596600307</v>
      </c>
      <c r="Z12" s="73">
        <f>'Cost Allocation - Tier 1 (2)'!Z12</f>
        <v>31.76541533303989</v>
      </c>
      <c r="AA12" s="73">
        <f>'Cost Allocation - Tier 1 (2)'!AA12</f>
        <v>29.035202691147443</v>
      </c>
      <c r="AB12" s="73">
        <f>'Cost Allocation - Tier 1 (2)'!AB12</f>
        <v>17.468299268590087</v>
      </c>
      <c r="AC12" s="73">
        <f>'Cost Allocation - Tier 1 (2)'!AC12</f>
        <v>17.866552263099386</v>
      </c>
      <c r="AD12" s="73">
        <f>'Cost Allocation - Tier 1 (2)'!AD12</f>
        <v>101.37152867227177</v>
      </c>
      <c r="AE12" s="73">
        <f>'Cost Allocation - Tier 1 (2)'!AE12</f>
        <v>40.658554385013758</v>
      </c>
      <c r="AF12" s="73">
        <f>'Cost Allocation - Tier 1 (2)'!AF12</f>
        <v>105.7918152635125</v>
      </c>
      <c r="AG12" s="73">
        <f>'Cost Allocation - Tier 1 (2)'!AG12</f>
        <v>328.64281622122041</v>
      </c>
      <c r="AH12" s="73">
        <f>'Cost Allocation - Tier 1 (2)'!AH12</f>
        <v>2691.1826639690103</v>
      </c>
      <c r="AI12" s="73">
        <f>'Cost Allocation - Tier 1 (2)'!AI12</f>
        <v>18.691654983084607</v>
      </c>
      <c r="AJ12" s="73">
        <f>'Cost Allocation - Tier 1 (2)'!AJ12</f>
        <v>396.60753115185764</v>
      </c>
      <c r="AK12" s="73">
        <f>'Cost Allocation - Tier 1 (2)'!AK12</f>
        <v>341.0204808018421</v>
      </c>
      <c r="AL12" s="73">
        <f>'Cost Allocation - Tier 1 (2)'!AL12</f>
        <v>0</v>
      </c>
      <c r="AM12" s="73">
        <f>'Cost Allocation - Tier 1 (2)'!AM12</f>
        <v>41.590574264781132</v>
      </c>
      <c r="AN12" s="73">
        <f>'Cost Allocation - Tier 1 (2)'!AN12</f>
        <v>70.333598151057231</v>
      </c>
      <c r="AO12" s="73">
        <f>'Cost Allocation - Tier 1 (2)'!AO12</f>
        <v>414.64619063939142</v>
      </c>
      <c r="AP12" s="73">
        <f>'Cost Allocation - Tier 1 (2)'!AP12</f>
        <v>62.800368778984186</v>
      </c>
      <c r="AQ12" s="73">
        <f>'Cost Allocation - Tier 1 (2)'!AQ12</f>
        <v>394.07168614065097</v>
      </c>
      <c r="AR12" s="73">
        <f>'Cost Allocation - Tier 1 (2)'!AR12</f>
        <v>1.1905480957382273</v>
      </c>
      <c r="AS12" s="73">
        <f>'Cost Allocation - Tier 1 (2)'!AS12</f>
        <v>580.77686019813177</v>
      </c>
      <c r="AT12" s="73">
        <f>'Cost Allocation - Tier 1 (2)'!AT12</f>
        <v>481.8122953487952</v>
      </c>
      <c r="AU12" s="73">
        <f>'Cost Allocation - Tier 1 (2)'!AU12</f>
        <v>673.57716460417601</v>
      </c>
      <c r="AV12" s="73">
        <f>'Cost Allocation - Tier 1 (2)'!AV12</f>
        <v>946.71519747875482</v>
      </c>
      <c r="AW12" s="73">
        <f>'Cost Allocation - Tier 1 (2)'!AW12</f>
        <v>2424.6590803086665</v>
      </c>
      <c r="AX12" s="73">
        <f>'Cost Allocation - Tier 1 (2)'!AX12</f>
        <v>25.256109717430043</v>
      </c>
      <c r="AY12" s="73">
        <f>'Cost Allocation - Tier 1 (2)'!AY12</f>
        <v>7803.0564146456209</v>
      </c>
      <c r="AZ12" s="73">
        <f>'Cost Allocation - Tier 1 (2)'!AZ12</f>
        <v>262.42297073658955</v>
      </c>
      <c r="BA12" s="73">
        <f>'Cost Allocation - Tier 1 (2)'!BA12</f>
        <v>4732.0868757238395</v>
      </c>
      <c r="BB12" s="73">
        <f>'Cost Allocation - Tier 1 (2)'!BB12</f>
        <v>17802.921030198446</v>
      </c>
      <c r="BC12" s="694">
        <f>'Cost Allocation - Tier 1 (2)'!BC12</f>
        <v>70413.695145712729</v>
      </c>
      <c r="BD12" s="883">
        <v>11216.670363483065</v>
      </c>
      <c r="BE12" s="883">
        <v>10426.842160410934</v>
      </c>
      <c r="BF12" s="883">
        <v>5889.4509612195407</v>
      </c>
      <c r="BG12" s="883">
        <v>13198.186034461251</v>
      </c>
      <c r="BH12" s="883">
        <v>9882.3120567132428</v>
      </c>
      <c r="BI12" s="883">
        <v>6490.3224152965522</v>
      </c>
      <c r="BJ12" s="883">
        <v>2059.2963524158272</v>
      </c>
      <c r="BK12" s="81">
        <f>'Cost Allocation - Tier 1 (2)'!BK12</f>
        <v>11250.614801712318</v>
      </c>
      <c r="BL12" s="76">
        <f t="shared" si="5"/>
        <v>113718.77821245864</v>
      </c>
      <c r="BM12" s="76">
        <f t="shared" si="2"/>
        <v>0</v>
      </c>
      <c r="BN12" s="76">
        <f t="shared" si="3"/>
        <v>0</v>
      </c>
    </row>
    <row r="13" spans="1:70" x14ac:dyDescent="0.25">
      <c r="A13" s="177" t="str">
        <f>'Cost Allocation - Tier 1 (2)'!A13</f>
        <v>8040 - HR</v>
      </c>
      <c r="B13" s="3" t="str">
        <f>'Cost Allocation - Tier 1 (2)'!B13</f>
        <v>ALL</v>
      </c>
      <c r="D13" s="664">
        <f>'Cost Allocation - Tier 1 (2)'!D13</f>
        <v>280266</v>
      </c>
      <c r="E13" s="664">
        <f>'Cost Allocation - Tier 1 (2)'!E13</f>
        <v>210853.14474872104</v>
      </c>
      <c r="F13" s="775">
        <f>'Cost Allocation - Tier 1 (2)'!F13</f>
        <v>6391.0622931086373</v>
      </c>
      <c r="G13" s="775"/>
      <c r="H13" s="884">
        <f>'Cost Allocation - Tier 1 (2)'!H13</f>
        <v>0</v>
      </c>
      <c r="I13" s="666">
        <f t="shared" si="4"/>
        <v>80294.68036640939</v>
      </c>
      <c r="J13" s="73">
        <f>'Cost Allocation - Tier 1 (2)'!J13</f>
        <v>504.54560482990837</v>
      </c>
      <c r="K13" s="73">
        <f>'Cost Allocation - Tier 1 (2)'!K13</f>
        <v>149.65439627993672</v>
      </c>
      <c r="L13" s="73">
        <f>'Cost Allocation - Tier 1 (2)'!L13</f>
        <v>157.13415123784088</v>
      </c>
      <c r="M13" s="73">
        <f>'Cost Allocation - Tier 1 (2)'!M13</f>
        <v>150.25634614503582</v>
      </c>
      <c r="N13" s="73">
        <f>'Cost Allocation - Tier 1 (2)'!N13</f>
        <v>262.94615653532941</v>
      </c>
      <c r="O13" s="73">
        <f>'Cost Allocation - Tier 1 (2)'!O13</f>
        <v>602.13583294750106</v>
      </c>
      <c r="P13" s="73">
        <f>'Cost Allocation - Tier 1 (2)'!P13</f>
        <v>72.84257188515619</v>
      </c>
      <c r="Q13" s="73">
        <f>'Cost Allocation - Tier 1 (2)'!Q13</f>
        <v>192.88239591209546</v>
      </c>
      <c r="R13" s="73">
        <f>'Cost Allocation - Tier 1 (2)'!R13</f>
        <v>164.97659826289848</v>
      </c>
      <c r="S13" s="73">
        <f>'Cost Allocation - Tier 1 (2)'!S13</f>
        <v>169.72064965055065</v>
      </c>
      <c r="T13" s="73">
        <f>'Cost Allocation - Tier 1 (2)'!T13</f>
        <v>614.76196877286668</v>
      </c>
      <c r="U13" s="73">
        <f>'Cost Allocation - Tier 1 (2)'!U13</f>
        <v>490.81468064449081</v>
      </c>
      <c r="V13" s="73">
        <f>'Cost Allocation - Tier 1 (2)'!V13</f>
        <v>389.46769411892279</v>
      </c>
      <c r="W13" s="73">
        <f>'Cost Allocation - Tier 1 (2)'!W13</f>
        <v>624.57511905086142</v>
      </c>
      <c r="X13" s="73">
        <f>'Cost Allocation - Tier 1 (2)'!X13</f>
        <v>15.442533086204303</v>
      </c>
      <c r="Y13" s="73">
        <f>'Cost Allocation - Tier 1 (2)'!Y13</f>
        <v>12.181186871044147</v>
      </c>
      <c r="Z13" s="73">
        <f>'Cost Allocation - Tier 1 (2)'!Z13</f>
        <v>58.89825605325499</v>
      </c>
      <c r="AA13" s="73">
        <f>'Cost Allocation - Tier 1 (2)'!AA13</f>
        <v>53.835996939810983</v>
      </c>
      <c r="AB13" s="73">
        <f>'Cost Allocation - Tier 1 (2)'!AB13</f>
        <v>32.389073221598153</v>
      </c>
      <c r="AC13" s="73">
        <f>'Cost Allocation - Tier 1 (2)'!AC13</f>
        <v>33.127499166880433</v>
      </c>
      <c r="AD13" s="73">
        <f>'Cost Allocation - Tier 1 (2)'!AD13</f>
        <v>187.95933217467444</v>
      </c>
      <c r="AE13" s="73">
        <f>'Cost Allocation - Tier 1 (2)'!AE13</f>
        <v>75.387584951012315</v>
      </c>
      <c r="AF13" s="73">
        <f>'Cost Allocation - Tier 1 (2)'!AF13</f>
        <v>196.15526377985242</v>
      </c>
      <c r="AG13" s="73">
        <f>'Cost Allocation - Tier 1 (2)'!AG13</f>
        <v>609.35733208333534</v>
      </c>
      <c r="AH13" s="73">
        <f>'Cost Allocation - Tier 1 (2)'!AH13</f>
        <v>4989.8911746216709</v>
      </c>
      <c r="AI13" s="73">
        <f>'Cost Allocation - Tier 1 (2)'!AI13</f>
        <v>34.657374056360624</v>
      </c>
      <c r="AJ13" s="73">
        <f>'Cost Allocation - Tier 1 (2)'!AJ13</f>
        <v>735.37498809702981</v>
      </c>
      <c r="AK13" s="73">
        <f>'Cost Allocation - Tier 1 (2)'!AK13</f>
        <v>632.30753909833663</v>
      </c>
      <c r="AL13" s="73">
        <f>'Cost Allocation - Tier 1 (2)'!AL13</f>
        <v>0</v>
      </c>
      <c r="AM13" s="73">
        <f>'Cost Allocation - Tier 1 (2)'!AM13</f>
        <v>77.115701676379544</v>
      </c>
      <c r="AN13" s="73">
        <f>'Cost Allocation - Tier 1 (2)'!AN13</f>
        <v>130.40995150278988</v>
      </c>
      <c r="AO13" s="73">
        <f>'Cost Allocation - Tier 1 (2)'!AO13</f>
        <v>768.82160210207849</v>
      </c>
      <c r="AP13" s="73">
        <f>'Cost Allocation - Tier 1 (2)'!AP13</f>
        <v>116.44211674248805</v>
      </c>
      <c r="AQ13" s="73">
        <f>'Cost Allocation - Tier 1 (2)'!AQ13</f>
        <v>730.67311824217313</v>
      </c>
      <c r="AR13" s="73">
        <f>'Cost Allocation - Tier 1 (2)'!AR13</f>
        <v>2.2074701637403327</v>
      </c>
      <c r="AS13" s="73">
        <f>'Cost Allocation - Tier 1 (2)'!AS13</f>
        <v>1076.8549336792671</v>
      </c>
      <c r="AT13" s="73">
        <f>'Cost Allocation - Tier 1 (2)'!AT13</f>
        <v>893.35850463580721</v>
      </c>
      <c r="AU13" s="73">
        <f>'Cost Allocation - Tier 1 (2)'!AU13</f>
        <v>1248.9218194234659</v>
      </c>
      <c r="AV13" s="73">
        <f>'Cost Allocation - Tier 1 (2)'!AV13</f>
        <v>1755.3642389373867</v>
      </c>
      <c r="AW13" s="73">
        <f>'Cost Allocation - Tier 1 (2)'!AW13</f>
        <v>4495.7130217444919</v>
      </c>
      <c r="AX13" s="73">
        <f>'Cost Allocation - Tier 1 (2)'!AX13</f>
        <v>46.828942781021127</v>
      </c>
      <c r="AY13" s="73">
        <f>'Cost Allocation - Tier 1 (2)'!AY13</f>
        <v>14468.138064285466</v>
      </c>
      <c r="AZ13" s="73">
        <f>'Cost Allocation - Tier 1 (2)'!AZ13</f>
        <v>486.57494834084878</v>
      </c>
      <c r="BA13" s="73">
        <f>'Cost Allocation - Tier 1 (2)'!BA13</f>
        <v>8774.060139007097</v>
      </c>
      <c r="BB13" s="73">
        <f>'Cost Allocation - Tier 1 (2)'!BB13</f>
        <v>33009.516492670424</v>
      </c>
      <c r="BC13" s="694">
        <f>'Cost Allocation - Tier 1 (2)'!BC13</f>
        <v>130558.46438231168</v>
      </c>
      <c r="BD13" s="883">
        <v>20797.534557850846</v>
      </c>
      <c r="BE13" s="883">
        <v>19333.064370545009</v>
      </c>
      <c r="BF13" s="883">
        <v>10920.001740578584</v>
      </c>
      <c r="BG13" s="883">
        <v>24471.587490551534</v>
      </c>
      <c r="BH13" s="883">
        <v>18323.416829656933</v>
      </c>
      <c r="BI13" s="883">
        <v>12034.115325629344</v>
      </c>
      <c r="BJ13" s="883">
        <v>3818.2709900841796</v>
      </c>
      <c r="BK13" s="81">
        <f>'Cost Allocation - Tier 1 (2)'!BK13</f>
        <v>20860.473077415263</v>
      </c>
      <c r="BL13" s="76">
        <f t="shared" si="5"/>
        <v>210853.14474872107</v>
      </c>
      <c r="BM13" s="76">
        <f t="shared" si="2"/>
        <v>0</v>
      </c>
      <c r="BN13" s="76">
        <f t="shared" si="3"/>
        <v>0</v>
      </c>
    </row>
    <row r="14" spans="1:70" s="643" customFormat="1" ht="30" x14ac:dyDescent="0.25">
      <c r="A14" s="669" t="str">
        <f>'Cost Allocation - Tier 1 (2)'!A14</f>
        <v>8040 - HR $Usd</v>
      </c>
      <c r="B14" s="670" t="str">
        <f>'Cost Allocation - Tier 1 (2)'!B14</f>
        <v>US CONTRACT Headcount</v>
      </c>
      <c r="C14" s="670"/>
      <c r="D14" s="671">
        <f>'Cost Allocation - Tier 1 (2)'!D14</f>
        <v>22491.393199999999</v>
      </c>
      <c r="E14" s="671">
        <f>'Cost Allocation - Tier 1 (2)'!E14</f>
        <v>16921</v>
      </c>
      <c r="F14" s="775">
        <f>'Cost Allocation - Tier 1 (2)'!F14</f>
        <v>0</v>
      </c>
      <c r="G14" s="775"/>
      <c r="H14" s="884">
        <f>'Cost Allocation - Tier 1 (2)'!H14</f>
        <v>0</v>
      </c>
      <c r="I14" s="675">
        <f t="shared" si="4"/>
        <v>16921</v>
      </c>
      <c r="J14" s="676">
        <f>'Cost Allocation - Tier 1 (2)'!J14</f>
        <v>0</v>
      </c>
      <c r="K14" s="676">
        <f>'Cost Allocation - Tier 1 (2)'!K14</f>
        <v>0</v>
      </c>
      <c r="L14" s="676">
        <f>'Cost Allocation - Tier 1 (2)'!L14</f>
        <v>0</v>
      </c>
      <c r="M14" s="676">
        <f>'Cost Allocation - Tier 1 (2)'!M14</f>
        <v>0</v>
      </c>
      <c r="N14" s="676">
        <f>'Cost Allocation - Tier 1 (2)'!N14</f>
        <v>0</v>
      </c>
      <c r="O14" s="676">
        <f>'Cost Allocation - Tier 1 (2)'!O14</f>
        <v>0</v>
      </c>
      <c r="P14" s="676">
        <f>'Cost Allocation - Tier 1 (2)'!P14</f>
        <v>0</v>
      </c>
      <c r="Q14" s="676">
        <f>'Cost Allocation - Tier 1 (2)'!Q14</f>
        <v>0</v>
      </c>
      <c r="R14" s="676">
        <f>'Cost Allocation - Tier 1 (2)'!R14</f>
        <v>0</v>
      </c>
      <c r="S14" s="676">
        <f>'Cost Allocation - Tier 1 (2)'!S14</f>
        <v>0</v>
      </c>
      <c r="T14" s="676">
        <f>'Cost Allocation - Tier 1 (2)'!T14</f>
        <v>0</v>
      </c>
      <c r="U14" s="676">
        <f>'Cost Allocation - Tier 1 (2)'!U14</f>
        <v>0</v>
      </c>
      <c r="V14" s="676">
        <f>'Cost Allocation - Tier 1 (2)'!V14</f>
        <v>0</v>
      </c>
      <c r="W14" s="676">
        <f>'Cost Allocation - Tier 1 (2)'!W14</f>
        <v>0</v>
      </c>
      <c r="X14" s="676">
        <f>'Cost Allocation - Tier 1 (2)'!X14</f>
        <v>0</v>
      </c>
      <c r="Y14" s="676">
        <f>'Cost Allocation - Tier 1 (2)'!Y14</f>
        <v>0</v>
      </c>
      <c r="Z14" s="676">
        <f>'Cost Allocation - Tier 1 (2)'!Z14</f>
        <v>0</v>
      </c>
      <c r="AA14" s="676">
        <f>'Cost Allocation - Tier 1 (2)'!AA14</f>
        <v>0</v>
      </c>
      <c r="AB14" s="676">
        <f>'Cost Allocation - Tier 1 (2)'!AB14</f>
        <v>0</v>
      </c>
      <c r="AC14" s="676">
        <f>'Cost Allocation - Tier 1 (2)'!AC14</f>
        <v>0</v>
      </c>
      <c r="AD14" s="676">
        <f>'Cost Allocation - Tier 1 (2)'!AD14</f>
        <v>0</v>
      </c>
      <c r="AE14" s="676">
        <f>'Cost Allocation - Tier 1 (2)'!AE14</f>
        <v>0</v>
      </c>
      <c r="AF14" s="676">
        <f>'Cost Allocation - Tier 1 (2)'!AF14</f>
        <v>0</v>
      </c>
      <c r="AG14" s="676">
        <f>'Cost Allocation - Tier 1 (2)'!AG14</f>
        <v>0</v>
      </c>
      <c r="AH14" s="676">
        <f>'Cost Allocation - Tier 1 (2)'!AH14</f>
        <v>0</v>
      </c>
      <c r="AI14" s="676">
        <f>'Cost Allocation - Tier 1 (2)'!AI14</f>
        <v>0</v>
      </c>
      <c r="AJ14" s="676">
        <f>'Cost Allocation - Tier 1 (2)'!AJ14</f>
        <v>0</v>
      </c>
      <c r="AK14" s="676">
        <f>'Cost Allocation - Tier 1 (2)'!AK14</f>
        <v>0</v>
      </c>
      <c r="AL14" s="676">
        <f>'Cost Allocation - Tier 1 (2)'!AL14</f>
        <v>0</v>
      </c>
      <c r="AM14" s="676">
        <f>'Cost Allocation - Tier 1 (2)'!AM14</f>
        <v>0</v>
      </c>
      <c r="AN14" s="676">
        <f>'Cost Allocation - Tier 1 (2)'!AN14</f>
        <v>0</v>
      </c>
      <c r="AO14" s="676">
        <f>'Cost Allocation - Tier 1 (2)'!AO14</f>
        <v>0</v>
      </c>
      <c r="AP14" s="676">
        <f>'Cost Allocation - Tier 1 (2)'!AP14</f>
        <v>0</v>
      </c>
      <c r="AQ14" s="676">
        <f>'Cost Allocation - Tier 1 (2)'!AQ14</f>
        <v>0</v>
      </c>
      <c r="AR14" s="676">
        <f>'Cost Allocation - Tier 1 (2)'!AR14</f>
        <v>0</v>
      </c>
      <c r="AS14" s="676">
        <f>'Cost Allocation - Tier 1 (2)'!AS14</f>
        <v>0</v>
      </c>
      <c r="AT14" s="676">
        <f>'Cost Allocation - Tier 1 (2)'!AT14</f>
        <v>0</v>
      </c>
      <c r="AU14" s="676">
        <f>'Cost Allocation - Tier 1 (2)'!AU14</f>
        <v>0</v>
      </c>
      <c r="AV14" s="676">
        <f>'Cost Allocation - Tier 1 (2)'!AV14</f>
        <v>0</v>
      </c>
      <c r="AW14" s="676">
        <f>'Cost Allocation - Tier 1 (2)'!AW14</f>
        <v>0</v>
      </c>
      <c r="AX14" s="676">
        <f>'Cost Allocation - Tier 1 (2)'!AX14</f>
        <v>0</v>
      </c>
      <c r="AY14" s="676">
        <f>'Cost Allocation - Tier 1 (2)'!AY14</f>
        <v>4592.8428571428576</v>
      </c>
      <c r="AZ14" s="676">
        <f>'Cost Allocation - Tier 1 (2)'!AZ14</f>
        <v>392.80892857142857</v>
      </c>
      <c r="BA14" s="676">
        <f>'Cost Allocation - Tier 1 (2)'!BA14</f>
        <v>3323.7678571428569</v>
      </c>
      <c r="BB14" s="676">
        <f>'Cost Allocation - Tier 1 (2)'!BB14</f>
        <v>8611.5803571428569</v>
      </c>
      <c r="BC14" s="694">
        <f>'Cost Allocation - Tier 1 (2)'!BC14</f>
        <v>0</v>
      </c>
      <c r="BD14" s="883">
        <v>0</v>
      </c>
      <c r="BE14" s="883">
        <v>0</v>
      </c>
      <c r="BF14" s="883">
        <v>0</v>
      </c>
      <c r="BG14" s="883">
        <v>0</v>
      </c>
      <c r="BH14" s="883">
        <v>0</v>
      </c>
      <c r="BI14" s="883">
        <v>0</v>
      </c>
      <c r="BJ14" s="883">
        <v>0</v>
      </c>
      <c r="BK14" s="81">
        <f>'Cost Allocation - Tier 1 (2)'!BK14</f>
        <v>0</v>
      </c>
      <c r="BL14" s="677">
        <f t="shared" si="5"/>
        <v>16921</v>
      </c>
      <c r="BM14" s="677">
        <f t="shared" si="2"/>
        <v>0</v>
      </c>
      <c r="BN14" s="76">
        <f t="shared" si="3"/>
        <v>0</v>
      </c>
    </row>
    <row r="15" spans="1:70" x14ac:dyDescent="0.25">
      <c r="A15" s="177" t="str">
        <f>'Cost Allocation - Tier 1 (2)'!A15</f>
        <v>8060 - Legal</v>
      </c>
      <c r="B15" s="3" t="str">
        <f>'Cost Allocation - Tier 1 (2)'!B15</f>
        <v>ALL</v>
      </c>
      <c r="D15" s="664">
        <f>'Cost Allocation - Tier 1 (2)'!D15</f>
        <v>209989</v>
      </c>
      <c r="E15" s="664">
        <f>'Cost Allocation - Tier 1 (2)'!E15</f>
        <v>157981.49262714415</v>
      </c>
      <c r="F15" s="775">
        <f>'Cost Allocation - Tier 1 (2)'!F15</f>
        <v>48840.656033704487</v>
      </c>
      <c r="G15" s="775"/>
      <c r="H15" s="884">
        <f>'Cost Allocation - Tier 1 (2)'!H15</f>
        <v>0</v>
      </c>
      <c r="I15" s="666">
        <f t="shared" si="4"/>
        <v>60160.703172921232</v>
      </c>
      <c r="J15" s="73">
        <f>'Cost Allocation - Tier 1 (2)'!J15</f>
        <v>378.030253447181</v>
      </c>
      <c r="K15" s="73">
        <f>'Cost Allocation - Tier 1 (2)'!K15</f>
        <v>112.12839595394244</v>
      </c>
      <c r="L15" s="73">
        <f>'Cost Allocation - Tier 1 (2)'!L15</f>
        <v>117.73259433639103</v>
      </c>
      <c r="M15" s="73">
        <f>'Cost Allocation - Tier 1 (2)'!M15</f>
        <v>112.57940624495988</v>
      </c>
      <c r="N15" s="73">
        <f>'Cost Allocation - Tier 1 (2)'!N15</f>
        <v>197.01212585435724</v>
      </c>
      <c r="O15" s="73">
        <f>'Cost Allocation - Tier 1 (2)'!O15</f>
        <v>451.1496272284644</v>
      </c>
      <c r="P15" s="73">
        <f>'Cost Allocation - Tier 1 (2)'!P15</f>
        <v>54.577218883460937</v>
      </c>
      <c r="Q15" s="73">
        <f>'Cost Allocation - Tier 1 (2)'!Q15</f>
        <v>144.51692832946205</v>
      </c>
      <c r="R15" s="73">
        <f>'Cost Allocation - Tier 1 (2)'!R15</f>
        <v>123.60853936127747</v>
      </c>
      <c r="S15" s="73">
        <f>'Cost Allocation - Tier 1 (2)'!S15</f>
        <v>127.16301477692434</v>
      </c>
      <c r="T15" s="73">
        <f>'Cost Allocation - Tier 1 (2)'!T15</f>
        <v>460.60974595793101</v>
      </c>
      <c r="U15" s="73">
        <f>'Cost Allocation - Tier 1 (2)'!U15</f>
        <v>367.74237322349478</v>
      </c>
      <c r="V15" s="73">
        <f>'Cost Allocation - Tier 1 (2)'!V15</f>
        <v>291.80825223301605</v>
      </c>
      <c r="W15" s="73">
        <f>'Cost Allocation - Tier 1 (2)'!W15</f>
        <v>467.96223828210105</v>
      </c>
      <c r="X15" s="73">
        <f>'Cost Allocation - Tier 1 (2)'!X15</f>
        <v>11.570301357421005</v>
      </c>
      <c r="Y15" s="73">
        <f>'Cost Allocation - Tier 1 (2)'!Y15</f>
        <v>9.1267412025136458</v>
      </c>
      <c r="Z15" s="73">
        <f>'Cost Allocation - Tier 1 (2)'!Z15</f>
        <v>44.129455197444436</v>
      </c>
      <c r="AA15" s="73">
        <f>'Cost Allocation - Tier 1 (2)'!AA15</f>
        <v>40.336562984428966</v>
      </c>
      <c r="AB15" s="73">
        <f>'Cost Allocation - Tier 1 (2)'!AB15</f>
        <v>24.267478383857391</v>
      </c>
      <c r="AC15" s="73">
        <f>'Cost Allocation - Tier 1 (2)'!AC15</f>
        <v>24.820743231623016</v>
      </c>
      <c r="AD15" s="73">
        <f>'Cost Allocation - Tier 1 (2)'!AD15</f>
        <v>140.82832810268715</v>
      </c>
      <c r="AE15" s="73">
        <f>'Cost Allocation - Tier 1 (2)'!AE15</f>
        <v>56.484067194301574</v>
      </c>
      <c r="AF15" s="73">
        <f>'Cost Allocation - Tier 1 (2)'!AF15</f>
        <v>146.96912107022411</v>
      </c>
      <c r="AG15" s="73">
        <f>'Cost Allocation - Tier 1 (2)'!AG15</f>
        <v>456.56032771312795</v>
      </c>
      <c r="AH15" s="73">
        <f>'Cost Allocation - Tier 1 (2)'!AH15</f>
        <v>3738.6706124454272</v>
      </c>
      <c r="AI15" s="73">
        <f>'Cost Allocation - Tier 1 (2)'!AI15</f>
        <v>25.96700035224077</v>
      </c>
      <c r="AJ15" s="73">
        <f>'Cost Allocation - Tier 1 (2)'!AJ15</f>
        <v>550.97892136579958</v>
      </c>
      <c r="AK15" s="73">
        <f>'Cost Allocation - Tier 1 (2)'!AK15</f>
        <v>473.75574571200434</v>
      </c>
      <c r="AL15" s="73">
        <f>'Cost Allocation - Tier 1 (2)'!AL15</f>
        <v>0</v>
      </c>
      <c r="AM15" s="73">
        <f>'Cost Allocation - Tier 1 (2)'!AM15</f>
        <v>57.778856797903643</v>
      </c>
      <c r="AN15" s="73">
        <f>'Cost Allocation - Tier 1 (2)'!AN15</f>
        <v>97.709516338476107</v>
      </c>
      <c r="AO15" s="73">
        <f>'Cost Allocation - Tier 1 (2)'!AO15</f>
        <v>576.03876104776668</v>
      </c>
      <c r="AP15" s="73">
        <f>'Cost Allocation - Tier 1 (2)'!AP15</f>
        <v>87.244131120572334</v>
      </c>
      <c r="AQ15" s="73">
        <f>'Cost Allocation - Tier 1 (2)'!AQ15</f>
        <v>547.45605041837291</v>
      </c>
      <c r="AR15" s="73">
        <f>'Cost Allocation - Tier 1 (2)'!AR15</f>
        <v>1.6539446533424274</v>
      </c>
      <c r="AS15" s="73">
        <f>'Cost Allocation - Tier 1 (2)'!AS15</f>
        <v>806.83240445996159</v>
      </c>
      <c r="AT15" s="73">
        <f>'Cost Allocation - Tier 1 (2)'!AT15</f>
        <v>669.34790174323155</v>
      </c>
      <c r="AU15" s="73">
        <f>'Cost Allocation - Tier 1 (2)'!AU15</f>
        <v>935.75333411442762</v>
      </c>
      <c r="AV15" s="73">
        <f>'Cost Allocation - Tier 1 (2)'!AV15</f>
        <v>1315.2047739298484</v>
      </c>
      <c r="AW15" s="73">
        <f>'Cost Allocation - Tier 1 (2)'!AW15</f>
        <v>3368.4081612578912</v>
      </c>
      <c r="AX15" s="73">
        <f>'Cost Allocation - Tier 1 (2)'!AX15</f>
        <v>35.086535168889</v>
      </c>
      <c r="AY15" s="73">
        <f>'Cost Allocation - Tier 1 (2)'!AY15</f>
        <v>10840.236931990468</v>
      </c>
      <c r="AZ15" s="73">
        <f>'Cost Allocation - Tier 1 (2)'!AZ15</f>
        <v>364.56575834081372</v>
      </c>
      <c r="BA15" s="73">
        <f>'Cost Allocation - Tier 1 (2)'!BA15</f>
        <v>6573.9551516415167</v>
      </c>
      <c r="BB15" s="73">
        <f>'Cost Allocation - Tier 1 (2)'!BB15</f>
        <v>24732.34483947168</v>
      </c>
      <c r="BC15" s="694">
        <f>'Cost Allocation - Tier 1 (2)'!BC15</f>
        <v>97820.789454222948</v>
      </c>
      <c r="BD15" s="883">
        <v>15582.530468442626</v>
      </c>
      <c r="BE15" s="883">
        <v>14485.277750802366</v>
      </c>
      <c r="BF15" s="883">
        <v>8181.7995957495959</v>
      </c>
      <c r="BG15" s="883">
        <v>18335.310688964862</v>
      </c>
      <c r="BH15" s="883">
        <v>13728.800413331726</v>
      </c>
      <c r="BI15" s="883">
        <v>9016.5480048010832</v>
      </c>
      <c r="BJ15" s="883">
        <v>2860.8354453868355</v>
      </c>
      <c r="BK15" s="81">
        <f>'Cost Allocation - Tier 1 (2)'!BK15</f>
        <v>15629.687086743857</v>
      </c>
      <c r="BL15" s="76">
        <f t="shared" si="5"/>
        <v>157981.49262714418</v>
      </c>
      <c r="BM15" s="76">
        <f t="shared" si="2"/>
        <v>0</v>
      </c>
      <c r="BN15" s="76">
        <f t="shared" si="3"/>
        <v>0</v>
      </c>
    </row>
    <row r="16" spans="1:70" x14ac:dyDescent="0.25">
      <c r="A16" s="177" t="str">
        <f>'Cost Allocation - Tier 1 (2)'!A16</f>
        <v>8080 - Treasury</v>
      </c>
      <c r="B16" s="3" t="str">
        <f>'Cost Allocation - Tier 1 (2)'!B16</f>
        <v>ALL + TRIBUS</v>
      </c>
      <c r="D16" s="664">
        <f>'Cost Allocation - Tier 1 (2)'!D16</f>
        <v>47159</v>
      </c>
      <c r="E16" s="664">
        <f>'Cost Allocation - Tier 1 (2)'!E16</f>
        <v>35479.235630454408</v>
      </c>
      <c r="F16" s="775">
        <f>'Cost Allocation - Tier 1 (2)'!F16</f>
        <v>29.340956966596451</v>
      </c>
      <c r="G16" s="775"/>
      <c r="H16" s="884">
        <f>'Cost Allocation - Tier 1 (2)'!H16</f>
        <v>709.58471260908823</v>
      </c>
      <c r="I16" s="666">
        <f t="shared" si="4"/>
        <v>13240.580358557621</v>
      </c>
      <c r="J16" s="73">
        <f>'Cost Allocation - Tier 1 (2)'!J16</f>
        <v>83.199492106106959</v>
      </c>
      <c r="K16" s="73">
        <f>'Cost Allocation - Tier 1 (2)'!K16</f>
        <v>24.677986772145836</v>
      </c>
      <c r="L16" s="73">
        <f>'Cost Allocation - Tier 1 (2)'!L16</f>
        <v>25.911397206442562</v>
      </c>
      <c r="M16" s="73">
        <f>'Cost Allocation - Tier 1 (2)'!M16</f>
        <v>24.777248211687002</v>
      </c>
      <c r="N16" s="73">
        <f>'Cost Allocation - Tier 1 (2)'!N16</f>
        <v>43.359780494703628</v>
      </c>
      <c r="O16" s="73">
        <f>'Cost Allocation - Tier 1 (2)'!O16</f>
        <v>99.292105610569166</v>
      </c>
      <c r="P16" s="73">
        <f>'Cost Allocation - Tier 1 (2)'!P16</f>
        <v>12.011728823979501</v>
      </c>
      <c r="Q16" s="73">
        <f>'Cost Allocation - Tier 1 (2)'!Q16</f>
        <v>31.80627721750815</v>
      </c>
      <c r="R16" s="73">
        <f>'Cost Allocation - Tier 1 (2)'!R16</f>
        <v>27.204615506448977</v>
      </c>
      <c r="S16" s="73">
        <f>'Cost Allocation - Tier 1 (2)'!S16</f>
        <v>27.986908845642752</v>
      </c>
      <c r="T16" s="73">
        <f>'Cost Allocation - Tier 1 (2)'!T16</f>
        <v>101.37415345297833</v>
      </c>
      <c r="U16" s="73">
        <f>'Cost Allocation - Tier 1 (2)'!U16</f>
        <v>80.935264834204901</v>
      </c>
      <c r="V16" s="73">
        <f>'Cost Allocation - Tier 1 (2)'!V16</f>
        <v>64.223162450012467</v>
      </c>
      <c r="W16" s="73">
        <f>'Cost Allocation - Tier 1 (2)'!W16</f>
        <v>102.99234041422498</v>
      </c>
      <c r="X16" s="73">
        <f>'Cost Allocation - Tier 1 (2)'!X16</f>
        <v>2.5464713145942159</v>
      </c>
      <c r="Y16" s="73">
        <f>'Cost Allocation - Tier 1 (2)'!Y16</f>
        <v>2.0086758287431921</v>
      </c>
      <c r="Z16" s="73">
        <f>'Cost Allocation - Tier 1 (2)'!Z16</f>
        <v>9.7123133026165966</v>
      </c>
      <c r="AA16" s="73">
        <f>'Cost Allocation - Tier 1 (2)'!AA16</f>
        <v>8.8775475587151327</v>
      </c>
      <c r="AB16" s="73">
        <f>'Cost Allocation - Tier 1 (2)'!AB16</f>
        <v>5.3409531586999508</v>
      </c>
      <c r="AC16" s="73">
        <f>'Cost Allocation - Tier 1 (2)'!AC16</f>
        <v>5.4627194827296073</v>
      </c>
      <c r="AD16" s="73">
        <f>'Cost Allocation - Tier 1 (2)'!AD16</f>
        <v>30.994464769558071</v>
      </c>
      <c r="AE16" s="73">
        <f>'Cost Allocation - Tier 1 (2)'!AE16</f>
        <v>12.431401084436549</v>
      </c>
      <c r="AF16" s="73">
        <f>'Cost Allocation - Tier 1 (2)'!AF16</f>
        <v>32.345972622088226</v>
      </c>
      <c r="AG16" s="73">
        <f>'Cost Allocation - Tier 1 (2)'!AG16</f>
        <v>100.48292969979823</v>
      </c>
      <c r="AH16" s="73">
        <f>'Cost Allocation - Tier 1 (2)'!AH16</f>
        <v>822.83228199604559</v>
      </c>
      <c r="AI16" s="73">
        <f>'Cost Allocation - Tier 1 (2)'!AI16</f>
        <v>5.7149956150993431</v>
      </c>
      <c r="AJ16" s="73">
        <f>'Cost Allocation - Tier 1 (2)'!AJ16</f>
        <v>121.26322166225825</v>
      </c>
      <c r="AK16" s="73">
        <f>'Cost Allocation - Tier 1 (2)'!AK16</f>
        <v>104.26741528266606</v>
      </c>
      <c r="AL16" s="73">
        <f>'Cost Allocation - Tier 1 (2)'!AL16</f>
        <v>0</v>
      </c>
      <c r="AM16" s="73">
        <f>'Cost Allocation - Tier 1 (2)'!AM16</f>
        <v>12.716367264845735</v>
      </c>
      <c r="AN16" s="73">
        <f>'Cost Allocation - Tier 1 (2)'!AN16</f>
        <v>21.504580808452207</v>
      </c>
      <c r="AO16" s="73">
        <f>'Cost Allocation - Tier 1 (2)'!AO16</f>
        <v>126.77856313238595</v>
      </c>
      <c r="AP16" s="73">
        <f>'Cost Allocation - Tier 1 (2)'!AP16</f>
        <v>19.201287019438013</v>
      </c>
      <c r="AQ16" s="73">
        <f>'Cost Allocation - Tier 1 (2)'!AQ16</f>
        <v>120.48788405129052</v>
      </c>
      <c r="AR16" s="73">
        <f>'Cost Allocation - Tier 1 (2)'!AR16</f>
        <v>0.36401148816764695</v>
      </c>
      <c r="AS16" s="73">
        <f>'Cost Allocation - Tier 1 (2)'!AS16</f>
        <v>177.57321180961279</v>
      </c>
      <c r="AT16" s="73">
        <f>'Cost Allocation - Tier 1 (2)'!AT16</f>
        <v>147.31467907529859</v>
      </c>
      <c r="AU16" s="73">
        <f>'Cost Allocation - Tier 1 (2)'!AU16</f>
        <v>205.94701462377671</v>
      </c>
      <c r="AV16" s="73">
        <f>'Cost Allocation - Tier 1 (2)'!AV16</f>
        <v>289.45929117755009</v>
      </c>
      <c r="AW16" s="73">
        <f>'Cost Allocation - Tier 1 (2)'!AW16</f>
        <v>741.34238111151376</v>
      </c>
      <c r="AX16" s="73">
        <f>'Cost Allocation - Tier 1 (2)'!AX16</f>
        <v>7.7220854129932697</v>
      </c>
      <c r="AY16" s="73">
        <f>'Cost Allocation - Tier 1 (2)'!AY16</f>
        <v>2385.7937263676845</v>
      </c>
      <c r="AZ16" s="73">
        <f>'Cost Allocation - Tier 1 (2)'!AZ16</f>
        <v>80.23613363386913</v>
      </c>
      <c r="BA16" s="73">
        <f>'Cost Allocation - Tier 1 (2)'!BA16</f>
        <v>1446.8411582337028</v>
      </c>
      <c r="BB16" s="73">
        <f>'Cost Allocation - Tier 1 (2)'!BB16</f>
        <v>5443.2641580223344</v>
      </c>
      <c r="BC16" s="694">
        <f>'Cost Allocation - Tier 1 (2)'!BC16</f>
        <v>21529.070559287706</v>
      </c>
      <c r="BD16" s="883">
        <v>3429.5102280312781</v>
      </c>
      <c r="BE16" s="883">
        <v>3188.019320921986</v>
      </c>
      <c r="BF16" s="883">
        <v>1800.7065960275827</v>
      </c>
      <c r="BG16" s="883">
        <v>4035.3609876959076</v>
      </c>
      <c r="BH16" s="883">
        <v>3021.528597776382</v>
      </c>
      <c r="BI16" s="883">
        <v>1984.423753678745</v>
      </c>
      <c r="BJ16" s="883">
        <v>629.63229499458453</v>
      </c>
      <c r="BK16" s="81">
        <f>'Cost Allocation - Tier 1 (2)'!BK16</f>
        <v>3439.8887801612391</v>
      </c>
      <c r="BL16" s="76">
        <f t="shared" si="5"/>
        <v>35479.235630454416</v>
      </c>
      <c r="BM16" s="76">
        <f t="shared" si="2"/>
        <v>0</v>
      </c>
      <c r="BN16" s="76">
        <f t="shared" si="3"/>
        <v>0</v>
      </c>
    </row>
    <row r="17" spans="1:66" x14ac:dyDescent="0.25">
      <c r="A17" s="69" t="str">
        <f>'Cost Allocation - Tier 1 (2)'!A17</f>
        <v>8090 - HSE</v>
      </c>
      <c r="B17" s="3" t="str">
        <f>'Cost Allocation - Tier 1 (2)'!B17</f>
        <v>ALL</v>
      </c>
      <c r="D17" s="664">
        <f>'Cost Allocation - Tier 1 (2)'!D17</f>
        <v>19409</v>
      </c>
      <c r="E17" s="664">
        <f>'Cost Allocation - Tier 1 (2)'!E17</f>
        <v>14602.016250376168</v>
      </c>
      <c r="F17" s="775">
        <f>'Cost Allocation - Tier 1 (2)'!F17</f>
        <v>0</v>
      </c>
      <c r="G17" s="775"/>
      <c r="H17" s="884">
        <f>'Cost Allocation - Tier 1 (2)'!H17</f>
        <v>0</v>
      </c>
      <c r="I17" s="666">
        <f t="shared" si="4"/>
        <v>5560.5726389631272</v>
      </c>
      <c r="J17" s="73">
        <f>'Cost Allocation - Tier 1 (2)'!J17</f>
        <v>34.940826372602068</v>
      </c>
      <c r="K17" s="73">
        <f>'Cost Allocation - Tier 1 (2)'!K17</f>
        <v>10.363876379572591</v>
      </c>
      <c r="L17" s="73">
        <f>'Cost Allocation - Tier 1 (2)'!L17</f>
        <v>10.881864876136435</v>
      </c>
      <c r="M17" s="73">
        <f>'Cost Allocation - Tier 1 (2)'!M17</f>
        <v>10.405562652369536</v>
      </c>
      <c r="N17" s="73">
        <f>'Cost Allocation - Tier 1 (2)'!N17</f>
        <v>18.209565028202526</v>
      </c>
      <c r="O17" s="73">
        <f>'Cost Allocation - Tier 1 (2)'!O17</f>
        <v>41.699151454967954</v>
      </c>
      <c r="P17" s="73">
        <f>'Cost Allocation - Tier 1 (2)'!P17</f>
        <v>5.0444987180713916</v>
      </c>
      <c r="Q17" s="73">
        <f>'Cost Allocation - Tier 1 (2)'!Q17</f>
        <v>13.357504735707725</v>
      </c>
      <c r="R17" s="73">
        <f>'Cost Allocation - Tier 1 (2)'!R17</f>
        <v>11.424970548281266</v>
      </c>
      <c r="S17" s="73">
        <f>'Cost Allocation - Tier 1 (2)'!S17</f>
        <v>11.75350591604953</v>
      </c>
      <c r="T17" s="73">
        <f>'Cost Allocation - Tier 1 (2)'!T17</f>
        <v>42.573537467664899</v>
      </c>
      <c r="U17" s="73">
        <f>'Cost Allocation - Tier 1 (2)'!U17</f>
        <v>33.989931481624325</v>
      </c>
      <c r="V17" s="73">
        <f>'Cost Allocation - Tier 1 (2)'!V17</f>
        <v>26.971443111737322</v>
      </c>
      <c r="W17" s="73">
        <f>'Cost Allocation - Tier 1 (2)'!W17</f>
        <v>43.253118414856495</v>
      </c>
      <c r="X17" s="73">
        <f>'Cost Allocation - Tier 1 (2)'!X17</f>
        <v>1.0694273464142612</v>
      </c>
      <c r="Y17" s="73">
        <f>'Cost Allocation - Tier 1 (2)'!Y17</f>
        <v>0.84357237759876647</v>
      </c>
      <c r="Z17" s="73">
        <f>'Cost Allocation - Tier 1 (2)'!Z17</f>
        <v>4.0788260143493185</v>
      </c>
      <c r="AA17" s="73">
        <f>'Cost Allocation - Tier 1 (2)'!AA17</f>
        <v>3.7282541036186747</v>
      </c>
      <c r="AB17" s="73">
        <f>'Cost Allocation - Tier 1 (2)'!AB17</f>
        <v>2.2430102907880323</v>
      </c>
      <c r="AC17" s="73">
        <f>'Cost Allocation - Tier 1 (2)'!AC17</f>
        <v>2.2941478143263274</v>
      </c>
      <c r="AD17" s="73">
        <f>'Cost Allocation - Tier 1 (2)'!AD17</f>
        <v>13.016572392577968</v>
      </c>
      <c r="AE17" s="73">
        <f>'Cost Allocation - Tier 1 (2)'!AE17</f>
        <v>5.2207461351508861</v>
      </c>
      <c r="AF17" s="73">
        <f>'Cost Allocation - Tier 1 (2)'!AF17</f>
        <v>13.584157602788624</v>
      </c>
      <c r="AG17" s="73">
        <f>'Cost Allocation - Tier 1 (2)'!AG17</f>
        <v>42.19925520186343</v>
      </c>
      <c r="AH17" s="73">
        <f>'Cost Allocation - Tier 1 (2)'!AH17</f>
        <v>345.56028133356176</v>
      </c>
      <c r="AI17" s="73">
        <f>'Cost Allocation - Tier 1 (2)'!AI17</f>
        <v>2.4000948137123426</v>
      </c>
      <c r="AJ17" s="73">
        <f>'Cost Allocation - Tier 1 (2)'!AJ17</f>
        <v>50.926238444817606</v>
      </c>
      <c r="AK17" s="73">
        <f>'Cost Allocation - Tier 1 (2)'!AK17</f>
        <v>43.788604491303325</v>
      </c>
      <c r="AL17" s="73">
        <f>'Cost Allocation - Tier 1 (2)'!AL17</f>
        <v>0</v>
      </c>
      <c r="AM17" s="73">
        <f>'Cost Allocation - Tier 1 (2)'!AM17</f>
        <v>5.3404217915724725</v>
      </c>
      <c r="AN17" s="73">
        <f>'Cost Allocation - Tier 1 (2)'!AN17</f>
        <v>9.0311587874292591</v>
      </c>
      <c r="AO17" s="73">
        <f>'Cost Allocation - Tier 1 (2)'!AO17</f>
        <v>53.242485621514</v>
      </c>
      <c r="AP17" s="73">
        <f>'Cost Allocation - Tier 1 (2)'!AP17</f>
        <v>8.0638573492858594</v>
      </c>
      <c r="AQ17" s="73">
        <f>'Cost Allocation - Tier 1 (2)'!AQ17</f>
        <v>50.600624235413285</v>
      </c>
      <c r="AR17" s="73">
        <f>'Cost Allocation - Tier 1 (2)'!AR17</f>
        <v>0.152871873177753</v>
      </c>
      <c r="AS17" s="73">
        <f>'Cost Allocation - Tier 1 (2)'!AS17</f>
        <v>74.574430747150544</v>
      </c>
      <c r="AT17" s="73">
        <f>'Cost Allocation - Tier 1 (2)'!AT17</f>
        <v>61.866923624258327</v>
      </c>
      <c r="AU17" s="73">
        <f>'Cost Allocation - Tier 1 (2)'!AU17</f>
        <v>86.490418363947285</v>
      </c>
      <c r="AV17" s="73">
        <f>'Cost Allocation - Tier 1 (2)'!AV17</f>
        <v>121.5626030754203</v>
      </c>
      <c r="AW17" s="73">
        <f>'Cost Allocation - Tier 1 (2)'!AW17</f>
        <v>311.33742244524433</v>
      </c>
      <c r="AX17" s="73">
        <f>'Cost Allocation - Tier 1 (2)'!AX17</f>
        <v>3.2430011147868063</v>
      </c>
      <c r="AY17" s="73">
        <f>'Cost Allocation - Tier 1 (2)'!AY17</f>
        <v>1001.9484764106836</v>
      </c>
      <c r="AZ17" s="73">
        <f>'Cost Allocation - Tier 1 (2)'!AZ17</f>
        <v>33.696321253193517</v>
      </c>
      <c r="BA17" s="73">
        <f>'Cost Allocation - Tier 1 (2)'!BA17</f>
        <v>607.62180656229714</v>
      </c>
      <c r="BB17" s="73">
        <f>'Cost Allocation - Tier 1 (2)'!BB17</f>
        <v>2285.9772701870374</v>
      </c>
      <c r="BC17" s="694">
        <f>'Cost Allocation - Tier 1 (2)'!BC17</f>
        <v>9041.4436114130422</v>
      </c>
      <c r="BD17" s="883">
        <v>1440.2722707475293</v>
      </c>
      <c r="BE17" s="883">
        <v>1338.8546822229885</v>
      </c>
      <c r="BF17" s="883">
        <v>756.23269958856849</v>
      </c>
      <c r="BG17" s="883">
        <v>1694.7080330975384</v>
      </c>
      <c r="BH17" s="883">
        <v>1268.9345023899132</v>
      </c>
      <c r="BI17" s="883">
        <v>833.38736898210971</v>
      </c>
      <c r="BJ17" s="883">
        <v>264.42316102040149</v>
      </c>
      <c r="BK17" s="81">
        <f>'Cost Allocation - Tier 1 (2)'!BK17</f>
        <v>1444.6308933639932</v>
      </c>
      <c r="BL17" s="76">
        <f t="shared" si="5"/>
        <v>14602.016250376169</v>
      </c>
      <c r="BM17" s="76">
        <f t="shared" si="2"/>
        <v>0</v>
      </c>
      <c r="BN17" s="76">
        <f t="shared" si="3"/>
        <v>0</v>
      </c>
    </row>
    <row r="18" spans="1:66" x14ac:dyDescent="0.25">
      <c r="A18" s="69" t="str">
        <f>'Cost Allocation - Tier 1 (2)'!A18</f>
        <v>8090 - HSE $Usd</v>
      </c>
      <c r="B18" s="3" t="str">
        <f>'Cost Allocation - Tier 1 (2)'!B18</f>
        <v>ALL</v>
      </c>
      <c r="D18" s="664">
        <f>'Cost Allocation - Tier 1 (2)'!D18</f>
        <v>98398.017599999992</v>
      </c>
      <c r="E18" s="664">
        <f>'Cost Allocation - Tier 1 (2)'!E18</f>
        <v>74028</v>
      </c>
      <c r="F18" s="775">
        <f>'Cost Allocation - Tier 1 (2)'!F18</f>
        <v>0</v>
      </c>
      <c r="G18" s="775"/>
      <c r="H18" s="884">
        <f>'Cost Allocation - Tier 1 (2)'!H18</f>
        <v>0</v>
      </c>
      <c r="I18" s="666">
        <f t="shared" si="4"/>
        <v>28190.49535755434</v>
      </c>
      <c r="J18" s="73">
        <f>'Cost Allocation - Tier 1 (2)'!J18</f>
        <v>177.13988605130828</v>
      </c>
      <c r="K18" s="73">
        <f>'Cost Allocation - Tier 1 (2)'!K18</f>
        <v>52.541856375980629</v>
      </c>
      <c r="L18" s="73">
        <f>'Cost Allocation - Tier 1 (2)'!L18</f>
        <v>55.167908269508715</v>
      </c>
      <c r="M18" s="73">
        <f>'Cost Allocation - Tier 1 (2)'!M18</f>
        <v>52.753193724857553</v>
      </c>
      <c r="N18" s="73">
        <f>'Cost Allocation - Tier 1 (2)'!N18</f>
        <v>92.317229127385048</v>
      </c>
      <c r="O18" s="73">
        <f>'Cost Allocation - Tier 1 (2)'!O18</f>
        <v>211.40263994904436</v>
      </c>
      <c r="P18" s="73">
        <f>'Cost Allocation - Tier 1 (2)'!P18</f>
        <v>25.574149809055911</v>
      </c>
      <c r="Q18" s="73">
        <f>'Cost Allocation - Tier 1 (2)'!Q18</f>
        <v>67.718686489579667</v>
      </c>
      <c r="R18" s="73">
        <f>'Cost Allocation - Tier 1 (2)'!R18</f>
        <v>57.921296980228831</v>
      </c>
      <c r="S18" s="73">
        <f>'Cost Allocation - Tier 1 (2)'!S18</f>
        <v>59.586876293943313</v>
      </c>
      <c r="T18" s="73">
        <f>'Cost Allocation - Tier 1 (2)'!T18</f>
        <v>215.8355241917435</v>
      </c>
      <c r="U18" s="73">
        <f>'Cost Allocation - Tier 1 (2)'!U18</f>
        <v>172.31912391940151</v>
      </c>
      <c r="V18" s="73">
        <f>'Cost Allocation - Tier 1 (2)'!V18</f>
        <v>136.73741738400369</v>
      </c>
      <c r="W18" s="73">
        <f>'Cost Allocation - Tier 1 (2)'!W18</f>
        <v>219.28080308310231</v>
      </c>
      <c r="X18" s="73">
        <f>'Cost Allocation - Tier 1 (2)'!X18</f>
        <v>5.4216874055537003</v>
      </c>
      <c r="Y18" s="73">
        <f>'Cost Allocation - Tier 1 (2)'!Y18</f>
        <v>4.2766680229706457</v>
      </c>
      <c r="Z18" s="73">
        <f>'Cost Allocation - Tier 1 (2)'!Z18</f>
        <v>20.678468439758984</v>
      </c>
      <c r="AA18" s="73">
        <f>'Cost Allocation - Tier 1 (2)'!AA18</f>
        <v>18.901170225418237</v>
      </c>
      <c r="AB18" s="73">
        <f>'Cost Allocation - Tier 1 (2)'!AB18</f>
        <v>11.371413574627333</v>
      </c>
      <c r="AC18" s="73">
        <f>'Cost Allocation - Tier 1 (2)'!AC18</f>
        <v>11.630666031793675</v>
      </c>
      <c r="AD18" s="73">
        <f>'Cost Allocation - Tier 1 (2)'!AD18</f>
        <v>65.990258095551596</v>
      </c>
      <c r="AE18" s="73">
        <f>'Cost Allocation - Tier 1 (2)'!AE18</f>
        <v>26.467673249096233</v>
      </c>
      <c r="AF18" s="73">
        <f>'Cost Allocation - Tier 1 (2)'!AF18</f>
        <v>68.867750985644221</v>
      </c>
      <c r="AG18" s="73">
        <f>'Cost Allocation - Tier 1 (2)'!AG18</f>
        <v>213.93802133339426</v>
      </c>
      <c r="AH18" s="73">
        <f>'Cost Allocation - Tier 1 (2)'!AH18</f>
        <v>1751.8907024844534</v>
      </c>
      <c r="AI18" s="73">
        <f>'Cost Allocation - Tier 1 (2)'!AI18</f>
        <v>12.16778668253572</v>
      </c>
      <c r="AJ18" s="73">
        <f>'Cost Allocation - Tier 1 (2)'!AJ18</f>
        <v>258.18130283862945</v>
      </c>
      <c r="AK18" s="73">
        <f>'Cost Allocation - Tier 1 (2)'!AK18</f>
        <v>221.99556264695261</v>
      </c>
      <c r="AL18" s="73">
        <f>'Cost Allocation - Tier 1 (2)'!AL18</f>
        <v>0</v>
      </c>
      <c r="AM18" s="73">
        <f>'Cost Allocation - Tier 1 (2)'!AM18</f>
        <v>27.074394221163978</v>
      </c>
      <c r="AN18" s="73">
        <f>'Cost Allocation - Tier 1 (2)'!AN18</f>
        <v>45.785363558857178</v>
      </c>
      <c r="AO18" s="73">
        <f>'Cost Allocation - Tier 1 (2)'!AO18</f>
        <v>269.92400624728123</v>
      </c>
      <c r="AP18" s="73">
        <f>'Cost Allocation - Tier 1 (2)'!AP18</f>
        <v>40.881424977016813</v>
      </c>
      <c r="AQ18" s="73">
        <f>'Cost Allocation - Tier 1 (2)'!AQ18</f>
        <v>256.53053295312395</v>
      </c>
      <c r="AR18" s="73">
        <f>'Cost Allocation - Tier 1 (2)'!AR18</f>
        <v>0.77501619184344916</v>
      </c>
      <c r="AS18" s="73">
        <f>'Cost Allocation - Tier 1 (2)'!AS18</f>
        <v>378.07079958617652</v>
      </c>
      <c r="AT18" s="73">
        <f>'Cost Allocation - Tier 1 (2)'!AT18</f>
        <v>313.64741303712844</v>
      </c>
      <c r="AU18" s="73">
        <f>'Cost Allocation - Tier 1 (2)'!AU18</f>
        <v>438.48141111891636</v>
      </c>
      <c r="AV18" s="73">
        <f>'Cost Allocation - Tier 1 (2)'!AV18</f>
        <v>616.28724596408983</v>
      </c>
      <c r="AW18" s="73">
        <f>'Cost Allocation - Tier 1 (2)'!AW18</f>
        <v>1578.3907039675298</v>
      </c>
      <c r="AX18" s="73">
        <f>'Cost Allocation - Tier 1 (2)'!AX18</f>
        <v>16.44107789013405</v>
      </c>
      <c r="AY18" s="73">
        <f>'Cost Allocation - Tier 1 (2)'!AY18</f>
        <v>5079.5890471508892</v>
      </c>
      <c r="AZ18" s="73">
        <f>'Cost Allocation - Tier 1 (2)'!AZ18</f>
        <v>170.83060496300632</v>
      </c>
      <c r="BA18" s="73">
        <f>'Cost Allocation - Tier 1 (2)'!BA18</f>
        <v>3080.4668564202534</v>
      </c>
      <c r="BB18" s="73">
        <f>'Cost Allocation - Tier 1 (2)'!BB18</f>
        <v>11589.243735641407</v>
      </c>
      <c r="BC18" s="694">
        <f>'Cost Allocation - Tier 1 (2)'!BC18</f>
        <v>45837.504642445674</v>
      </c>
      <c r="BD18" s="883">
        <v>7301.7639366174126</v>
      </c>
      <c r="BE18" s="883">
        <v>6787.6060891967654</v>
      </c>
      <c r="BF18" s="883">
        <v>3833.8811110212519</v>
      </c>
      <c r="BG18" s="883">
        <v>8591.6796778604239</v>
      </c>
      <c r="BH18" s="883">
        <v>6433.1309958993206</v>
      </c>
      <c r="BI18" s="883">
        <v>4225.0329744303835</v>
      </c>
      <c r="BJ18" s="883">
        <v>1340.5489644975578</v>
      </c>
      <c r="BK18" s="81">
        <f>'Cost Allocation - Tier 1 (2)'!BK18</f>
        <v>7323.8608929225566</v>
      </c>
      <c r="BL18" s="76">
        <f t="shared" si="5"/>
        <v>74028.000000000015</v>
      </c>
      <c r="BM18" s="76">
        <f t="shared" si="2"/>
        <v>0</v>
      </c>
      <c r="BN18" s="76">
        <f>SUM(BD18:BK18)-BC18</f>
        <v>0</v>
      </c>
    </row>
    <row r="19" spans="1:66" x14ac:dyDescent="0.25">
      <c r="A19" s="177" t="str">
        <f>'Cost Allocation - Tier 1 (2)'!A19</f>
        <v>9000 - Transition &amp; Recovery</v>
      </c>
      <c r="B19" s="3" t="str">
        <f>'Cost Allocation - Tier 1 (2)'!B19</f>
        <v>ALL</v>
      </c>
      <c r="D19" s="664">
        <f>'Cost Allocation - Tier 1 (2)'!D19</f>
        <v>44091</v>
      </c>
      <c r="E19" s="664">
        <f>'Cost Allocation - Tier 1 (2)'!E19</f>
        <v>33171.080349082156</v>
      </c>
      <c r="F19" s="775">
        <f>'Cost Allocation - Tier 1 (2)'!F19</f>
        <v>0</v>
      </c>
      <c r="G19" s="775"/>
      <c r="H19" s="884">
        <f>'Cost Allocation - Tier 1 (2)'!H19</f>
        <v>0</v>
      </c>
      <c r="I19" s="666">
        <f t="shared" si="4"/>
        <v>12631.831017802218</v>
      </c>
      <c r="J19" s="73">
        <f>'Cost Allocation - Tier 1 (2)'!J19</f>
        <v>79.374309629264658</v>
      </c>
      <c r="K19" s="73">
        <f>'Cost Allocation - Tier 1 (2)'!K19</f>
        <v>23.543390872880373</v>
      </c>
      <c r="L19" s="73">
        <f>'Cost Allocation - Tier 1 (2)'!L19</f>
        <v>24.720093990093847</v>
      </c>
      <c r="M19" s="73">
        <f>'Cost Allocation - Tier 1 (2)'!M19</f>
        <v>23.638088665342121</v>
      </c>
      <c r="N19" s="73">
        <f>'Cost Allocation - Tier 1 (2)'!N19</f>
        <v>41.366269857204259</v>
      </c>
      <c r="O19" s="73">
        <f>'Cost Allocation - Tier 1 (2)'!O19</f>
        <v>94.727048626976767</v>
      </c>
      <c r="P19" s="73">
        <f>'Cost Allocation - Tier 1 (2)'!P19</f>
        <v>11.459477200189898</v>
      </c>
      <c r="Q19" s="73">
        <f>'Cost Allocation - Tier 1 (2)'!Q19</f>
        <v>30.343950811586854</v>
      </c>
      <c r="R19" s="73">
        <f>'Cost Allocation - Tier 1 (2)'!R19</f>
        <v>25.953855244694175</v>
      </c>
      <c r="S19" s="73">
        <f>'Cost Allocation - Tier 1 (2)'!S19</f>
        <v>26.70018184061723</v>
      </c>
      <c r="T19" s="73">
        <f>'Cost Allocation - Tier 1 (2)'!T19</f>
        <v>96.713372172023952</v>
      </c>
      <c r="U19" s="73">
        <f>'Cost Allocation - Tier 1 (2)'!U19</f>
        <v>77.214182541928906</v>
      </c>
      <c r="V19" s="73">
        <f>'Cost Allocation - Tier 1 (2)'!V19</f>
        <v>61.270436304786969</v>
      </c>
      <c r="W19" s="73">
        <f>'Cost Allocation - Tier 1 (2)'!W19</f>
        <v>98.257161318431528</v>
      </c>
      <c r="X19" s="73">
        <f>'Cost Allocation - Tier 1 (2)'!X19</f>
        <v>2.4293946690067076</v>
      </c>
      <c r="Y19" s="73">
        <f>'Cost Allocation - Tier 1 (2)'!Y19</f>
        <v>1.9163248853988979</v>
      </c>
      <c r="Z19" s="73">
        <f>'Cost Allocation - Tier 1 (2)'!Z19</f>
        <v>9.2657796794618896</v>
      </c>
      <c r="AA19" s="73">
        <f>'Cost Allocation - Tier 1 (2)'!AA19</f>
        <v>8.4693931517672709</v>
      </c>
      <c r="AB19" s="73">
        <f>'Cost Allocation - Tier 1 (2)'!AB19</f>
        <v>5.0953973275869506</v>
      </c>
      <c r="AC19" s="73">
        <f>'Cost Allocation - Tier 1 (2)'!AC19</f>
        <v>5.2115653192571534</v>
      </c>
      <c r="AD19" s="73">
        <f>'Cost Allocation - Tier 1 (2)'!AD19</f>
        <v>29.569462278384005</v>
      </c>
      <c r="AE19" s="73">
        <f>'Cost Allocation - Tier 1 (2)'!AE19</f>
        <v>11.859854595545247</v>
      </c>
      <c r="AF19" s="73">
        <f>'Cost Allocation - Tier 1 (2)'!AF19</f>
        <v>30.858833163200224</v>
      </c>
      <c r="AG19" s="73">
        <f>'Cost Allocation - Tier 1 (2)'!AG19</f>
        <v>95.863123350268467</v>
      </c>
      <c r="AH19" s="73">
        <f>'Cost Allocation - Tier 1 (2)'!AH19</f>
        <v>785.00171901066881</v>
      </c>
      <c r="AI19" s="73">
        <f>'Cost Allocation - Tier 1 (2)'!AI19</f>
        <v>5.4522427961971713</v>
      </c>
      <c r="AJ19" s="73">
        <f>'Cost Allocation - Tier 1 (2)'!AJ19</f>
        <v>115.68801995313788</v>
      </c>
      <c r="AK19" s="73">
        <f>'Cost Allocation - Tier 1 (2)'!AK19</f>
        <v>99.473613304449202</v>
      </c>
      <c r="AL19" s="73">
        <f>'Cost Allocation - Tier 1 (2)'!AL19</f>
        <v>0</v>
      </c>
      <c r="AM19" s="73">
        <f>'Cost Allocation - Tier 1 (2)'!AM19</f>
        <v>12.131719161843572</v>
      </c>
      <c r="AN19" s="73">
        <f>'Cost Allocation - Tier 1 (2)'!AN19</f>
        <v>20.515885522002343</v>
      </c>
      <c r="AO19" s="73">
        <f>'Cost Allocation - Tier 1 (2)'!AO19</f>
        <v>120.9497879096385</v>
      </c>
      <c r="AP19" s="73">
        <f>'Cost Allocation - Tier 1 (2)'!AP19</f>
        <v>18.318488040979073</v>
      </c>
      <c r="AQ19" s="73">
        <f>'Cost Allocation - Tier 1 (2)'!AQ19</f>
        <v>114.94832928866026</v>
      </c>
      <c r="AR19" s="73">
        <f>'Cost Allocation - Tier 1 (2)'!AR19</f>
        <v>0.347275684490716</v>
      </c>
      <c r="AS19" s="73">
        <f>'Cost Allocation - Tier 1 (2)'!AS19</f>
        <v>169.40910021498348</v>
      </c>
      <c r="AT19" s="73">
        <f>'Cost Allocation - Tier 1 (2)'!AT19</f>
        <v>140.5417347373473</v>
      </c>
      <c r="AU19" s="73">
        <f>'Cost Allocation - Tier 1 (2)'!AU19</f>
        <v>196.4783881748055</v>
      </c>
      <c r="AV19" s="73">
        <f>'Cost Allocation - Tier 1 (2)'!AV19</f>
        <v>276.1511016640917</v>
      </c>
      <c r="AW19" s="73">
        <f>'Cost Allocation - Tier 1 (2)'!AW19</f>
        <v>707.25840038298043</v>
      </c>
      <c r="AX19" s="73">
        <f>'Cost Allocation - Tier 1 (2)'!AX19</f>
        <v>7.3670545701512227</v>
      </c>
      <c r="AY19" s="73">
        <f>'Cost Allocation - Tier 1 (2)'!AY19</f>
        <v>2276.1043986513187</v>
      </c>
      <c r="AZ19" s="73">
        <f>'Cost Allocation - Tier 1 (2)'!AZ19</f>
        <v>76.54719461974112</v>
      </c>
      <c r="BA19" s="73">
        <f>'Cost Allocation - Tier 1 (2)'!BA19</f>
        <v>1380.3211434457335</v>
      </c>
      <c r="BB19" s="73">
        <f>'Cost Allocation - Tier 1 (2)'!BB19</f>
        <v>5193.0044731730986</v>
      </c>
      <c r="BC19" s="694">
        <f>'Cost Allocation - Tier 1 (2)'!BC19</f>
        <v>20539.249331279942</v>
      </c>
      <c r="BD19" s="883">
        <v>3271.8349574696949</v>
      </c>
      <c r="BE19" s="883">
        <v>3041.4468439329066</v>
      </c>
      <c r="BF19" s="883">
        <v>1717.9172526951193</v>
      </c>
      <c r="BG19" s="883">
        <v>3849.8311034727994</v>
      </c>
      <c r="BH19" s="883">
        <v>2882.6107035330856</v>
      </c>
      <c r="BI19" s="883">
        <v>1893.1878245035909</v>
      </c>
      <c r="BJ19" s="883">
        <v>600.68430071361331</v>
      </c>
      <c r="BK19" s="81">
        <f>'Cost Allocation - Tier 1 (2)'!BK19</f>
        <v>3281.7363449591335</v>
      </c>
      <c r="BL19" s="76">
        <f>BC19+I19+H19</f>
        <v>33171.080349082156</v>
      </c>
      <c r="BM19" s="76">
        <f t="shared" si="2"/>
        <v>0</v>
      </c>
      <c r="BN19" s="76">
        <f t="shared" si="3"/>
        <v>0</v>
      </c>
    </row>
    <row r="20" spans="1:66" x14ac:dyDescent="0.25">
      <c r="A20" s="177" t="str">
        <f>'Cost Allocation - Tier 1 (2)'!A20</f>
        <v>9100 - Transformation</v>
      </c>
      <c r="B20" s="3" t="str">
        <f>'Cost Allocation - Tier 1 (2)'!B20</f>
        <v>ALL</v>
      </c>
      <c r="D20" s="681">
        <f>'Cost Allocation - Tier 1 (2)'!D20</f>
        <v>344016</v>
      </c>
      <c r="E20" s="681">
        <f>'Cost Allocation - Tier 1 (2)'!E20</f>
        <v>258814.32440565756</v>
      </c>
      <c r="F20" s="681">
        <f>'Cost Allocation - Tier 1 (2)'!F20</f>
        <v>111464.79085164009</v>
      </c>
      <c r="G20" s="681"/>
      <c r="H20" s="885">
        <f>'Cost Allocation - Tier 1 (2)'!H20</f>
        <v>0</v>
      </c>
      <c r="I20" s="684">
        <f t="shared" si="4"/>
        <v>98558.707659618696</v>
      </c>
      <c r="J20" s="78">
        <f>'Cost Allocation - Tier 1 (2)'!J20</f>
        <v>619.31080042233361</v>
      </c>
      <c r="K20" s="78">
        <f>'Cost Allocation - Tier 1 (2)'!K20</f>
        <v>183.69515671054896</v>
      </c>
      <c r="L20" s="78">
        <f>'Cost Allocation - Tier 1 (2)'!L20</f>
        <v>192.87627529645792</v>
      </c>
      <c r="M20" s="78">
        <f>'Cost Allocation - Tier 1 (2)'!M20</f>
        <v>184.43402758604557</v>
      </c>
      <c r="N20" s="78">
        <f>'Cost Allocation - Tier 1 (2)'!N20</f>
        <v>322.75654195178112</v>
      </c>
      <c r="O20" s="78">
        <f>'Cost Allocation - Tier 1 (2)'!O20</f>
        <v>739.09914405339055</v>
      </c>
      <c r="P20" s="78">
        <f>'Cost Allocation - Tier 1 (2)'!P20</f>
        <v>89.411524086560249</v>
      </c>
      <c r="Q20" s="78">
        <f>'Cost Allocation - Tier 1 (2)'!Q20</f>
        <v>236.75590443398571</v>
      </c>
      <c r="R20" s="78">
        <f>'Cost Allocation - Tier 1 (2)'!R20</f>
        <v>202.50258478734236</v>
      </c>
      <c r="S20" s="78">
        <f>'Cost Allocation - Tier 1 (2)'!S20</f>
        <v>208.32572987870034</v>
      </c>
      <c r="T20" s="78">
        <f>'Cost Allocation - Tier 1 (2)'!T20</f>
        <v>754.59725207255428</v>
      </c>
      <c r="U20" s="78">
        <f>'Cost Allocation - Tier 1 (2)'!U20</f>
        <v>602.45660614057772</v>
      </c>
      <c r="V20" s="78">
        <f>'Cost Allocation - Tier 1 (2)'!V20</f>
        <v>478.05698250952793</v>
      </c>
      <c r="W20" s="78">
        <f>'Cost Allocation - Tier 1 (2)'!W20</f>
        <v>766.64252586971361</v>
      </c>
      <c r="X20" s="78">
        <f>'Cost Allocation - Tier 1 (2)'!X20</f>
        <v>18.955129991449766</v>
      </c>
      <c r="Y20" s="78">
        <f>'Cost Allocation - Tier 1 (2)'!Y20</f>
        <v>14.951949871297709</v>
      </c>
      <c r="Z20" s="78">
        <f>'Cost Allocation - Tier 1 (2)'!Z20</f>
        <v>72.29539956475837</v>
      </c>
      <c r="AA20" s="78">
        <f>'Cost Allocation - Tier 1 (2)'!AA20</f>
        <v>66.08166642848586</v>
      </c>
      <c r="AB20" s="78">
        <f>'Cost Allocation - Tier 1 (2)'!AB20</f>
        <v>39.756372208549422</v>
      </c>
      <c r="AC20" s="78">
        <f>'Cost Allocation - Tier 1 (2)'!AC20</f>
        <v>40.662762352170937</v>
      </c>
      <c r="AD20" s="78">
        <f>'Cost Allocation - Tier 1 (2)'!AD20</f>
        <v>230.71302839945912</v>
      </c>
      <c r="AE20" s="78">
        <f>'Cost Allocation - Tier 1 (2)'!AE20</f>
        <v>92.535432141278122</v>
      </c>
      <c r="AF20" s="78">
        <f>'Cost Allocation - Tier 1 (2)'!AF20</f>
        <v>240.77322695043179</v>
      </c>
      <c r="AG20" s="78">
        <f>'Cost Allocation - Tier 1 (2)'!AG20</f>
        <v>747.96326330693239</v>
      </c>
      <c r="AH20" s="78">
        <f>'Cost Allocation - Tier 1 (2)'!AH20</f>
        <v>6124.9042064633204</v>
      </c>
      <c r="AI20" s="78">
        <f>'Cost Allocation - Tier 1 (2)'!AI20</f>
        <v>42.540626381269789</v>
      </c>
      <c r="AJ20" s="78">
        <f>'Cost Allocation - Tier 1 (2)'!AJ20</f>
        <v>902.64520814222135</v>
      </c>
      <c r="AK20" s="78">
        <f>'Cost Allocation - Tier 1 (2)'!AK20</f>
        <v>776.13378137360007</v>
      </c>
      <c r="AL20" s="78">
        <f>'Cost Allocation - Tier 1 (2)'!AL20</f>
        <v>0</v>
      </c>
      <c r="AM20" s="78">
        <f>'Cost Allocation - Tier 1 (2)'!AM20</f>
        <v>94.656630586305099</v>
      </c>
      <c r="AN20" s="78">
        <f>'Cost Allocation - Tier 1 (2)'!AN20</f>
        <v>160.07332275832161</v>
      </c>
      <c r="AO20" s="78">
        <f>'Cost Allocation - Tier 1 (2)'!AO20</f>
        <v>943.69967198571601</v>
      </c>
      <c r="AP20" s="78">
        <f>'Cost Allocation - Tier 1 (2)'!AP20</f>
        <v>142.92832963428947</v>
      </c>
      <c r="AQ20" s="78">
        <f>'Cost Allocation - Tier 1 (2)'!AQ20</f>
        <v>896.87383929980615</v>
      </c>
      <c r="AR20" s="78">
        <f>'Cost Allocation - Tier 1 (2)'!AR20</f>
        <v>2.7095868062815125</v>
      </c>
      <c r="AS20" s="78">
        <f>'Cost Allocation - Tier 1 (2)'!AS20</f>
        <v>1321.7990297239292</v>
      </c>
      <c r="AT20" s="78">
        <f>'Cost Allocation - Tier 1 (2)'!AT20</f>
        <v>1096.5640474791514</v>
      </c>
      <c r="AU20" s="78">
        <f>'Cost Allocation - Tier 1 (2)'!AU20</f>
        <v>1533.0046763816626</v>
      </c>
      <c r="AV20" s="78">
        <f>'Cost Allocation - Tier 1 (2)'!AV20</f>
        <v>2154.6437456640624</v>
      </c>
      <c r="AW20" s="78">
        <f>'Cost Allocation - Tier 1 (2)'!AW20</f>
        <v>5518.3190643476319</v>
      </c>
      <c r="AX20" s="78">
        <f>'Cost Allocation - Tier 1 (2)'!AX20</f>
        <v>57.480770338734509</v>
      </c>
      <c r="AY20" s="78">
        <f>'Cost Allocation - Tier 1 (2)'!AY20</f>
        <v>17759.096659328028</v>
      </c>
      <c r="AZ20" s="78">
        <f>'Cost Allocation - Tier 1 (2)'!AZ20</f>
        <v>597.25249380383445</v>
      </c>
      <c r="BA20" s="78">
        <f>'Cost Allocation - Tier 1 (2)'!BA20</f>
        <v>10769.829636062404</v>
      </c>
      <c r="BB20" s="78">
        <f>'Cost Allocation - Tier 1 (2)'!BB20</f>
        <v>40517.943046043794</v>
      </c>
      <c r="BC20" s="684">
        <f>'Cost Allocation - Tier 1 (2)'!BC20</f>
        <v>160255.6167460389</v>
      </c>
      <c r="BD20" s="886">
        <v>25528.193389328768</v>
      </c>
      <c r="BE20" s="886">
        <v>23730.611178299943</v>
      </c>
      <c r="BF20" s="886">
        <v>13403.892440705908</v>
      </c>
      <c r="BG20" s="886">
        <v>30037.955521360338</v>
      </c>
      <c r="BH20" s="886">
        <v>22491.306701744983</v>
      </c>
      <c r="BI20" s="886">
        <v>14771.425067120894</v>
      </c>
      <c r="BJ20" s="886">
        <v>4686.7843867069114</v>
      </c>
      <c r="BK20" s="81">
        <f>'Cost Allocation - Tier 1 (2)'!BK20</f>
        <v>25605.448060771159</v>
      </c>
      <c r="BL20" s="685">
        <f>BC20+I20+H20</f>
        <v>258814.32440565759</v>
      </c>
      <c r="BM20" s="76">
        <f t="shared" si="2"/>
        <v>0</v>
      </c>
      <c r="BN20" s="76">
        <f t="shared" si="3"/>
        <v>0</v>
      </c>
    </row>
    <row r="21" spans="1:66" s="1" customFormat="1" x14ac:dyDescent="0.25">
      <c r="A21" s="1" t="str">
        <f>'Cost Allocation - Tier 1 (2)'!A21</f>
        <v>Corporate Costs</v>
      </c>
      <c r="B21" s="35"/>
      <c r="C21" s="35"/>
      <c r="D21" s="687">
        <f>SUM(D5:D20)</f>
        <v>3664777.7963555548</v>
      </c>
      <c r="E21" s="687">
        <f>SUM(E5:E20)</f>
        <v>2757130.4516668343</v>
      </c>
      <c r="F21" s="687">
        <f>SUM(F5:F20)</f>
        <v>660944.17694854049</v>
      </c>
      <c r="G21" s="687"/>
      <c r="H21" s="687">
        <f>SUM(H5:H20)</f>
        <v>27548.856455010533</v>
      </c>
      <c r="I21" s="666">
        <f t="shared" ref="I21:BK21" si="6">SUM(I5:I20)</f>
        <v>1063390.2858363609</v>
      </c>
      <c r="J21" s="687">
        <f t="shared" si="6"/>
        <v>6574.232702615087</v>
      </c>
      <c r="K21" s="687">
        <f t="shared" si="6"/>
        <v>1948.8883227214615</v>
      </c>
      <c r="L21" s="687">
        <f t="shared" si="6"/>
        <v>2045.6383520795591</v>
      </c>
      <c r="M21" s="687">
        <f t="shared" si="6"/>
        <v>1958.9734728177966</v>
      </c>
      <c r="N21" s="687">
        <f t="shared" si="6"/>
        <v>3424.6049003923181</v>
      </c>
      <c r="O21" s="687">
        <f t="shared" si="6"/>
        <v>7846.3951509824583</v>
      </c>
      <c r="P21" s="687">
        <f t="shared" si="6"/>
        <v>949.36487395027871</v>
      </c>
      <c r="Q21" s="687">
        <f t="shared" si="6"/>
        <v>2514.4503933275846</v>
      </c>
      <c r="R21" s="687">
        <f t="shared" si="6"/>
        <v>2150.8264811236286</v>
      </c>
      <c r="S21" s="687">
        <f t="shared" si="6"/>
        <v>2212.5392524600798</v>
      </c>
      <c r="T21" s="687">
        <f t="shared" si="6"/>
        <v>8015.1278075984028</v>
      </c>
      <c r="U21" s="687">
        <f t="shared" si="6"/>
        <v>6398.8538764081104</v>
      </c>
      <c r="V21" s="687">
        <f t="shared" si="6"/>
        <v>5075.8668467065118</v>
      </c>
      <c r="W21" s="687">
        <f t="shared" si="6"/>
        <v>8140.9496202736709</v>
      </c>
      <c r="X21" s="687">
        <f t="shared" si="6"/>
        <v>201.19973460402741</v>
      </c>
      <c r="Y21" s="687">
        <f t="shared" si="6"/>
        <v>158.64116702821715</v>
      </c>
      <c r="Z21" s="687">
        <f t="shared" si="6"/>
        <v>766.68674300637349</v>
      </c>
      <c r="AA21" s="687">
        <f t="shared" si="6"/>
        <v>700.70480021603612</v>
      </c>
      <c r="AB21" s="687">
        <f t="shared" si="6"/>
        <v>421.51744860162995</v>
      </c>
      <c r="AC21" s="687">
        <f t="shared" si="6"/>
        <v>431.41350061257646</v>
      </c>
      <c r="AD21" s="687">
        <f t="shared" si="6"/>
        <v>2449.7427401592213</v>
      </c>
      <c r="AE21" s="687">
        <f t="shared" si="6"/>
        <v>982.15026063141374</v>
      </c>
      <c r="AF21" s="687">
        <f t="shared" si="6"/>
        <v>2556.0334262240954</v>
      </c>
      <c r="AG21" s="687">
        <f t="shared" si="6"/>
        <v>7947.3567718277027</v>
      </c>
      <c r="AH21" s="687">
        <f t="shared" si="6"/>
        <v>64980.282719862094</v>
      </c>
      <c r="AI21" s="687">
        <f t="shared" si="6"/>
        <v>451.80533046028154</v>
      </c>
      <c r="AJ21" s="687">
        <f t="shared" si="6"/>
        <v>9588.704920493823</v>
      </c>
      <c r="AK21" s="687">
        <f t="shared" si="6"/>
        <v>8242.8510922222085</v>
      </c>
      <c r="AL21" s="687">
        <f t="shared" si="6"/>
        <v>0</v>
      </c>
      <c r="AM21" s="687">
        <f t="shared" si="6"/>
        <v>1003.8705340702146</v>
      </c>
      <c r="AN21" s="687">
        <f t="shared" si="6"/>
        <v>1698.2698767459358</v>
      </c>
      <c r="AO21" s="687">
        <f t="shared" si="6"/>
        <v>10023.262924881234</v>
      </c>
      <c r="AP21" s="687">
        <f t="shared" si="6"/>
        <v>1517.7235589920385</v>
      </c>
      <c r="AQ21" s="687">
        <f t="shared" si="6"/>
        <v>9527.9864923919777</v>
      </c>
      <c r="AR21" s="687">
        <f t="shared" si="6"/>
        <v>28.721556578455512</v>
      </c>
      <c r="AS21" s="687">
        <f t="shared" si="6"/>
        <v>14041.264818022946</v>
      </c>
      <c r="AT21" s="687">
        <f t="shared" si="6"/>
        <v>11650.712963453308</v>
      </c>
      <c r="AU21" s="687">
        <f t="shared" si="6"/>
        <v>16280.705658294582</v>
      </c>
      <c r="AV21" s="687">
        <f t="shared" si="6"/>
        <v>22887.002114084957</v>
      </c>
      <c r="AW21" s="687">
        <f t="shared" si="6"/>
        <v>58612.121549202529</v>
      </c>
      <c r="AX21" s="687">
        <f t="shared" si="6"/>
        <v>609.2948170657894</v>
      </c>
      <c r="AY21" s="687">
        <f t="shared" si="6"/>
        <v>193220.03987545019</v>
      </c>
      <c r="AZ21" s="687">
        <f t="shared" si="6"/>
        <v>6734.1766779089985</v>
      </c>
      <c r="BA21" s="687">
        <f t="shared" si="6"/>
        <v>117603.782623354</v>
      </c>
      <c r="BB21" s="687">
        <f t="shared" si="6"/>
        <v>438815.54708645714</v>
      </c>
      <c r="BC21" s="666">
        <f>SUM(BC5:BC20)</f>
        <v>1666191.3093754624</v>
      </c>
      <c r="BD21" s="887">
        <f t="shared" si="6"/>
        <v>265418.80299123481</v>
      </c>
      <c r="BE21" s="887">
        <f t="shared" si="6"/>
        <v>246729.18749619363</v>
      </c>
      <c r="BF21" s="887">
        <f t="shared" si="6"/>
        <v>139361.41241089863</v>
      </c>
      <c r="BG21" s="887">
        <f t="shared" si="6"/>
        <v>312307.1843429436</v>
      </c>
      <c r="BH21" s="887">
        <f t="shared" si="6"/>
        <v>233844.03320061401</v>
      </c>
      <c r="BI21" s="887">
        <f t="shared" si="6"/>
        <v>153579.76571224324</v>
      </c>
      <c r="BJ21" s="887">
        <f t="shared" si="6"/>
        <v>48728.896825019918</v>
      </c>
      <c r="BK21" s="776">
        <f t="shared" si="6"/>
        <v>266222.02639631496</v>
      </c>
      <c r="BL21" s="687">
        <f>BC21+I21+H21</f>
        <v>2757130.4516668338</v>
      </c>
      <c r="BM21" s="687">
        <f>BL21-E21</f>
        <v>0</v>
      </c>
      <c r="BN21" s="76">
        <f t="shared" si="3"/>
        <v>0</v>
      </c>
    </row>
    <row r="22" spans="1:66" x14ac:dyDescent="0.25">
      <c r="D22" s="76"/>
      <c r="E22" s="76"/>
      <c r="F22" s="76"/>
      <c r="G22" s="76"/>
      <c r="H22" s="888">
        <f>H21/$E$21</f>
        <v>9.9918581793457615E-3</v>
      </c>
      <c r="I22" s="692">
        <f>I21/$E$21</f>
        <v>0.38568733125902116</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80"/>
      <c r="BC22" s="692">
        <f>BC21/$E$21</f>
        <v>0.60432081056163289</v>
      </c>
      <c r="BD22" s="889"/>
      <c r="BE22" s="889"/>
      <c r="BF22" s="889"/>
      <c r="BG22" s="889"/>
      <c r="BH22" s="889"/>
      <c r="BI22" s="889"/>
      <c r="BJ22" s="889"/>
      <c r="BK22" s="351"/>
      <c r="BL22" s="80">
        <f>BC22+I22+H22</f>
        <v>0.99999999999999989</v>
      </c>
      <c r="BM22" s="76">
        <f>BL22-1</f>
        <v>0</v>
      </c>
    </row>
    <row r="23" spans="1:66" x14ac:dyDescent="0.25">
      <c r="D23" s="76"/>
      <c r="E23" s="76"/>
      <c r="F23" s="76"/>
      <c r="G23" s="76"/>
      <c r="H23" s="177" t="s">
        <v>866</v>
      </c>
      <c r="I23" s="692">
        <f>I22/(I22+BC22)</f>
        <v>0.38957995895844938</v>
      </c>
      <c r="BB23" s="177" t="s">
        <v>866</v>
      </c>
      <c r="BC23" s="692">
        <f>BC22/(BC22+I22)</f>
        <v>0.61042004104155057</v>
      </c>
      <c r="BD23" s="890"/>
      <c r="BE23" s="890"/>
      <c r="BF23" s="890"/>
      <c r="BG23" s="890"/>
      <c r="BH23" s="890"/>
      <c r="BI23" s="890"/>
      <c r="BJ23" s="890"/>
      <c r="BK23" s="69"/>
      <c r="BL23" s="80">
        <f>BC23+I23</f>
        <v>1</v>
      </c>
      <c r="BM23" s="76">
        <f>BL23-1</f>
        <v>0</v>
      </c>
    </row>
    <row r="24" spans="1:66" x14ac:dyDescent="0.25">
      <c r="A24" s="199" t="str">
        <f>'Cost Allocation - Tier 1 (2)'!A24</f>
        <v>Corporate revenue allocation</v>
      </c>
      <c r="D24" s="76"/>
      <c r="E24" s="76"/>
      <c r="F24" s="76"/>
      <c r="G24" s="76"/>
      <c r="H24" s="888"/>
      <c r="I24" s="692"/>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D24" s="890"/>
      <c r="BE24" s="890"/>
      <c r="BF24" s="890"/>
      <c r="BG24" s="890"/>
      <c r="BH24" s="890"/>
      <c r="BI24" s="890"/>
      <c r="BJ24" s="890"/>
      <c r="BK24" s="69"/>
      <c r="BM24" s="76"/>
    </row>
    <row r="25" spans="1:66" x14ac:dyDescent="0.25">
      <c r="A25" s="199"/>
      <c r="D25" s="76"/>
      <c r="E25" s="76"/>
      <c r="F25" s="76"/>
      <c r="G25" s="76"/>
      <c r="H25" s="888"/>
      <c r="I25" s="692"/>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D25" s="890"/>
      <c r="BE25" s="890"/>
      <c r="BF25" s="890"/>
      <c r="BG25" s="890"/>
      <c r="BH25" s="890"/>
      <c r="BI25" s="890"/>
      <c r="BJ25" s="890"/>
      <c r="BK25" s="69"/>
      <c r="BM25" s="76"/>
    </row>
    <row r="26" spans="1:66" x14ac:dyDescent="0.25">
      <c r="A26" s="177" t="str">
        <f>'Cost Allocation - Tier 1 (2)'!A26</f>
        <v>Doyon Board Fees</v>
      </c>
      <c r="B26" s="3" t="str">
        <f>'Cost Allocation - Tier 1 (2)'!B26</f>
        <v>DOYON</v>
      </c>
      <c r="D26" s="713">
        <f>'Cost Allocation - Tier 1 (2)'!D26</f>
        <v>0</v>
      </c>
      <c r="E26" s="664">
        <f>'Cost Allocation - Tier 1 (2)'!E26</f>
        <v>0</v>
      </c>
      <c r="F26" s="664"/>
      <c r="G26" s="664"/>
      <c r="H26" s="884">
        <f>'Cost Allocation - Tier 1 (2)'!H26</f>
        <v>0</v>
      </c>
      <c r="I26" s="666">
        <f t="shared" ref="I26:I28" si="7">SUM(J26:BB26)</f>
        <v>0</v>
      </c>
      <c r="J26" s="73">
        <f>'Cost Allocation - Tier 1 (2)'!J26</f>
        <v>0</v>
      </c>
      <c r="K26" s="73">
        <f>'Cost Allocation - Tier 1 (2)'!K26</f>
        <v>0</v>
      </c>
      <c r="L26" s="73">
        <f>'Cost Allocation - Tier 1 (2)'!L26</f>
        <v>0</v>
      </c>
      <c r="M26" s="73">
        <f>'Cost Allocation - Tier 1 (2)'!M26</f>
        <v>0</v>
      </c>
      <c r="N26" s="73">
        <f>'Cost Allocation - Tier 1 (2)'!N26</f>
        <v>0</v>
      </c>
      <c r="O26" s="73">
        <f>'Cost Allocation - Tier 1 (2)'!O26</f>
        <v>0</v>
      </c>
      <c r="P26" s="73">
        <f>'Cost Allocation - Tier 1 (2)'!P26</f>
        <v>0</v>
      </c>
      <c r="Q26" s="73">
        <f>'Cost Allocation - Tier 1 (2)'!Q26</f>
        <v>0</v>
      </c>
      <c r="R26" s="73">
        <f>'Cost Allocation - Tier 1 (2)'!R26</f>
        <v>0</v>
      </c>
      <c r="S26" s="73">
        <f>'Cost Allocation - Tier 1 (2)'!S26</f>
        <v>0</v>
      </c>
      <c r="T26" s="73">
        <f>'Cost Allocation - Tier 1 (2)'!T26</f>
        <v>0</v>
      </c>
      <c r="U26" s="73">
        <f>'Cost Allocation - Tier 1 (2)'!U26</f>
        <v>0</v>
      </c>
      <c r="V26" s="73">
        <f>'Cost Allocation - Tier 1 (2)'!V26</f>
        <v>0</v>
      </c>
      <c r="W26" s="73">
        <f>'Cost Allocation - Tier 1 (2)'!W26</f>
        <v>0</v>
      </c>
      <c r="X26" s="73">
        <f>'Cost Allocation - Tier 1 (2)'!X26</f>
        <v>0</v>
      </c>
      <c r="Y26" s="73">
        <f>'Cost Allocation - Tier 1 (2)'!Y26</f>
        <v>0</v>
      </c>
      <c r="Z26" s="73">
        <f>'Cost Allocation - Tier 1 (2)'!Z26</f>
        <v>0</v>
      </c>
      <c r="AA26" s="73">
        <f>'Cost Allocation - Tier 1 (2)'!AA26</f>
        <v>0</v>
      </c>
      <c r="AB26" s="73">
        <f>'Cost Allocation - Tier 1 (2)'!AB26</f>
        <v>0</v>
      </c>
      <c r="AC26" s="73">
        <f>'Cost Allocation - Tier 1 (2)'!AC26</f>
        <v>0</v>
      </c>
      <c r="AD26" s="73">
        <f>'Cost Allocation - Tier 1 (2)'!AD26</f>
        <v>0</v>
      </c>
      <c r="AE26" s="73">
        <f>'Cost Allocation - Tier 1 (2)'!AE26</f>
        <v>0</v>
      </c>
      <c r="AF26" s="73">
        <f>'Cost Allocation - Tier 1 (2)'!AF26</f>
        <v>0</v>
      </c>
      <c r="AG26" s="73">
        <f>'Cost Allocation - Tier 1 (2)'!AG26</f>
        <v>0</v>
      </c>
      <c r="AH26" s="73">
        <f>'Cost Allocation - Tier 1 (2)'!AH26</f>
        <v>0</v>
      </c>
      <c r="AI26" s="73">
        <f>'Cost Allocation - Tier 1 (2)'!AI26</f>
        <v>0</v>
      </c>
      <c r="AJ26" s="73">
        <f>'Cost Allocation - Tier 1 (2)'!AJ26</f>
        <v>0</v>
      </c>
      <c r="AK26" s="73">
        <f>'Cost Allocation - Tier 1 (2)'!AK26</f>
        <v>0</v>
      </c>
      <c r="AL26" s="73">
        <f>'Cost Allocation - Tier 1 (2)'!AL26</f>
        <v>0</v>
      </c>
      <c r="AM26" s="73">
        <f>'Cost Allocation - Tier 1 (2)'!AM26</f>
        <v>0</v>
      </c>
      <c r="AN26" s="73">
        <f>'Cost Allocation - Tier 1 (2)'!AN26</f>
        <v>0</v>
      </c>
      <c r="AO26" s="73">
        <f>'Cost Allocation - Tier 1 (2)'!AO26</f>
        <v>0</v>
      </c>
      <c r="AP26" s="73">
        <f>'Cost Allocation - Tier 1 (2)'!AP26</f>
        <v>0</v>
      </c>
      <c r="AQ26" s="73">
        <f>'Cost Allocation - Tier 1 (2)'!AQ26</f>
        <v>0</v>
      </c>
      <c r="AR26" s="73">
        <f>'Cost Allocation - Tier 1 (2)'!AR26</f>
        <v>0</v>
      </c>
      <c r="AS26" s="73">
        <f>'Cost Allocation - Tier 1 (2)'!AS26</f>
        <v>0</v>
      </c>
      <c r="AT26" s="73">
        <f>'Cost Allocation - Tier 1 (2)'!AT26</f>
        <v>0</v>
      </c>
      <c r="AU26" s="73">
        <f>'Cost Allocation - Tier 1 (2)'!AU26</f>
        <v>0</v>
      </c>
      <c r="AV26" s="73">
        <f>'Cost Allocation - Tier 1 (2)'!AV26</f>
        <v>0</v>
      </c>
      <c r="AW26" s="73">
        <f>'Cost Allocation - Tier 1 (2)'!AW26</f>
        <v>0</v>
      </c>
      <c r="AX26" s="73">
        <f>'Cost Allocation - Tier 1 (2)'!AX26</f>
        <v>0</v>
      </c>
      <c r="AY26" s="73">
        <f>'Cost Allocation - Tier 1 (2)'!AY26</f>
        <v>0</v>
      </c>
      <c r="AZ26" s="73">
        <f>'Cost Allocation - Tier 1 (2)'!AZ26</f>
        <v>0</v>
      </c>
      <c r="BA26" s="73">
        <f>'Cost Allocation - Tier 1 (2)'!BA26</f>
        <v>0</v>
      </c>
      <c r="BB26" s="73">
        <f>'Cost Allocation - Tier 1 (2)'!BB26</f>
        <v>0</v>
      </c>
      <c r="BC26" s="694">
        <f>'Cost Allocation - Tier 1 (2)'!BC26</f>
        <v>0</v>
      </c>
      <c r="BD26" s="81">
        <v>0</v>
      </c>
      <c r="BE26" s="81">
        <v>0</v>
      </c>
      <c r="BF26" s="81">
        <v>0</v>
      </c>
      <c r="BG26" s="81">
        <v>0</v>
      </c>
      <c r="BH26" s="81">
        <v>0</v>
      </c>
      <c r="BI26" s="81">
        <v>0</v>
      </c>
      <c r="BJ26" s="81">
        <v>0</v>
      </c>
      <c r="BK26" s="81">
        <v>0</v>
      </c>
      <c r="BL26" s="695">
        <f t="shared" ref="BL26:BL29" si="8">BC26+I26+H26</f>
        <v>0</v>
      </c>
      <c r="BM26" s="76">
        <f>BL26-E26</f>
        <v>0</v>
      </c>
      <c r="BN26" s="76">
        <f t="shared" ref="BN26:BN28" si="9">SUM(BD26:BK26)-BC26</f>
        <v>0</v>
      </c>
    </row>
    <row r="27" spans="1:66" x14ac:dyDescent="0.25">
      <c r="A27" s="177" t="str">
        <f>'Cost Allocation - Tier 1 (2)'!A27</f>
        <v>FSW Board Fees</v>
      </c>
      <c r="B27" s="3" t="str">
        <f>'Cost Allocation - Tier 1 (2)'!B27</f>
        <v>FSW</v>
      </c>
      <c r="D27" s="713">
        <f>'Cost Allocation - Tier 1 (2)'!D27</f>
        <v>-34060.75</v>
      </c>
      <c r="E27" s="664">
        <f>'Cost Allocation - Tier 1 (2)'!E27</f>
        <v>-25625</v>
      </c>
      <c r="F27" s="664"/>
      <c r="G27" s="664"/>
      <c r="H27" s="884">
        <f>'Cost Allocation - Tier 1 (2)'!H27</f>
        <v>0</v>
      </c>
      <c r="I27" s="666">
        <f t="shared" si="7"/>
        <v>0</v>
      </c>
      <c r="J27" s="73">
        <f>'Cost Allocation - Tier 1 (2)'!J27</f>
        <v>0</v>
      </c>
      <c r="K27" s="73">
        <f>'Cost Allocation - Tier 1 (2)'!K27</f>
        <v>0</v>
      </c>
      <c r="L27" s="73">
        <f>'Cost Allocation - Tier 1 (2)'!L27</f>
        <v>0</v>
      </c>
      <c r="M27" s="73">
        <f>'Cost Allocation - Tier 1 (2)'!M27</f>
        <v>0</v>
      </c>
      <c r="N27" s="73">
        <f>'Cost Allocation - Tier 1 (2)'!N27</f>
        <v>0</v>
      </c>
      <c r="O27" s="73">
        <f>'Cost Allocation - Tier 1 (2)'!O27</f>
        <v>0</v>
      </c>
      <c r="P27" s="73">
        <f>'Cost Allocation - Tier 1 (2)'!P27</f>
        <v>0</v>
      </c>
      <c r="Q27" s="73">
        <f>'Cost Allocation - Tier 1 (2)'!Q27</f>
        <v>0</v>
      </c>
      <c r="R27" s="73">
        <f>'Cost Allocation - Tier 1 (2)'!R27</f>
        <v>0</v>
      </c>
      <c r="S27" s="73">
        <f>'Cost Allocation - Tier 1 (2)'!S27</f>
        <v>0</v>
      </c>
      <c r="T27" s="73">
        <f>'Cost Allocation - Tier 1 (2)'!T27</f>
        <v>0</v>
      </c>
      <c r="U27" s="73">
        <f>'Cost Allocation - Tier 1 (2)'!U27</f>
        <v>0</v>
      </c>
      <c r="V27" s="73">
        <f>'Cost Allocation - Tier 1 (2)'!V27</f>
        <v>0</v>
      </c>
      <c r="W27" s="73">
        <f>'Cost Allocation - Tier 1 (2)'!W27</f>
        <v>0</v>
      </c>
      <c r="X27" s="73">
        <f>'Cost Allocation - Tier 1 (2)'!X27</f>
        <v>0</v>
      </c>
      <c r="Y27" s="73">
        <f>'Cost Allocation - Tier 1 (2)'!Y27</f>
        <v>0</v>
      </c>
      <c r="Z27" s="73">
        <f>'Cost Allocation - Tier 1 (2)'!Z27</f>
        <v>0</v>
      </c>
      <c r="AA27" s="73">
        <f>'Cost Allocation - Tier 1 (2)'!AA27</f>
        <v>0</v>
      </c>
      <c r="AB27" s="73">
        <f>'Cost Allocation - Tier 1 (2)'!AB27</f>
        <v>0</v>
      </c>
      <c r="AC27" s="73">
        <f>'Cost Allocation - Tier 1 (2)'!AC27</f>
        <v>0</v>
      </c>
      <c r="AD27" s="73">
        <f>'Cost Allocation - Tier 1 (2)'!AD27</f>
        <v>0</v>
      </c>
      <c r="AE27" s="73">
        <f>'Cost Allocation - Tier 1 (2)'!AE27</f>
        <v>0</v>
      </c>
      <c r="AF27" s="73">
        <f>'Cost Allocation - Tier 1 (2)'!AF27</f>
        <v>0</v>
      </c>
      <c r="AG27" s="73">
        <f>'Cost Allocation - Tier 1 (2)'!AG27</f>
        <v>0</v>
      </c>
      <c r="AH27" s="73">
        <f>'Cost Allocation - Tier 1 (2)'!AH27</f>
        <v>0</v>
      </c>
      <c r="AI27" s="73">
        <f>'Cost Allocation - Tier 1 (2)'!AI27</f>
        <v>0</v>
      </c>
      <c r="AJ27" s="73">
        <f>'Cost Allocation - Tier 1 (2)'!AJ27</f>
        <v>0</v>
      </c>
      <c r="AK27" s="73">
        <f>'Cost Allocation - Tier 1 (2)'!AK27</f>
        <v>0</v>
      </c>
      <c r="AL27" s="73">
        <f>'Cost Allocation - Tier 1 (2)'!AL27</f>
        <v>0</v>
      </c>
      <c r="AM27" s="73">
        <f>'Cost Allocation - Tier 1 (2)'!AM27</f>
        <v>0</v>
      </c>
      <c r="AN27" s="73">
        <f>'Cost Allocation - Tier 1 (2)'!AN27</f>
        <v>0</v>
      </c>
      <c r="AO27" s="73">
        <f>'Cost Allocation - Tier 1 (2)'!AO27</f>
        <v>0</v>
      </c>
      <c r="AP27" s="73">
        <f>'Cost Allocation - Tier 1 (2)'!AP27</f>
        <v>0</v>
      </c>
      <c r="AQ27" s="73">
        <f>'Cost Allocation - Tier 1 (2)'!AQ27</f>
        <v>0</v>
      </c>
      <c r="AR27" s="73">
        <f>'Cost Allocation - Tier 1 (2)'!AR27</f>
        <v>0</v>
      </c>
      <c r="AS27" s="73">
        <f>'Cost Allocation - Tier 1 (2)'!AS27</f>
        <v>0</v>
      </c>
      <c r="AT27" s="73">
        <f>'Cost Allocation - Tier 1 (2)'!AT27</f>
        <v>0</v>
      </c>
      <c r="AU27" s="73">
        <f>'Cost Allocation - Tier 1 (2)'!AU27</f>
        <v>0</v>
      </c>
      <c r="AV27" s="73">
        <f>'Cost Allocation - Tier 1 (2)'!AV27</f>
        <v>0</v>
      </c>
      <c r="AW27" s="73">
        <f>'Cost Allocation - Tier 1 (2)'!AW27</f>
        <v>0</v>
      </c>
      <c r="AX27" s="73">
        <f>'Cost Allocation - Tier 1 (2)'!AX27</f>
        <v>0</v>
      </c>
      <c r="AY27" s="73">
        <f>'Cost Allocation - Tier 1 (2)'!AY27</f>
        <v>0</v>
      </c>
      <c r="AZ27" s="73">
        <f>'Cost Allocation - Tier 1 (2)'!AZ27</f>
        <v>0</v>
      </c>
      <c r="BA27" s="73">
        <f>'Cost Allocation - Tier 1 (2)'!BA27</f>
        <v>0</v>
      </c>
      <c r="BB27" s="73">
        <f>'Cost Allocation - Tier 1 (2)'!BB27</f>
        <v>0</v>
      </c>
      <c r="BC27" s="694">
        <f>'Cost Allocation - Tier 1 (2)'!BC27</f>
        <v>-25625</v>
      </c>
      <c r="BD27" s="81">
        <f>'Cost Allocation - Tier 1 (2)'!BD27</f>
        <v>0</v>
      </c>
      <c r="BE27" s="81">
        <f>'Cost Allocation - Tier 1 (2)'!BE27</f>
        <v>0</v>
      </c>
      <c r="BF27" s="81">
        <f>'Cost Allocation - Tier 1 (2)'!BF27</f>
        <v>0</v>
      </c>
      <c r="BG27" s="81">
        <f>'Cost Allocation - Tier 1 (2)'!BG27</f>
        <v>0</v>
      </c>
      <c r="BH27" s="81">
        <f>'Cost Allocation - Tier 1 (2)'!BH27</f>
        <v>0</v>
      </c>
      <c r="BI27" s="81">
        <f>'Cost Allocation - Tier 1 (2)'!BI27</f>
        <v>0</v>
      </c>
      <c r="BJ27" s="81">
        <f>'Cost Allocation - Tier 1 (2)'!BJ27</f>
        <v>0</v>
      </c>
      <c r="BK27" s="81">
        <f>'Cost Allocation - Tier 1 (2)'!BK27</f>
        <v>-25625</v>
      </c>
      <c r="BL27" s="695">
        <f t="shared" si="8"/>
        <v>-25625</v>
      </c>
      <c r="BM27" s="76">
        <f>BL27-E27</f>
        <v>0</v>
      </c>
      <c r="BN27" s="76">
        <f t="shared" si="9"/>
        <v>0</v>
      </c>
    </row>
    <row r="28" spans="1:66" x14ac:dyDescent="0.25">
      <c r="A28" s="177" t="str">
        <f>'Cost Allocation - Tier 1 (2)'!A28</f>
        <v>Other</v>
      </c>
      <c r="B28" s="3" t="str">
        <f>'Cost Allocation - Tier 1 (2)'!B28</f>
        <v>ALL</v>
      </c>
      <c r="D28" s="713">
        <f>'Cost Allocation - Tier 1 (2)'!D28</f>
        <v>0</v>
      </c>
      <c r="E28" s="664">
        <f>'Cost Allocation - Tier 1 (2)'!E28</f>
        <v>0</v>
      </c>
      <c r="F28" s="664"/>
      <c r="G28" s="664"/>
      <c r="H28" s="884">
        <f>'Cost Allocation - Tier 1 (2)'!H28</f>
        <v>0</v>
      </c>
      <c r="I28" s="666">
        <f t="shared" si="7"/>
        <v>0</v>
      </c>
      <c r="J28" s="73">
        <f>'Cost Allocation - Tier 1 (2)'!J28</f>
        <v>0</v>
      </c>
      <c r="K28" s="73">
        <f>'Cost Allocation - Tier 1 (2)'!K28</f>
        <v>0</v>
      </c>
      <c r="L28" s="73">
        <f>'Cost Allocation - Tier 1 (2)'!L28</f>
        <v>0</v>
      </c>
      <c r="M28" s="73">
        <f>'Cost Allocation - Tier 1 (2)'!M28</f>
        <v>0</v>
      </c>
      <c r="N28" s="73">
        <f>'Cost Allocation - Tier 1 (2)'!N28</f>
        <v>0</v>
      </c>
      <c r="O28" s="73">
        <f>'Cost Allocation - Tier 1 (2)'!O28</f>
        <v>0</v>
      </c>
      <c r="P28" s="73">
        <f>'Cost Allocation - Tier 1 (2)'!P28</f>
        <v>0</v>
      </c>
      <c r="Q28" s="73">
        <f>'Cost Allocation - Tier 1 (2)'!Q28</f>
        <v>0</v>
      </c>
      <c r="R28" s="73">
        <f>'Cost Allocation - Tier 1 (2)'!R28</f>
        <v>0</v>
      </c>
      <c r="S28" s="73">
        <f>'Cost Allocation - Tier 1 (2)'!S28</f>
        <v>0</v>
      </c>
      <c r="T28" s="73">
        <f>'Cost Allocation - Tier 1 (2)'!T28</f>
        <v>0</v>
      </c>
      <c r="U28" s="73">
        <f>'Cost Allocation - Tier 1 (2)'!U28</f>
        <v>0</v>
      </c>
      <c r="V28" s="73">
        <f>'Cost Allocation - Tier 1 (2)'!V28</f>
        <v>0</v>
      </c>
      <c r="W28" s="73">
        <f>'Cost Allocation - Tier 1 (2)'!W28</f>
        <v>0</v>
      </c>
      <c r="X28" s="73">
        <f>'Cost Allocation - Tier 1 (2)'!X28</f>
        <v>0</v>
      </c>
      <c r="Y28" s="73">
        <f>'Cost Allocation - Tier 1 (2)'!Y28</f>
        <v>0</v>
      </c>
      <c r="Z28" s="73">
        <f>'Cost Allocation - Tier 1 (2)'!Z28</f>
        <v>0</v>
      </c>
      <c r="AA28" s="73">
        <f>'Cost Allocation - Tier 1 (2)'!AA28</f>
        <v>0</v>
      </c>
      <c r="AB28" s="73">
        <f>'Cost Allocation - Tier 1 (2)'!AB28</f>
        <v>0</v>
      </c>
      <c r="AC28" s="73">
        <f>'Cost Allocation - Tier 1 (2)'!AC28</f>
        <v>0</v>
      </c>
      <c r="AD28" s="73">
        <f>'Cost Allocation - Tier 1 (2)'!AD28</f>
        <v>0</v>
      </c>
      <c r="AE28" s="73">
        <f>'Cost Allocation - Tier 1 (2)'!AE28</f>
        <v>0</v>
      </c>
      <c r="AF28" s="73">
        <f>'Cost Allocation - Tier 1 (2)'!AF28</f>
        <v>0</v>
      </c>
      <c r="AG28" s="73">
        <f>'Cost Allocation - Tier 1 (2)'!AG28</f>
        <v>0</v>
      </c>
      <c r="AH28" s="73">
        <f>'Cost Allocation - Tier 1 (2)'!AH28</f>
        <v>0</v>
      </c>
      <c r="AI28" s="73">
        <f>'Cost Allocation - Tier 1 (2)'!AI28</f>
        <v>0</v>
      </c>
      <c r="AJ28" s="73">
        <f>'Cost Allocation - Tier 1 (2)'!AJ28</f>
        <v>0</v>
      </c>
      <c r="AK28" s="73">
        <f>'Cost Allocation - Tier 1 (2)'!AK28</f>
        <v>0</v>
      </c>
      <c r="AL28" s="73">
        <f>'Cost Allocation - Tier 1 (2)'!AL28</f>
        <v>0</v>
      </c>
      <c r="AM28" s="73">
        <f>'Cost Allocation - Tier 1 (2)'!AM28</f>
        <v>0</v>
      </c>
      <c r="AN28" s="73">
        <f>'Cost Allocation - Tier 1 (2)'!AN28</f>
        <v>0</v>
      </c>
      <c r="AO28" s="73">
        <f>'Cost Allocation - Tier 1 (2)'!AO28</f>
        <v>0</v>
      </c>
      <c r="AP28" s="73">
        <f>'Cost Allocation - Tier 1 (2)'!AP28</f>
        <v>0</v>
      </c>
      <c r="AQ28" s="73">
        <f>'Cost Allocation - Tier 1 (2)'!AQ28</f>
        <v>0</v>
      </c>
      <c r="AR28" s="73">
        <f>'Cost Allocation - Tier 1 (2)'!AR28</f>
        <v>0</v>
      </c>
      <c r="AS28" s="73">
        <f>'Cost Allocation - Tier 1 (2)'!AS28</f>
        <v>0</v>
      </c>
      <c r="AT28" s="73">
        <f>'Cost Allocation - Tier 1 (2)'!AT28</f>
        <v>0</v>
      </c>
      <c r="AU28" s="73">
        <f>'Cost Allocation - Tier 1 (2)'!AU28</f>
        <v>0</v>
      </c>
      <c r="AV28" s="73">
        <f>'Cost Allocation - Tier 1 (2)'!AV28</f>
        <v>0</v>
      </c>
      <c r="AW28" s="73">
        <f>'Cost Allocation - Tier 1 (2)'!AW28</f>
        <v>0</v>
      </c>
      <c r="AX28" s="73">
        <f>'Cost Allocation - Tier 1 (2)'!AX28</f>
        <v>0</v>
      </c>
      <c r="AY28" s="73">
        <f>'Cost Allocation - Tier 1 (2)'!AY28</f>
        <v>0</v>
      </c>
      <c r="AZ28" s="73">
        <f>'Cost Allocation - Tier 1 (2)'!AZ28</f>
        <v>0</v>
      </c>
      <c r="BA28" s="73">
        <f>'Cost Allocation - Tier 1 (2)'!BA28</f>
        <v>0</v>
      </c>
      <c r="BB28" s="73">
        <f>'Cost Allocation - Tier 1 (2)'!BB28</f>
        <v>0</v>
      </c>
      <c r="BC28" s="694">
        <f>'Cost Allocation - Tier 1 (2)'!BC28</f>
        <v>0</v>
      </c>
      <c r="BD28" s="81">
        <v>0</v>
      </c>
      <c r="BE28" s="81">
        <v>0</v>
      </c>
      <c r="BF28" s="81">
        <v>0</v>
      </c>
      <c r="BG28" s="81">
        <v>0</v>
      </c>
      <c r="BH28" s="81">
        <v>0</v>
      </c>
      <c r="BI28" s="81">
        <v>0</v>
      </c>
      <c r="BJ28" s="81">
        <v>0</v>
      </c>
      <c r="BK28" s="81">
        <v>0</v>
      </c>
      <c r="BL28" s="695">
        <f t="shared" si="8"/>
        <v>0</v>
      </c>
      <c r="BM28" s="76">
        <f>BL28-E28</f>
        <v>0</v>
      </c>
      <c r="BN28" s="76">
        <f t="shared" si="9"/>
        <v>0</v>
      </c>
    </row>
    <row r="29" spans="1:66" x14ac:dyDescent="0.25">
      <c r="D29" s="685"/>
      <c r="E29" s="685"/>
      <c r="F29" s="685"/>
      <c r="G29" s="685"/>
      <c r="H29" s="891"/>
      <c r="I29" s="684"/>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5"/>
      <c r="AQ29" s="685"/>
      <c r="AR29" s="685"/>
      <c r="AS29" s="685"/>
      <c r="AT29" s="685"/>
      <c r="AU29" s="685"/>
      <c r="AV29" s="685"/>
      <c r="AW29" s="685"/>
      <c r="AX29" s="685"/>
      <c r="AY29" s="685"/>
      <c r="AZ29" s="685"/>
      <c r="BA29" s="685"/>
      <c r="BB29" s="91"/>
      <c r="BC29" s="684"/>
      <c r="BD29" s="885"/>
      <c r="BE29" s="885"/>
      <c r="BF29" s="885"/>
      <c r="BG29" s="885"/>
      <c r="BH29" s="885"/>
      <c r="BI29" s="885"/>
      <c r="BJ29" s="885"/>
      <c r="BK29" s="885"/>
      <c r="BL29" s="685">
        <f t="shared" si="8"/>
        <v>0</v>
      </c>
      <c r="BM29" s="76">
        <f>BL29-E29</f>
        <v>0</v>
      </c>
    </row>
    <row r="30" spans="1:66" s="1" customFormat="1" x14ac:dyDescent="0.25">
      <c r="A30" s="1" t="str">
        <f>'Cost Allocation - Tier 1 (2)'!A30</f>
        <v>Net revenue allocated</v>
      </c>
      <c r="B30" s="35"/>
      <c r="C30" s="35"/>
      <c r="D30" s="687">
        <f t="shared" ref="D30:AK30" si="10">SUM(D26:D29)</f>
        <v>-34060.75</v>
      </c>
      <c r="E30" s="687">
        <f t="shared" si="10"/>
        <v>-25625</v>
      </c>
      <c r="F30" s="687"/>
      <c r="G30" s="687"/>
      <c r="H30" s="687">
        <f t="shared" si="10"/>
        <v>0</v>
      </c>
      <c r="I30" s="688">
        <f t="shared" si="10"/>
        <v>0</v>
      </c>
      <c r="J30" s="698">
        <f t="shared" si="10"/>
        <v>0</v>
      </c>
      <c r="K30" s="698">
        <f t="shared" si="10"/>
        <v>0</v>
      </c>
      <c r="L30" s="698">
        <f t="shared" si="10"/>
        <v>0</v>
      </c>
      <c r="M30" s="698">
        <f t="shared" si="10"/>
        <v>0</v>
      </c>
      <c r="N30" s="698">
        <f t="shared" si="10"/>
        <v>0</v>
      </c>
      <c r="O30" s="698">
        <f t="shared" si="10"/>
        <v>0</v>
      </c>
      <c r="P30" s="698">
        <f t="shared" si="10"/>
        <v>0</v>
      </c>
      <c r="Q30" s="698">
        <f t="shared" si="10"/>
        <v>0</v>
      </c>
      <c r="R30" s="698">
        <f t="shared" si="10"/>
        <v>0</v>
      </c>
      <c r="S30" s="698">
        <f t="shared" si="10"/>
        <v>0</v>
      </c>
      <c r="T30" s="698">
        <f t="shared" si="10"/>
        <v>0</v>
      </c>
      <c r="U30" s="698">
        <f t="shared" si="10"/>
        <v>0</v>
      </c>
      <c r="V30" s="698">
        <f t="shared" si="10"/>
        <v>0</v>
      </c>
      <c r="W30" s="698">
        <f t="shared" si="10"/>
        <v>0</v>
      </c>
      <c r="X30" s="698">
        <f t="shared" si="10"/>
        <v>0</v>
      </c>
      <c r="Y30" s="698">
        <f t="shared" si="10"/>
        <v>0</v>
      </c>
      <c r="Z30" s="698">
        <f t="shared" si="10"/>
        <v>0</v>
      </c>
      <c r="AA30" s="698">
        <f t="shared" si="10"/>
        <v>0</v>
      </c>
      <c r="AB30" s="698">
        <f t="shared" si="10"/>
        <v>0</v>
      </c>
      <c r="AC30" s="698">
        <f t="shared" si="10"/>
        <v>0</v>
      </c>
      <c r="AD30" s="698">
        <f t="shared" si="10"/>
        <v>0</v>
      </c>
      <c r="AE30" s="698">
        <f t="shared" si="10"/>
        <v>0</v>
      </c>
      <c r="AF30" s="698">
        <f t="shared" si="10"/>
        <v>0</v>
      </c>
      <c r="AG30" s="698">
        <f t="shared" si="10"/>
        <v>0</v>
      </c>
      <c r="AH30" s="698">
        <f t="shared" si="10"/>
        <v>0</v>
      </c>
      <c r="AI30" s="698">
        <f t="shared" si="10"/>
        <v>0</v>
      </c>
      <c r="AJ30" s="698">
        <f t="shared" si="10"/>
        <v>0</v>
      </c>
      <c r="AK30" s="698">
        <f t="shared" si="10"/>
        <v>0</v>
      </c>
      <c r="AL30" s="698">
        <f t="shared" ref="AL30:BL30" si="11">SUM(AL26:AL29)</f>
        <v>0</v>
      </c>
      <c r="AM30" s="698">
        <f t="shared" si="11"/>
        <v>0</v>
      </c>
      <c r="AN30" s="698">
        <f t="shared" si="11"/>
        <v>0</v>
      </c>
      <c r="AO30" s="698">
        <f t="shared" si="11"/>
        <v>0</v>
      </c>
      <c r="AP30" s="698">
        <f t="shared" si="11"/>
        <v>0</v>
      </c>
      <c r="AQ30" s="698">
        <f t="shared" si="11"/>
        <v>0</v>
      </c>
      <c r="AR30" s="698">
        <f t="shared" si="11"/>
        <v>0</v>
      </c>
      <c r="AS30" s="698">
        <f t="shared" si="11"/>
        <v>0</v>
      </c>
      <c r="AT30" s="698">
        <f t="shared" si="11"/>
        <v>0</v>
      </c>
      <c r="AU30" s="698">
        <f t="shared" si="11"/>
        <v>0</v>
      </c>
      <c r="AV30" s="698">
        <f t="shared" si="11"/>
        <v>0</v>
      </c>
      <c r="AW30" s="698">
        <f t="shared" si="11"/>
        <v>0</v>
      </c>
      <c r="AX30" s="698">
        <f t="shared" si="11"/>
        <v>0</v>
      </c>
      <c r="AY30" s="698">
        <f t="shared" si="11"/>
        <v>0</v>
      </c>
      <c r="AZ30" s="698">
        <f t="shared" si="11"/>
        <v>0</v>
      </c>
      <c r="BA30" s="698">
        <f t="shared" si="11"/>
        <v>0</v>
      </c>
      <c r="BB30" s="698">
        <f t="shared" si="11"/>
        <v>0</v>
      </c>
      <c r="BC30" s="688">
        <f t="shared" si="11"/>
        <v>-25625</v>
      </c>
      <c r="BD30" s="698">
        <f t="shared" si="11"/>
        <v>0</v>
      </c>
      <c r="BE30" s="698">
        <f t="shared" si="11"/>
        <v>0</v>
      </c>
      <c r="BF30" s="698">
        <f t="shared" si="11"/>
        <v>0</v>
      </c>
      <c r="BG30" s="698">
        <f t="shared" si="11"/>
        <v>0</v>
      </c>
      <c r="BH30" s="698">
        <f t="shared" si="11"/>
        <v>0</v>
      </c>
      <c r="BI30" s="698">
        <f t="shared" si="11"/>
        <v>0</v>
      </c>
      <c r="BJ30" s="698">
        <f t="shared" si="11"/>
        <v>0</v>
      </c>
      <c r="BK30" s="698">
        <f t="shared" si="11"/>
        <v>-25625</v>
      </c>
      <c r="BL30" s="698">
        <f t="shared" si="11"/>
        <v>-25625</v>
      </c>
      <c r="BM30" s="687">
        <f>BL30-E30</f>
        <v>0</v>
      </c>
    </row>
    <row r="31" spans="1:66" x14ac:dyDescent="0.25">
      <c r="D31" s="76"/>
      <c r="E31" s="76"/>
      <c r="F31" s="76"/>
      <c r="G31" s="76"/>
      <c r="H31" s="888"/>
      <c r="I31" s="692"/>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80"/>
      <c r="BC31" s="692"/>
      <c r="BL31" s="80"/>
      <c r="BM31" s="76"/>
    </row>
    <row r="32" spans="1:66" x14ac:dyDescent="0.25">
      <c r="D32" s="76"/>
      <c r="E32" s="76"/>
      <c r="F32" s="76"/>
      <c r="G32" s="76"/>
      <c r="H32" s="888"/>
      <c r="I32" s="692"/>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80"/>
      <c r="BC32" s="692"/>
      <c r="BD32" s="76"/>
      <c r="BE32" s="76"/>
      <c r="BF32" s="76"/>
      <c r="BG32" s="76"/>
      <c r="BH32" s="76"/>
      <c r="BI32" s="76"/>
      <c r="BJ32" s="76"/>
      <c r="BK32" s="76"/>
      <c r="BL32" s="80"/>
      <c r="BM32" s="76"/>
    </row>
    <row r="33" spans="1:71" s="699" customFormat="1" x14ac:dyDescent="0.25">
      <c r="A33" s="699" t="str">
        <f>'Cost Allocation - Tier 1 (2)'!A33</f>
        <v>Net corporate costs (no mark up)</v>
      </c>
      <c r="B33" s="700"/>
      <c r="C33" s="700"/>
      <c r="D33" s="702">
        <f t="shared" ref="D33:BL33" si="12">D21+D30</f>
        <v>3630717.0463555548</v>
      </c>
      <c r="E33" s="702">
        <f t="shared" si="12"/>
        <v>2731505.4516668343</v>
      </c>
      <c r="F33" s="702"/>
      <c r="G33" s="702"/>
      <c r="H33" s="702">
        <f t="shared" si="12"/>
        <v>27548.856455010533</v>
      </c>
      <c r="I33" s="702">
        <f t="shared" si="12"/>
        <v>1063390.2858363609</v>
      </c>
      <c r="J33" s="702">
        <f t="shared" si="12"/>
        <v>6574.232702615087</v>
      </c>
      <c r="K33" s="702">
        <f t="shared" si="12"/>
        <v>1948.8883227214615</v>
      </c>
      <c r="L33" s="702">
        <f t="shared" si="12"/>
        <v>2045.6383520795591</v>
      </c>
      <c r="M33" s="702">
        <f t="shared" si="12"/>
        <v>1958.9734728177966</v>
      </c>
      <c r="N33" s="702">
        <f t="shared" si="12"/>
        <v>3424.6049003923181</v>
      </c>
      <c r="O33" s="702">
        <f t="shared" si="12"/>
        <v>7846.3951509824583</v>
      </c>
      <c r="P33" s="702">
        <f t="shared" si="12"/>
        <v>949.36487395027871</v>
      </c>
      <c r="Q33" s="702">
        <f t="shared" si="12"/>
        <v>2514.4503933275846</v>
      </c>
      <c r="R33" s="702">
        <f t="shared" si="12"/>
        <v>2150.8264811236286</v>
      </c>
      <c r="S33" s="702">
        <f t="shared" si="12"/>
        <v>2212.5392524600798</v>
      </c>
      <c r="T33" s="702">
        <f t="shared" si="12"/>
        <v>8015.1278075984028</v>
      </c>
      <c r="U33" s="702">
        <f t="shared" si="12"/>
        <v>6398.8538764081104</v>
      </c>
      <c r="V33" s="702">
        <f t="shared" si="12"/>
        <v>5075.8668467065118</v>
      </c>
      <c r="W33" s="702">
        <f t="shared" si="12"/>
        <v>8140.9496202736709</v>
      </c>
      <c r="X33" s="702">
        <f t="shared" si="12"/>
        <v>201.19973460402741</v>
      </c>
      <c r="Y33" s="702">
        <f t="shared" si="12"/>
        <v>158.64116702821715</v>
      </c>
      <c r="Z33" s="702">
        <f t="shared" si="12"/>
        <v>766.68674300637349</v>
      </c>
      <c r="AA33" s="702">
        <f t="shared" si="12"/>
        <v>700.70480021603612</v>
      </c>
      <c r="AB33" s="702">
        <f t="shared" si="12"/>
        <v>421.51744860162995</v>
      </c>
      <c r="AC33" s="702">
        <f t="shared" si="12"/>
        <v>431.41350061257646</v>
      </c>
      <c r="AD33" s="702">
        <f t="shared" si="12"/>
        <v>2449.7427401592213</v>
      </c>
      <c r="AE33" s="702">
        <f t="shared" si="12"/>
        <v>982.15026063141374</v>
      </c>
      <c r="AF33" s="702">
        <f t="shared" si="12"/>
        <v>2556.0334262240954</v>
      </c>
      <c r="AG33" s="702">
        <f t="shared" si="12"/>
        <v>7947.3567718277027</v>
      </c>
      <c r="AH33" s="702">
        <f t="shared" si="12"/>
        <v>64980.282719862094</v>
      </c>
      <c r="AI33" s="702">
        <f t="shared" si="12"/>
        <v>451.80533046028154</v>
      </c>
      <c r="AJ33" s="702">
        <f t="shared" si="12"/>
        <v>9588.704920493823</v>
      </c>
      <c r="AK33" s="702">
        <f t="shared" si="12"/>
        <v>8242.8510922222085</v>
      </c>
      <c r="AL33" s="702">
        <f t="shared" si="12"/>
        <v>0</v>
      </c>
      <c r="AM33" s="702">
        <f t="shared" si="12"/>
        <v>1003.8705340702146</v>
      </c>
      <c r="AN33" s="702">
        <f t="shared" si="12"/>
        <v>1698.2698767459358</v>
      </c>
      <c r="AO33" s="702">
        <f t="shared" si="12"/>
        <v>10023.262924881234</v>
      </c>
      <c r="AP33" s="702">
        <f t="shared" si="12"/>
        <v>1517.7235589920385</v>
      </c>
      <c r="AQ33" s="702">
        <f t="shared" si="12"/>
        <v>9527.9864923919777</v>
      </c>
      <c r="AR33" s="702">
        <f t="shared" si="12"/>
        <v>28.721556578455512</v>
      </c>
      <c r="AS33" s="702">
        <f t="shared" si="12"/>
        <v>14041.264818022946</v>
      </c>
      <c r="AT33" s="702">
        <f t="shared" si="12"/>
        <v>11650.712963453308</v>
      </c>
      <c r="AU33" s="702">
        <f t="shared" si="12"/>
        <v>16280.705658294582</v>
      </c>
      <c r="AV33" s="702">
        <f t="shared" si="12"/>
        <v>22887.002114084957</v>
      </c>
      <c r="AW33" s="702">
        <f t="shared" si="12"/>
        <v>58612.121549202529</v>
      </c>
      <c r="AX33" s="702">
        <f t="shared" si="12"/>
        <v>609.2948170657894</v>
      </c>
      <c r="AY33" s="702">
        <f t="shared" si="12"/>
        <v>193220.03987545019</v>
      </c>
      <c r="AZ33" s="702">
        <f t="shared" si="12"/>
        <v>6734.1766779089985</v>
      </c>
      <c r="BA33" s="702">
        <f t="shared" si="12"/>
        <v>117603.782623354</v>
      </c>
      <c r="BB33" s="702">
        <f t="shared" si="12"/>
        <v>438815.54708645714</v>
      </c>
      <c r="BC33" s="702">
        <f t="shared" si="12"/>
        <v>1640566.3093754624</v>
      </c>
      <c r="BD33" s="702">
        <f t="shared" si="12"/>
        <v>265418.80299123481</v>
      </c>
      <c r="BE33" s="702">
        <f t="shared" si="12"/>
        <v>246729.18749619363</v>
      </c>
      <c r="BF33" s="702">
        <f t="shared" si="12"/>
        <v>139361.41241089863</v>
      </c>
      <c r="BG33" s="702">
        <f t="shared" si="12"/>
        <v>312307.1843429436</v>
      </c>
      <c r="BH33" s="702">
        <f t="shared" si="12"/>
        <v>233844.03320061401</v>
      </c>
      <c r="BI33" s="702">
        <f t="shared" si="12"/>
        <v>153579.76571224324</v>
      </c>
      <c r="BJ33" s="702">
        <f t="shared" si="12"/>
        <v>48728.896825019918</v>
      </c>
      <c r="BK33" s="702">
        <f t="shared" si="12"/>
        <v>240597.02639631496</v>
      </c>
      <c r="BL33" s="702">
        <f t="shared" si="12"/>
        <v>2731505.4516668338</v>
      </c>
      <c r="BM33" s="892">
        <f>BL33-E33</f>
        <v>0</v>
      </c>
      <c r="BP33" s="702">
        <f>SUM(J33:AE33)+AH33+AI33+AM33+AQ33+AR33+AS33+AT33+AU33+AV33++AW33+AX33</f>
        <v>265442.53700180358</v>
      </c>
      <c r="BQ33" s="702">
        <f>AF33+AG33+AJ33+AK33+AL33+AN33+AO33+AP33</f>
        <v>41574.202571387039</v>
      </c>
      <c r="BR33" s="702">
        <f>SUM(AY32:BB33)</f>
        <v>756373.54626317031</v>
      </c>
      <c r="BS33" s="702">
        <f>BR33+BQ33+BP33-I33</f>
        <v>0</v>
      </c>
    </row>
    <row r="34" spans="1:71" x14ac:dyDescent="0.25">
      <c r="D34" s="76"/>
      <c r="E34" s="76"/>
      <c r="F34" s="76"/>
      <c r="G34" s="76"/>
      <c r="H34" s="888"/>
      <c r="I34" s="692"/>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80"/>
      <c r="BC34" s="692"/>
      <c r="BD34" s="76"/>
      <c r="BE34" s="76"/>
      <c r="BF34" s="76"/>
      <c r="BG34" s="76"/>
      <c r="BH34" s="76"/>
      <c r="BI34" s="76"/>
      <c r="BJ34" s="76"/>
      <c r="BK34" s="76"/>
      <c r="BL34" s="80"/>
      <c r="BM34" s="76"/>
    </row>
    <row r="35" spans="1:71" x14ac:dyDescent="0.25">
      <c r="A35" s="199" t="str">
        <f>'Cost Allocation - Tier 1 (2)'!A35</f>
        <v>Non-Corporate Cost Allocation</v>
      </c>
    </row>
    <row r="36" spans="1:71" x14ac:dyDescent="0.25">
      <c r="A36" s="1"/>
    </row>
    <row r="37" spans="1:71" x14ac:dyDescent="0.25">
      <c r="A37" s="343" t="str">
        <f>'Cost Allocation - Tier 1 (2)'!A37</f>
        <v>FP&amp;A Canada (6700)</v>
      </c>
      <c r="I37" s="705"/>
      <c r="AY37" s="706"/>
      <c r="AZ37" s="706"/>
      <c r="BA37" s="706"/>
      <c r="BC37" s="694"/>
    </row>
    <row r="38" spans="1:71" x14ac:dyDescent="0.25">
      <c r="A38" s="781" t="str">
        <f>'Cost Allocation - Tier 1 (2)'!A38</f>
        <v>COO office</v>
      </c>
      <c r="B38" s="19" t="str">
        <f>'Cost Allocation - Tier 1 (2)'!B38</f>
        <v>ALL CONTRACT</v>
      </c>
      <c r="C38" s="19"/>
      <c r="D38" s="713">
        <f>'Cost Allocation - Tier 1 (2)'!D38</f>
        <v>0</v>
      </c>
      <c r="E38" s="664">
        <f>'Cost Allocation - Tier 1 (2)'!E38</f>
        <v>0</v>
      </c>
      <c r="F38" s="664"/>
      <c r="G38" s="664"/>
      <c r="I38" s="694">
        <f t="shared" ref="I38:I40" si="13">SUM(J38:BB38)</f>
        <v>0</v>
      </c>
      <c r="J38" s="73">
        <f>'Cost Allocation - Tier 1 (2)'!J38</f>
        <v>0</v>
      </c>
      <c r="K38" s="73">
        <f>'Cost Allocation - Tier 1 (2)'!K38</f>
        <v>0</v>
      </c>
      <c r="L38" s="73">
        <f>'Cost Allocation - Tier 1 (2)'!L38</f>
        <v>0</v>
      </c>
      <c r="M38" s="73">
        <f>'Cost Allocation - Tier 1 (2)'!M38</f>
        <v>0</v>
      </c>
      <c r="N38" s="73">
        <f>'Cost Allocation - Tier 1 (2)'!N38</f>
        <v>0</v>
      </c>
      <c r="O38" s="73">
        <f>'Cost Allocation - Tier 1 (2)'!O38</f>
        <v>0</v>
      </c>
      <c r="P38" s="73">
        <f>'Cost Allocation - Tier 1 (2)'!P38</f>
        <v>0</v>
      </c>
      <c r="Q38" s="73">
        <f>'Cost Allocation - Tier 1 (2)'!Q38</f>
        <v>0</v>
      </c>
      <c r="R38" s="73">
        <f>'Cost Allocation - Tier 1 (2)'!R38</f>
        <v>0</v>
      </c>
      <c r="S38" s="73">
        <f>'Cost Allocation - Tier 1 (2)'!S38</f>
        <v>0</v>
      </c>
      <c r="T38" s="73">
        <f>'Cost Allocation - Tier 1 (2)'!T38</f>
        <v>0</v>
      </c>
      <c r="U38" s="73">
        <f>'Cost Allocation - Tier 1 (2)'!U38</f>
        <v>0</v>
      </c>
      <c r="V38" s="73">
        <f>'Cost Allocation - Tier 1 (2)'!V38</f>
        <v>0</v>
      </c>
      <c r="W38" s="73">
        <f>'Cost Allocation - Tier 1 (2)'!W38</f>
        <v>0</v>
      </c>
      <c r="X38" s="73">
        <f>'Cost Allocation - Tier 1 (2)'!X38</f>
        <v>0</v>
      </c>
      <c r="Y38" s="73">
        <f>'Cost Allocation - Tier 1 (2)'!Y38</f>
        <v>0</v>
      </c>
      <c r="Z38" s="73">
        <f>'Cost Allocation - Tier 1 (2)'!Z38</f>
        <v>0</v>
      </c>
      <c r="AA38" s="73">
        <f>'Cost Allocation - Tier 1 (2)'!AA38</f>
        <v>0</v>
      </c>
      <c r="AB38" s="73">
        <f>'Cost Allocation - Tier 1 (2)'!AB38</f>
        <v>0</v>
      </c>
      <c r="AC38" s="73">
        <f>'Cost Allocation - Tier 1 (2)'!AC38</f>
        <v>0</v>
      </c>
      <c r="AD38" s="73">
        <f>'Cost Allocation - Tier 1 (2)'!AD38</f>
        <v>0</v>
      </c>
      <c r="AE38" s="73">
        <f>'Cost Allocation - Tier 1 (2)'!AE38</f>
        <v>0</v>
      </c>
      <c r="AF38" s="73">
        <f>'Cost Allocation - Tier 1 (2)'!AF38</f>
        <v>0</v>
      </c>
      <c r="AG38" s="73">
        <f>'Cost Allocation - Tier 1 (2)'!AG38</f>
        <v>0</v>
      </c>
      <c r="AH38" s="73">
        <f>'Cost Allocation - Tier 1 (2)'!AH38</f>
        <v>0</v>
      </c>
      <c r="AI38" s="73">
        <f>'Cost Allocation - Tier 1 (2)'!AI38</f>
        <v>0</v>
      </c>
      <c r="AJ38" s="73">
        <f>'Cost Allocation - Tier 1 (2)'!AJ38</f>
        <v>0</v>
      </c>
      <c r="AK38" s="73">
        <f>'Cost Allocation - Tier 1 (2)'!AK38</f>
        <v>0</v>
      </c>
      <c r="AL38" s="73">
        <f>'Cost Allocation - Tier 1 (2)'!AL38</f>
        <v>0</v>
      </c>
      <c r="AM38" s="73">
        <f>'Cost Allocation - Tier 1 (2)'!AM38</f>
        <v>0</v>
      </c>
      <c r="AN38" s="73">
        <f>'Cost Allocation - Tier 1 (2)'!AN38</f>
        <v>0</v>
      </c>
      <c r="AO38" s="73">
        <f>'Cost Allocation - Tier 1 (2)'!AO38</f>
        <v>0</v>
      </c>
      <c r="AP38" s="73">
        <f>'Cost Allocation - Tier 1 (2)'!AP38</f>
        <v>0</v>
      </c>
      <c r="AQ38" s="73">
        <f>'Cost Allocation - Tier 1 (2)'!AQ38</f>
        <v>0</v>
      </c>
      <c r="AR38" s="73">
        <f>'Cost Allocation - Tier 1 (2)'!AR38</f>
        <v>0</v>
      </c>
      <c r="AS38" s="73">
        <f>'Cost Allocation - Tier 1 (2)'!AS38</f>
        <v>0</v>
      </c>
      <c r="AT38" s="73">
        <f>'Cost Allocation - Tier 1 (2)'!AT38</f>
        <v>0</v>
      </c>
      <c r="AU38" s="73">
        <f>'Cost Allocation - Tier 1 (2)'!AU38</f>
        <v>0</v>
      </c>
      <c r="AV38" s="73">
        <f>'Cost Allocation - Tier 1 (2)'!AV38</f>
        <v>0</v>
      </c>
      <c r="AW38" s="73">
        <f>'Cost Allocation - Tier 1 (2)'!AW38</f>
        <v>0</v>
      </c>
      <c r="AX38" s="73">
        <f>'Cost Allocation - Tier 1 (2)'!AX38</f>
        <v>0</v>
      </c>
      <c r="AY38" s="73">
        <f>'Cost Allocation - Tier 1 (2)'!AY38</f>
        <v>0</v>
      </c>
      <c r="AZ38" s="73">
        <f>'Cost Allocation - Tier 1 (2)'!AZ38</f>
        <v>0</v>
      </c>
      <c r="BA38" s="73">
        <f>'Cost Allocation - Tier 1 (2)'!BA38</f>
        <v>0</v>
      </c>
      <c r="BB38" s="73">
        <f>'Cost Allocation - Tier 1 (2)'!BB38</f>
        <v>0</v>
      </c>
      <c r="BC38" s="666">
        <f t="shared" ref="BC38:BC40" si="14">SUM(BD38:BK38)</f>
        <v>0</v>
      </c>
      <c r="BD38" s="73">
        <f>'Cost Allocation - Tier 1 (2)'!BD38</f>
        <v>0</v>
      </c>
      <c r="BE38" s="73">
        <f>'Cost Allocation - Tier 1 (2)'!BE38</f>
        <v>0</v>
      </c>
      <c r="BF38" s="73">
        <f>'Cost Allocation - Tier 1 (2)'!BF38</f>
        <v>0</v>
      </c>
      <c r="BG38" s="73">
        <f>'Cost Allocation - Tier 1 (2)'!BG38</f>
        <v>0</v>
      </c>
      <c r="BH38" s="73">
        <f>'Cost Allocation - Tier 1 (2)'!BH38</f>
        <v>0</v>
      </c>
      <c r="BI38" s="73">
        <f>'Cost Allocation - Tier 1 (2)'!BI38</f>
        <v>0</v>
      </c>
      <c r="BJ38" s="73">
        <f>'Cost Allocation - Tier 1 (2)'!BJ38</f>
        <v>0</v>
      </c>
      <c r="BK38" s="73">
        <f>'Cost Allocation - Tier 1 (2)'!BK38</f>
        <v>0</v>
      </c>
      <c r="BL38" s="76">
        <f t="shared" ref="BL38:BL41" si="15">BC38+I38+H38</f>
        <v>0</v>
      </c>
      <c r="BM38" s="76">
        <f t="shared" ref="BM38:BM43" si="16">BL38-E38</f>
        <v>0</v>
      </c>
    </row>
    <row r="39" spans="1:71" x14ac:dyDescent="0.25">
      <c r="A39" s="71" t="str">
        <f>'Cost Allocation - Tier 1 (2)'!A39</f>
        <v>Langley Office rent</v>
      </c>
      <c r="B39" s="19" t="str">
        <f>'Cost Allocation - Tier 1 (2)'!B39</f>
        <v>CDN CONTRACT</v>
      </c>
      <c r="C39" s="19"/>
      <c r="D39" s="713">
        <f>'Cost Allocation - Tier 1 (2)'!D39</f>
        <v>173746</v>
      </c>
      <c r="E39" s="664">
        <f>'Cost Allocation - Tier 1 (2)'!E39</f>
        <v>130714.7156184171</v>
      </c>
      <c r="F39" s="664"/>
      <c r="G39" s="664"/>
      <c r="I39" s="694">
        <f t="shared" si="13"/>
        <v>130714.71561841713</v>
      </c>
      <c r="J39" s="73">
        <f>'Cost Allocation - Tier 1 (2)'!J39</f>
        <v>3360.3752993980247</v>
      </c>
      <c r="K39" s="73">
        <f>'Cost Allocation - Tier 1 (2)'!K39</f>
        <v>856.15455040399922</v>
      </c>
      <c r="L39" s="73">
        <f>'Cost Allocation - Tier 1 (2)'!L39</f>
        <v>815.85758356433325</v>
      </c>
      <c r="M39" s="73">
        <f>'Cost Allocation - Tier 1 (2)'!M39</f>
        <v>1144.194851654257</v>
      </c>
      <c r="N39" s="73">
        <f>'Cost Allocation - Tier 1 (2)'!N39</f>
        <v>1550.4112047355773</v>
      </c>
      <c r="O39" s="73">
        <f>'Cost Allocation - Tier 1 (2)'!O39</f>
        <v>4510.9676463101787</v>
      </c>
      <c r="P39" s="73">
        <f>'Cost Allocation - Tier 1 (2)'!P39</f>
        <v>573.20331643669169</v>
      </c>
      <c r="Q39" s="73">
        <f>'Cost Allocation - Tier 1 (2)'!Q39</f>
        <v>1621.2999642719296</v>
      </c>
      <c r="R39" s="73">
        <f>'Cost Allocation - Tier 1 (2)'!R39</f>
        <v>1414.8243902888003</v>
      </c>
      <c r="S39" s="73">
        <f>'Cost Allocation - Tier 1 (2)'!S39</f>
        <v>1431.7764093222854</v>
      </c>
      <c r="T39" s="73">
        <f>'Cost Allocation - Tier 1 (2)'!T39</f>
        <v>5337.8412180122741</v>
      </c>
      <c r="U39" s="73">
        <f>'Cost Allocation - Tier 1 (2)'!U39</f>
        <v>4213.3364790409387</v>
      </c>
      <c r="V39" s="73">
        <f>'Cost Allocation - Tier 1 (2)'!V39</f>
        <v>2153.5399858677306</v>
      </c>
      <c r="W39" s="73">
        <f>'Cost Allocation - Tier 1 (2)'!W39</f>
        <v>3533.644001293972</v>
      </c>
      <c r="X39" s="73">
        <f>'Cost Allocation - Tier 1 (2)'!X39</f>
        <v>125.48205591106687</v>
      </c>
      <c r="Y39" s="73">
        <f>'Cost Allocation - Tier 1 (2)'!Y39</f>
        <v>88.137297603122207</v>
      </c>
      <c r="Z39" s="73">
        <f>'Cost Allocation - Tier 1 (2)'!Z39</f>
        <v>365.65657102670195</v>
      </c>
      <c r="AA39" s="73">
        <f>'Cost Allocation - Tier 1 (2)'!AA39</f>
        <v>320.27801773689339</v>
      </c>
      <c r="AB39" s="73">
        <f>'Cost Allocation - Tier 1 (2)'!AB39</f>
        <v>185.53972121060451</v>
      </c>
      <c r="AC39" s="73">
        <f>'Cost Allocation - Tier 1 (2)'!AC39</f>
        <v>236.26963160145854</v>
      </c>
      <c r="AD39" s="73">
        <f>'Cost Allocation - Tier 1 (2)'!AD39</f>
        <v>1662.7461605169806</v>
      </c>
      <c r="AE39" s="73">
        <f>'Cost Allocation - Tier 1 (2)'!AE39</f>
        <v>601.27206408680422</v>
      </c>
      <c r="AF39" s="73">
        <f>'Cost Allocation - Tier 1 (2)'!AF39</f>
        <v>1204.2092363988356</v>
      </c>
      <c r="AG39" s="73">
        <f>'Cost Allocation - Tier 1 (2)'!AG39</f>
        <v>2326.9541418744093</v>
      </c>
      <c r="AH39" s="73">
        <f>'Cost Allocation - Tier 1 (2)'!AH39</f>
        <v>32089.501629162576</v>
      </c>
      <c r="AI39" s="73">
        <f>'Cost Allocation - Tier 1 (2)'!AI39</f>
        <v>323.34945946314394</v>
      </c>
      <c r="AJ39" s="73">
        <f>'Cost Allocation - Tier 1 (2)'!AJ39</f>
        <v>5629.2227231371335</v>
      </c>
      <c r="AK39" s="73">
        <f>'Cost Allocation - Tier 1 (2)'!AK39</f>
        <v>4496.5702061667553</v>
      </c>
      <c r="AL39" s="73">
        <f>'Cost Allocation - Tier 1 (2)'!AL39</f>
        <v>0</v>
      </c>
      <c r="AM39" s="73">
        <f>'Cost Allocation - Tier 1 (2)'!AM39</f>
        <v>486.03553281215557</v>
      </c>
      <c r="AN39" s="73">
        <f>'Cost Allocation - Tier 1 (2)'!AN39</f>
        <v>612.72474421649645</v>
      </c>
      <c r="AO39" s="73">
        <f>'Cost Allocation - Tier 1 (2)'!AO39</f>
        <v>5608.4942607375433</v>
      </c>
      <c r="AP39" s="73">
        <f>'Cost Allocation - Tier 1 (2)'!AP39</f>
        <v>786.80329626946479</v>
      </c>
      <c r="AQ39" s="73">
        <f>'Cost Allocation - Tier 1 (2)'!AQ39</f>
        <v>2850.3064977042527</v>
      </c>
      <c r="AR39" s="73">
        <f>'Cost Allocation - Tier 1 (2)'!AR39</f>
        <v>11.528200355591872</v>
      </c>
      <c r="AS39" s="73">
        <f>'Cost Allocation - Tier 1 (2)'!AS39</f>
        <v>4247.5150201683127</v>
      </c>
      <c r="AT39" s="73">
        <f>'Cost Allocation - Tier 1 (2)'!AT39</f>
        <v>3419.7450220021778</v>
      </c>
      <c r="AU39" s="73">
        <f>'Cost Allocation - Tier 1 (2)'!AU39</f>
        <v>5156.4746020573457</v>
      </c>
      <c r="AV39" s="73">
        <f>'Cost Allocation - Tier 1 (2)'!AV39</f>
        <v>6976.4851793660446</v>
      </c>
      <c r="AW39" s="73">
        <f>'Cost Allocation - Tier 1 (2)'!AW39</f>
        <v>18141.429923466094</v>
      </c>
      <c r="AX39" s="73">
        <f>'Cost Allocation - Tier 1 (2)'!AX39</f>
        <v>244.55752276417309</v>
      </c>
      <c r="AY39" s="73">
        <f>'Cost Allocation - Tier 1 (2)'!AY39</f>
        <v>0</v>
      </c>
      <c r="AZ39" s="73">
        <f>'Cost Allocation - Tier 1 (2)'!AZ39</f>
        <v>0</v>
      </c>
      <c r="BA39" s="73">
        <f>'Cost Allocation - Tier 1 (2)'!BA39</f>
        <v>0</v>
      </c>
      <c r="BB39" s="73">
        <f>'Cost Allocation - Tier 1 (2)'!BB39</f>
        <v>0</v>
      </c>
      <c r="BC39" s="666">
        <f t="shared" si="14"/>
        <v>0</v>
      </c>
      <c r="BD39" s="73">
        <f>'Cost Allocation - Tier 1 (2)'!BD39</f>
        <v>0</v>
      </c>
      <c r="BE39" s="73">
        <f>'Cost Allocation - Tier 1 (2)'!BE39</f>
        <v>0</v>
      </c>
      <c r="BF39" s="73">
        <f>'Cost Allocation - Tier 1 (2)'!BF39</f>
        <v>0</v>
      </c>
      <c r="BG39" s="73">
        <f>'Cost Allocation - Tier 1 (2)'!BG39</f>
        <v>0</v>
      </c>
      <c r="BH39" s="73">
        <f>'Cost Allocation - Tier 1 (2)'!BH39</f>
        <v>0</v>
      </c>
      <c r="BI39" s="73">
        <f>'Cost Allocation - Tier 1 (2)'!BI39</f>
        <v>0</v>
      </c>
      <c r="BJ39" s="73">
        <f>'Cost Allocation - Tier 1 (2)'!BJ39</f>
        <v>0</v>
      </c>
      <c r="BK39" s="73">
        <f>'Cost Allocation - Tier 1 (2)'!BK39</f>
        <v>0</v>
      </c>
      <c r="BL39" s="76">
        <f t="shared" si="15"/>
        <v>130714.71561841713</v>
      </c>
      <c r="BM39" s="76">
        <f t="shared" si="16"/>
        <v>0</v>
      </c>
    </row>
    <row r="40" spans="1:71" x14ac:dyDescent="0.25">
      <c r="A40" s="71" t="str">
        <f>'Cost Allocation - Tier 1 (2)'!A40</f>
        <v>Other costs</v>
      </c>
      <c r="B40" s="19" t="str">
        <f>'Cost Allocation - Tier 1 (2)'!B40</f>
        <v>CDN CONTRACT</v>
      </c>
      <c r="C40" s="19"/>
      <c r="D40" s="681">
        <f>'Cost Allocation - Tier 1 (2)'!D40</f>
        <v>433486</v>
      </c>
      <c r="E40" s="681">
        <f>'Cost Allocation - Tier 1 (2)'!E40</f>
        <v>326125.48901594948</v>
      </c>
      <c r="F40" s="681"/>
      <c r="G40" s="681"/>
      <c r="H40" s="79"/>
      <c r="I40" s="684">
        <f t="shared" si="13"/>
        <v>326125.48901594954</v>
      </c>
      <c r="J40" s="78">
        <f>'Cost Allocation - Tier 1 (2)'!J40</f>
        <v>8383.9377426522187</v>
      </c>
      <c r="K40" s="78">
        <f>'Cost Allocation - Tier 1 (2)'!K40</f>
        <v>2136.0549965836799</v>
      </c>
      <c r="L40" s="78">
        <f>'Cost Allocation - Tier 1 (2)'!L40</f>
        <v>2035.516446243186</v>
      </c>
      <c r="M40" s="78">
        <f>'Cost Allocation - Tier 1 (2)'!M40</f>
        <v>2854.6985223498518</v>
      </c>
      <c r="N40" s="78">
        <f>'Cost Allocation - Tier 1 (2)'!N40</f>
        <v>3868.1843121338416</v>
      </c>
      <c r="O40" s="78">
        <f>'Cost Allocation - Tier 1 (2)'!O40</f>
        <v>11254.597637519219</v>
      </c>
      <c r="P40" s="78">
        <f>'Cost Allocation - Tier 1 (2)'!P40</f>
        <v>1430.1083928773942</v>
      </c>
      <c r="Q40" s="78">
        <f>'Cost Allocation - Tier 1 (2)'!Q40</f>
        <v>4045.0475769938976</v>
      </c>
      <c r="R40" s="78">
        <f>'Cost Allocation - Tier 1 (2)'!R40</f>
        <v>3529.9032245273611</v>
      </c>
      <c r="S40" s="78">
        <f>'Cost Allocation - Tier 1 (2)'!S40</f>
        <v>3572.1975099943611</v>
      </c>
      <c r="T40" s="78">
        <f>'Cost Allocation - Tier 1 (2)'!T40</f>
        <v>13317.598323019056</v>
      </c>
      <c r="U40" s="78">
        <f>'Cost Allocation - Tier 1 (2)'!U40</f>
        <v>10512.025467944819</v>
      </c>
      <c r="V40" s="78">
        <f>'Cost Allocation - Tier 1 (2)'!V40</f>
        <v>5372.9549705539066</v>
      </c>
      <c r="W40" s="78">
        <f>'Cost Allocation - Tier 1 (2)'!W40</f>
        <v>8816.2329120953509</v>
      </c>
      <c r="X40" s="78">
        <f>'Cost Allocation - Tier 1 (2)'!X40</f>
        <v>313.07031234482946</v>
      </c>
      <c r="Y40" s="78">
        <f>'Cost Allocation - Tier 1 (2)'!Y40</f>
        <v>219.8973477880759</v>
      </c>
      <c r="Z40" s="78">
        <f>'Cost Allocation - Tier 1 (2)'!Z40</f>
        <v>912.29153101700717</v>
      </c>
      <c r="AA40" s="78">
        <f>'Cost Allocation - Tier 1 (2)'!AA40</f>
        <v>799.07472285229574</v>
      </c>
      <c r="AB40" s="78">
        <f>'Cost Allocation - Tier 1 (2)'!AB40</f>
        <v>462.91063730215433</v>
      </c>
      <c r="AC40" s="78">
        <f>'Cost Allocation - Tier 1 (2)'!AC40</f>
        <v>589.47876511913864</v>
      </c>
      <c r="AD40" s="78">
        <f>'Cost Allocation - Tier 1 (2)'!AD40</f>
        <v>4148.4533867707105</v>
      </c>
      <c r="AE40" s="78">
        <f>'Cost Allocation - Tier 1 (2)'!AE40</f>
        <v>1500.1382591411166</v>
      </c>
      <c r="AF40" s="78">
        <f>'Cost Allocation - Tier 1 (2)'!AF40</f>
        <v>3004.4308648808355</v>
      </c>
      <c r="AG40" s="78">
        <f>'Cost Allocation - Tier 1 (2)'!AG40</f>
        <v>5805.6130394056272</v>
      </c>
      <c r="AH40" s="78">
        <f>'Cost Allocation - Tier 1 (2)'!AH40</f>
        <v>80061.409777601613</v>
      </c>
      <c r="AI40" s="78">
        <f>'Cost Allocation - Tier 1 (2)'!AI40</f>
        <v>806.73778840859893</v>
      </c>
      <c r="AJ40" s="78">
        <f>'Cost Allocation - Tier 1 (2)'!AJ40</f>
        <v>14044.577954956221</v>
      </c>
      <c r="AK40" s="78">
        <f>'Cost Allocation - Tier 1 (2)'!AK40</f>
        <v>11218.676875383619</v>
      </c>
      <c r="AL40" s="78">
        <f>'Cost Allocation - Tier 1 (2)'!AL40</f>
        <v>0</v>
      </c>
      <c r="AM40" s="78">
        <f>'Cost Allocation - Tier 1 (2)'!AM40</f>
        <v>1212.6299251586227</v>
      </c>
      <c r="AN40" s="78">
        <f>'Cost Allocation - Tier 1 (2)'!AN40</f>
        <v>1528.7120191050853</v>
      </c>
      <c r="AO40" s="78">
        <f>'Cost Allocation - Tier 1 (2)'!AO40</f>
        <v>13992.861666513616</v>
      </c>
      <c r="AP40" s="78">
        <f>'Cost Allocation - Tier 1 (2)'!AP40</f>
        <v>1963.0277168203311</v>
      </c>
      <c r="AQ40" s="78">
        <f>'Cost Allocation - Tier 1 (2)'!AQ40</f>
        <v>7111.3462322230489</v>
      </c>
      <c r="AR40" s="78">
        <f>'Cost Allocation - Tier 1 (2)'!AR40</f>
        <v>28.762178463642897</v>
      </c>
      <c r="AS40" s="78">
        <f>'Cost Allocation - Tier 1 (2)'!AS40</f>
        <v>10597.298907788849</v>
      </c>
      <c r="AT40" s="78">
        <f>'Cost Allocation - Tier 1 (2)'!AT40</f>
        <v>8532.0616912483511</v>
      </c>
      <c r="AU40" s="78">
        <f>'Cost Allocation - Tier 1 (2)'!AU40</f>
        <v>12865.099336660589</v>
      </c>
      <c r="AV40" s="78">
        <f>'Cost Allocation - Tier 1 (2)'!AV40</f>
        <v>17405.918147541062</v>
      </c>
      <c r="AW40" s="78">
        <f>'Cost Allocation - Tier 1 (2)'!AW40</f>
        <v>45261.795332287496</v>
      </c>
      <c r="AX40" s="78">
        <f>'Cost Allocation - Tier 1 (2)'!AX40</f>
        <v>610.156563678878</v>
      </c>
      <c r="AY40" s="78">
        <f>'Cost Allocation - Tier 1 (2)'!AY40</f>
        <v>0</v>
      </c>
      <c r="AZ40" s="78">
        <f>'Cost Allocation - Tier 1 (2)'!AZ40</f>
        <v>0</v>
      </c>
      <c r="BA40" s="78">
        <f>'Cost Allocation - Tier 1 (2)'!BA40</f>
        <v>0</v>
      </c>
      <c r="BB40" s="78">
        <f>'Cost Allocation - Tier 1 (2)'!BB40</f>
        <v>0</v>
      </c>
      <c r="BC40" s="684">
        <f t="shared" si="14"/>
        <v>0</v>
      </c>
      <c r="BD40" s="78">
        <f>'Cost Allocation - Tier 1 (2)'!BD40</f>
        <v>0</v>
      </c>
      <c r="BE40" s="78">
        <f>'Cost Allocation - Tier 1 (2)'!BE40</f>
        <v>0</v>
      </c>
      <c r="BF40" s="78">
        <f>'Cost Allocation - Tier 1 (2)'!BF40</f>
        <v>0</v>
      </c>
      <c r="BG40" s="78">
        <f>'Cost Allocation - Tier 1 (2)'!BG40</f>
        <v>0</v>
      </c>
      <c r="BH40" s="78">
        <f>'Cost Allocation - Tier 1 (2)'!BH40</f>
        <v>0</v>
      </c>
      <c r="BI40" s="78">
        <f>'Cost Allocation - Tier 1 (2)'!BI40</f>
        <v>0</v>
      </c>
      <c r="BJ40" s="78">
        <f>'Cost Allocation - Tier 1 (2)'!BJ40</f>
        <v>0</v>
      </c>
      <c r="BK40" s="78">
        <f>'Cost Allocation - Tier 1 (2)'!BK40</f>
        <v>0</v>
      </c>
      <c r="BL40" s="685">
        <f t="shared" si="15"/>
        <v>326125.48901594954</v>
      </c>
      <c r="BM40" s="76">
        <f t="shared" si="16"/>
        <v>0</v>
      </c>
    </row>
    <row r="41" spans="1:71" x14ac:dyDescent="0.25">
      <c r="A41" s="177" t="str">
        <f>'Cost Allocation - Tier 1 (2)'!A41</f>
        <v>Net income</v>
      </c>
      <c r="D41" s="893">
        <f>SUM(D38:D40)</f>
        <v>607232</v>
      </c>
      <c r="E41" s="893">
        <f>SUM(E38:E40)</f>
        <v>456840.20463436656</v>
      </c>
      <c r="F41" s="893"/>
      <c r="G41" s="893"/>
      <c r="H41" s="76"/>
      <c r="I41" s="666">
        <f>SUM(I38:I40)</f>
        <v>456840.20463436667</v>
      </c>
      <c r="J41" s="73">
        <f>SUM(J38:J40)</f>
        <v>11744.313042050244</v>
      </c>
      <c r="K41" s="73">
        <f t="shared" ref="K41:BB41" si="17">SUM(K38:K40)</f>
        <v>2992.209546987679</v>
      </c>
      <c r="L41" s="73">
        <f t="shared" si="17"/>
        <v>2851.374029807519</v>
      </c>
      <c r="M41" s="73">
        <f t="shared" si="17"/>
        <v>3998.8933740041089</v>
      </c>
      <c r="N41" s="73">
        <f t="shared" si="17"/>
        <v>5418.595516869419</v>
      </c>
      <c r="O41" s="73">
        <f t="shared" si="17"/>
        <v>15765.565283829397</v>
      </c>
      <c r="P41" s="73">
        <f t="shared" si="17"/>
        <v>2003.3117093140859</v>
      </c>
      <c r="Q41" s="73">
        <f t="shared" si="17"/>
        <v>5666.3475412658272</v>
      </c>
      <c r="R41" s="73">
        <f t="shared" si="17"/>
        <v>4944.7276148161618</v>
      </c>
      <c r="S41" s="73">
        <f t="shared" si="17"/>
        <v>5003.9739193166461</v>
      </c>
      <c r="T41" s="73">
        <f t="shared" si="17"/>
        <v>18655.43954103133</v>
      </c>
      <c r="U41" s="73">
        <f t="shared" si="17"/>
        <v>14725.361946985759</v>
      </c>
      <c r="V41" s="73">
        <f t="shared" si="17"/>
        <v>7526.4949564216367</v>
      </c>
      <c r="W41" s="73">
        <f t="shared" si="17"/>
        <v>12349.876913389322</v>
      </c>
      <c r="X41" s="73">
        <f t="shared" si="17"/>
        <v>438.55236825589634</v>
      </c>
      <c r="Y41" s="73">
        <f t="shared" si="17"/>
        <v>308.03464539119813</v>
      </c>
      <c r="Z41" s="73">
        <f t="shared" si="17"/>
        <v>1277.9481020437092</v>
      </c>
      <c r="AA41" s="73">
        <f t="shared" si="17"/>
        <v>1119.3527405891891</v>
      </c>
      <c r="AB41" s="73">
        <f t="shared" si="17"/>
        <v>648.45035851275884</v>
      </c>
      <c r="AC41" s="73">
        <f t="shared" si="17"/>
        <v>825.74839672059716</v>
      </c>
      <c r="AD41" s="73">
        <f t="shared" si="17"/>
        <v>5811.1995472876915</v>
      </c>
      <c r="AE41" s="73">
        <f t="shared" si="17"/>
        <v>2101.4103232279208</v>
      </c>
      <c r="AF41" s="73">
        <f t="shared" si="17"/>
        <v>4208.6401012796714</v>
      </c>
      <c r="AG41" s="73">
        <f t="shared" si="17"/>
        <v>8132.5671812800365</v>
      </c>
      <c r="AH41" s="73">
        <f t="shared" si="17"/>
        <v>112150.91140676419</v>
      </c>
      <c r="AI41" s="73">
        <f t="shared" si="17"/>
        <v>1130.0872478717429</v>
      </c>
      <c r="AJ41" s="73">
        <f t="shared" si="17"/>
        <v>19673.800678093354</v>
      </c>
      <c r="AK41" s="73">
        <f t="shared" si="17"/>
        <v>15715.247081550373</v>
      </c>
      <c r="AL41" s="73">
        <f t="shared" si="17"/>
        <v>0</v>
      </c>
      <c r="AM41" s="73">
        <f t="shared" si="17"/>
        <v>1698.6654579707783</v>
      </c>
      <c r="AN41" s="73">
        <f t="shared" si="17"/>
        <v>2141.4367633215816</v>
      </c>
      <c r="AO41" s="73">
        <f t="shared" si="17"/>
        <v>19601.355927251159</v>
      </c>
      <c r="AP41" s="73">
        <f t="shared" si="17"/>
        <v>2749.8310130897958</v>
      </c>
      <c r="AQ41" s="73">
        <f t="shared" si="17"/>
        <v>9961.6527299273021</v>
      </c>
      <c r="AR41" s="73">
        <f t="shared" si="17"/>
        <v>40.290378819234768</v>
      </c>
      <c r="AS41" s="73">
        <f t="shared" si="17"/>
        <v>14844.813927957162</v>
      </c>
      <c r="AT41" s="73">
        <f t="shared" si="17"/>
        <v>11951.806713250529</v>
      </c>
      <c r="AU41" s="73">
        <f t="shared" si="17"/>
        <v>18021.573938717935</v>
      </c>
      <c r="AV41" s="73">
        <f t="shared" si="17"/>
        <v>24382.403326907108</v>
      </c>
      <c r="AW41" s="73">
        <f t="shared" si="17"/>
        <v>63403.22525575359</v>
      </c>
      <c r="AX41" s="73">
        <f t="shared" si="17"/>
        <v>854.71408644305109</v>
      </c>
      <c r="AY41" s="73">
        <f t="shared" si="17"/>
        <v>0</v>
      </c>
      <c r="AZ41" s="73">
        <f t="shared" si="17"/>
        <v>0</v>
      </c>
      <c r="BA41" s="73">
        <f t="shared" si="17"/>
        <v>0</v>
      </c>
      <c r="BB41" s="73">
        <f t="shared" si="17"/>
        <v>0</v>
      </c>
      <c r="BC41" s="666">
        <f>SUM(BC38:BC40)</f>
        <v>0</v>
      </c>
      <c r="BD41" s="73">
        <f>SUM(BD38:BD40)</f>
        <v>0</v>
      </c>
      <c r="BE41" s="73">
        <f t="shared" ref="BE41:BK41" si="18">SUM(BE38:BE40)</f>
        <v>0</v>
      </c>
      <c r="BF41" s="73">
        <f t="shared" si="18"/>
        <v>0</v>
      </c>
      <c r="BG41" s="73">
        <f t="shared" si="18"/>
        <v>0</v>
      </c>
      <c r="BH41" s="73">
        <f t="shared" si="18"/>
        <v>0</v>
      </c>
      <c r="BI41" s="73">
        <f t="shared" si="18"/>
        <v>0</v>
      </c>
      <c r="BJ41" s="73">
        <f t="shared" si="18"/>
        <v>0</v>
      </c>
      <c r="BK41" s="73">
        <f t="shared" si="18"/>
        <v>0</v>
      </c>
      <c r="BL41" s="76">
        <f t="shared" si="15"/>
        <v>456840.20463436667</v>
      </c>
      <c r="BM41" s="76">
        <f t="shared" si="16"/>
        <v>0</v>
      </c>
      <c r="BO41" s="20"/>
      <c r="BP41" s="894">
        <f>SUM(J41:AE41)+AH41+AI41+AM41+AQ41+AR41+AS41+AT41+AU41+AV41++AW41+AX41</f>
        <v>384617.32588850078</v>
      </c>
      <c r="BQ41" s="894">
        <f>AF41+AG41+AJ41+AK41+AL41+AN41+AO41+AP41</f>
        <v>72222.878745865979</v>
      </c>
      <c r="BR41" s="894">
        <f>SUM(AY40:BB41)</f>
        <v>0</v>
      </c>
      <c r="BS41" s="894">
        <f>BR41+BQ41+BP41-I41</f>
        <v>0</v>
      </c>
    </row>
    <row r="42" spans="1:71" x14ac:dyDescent="0.25">
      <c r="D42" s="893"/>
      <c r="E42" s="893"/>
      <c r="F42" s="893"/>
      <c r="G42" s="893"/>
      <c r="I42" s="666"/>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BC42" s="666"/>
      <c r="BD42" s="73"/>
      <c r="BE42" s="73"/>
      <c r="BF42" s="73"/>
      <c r="BG42" s="73"/>
      <c r="BH42" s="73"/>
      <c r="BI42" s="73"/>
      <c r="BJ42" s="73"/>
      <c r="BK42" s="73"/>
      <c r="BL42" s="76"/>
      <c r="BM42" s="76"/>
      <c r="BO42" s="20"/>
      <c r="BP42" s="20"/>
      <c r="BQ42" s="20"/>
      <c r="BR42" s="20"/>
      <c r="BS42" s="20"/>
    </row>
    <row r="43" spans="1:71" x14ac:dyDescent="0.25">
      <c r="A43" s="343" t="str">
        <f>'Cost Allocation - Tier 1 (2)'!A43</f>
        <v xml:space="preserve">Vancouver Rent direct </v>
      </c>
      <c r="B43" s="3" t="str">
        <f>'Cost Allocation - Tier 1 (2)'!B43</f>
        <v>CDN CONTRACT</v>
      </c>
      <c r="D43" s="893">
        <f>'Cost Allocation - Tier 1 (2)'!D43</f>
        <v>45131.644444444442</v>
      </c>
      <c r="E43" s="664">
        <f>'Cost Allocation - Tier 1 (2)'!E43</f>
        <v>33953.990704517339</v>
      </c>
      <c r="F43" s="664"/>
      <c r="G43" s="664"/>
      <c r="I43" s="694">
        <f t="shared" ref="I43" si="19">SUM(J43:BB43)</f>
        <v>33953.990704517346</v>
      </c>
      <c r="J43" s="73">
        <f>'Cost Allocation - Tier 1 (2)'!J43</f>
        <v>872.87916390780333</v>
      </c>
      <c r="K43" s="73">
        <f>'Cost Allocation - Tier 1 (2)'!K43</f>
        <v>222.39166805754655</v>
      </c>
      <c r="L43" s="73">
        <f>'Cost Allocation - Tier 1 (2)'!L43</f>
        <v>211.92427093993018</v>
      </c>
      <c r="M43" s="73">
        <f>'Cost Allocation - Tier 1 (2)'!M43</f>
        <v>297.21199463598464</v>
      </c>
      <c r="N43" s="73">
        <f>'Cost Allocation - Tier 1 (2)'!N43</f>
        <v>402.72931310538848</v>
      </c>
      <c r="O43" s="73">
        <f>'Cost Allocation - Tier 1 (2)'!O43</f>
        <v>1171.7529492112819</v>
      </c>
      <c r="P43" s="73">
        <f>'Cost Allocation - Tier 1 (2)'!P43</f>
        <v>148.89325953862044</v>
      </c>
      <c r="Q43" s="73">
        <f>'Cost Allocation - Tier 1 (2)'!Q43</f>
        <v>421.14312574281541</v>
      </c>
      <c r="R43" s="73">
        <f>'Cost Allocation - Tier 1 (2)'!R43</f>
        <v>367.50976329723864</v>
      </c>
      <c r="S43" s="73">
        <f>'Cost Allocation - Tier 1 (2)'!S43</f>
        <v>371.91315960929597</v>
      </c>
      <c r="T43" s="73">
        <f>'Cost Allocation - Tier 1 (2)'!T43</f>
        <v>1386.5386941410463</v>
      </c>
      <c r="U43" s="73">
        <f>'Cost Allocation - Tier 1 (2)'!U43</f>
        <v>1094.44133330772</v>
      </c>
      <c r="V43" s="73">
        <f>'Cost Allocation - Tier 1 (2)'!V43</f>
        <v>559.39590516660144</v>
      </c>
      <c r="W43" s="73">
        <f>'Cost Allocation - Tier 1 (2)'!W43</f>
        <v>917.88682709037062</v>
      </c>
      <c r="X43" s="73">
        <f>'Cost Allocation - Tier 1 (2)'!X43</f>
        <v>32.59477358636267</v>
      </c>
      <c r="Y43" s="73">
        <f>'Cost Allocation - Tier 1 (2)'!Y43</f>
        <v>22.894231681410201</v>
      </c>
      <c r="Z43" s="73">
        <f>'Cost Allocation - Tier 1 (2)'!Z43</f>
        <v>94.981653404117836</v>
      </c>
      <c r="AA43" s="73">
        <f>'Cost Allocation - Tier 1 (2)'!AA43</f>
        <v>83.194281421574843</v>
      </c>
      <c r="AB43" s="73">
        <f>'Cost Allocation - Tier 1 (2)'!AB43</f>
        <v>48.195139617593206</v>
      </c>
      <c r="AC43" s="73">
        <f>'Cost Allocation - Tier 1 (2)'!AC43</f>
        <v>61.37256113209456</v>
      </c>
      <c r="AD43" s="73">
        <f>'Cost Allocation - Tier 1 (2)'!AD43</f>
        <v>431.90904261288034</v>
      </c>
      <c r="AE43" s="73">
        <f>'Cost Allocation - Tier 1 (2)'!AE43</f>
        <v>156.18429782983702</v>
      </c>
      <c r="AF43" s="73">
        <f>'Cost Allocation - Tier 1 (2)'!AF43</f>
        <v>312.80111826383455</v>
      </c>
      <c r="AG43" s="73">
        <f>'Cost Allocation - Tier 1 (2)'!AG43</f>
        <v>604.44135099284676</v>
      </c>
      <c r="AH43" s="73">
        <f>'Cost Allocation - Tier 1 (2)'!AH43</f>
        <v>8335.455077681132</v>
      </c>
      <c r="AI43" s="73">
        <f>'Cost Allocation - Tier 1 (2)'!AI43</f>
        <v>83.992108225765847</v>
      </c>
      <c r="AJ43" s="73">
        <f>'Cost Allocation - Tier 1 (2)'!AJ43</f>
        <v>1462.2269199821144</v>
      </c>
      <c r="AK43" s="73">
        <f>'Cost Allocation - Tier 1 (2)'!AK43</f>
        <v>1168.0131212471092</v>
      </c>
      <c r="AL43" s="73">
        <f>'Cost Allocation - Tier 1 (2)'!AL43</f>
        <v>0</v>
      </c>
      <c r="AM43" s="73">
        <f>'Cost Allocation - Tier 1 (2)'!AM43</f>
        <v>126.25086536809086</v>
      </c>
      <c r="AN43" s="73">
        <f>'Cost Allocation - Tier 1 (2)'!AN43</f>
        <v>159.15920538194882</v>
      </c>
      <c r="AO43" s="73">
        <f>'Cost Allocation - Tier 1 (2)'!AO43</f>
        <v>1456.8425681415058</v>
      </c>
      <c r="AP43" s="73">
        <f>'Cost Allocation - Tier 1 (2)'!AP43</f>
        <v>204.37723236765373</v>
      </c>
      <c r="AQ43" s="73">
        <f>'Cost Allocation - Tier 1 (2)'!AQ43</f>
        <v>740.38550189401792</v>
      </c>
      <c r="AR43" s="73">
        <f>'Cost Allocation - Tier 1 (2)'!AR43</f>
        <v>2.9945244180176256</v>
      </c>
      <c r="AS43" s="73">
        <f>'Cost Allocation - Tier 1 (2)'!AS43</f>
        <v>1103.3194298727658</v>
      </c>
      <c r="AT43" s="73">
        <f>'Cost Allocation - Tier 1 (2)'!AT43</f>
        <v>888.30083238555778</v>
      </c>
      <c r="AU43" s="73">
        <f>'Cost Allocation - Tier 1 (2)'!AU43</f>
        <v>1339.427545536935</v>
      </c>
      <c r="AV43" s="73">
        <f>'Cost Allocation - Tier 1 (2)'!AV43</f>
        <v>1812.1870350228755</v>
      </c>
      <c r="AW43" s="73">
        <f>'Cost Allocation - Tier 1 (2)'!AW43</f>
        <v>4712.353464365664</v>
      </c>
      <c r="AX43" s="73">
        <f>'Cost Allocation - Tier 1 (2)'!AX43</f>
        <v>63.52539433199491</v>
      </c>
      <c r="AY43" s="73">
        <f>'Cost Allocation - Tier 1 (2)'!AY43</f>
        <v>0</v>
      </c>
      <c r="AZ43" s="73">
        <f>'Cost Allocation - Tier 1 (2)'!AZ43</f>
        <v>0</v>
      </c>
      <c r="BA43" s="73">
        <f>'Cost Allocation - Tier 1 (2)'!BA43</f>
        <v>0</v>
      </c>
      <c r="BB43" s="73">
        <f>'Cost Allocation - Tier 1 (2)'!BB43</f>
        <v>0</v>
      </c>
      <c r="BC43" s="666">
        <f t="shared" ref="BC43" si="20">SUM(BD43:BK43)</f>
        <v>0</v>
      </c>
      <c r="BD43" s="73">
        <f>'Cost Allocation - Tier 1 (2)'!BD43</f>
        <v>0</v>
      </c>
      <c r="BE43" s="73">
        <f>'Cost Allocation - Tier 1 (2)'!BE43</f>
        <v>0</v>
      </c>
      <c r="BF43" s="73">
        <f>'Cost Allocation - Tier 1 (2)'!BF43</f>
        <v>0</v>
      </c>
      <c r="BG43" s="73">
        <f>'Cost Allocation - Tier 1 (2)'!BG43</f>
        <v>0</v>
      </c>
      <c r="BH43" s="73">
        <f>'Cost Allocation - Tier 1 (2)'!BH43</f>
        <v>0</v>
      </c>
      <c r="BI43" s="73">
        <f>'Cost Allocation - Tier 1 (2)'!BI43</f>
        <v>0</v>
      </c>
      <c r="BJ43" s="73">
        <f>'Cost Allocation - Tier 1 (2)'!BJ43</f>
        <v>0</v>
      </c>
      <c r="BK43" s="73">
        <f>'Cost Allocation - Tier 1 (2)'!BK43</f>
        <v>0</v>
      </c>
      <c r="BL43" s="76">
        <f>BC43+I43+H43</f>
        <v>33953.990704517346</v>
      </c>
      <c r="BM43" s="76">
        <f t="shared" si="16"/>
        <v>0</v>
      </c>
      <c r="BO43" s="20"/>
      <c r="BP43" s="894">
        <f>SUM(J43:AE43)+AH43+AI43+AM43+AQ43+AR43+AS43+AT43+AU43+AV43++AW43+AX43</f>
        <v>28586.129188140334</v>
      </c>
      <c r="BQ43" s="894">
        <f>AF43+AG43+AJ43+AK43+AL43+AN43+AO43+AP43</f>
        <v>5367.8615163770137</v>
      </c>
      <c r="BR43" s="894">
        <f>SUM(AY42:BB43)</f>
        <v>0</v>
      </c>
      <c r="BS43" s="894">
        <f>BR43+BQ43+BP43-I43</f>
        <v>0</v>
      </c>
    </row>
    <row r="44" spans="1:71" x14ac:dyDescent="0.25">
      <c r="D44" s="893"/>
      <c r="E44" s="893"/>
      <c r="F44" s="893"/>
      <c r="G44" s="893"/>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BD44" s="73"/>
      <c r="BE44" s="73"/>
      <c r="BF44" s="73"/>
      <c r="BG44" s="73"/>
      <c r="BH44" s="73"/>
      <c r="BI44" s="73"/>
      <c r="BJ44" s="73"/>
      <c r="BK44" s="73"/>
      <c r="BL44" s="73"/>
      <c r="BM44" s="76"/>
      <c r="BO44" s="20"/>
      <c r="BP44" s="20"/>
      <c r="BQ44" s="20"/>
      <c r="BR44" s="20"/>
      <c r="BS44" s="20"/>
    </row>
    <row r="45" spans="1:71" x14ac:dyDescent="0.25">
      <c r="A45" s="343" t="str">
        <f>'Cost Allocation - Tier 1 (2)'!A45</f>
        <v>Energy Services (6139)</v>
      </c>
      <c r="B45" s="3" t="str">
        <f>'Cost Allocation - Tier 1 (2)'!B45</f>
        <v>DES</v>
      </c>
      <c r="D45" s="713">
        <f>'Cost Allocation - Tier 1 (2)'!D45</f>
        <v>349421</v>
      </c>
      <c r="E45" s="713">
        <f>'Cost Allocation - Tier 1 (2)'!E45</f>
        <v>262880.68010833586</v>
      </c>
      <c r="F45" s="713"/>
      <c r="G45" s="713"/>
      <c r="I45" s="694">
        <f t="shared" ref="I45:I57" si="21">SUM(J45:BB45)</f>
        <v>262880.68010833592</v>
      </c>
      <c r="J45" s="73">
        <f>'Cost Allocation - Tier 1 (2)'!J45</f>
        <v>0</v>
      </c>
      <c r="K45" s="73">
        <f>'Cost Allocation - Tier 1 (2)'!K45</f>
        <v>0</v>
      </c>
      <c r="L45" s="73">
        <f>'Cost Allocation - Tier 1 (2)'!L45</f>
        <v>0</v>
      </c>
      <c r="M45" s="73">
        <f>'Cost Allocation - Tier 1 (2)'!M45</f>
        <v>0</v>
      </c>
      <c r="N45" s="73">
        <f>'Cost Allocation - Tier 1 (2)'!N45</f>
        <v>0</v>
      </c>
      <c r="O45" s="73">
        <f>'Cost Allocation - Tier 1 (2)'!O45</f>
        <v>0</v>
      </c>
      <c r="P45" s="73">
        <f>'Cost Allocation - Tier 1 (2)'!P45</f>
        <v>0</v>
      </c>
      <c r="Q45" s="73">
        <f>'Cost Allocation - Tier 1 (2)'!Q45</f>
        <v>0</v>
      </c>
      <c r="R45" s="73">
        <f>'Cost Allocation - Tier 1 (2)'!R45</f>
        <v>0</v>
      </c>
      <c r="S45" s="73">
        <f>'Cost Allocation - Tier 1 (2)'!S45</f>
        <v>0</v>
      </c>
      <c r="T45" s="73">
        <f>'Cost Allocation - Tier 1 (2)'!T45</f>
        <v>0</v>
      </c>
      <c r="U45" s="73">
        <f>'Cost Allocation - Tier 1 (2)'!U45</f>
        <v>0</v>
      </c>
      <c r="V45" s="73">
        <f>'Cost Allocation - Tier 1 (2)'!V45</f>
        <v>0</v>
      </c>
      <c r="W45" s="73">
        <f>'Cost Allocation - Tier 1 (2)'!W45</f>
        <v>0</v>
      </c>
      <c r="X45" s="73">
        <f>'Cost Allocation - Tier 1 (2)'!X45</f>
        <v>0</v>
      </c>
      <c r="Y45" s="73">
        <f>'Cost Allocation - Tier 1 (2)'!Y45</f>
        <v>0</v>
      </c>
      <c r="Z45" s="73">
        <f>'Cost Allocation - Tier 1 (2)'!Z45</f>
        <v>0</v>
      </c>
      <c r="AA45" s="73">
        <f>'Cost Allocation - Tier 1 (2)'!AA45</f>
        <v>0</v>
      </c>
      <c r="AB45" s="73">
        <f>'Cost Allocation - Tier 1 (2)'!AB45</f>
        <v>0</v>
      </c>
      <c r="AC45" s="73">
        <f>'Cost Allocation - Tier 1 (2)'!AC45</f>
        <v>0</v>
      </c>
      <c r="AD45" s="73">
        <f>'Cost Allocation - Tier 1 (2)'!AD45</f>
        <v>0</v>
      </c>
      <c r="AE45" s="73">
        <f>'Cost Allocation - Tier 1 (2)'!AE45</f>
        <v>0</v>
      </c>
      <c r="AF45" s="73">
        <f>'Cost Allocation - Tier 1 (2)'!AF45</f>
        <v>20361.669765689461</v>
      </c>
      <c r="AG45" s="73">
        <f>'Cost Allocation - Tier 1 (2)'!AG45</f>
        <v>0</v>
      </c>
      <c r="AH45" s="73">
        <f>'Cost Allocation - Tier 1 (2)'!AH45</f>
        <v>0</v>
      </c>
      <c r="AI45" s="73">
        <f>'Cost Allocation - Tier 1 (2)'!AI45</f>
        <v>0</v>
      </c>
      <c r="AJ45" s="73">
        <f>'Cost Allocation - Tier 1 (2)'!AJ45</f>
        <v>74159.664305237529</v>
      </c>
      <c r="AK45" s="73">
        <f>'Cost Allocation - Tier 1 (2)'!AK45</f>
        <v>64436.328905008566</v>
      </c>
      <c r="AL45" s="73">
        <f>'Cost Allocation - Tier 1 (2)'!AL45</f>
        <v>0</v>
      </c>
      <c r="AM45" s="73">
        <f>'Cost Allocation - Tier 1 (2)'!AM45</f>
        <v>0</v>
      </c>
      <c r="AN45" s="73">
        <f>'Cost Allocation - Tier 1 (2)'!AN45</f>
        <v>13903.635996196756</v>
      </c>
      <c r="AO45" s="73">
        <f>'Cost Allocation - Tier 1 (2)'!AO45</f>
        <v>78072.650524791214</v>
      </c>
      <c r="AP45" s="73">
        <f>'Cost Allocation - Tier 1 (2)'!AP45</f>
        <v>11946.730611412362</v>
      </c>
      <c r="AQ45" s="73">
        <f>'Cost Allocation - Tier 1 (2)'!AQ45</f>
        <v>0</v>
      </c>
      <c r="AR45" s="73">
        <f>'Cost Allocation - Tier 1 (2)'!AR45</f>
        <v>0</v>
      </c>
      <c r="AS45" s="73">
        <f>'Cost Allocation - Tier 1 (2)'!AS45</f>
        <v>0</v>
      </c>
      <c r="AT45" s="73">
        <f>'Cost Allocation - Tier 1 (2)'!AT45</f>
        <v>0</v>
      </c>
      <c r="AU45" s="73">
        <f>'Cost Allocation - Tier 1 (2)'!AU45</f>
        <v>0</v>
      </c>
      <c r="AV45" s="73">
        <f>'Cost Allocation - Tier 1 (2)'!AV45</f>
        <v>0</v>
      </c>
      <c r="AW45" s="73">
        <f>'Cost Allocation - Tier 1 (2)'!AW45</f>
        <v>0</v>
      </c>
      <c r="AX45" s="73">
        <f>'Cost Allocation - Tier 1 (2)'!AX45</f>
        <v>0</v>
      </c>
      <c r="AY45" s="73">
        <f>'Cost Allocation - Tier 1 (2)'!AY45</f>
        <v>0</v>
      </c>
      <c r="AZ45" s="73">
        <f>'Cost Allocation - Tier 1 (2)'!AZ45</f>
        <v>0</v>
      </c>
      <c r="BA45" s="73">
        <f>'Cost Allocation - Tier 1 (2)'!BA45</f>
        <v>0</v>
      </c>
      <c r="BB45" s="73">
        <f>'Cost Allocation - Tier 1 (2)'!BB45</f>
        <v>0</v>
      </c>
      <c r="BC45" s="666">
        <f t="shared" ref="BC45:BC48" si="22">SUM(BD45:BK45)</f>
        <v>0</v>
      </c>
      <c r="BD45" s="73">
        <f>'Cost Allocation - Tier 1 (2)'!BD45</f>
        <v>0</v>
      </c>
      <c r="BE45" s="73">
        <f>'Cost Allocation - Tier 1 (2)'!BE45</f>
        <v>0</v>
      </c>
      <c r="BF45" s="73">
        <f>'Cost Allocation - Tier 1 (2)'!BF45</f>
        <v>0</v>
      </c>
      <c r="BG45" s="73">
        <f>'Cost Allocation - Tier 1 (2)'!BG45</f>
        <v>0</v>
      </c>
      <c r="BH45" s="73">
        <f>'Cost Allocation - Tier 1 (2)'!BH45</f>
        <v>0</v>
      </c>
      <c r="BI45" s="73">
        <f>'Cost Allocation - Tier 1 (2)'!BI45</f>
        <v>0</v>
      </c>
      <c r="BJ45" s="73">
        <f>'Cost Allocation - Tier 1 (2)'!BJ45</f>
        <v>0</v>
      </c>
      <c r="BK45" s="73">
        <f>'Cost Allocation - Tier 1 (2)'!BK45</f>
        <v>0</v>
      </c>
      <c r="BL45" s="76">
        <f>BC45+I45+H45</f>
        <v>262880.68010833592</v>
      </c>
      <c r="BM45" s="76">
        <f>BL45-E45</f>
        <v>0</v>
      </c>
      <c r="BO45" s="20"/>
      <c r="BP45" s="894">
        <f>SUM(J45:AE45)+AH45+AI45+AM45+AQ45+AR45+AS45+AT45+AU45+AV45++AW45+AX45</f>
        <v>0</v>
      </c>
      <c r="BQ45" s="894">
        <f>AF45+AG45+AJ45+AK45+AL45+AN45+AO45+AP45</f>
        <v>262880.68010833592</v>
      </c>
      <c r="BR45" s="894">
        <f>SUM(AY44:BB45)</f>
        <v>0</v>
      </c>
      <c r="BS45" s="894">
        <f>BR45+BQ45+BP45-I45</f>
        <v>0</v>
      </c>
    </row>
    <row r="46" spans="1:71" x14ac:dyDescent="0.25">
      <c r="A46" s="343" t="str">
        <f>'Cost Allocation - Tier 1 (2)'!A46</f>
        <v>BC Ops</v>
      </c>
      <c r="B46" s="3" t="str">
        <f>'Cost Allocation - Tier 1 (2)'!B46</f>
        <v>Rick</v>
      </c>
      <c r="D46" s="713">
        <f>'Cost Allocation - Tier 1 (2)'!D46</f>
        <v>113910</v>
      </c>
      <c r="E46" s="713">
        <f>'Cost Allocation - Tier 1 (2)'!E46</f>
        <v>85698.16430935901</v>
      </c>
      <c r="F46" s="713"/>
      <c r="G46" s="713"/>
      <c r="I46" s="694">
        <f t="shared" si="21"/>
        <v>85698.164309359025</v>
      </c>
      <c r="J46" s="73">
        <f>'Cost Allocation - Tier 1 (2)'!J46</f>
        <v>2655.8257978933161</v>
      </c>
      <c r="K46" s="73">
        <f>'Cost Allocation - Tier 1 (2)'!K46</f>
        <v>647.74009891243441</v>
      </c>
      <c r="L46" s="73">
        <f>'Cost Allocation - Tier 1 (2)'!L46</f>
        <v>597.35962875150085</v>
      </c>
      <c r="M46" s="73">
        <f>'Cost Allocation - Tier 1 (2)'!M46</f>
        <v>933.80118275645304</v>
      </c>
      <c r="N46" s="73">
        <f>'Cost Allocation - Tier 1 (2)'!N46</f>
        <v>1184.0373794741993</v>
      </c>
      <c r="O46" s="73">
        <f>'Cost Allocation - Tier 1 (2)'!O46</f>
        <v>3637.4609540956399</v>
      </c>
      <c r="P46" s="73">
        <f>'Cost Allocation - Tier 1 (2)'!P46</f>
        <v>466.88590543820868</v>
      </c>
      <c r="Q46" s="73">
        <f>'Cost Allocation - Tier 1 (2)'!Q46</f>
        <v>1337.3463152866263</v>
      </c>
      <c r="R46" s="73">
        <f>'Cost Allocation - Tier 1 (2)'!R46</f>
        <v>1171.2924190620022</v>
      </c>
      <c r="S46" s="73">
        <f>'Cost Allocation - Tier 1 (2)'!S46</f>
        <v>1181.7991535375356</v>
      </c>
      <c r="T46" s="73">
        <f>'Cost Allocation - Tier 1 (2)'!T46</f>
        <v>4428.8098983636573</v>
      </c>
      <c r="U46" s="73">
        <f>'Cost Allocation - Tier 1 (2)'!U46</f>
        <v>3488.7175154702086</v>
      </c>
      <c r="V46" s="73">
        <f>'Cost Allocation - Tier 1 (2)'!V46</f>
        <v>1652.8561968114379</v>
      </c>
      <c r="W46" s="73">
        <f>'Cost Allocation - Tier 1 (2)'!W46</f>
        <v>2733.4275441765867</v>
      </c>
      <c r="X46" s="73">
        <f>'Cost Allocation - Tier 1 (2)'!X46</f>
        <v>102.06106749810995</v>
      </c>
      <c r="Y46" s="73">
        <f>'Cost Allocation - Tier 1 (2)'!Y46</f>
        <v>69.876962016211593</v>
      </c>
      <c r="Z46" s="73">
        <f>'Cost Allocation - Tier 1 (2)'!Z46</f>
        <v>278.56030268535199</v>
      </c>
      <c r="AA46" s="73">
        <f>'Cost Allocation - Tier 1 (2)'!AA46</f>
        <v>240.94332435941473</v>
      </c>
      <c r="AB46" s="73">
        <f>'Cost Allocation - Tier 1 (2)'!AB46</f>
        <v>137.95126069703252</v>
      </c>
      <c r="AC46" s="73">
        <f>'Cost Allocation - Tier 1 (2)'!AC46</f>
        <v>186.6772037918513</v>
      </c>
      <c r="AD46" s="73">
        <f>'Cost Allocation - Tier 1 (2)'!AD46</f>
        <v>1375.000024633712</v>
      </c>
      <c r="AE46" s="73">
        <f>'Cost Allocation - Tier 1 (2)'!AE46</f>
        <v>487.15862990746223</v>
      </c>
      <c r="AF46" s="73">
        <f>'Cost Allocation - Tier 1 (2)'!AF46</f>
        <v>0</v>
      </c>
      <c r="AG46" s="73">
        <f>'Cost Allocation - Tier 1 (2)'!AG46</f>
        <v>1673.8390865199131</v>
      </c>
      <c r="AH46" s="73">
        <f>'Cost Allocation - Tier 1 (2)'!AH46</f>
        <v>24863.753353574994</v>
      </c>
      <c r="AI46" s="73">
        <f>'Cost Allocation - Tier 1 (2)'!AI46</f>
        <v>269.96139882332858</v>
      </c>
      <c r="AJ46" s="73">
        <f>'Cost Allocation - Tier 1 (2)'!AJ46</f>
        <v>0</v>
      </c>
      <c r="AK46" s="73">
        <f>'Cost Allocation - Tier 1 (2)'!AK46</f>
        <v>0</v>
      </c>
      <c r="AL46" s="73">
        <f>'Cost Allocation - Tier 1 (2)'!AL46</f>
        <v>0</v>
      </c>
      <c r="AM46" s="73">
        <f>'Cost Allocation - Tier 1 (2)'!AM46</f>
        <v>371.85618888064698</v>
      </c>
      <c r="AN46" s="73">
        <f>'Cost Allocation - Tier 1 (2)'!AN46</f>
        <v>0</v>
      </c>
      <c r="AO46" s="73">
        <f>'Cost Allocation - Tier 1 (2)'!AO46</f>
        <v>0</v>
      </c>
      <c r="AP46" s="73">
        <f>'Cost Allocation - Tier 1 (2)'!AP46</f>
        <v>0</v>
      </c>
      <c r="AQ46" s="73">
        <f>'Cost Allocation - Tier 1 (2)'!AQ46</f>
        <v>2048.2060431152204</v>
      </c>
      <c r="AR46" s="73">
        <f>'Cost Allocation - Tier 1 (2)'!AR46</f>
        <v>8.306899835249105</v>
      </c>
      <c r="AS46" s="73">
        <f>'Cost Allocation - Tier 1 (2)'!AS46</f>
        <v>3053.3867213591284</v>
      </c>
      <c r="AT46" s="73">
        <f>'Cost Allocation - Tier 1 (2)'!AT46</f>
        <v>2455.7988214215934</v>
      </c>
      <c r="AU46" s="73">
        <f>'Cost Allocation - Tier 1 (2)'!AU46</f>
        <v>3716.4977715290447</v>
      </c>
      <c r="AV46" s="73">
        <f>'Cost Allocation - Tier 1 (2)'!AV46</f>
        <v>5012.9331627538395</v>
      </c>
      <c r="AW46" s="73">
        <f>'Cost Allocation - Tier 1 (2)'!AW46</f>
        <v>13051.814761903093</v>
      </c>
      <c r="AX46" s="73">
        <f>'Cost Allocation - Tier 1 (2)'!AX46</f>
        <v>176.22133402402488</v>
      </c>
      <c r="AY46" s="73">
        <f>'Cost Allocation - Tier 1 (2)'!AY46</f>
        <v>0</v>
      </c>
      <c r="AZ46" s="73">
        <f>'Cost Allocation - Tier 1 (2)'!AZ46</f>
        <v>0</v>
      </c>
      <c r="BA46" s="73">
        <f>'Cost Allocation - Tier 1 (2)'!BA46</f>
        <v>0</v>
      </c>
      <c r="BB46" s="73">
        <f>'Cost Allocation - Tier 1 (2)'!BB46</f>
        <v>0</v>
      </c>
      <c r="BC46" s="666">
        <f t="shared" si="22"/>
        <v>0</v>
      </c>
      <c r="BD46" s="73">
        <f>'Cost Allocation - Tier 1 (2)'!BD46</f>
        <v>0</v>
      </c>
      <c r="BE46" s="73">
        <f>'Cost Allocation - Tier 1 (2)'!BE46</f>
        <v>0</v>
      </c>
      <c r="BF46" s="73">
        <f>'Cost Allocation - Tier 1 (2)'!BF46</f>
        <v>0</v>
      </c>
      <c r="BG46" s="73">
        <f>'Cost Allocation - Tier 1 (2)'!BG46</f>
        <v>0</v>
      </c>
      <c r="BH46" s="73">
        <f>'Cost Allocation - Tier 1 (2)'!BH46</f>
        <v>0</v>
      </c>
      <c r="BI46" s="73">
        <f>'Cost Allocation - Tier 1 (2)'!BI46</f>
        <v>0</v>
      </c>
      <c r="BJ46" s="73">
        <f>'Cost Allocation - Tier 1 (2)'!BJ46</f>
        <v>0</v>
      </c>
      <c r="BK46" s="73">
        <f>'Cost Allocation - Tier 1 (2)'!BK46</f>
        <v>0</v>
      </c>
      <c r="BL46" s="76">
        <f>BC46+I46+H46</f>
        <v>85698.164309359025</v>
      </c>
      <c r="BM46" s="76">
        <f>BL46-E46</f>
        <v>0</v>
      </c>
      <c r="BO46" s="20"/>
      <c r="BP46" s="894">
        <f>SUM(J46:AE46)+AH46+AI46+AM46+AQ46+AR46+AS46+AT46+AU46+AV46++AW46+AX46</f>
        <v>84024.325222839107</v>
      </c>
      <c r="BQ46" s="894">
        <f>AF46+AG46+AJ46+AK46+AL46+AN46+AO46+AP46</f>
        <v>1673.8390865199131</v>
      </c>
      <c r="BR46" s="894">
        <f>SUM(AY45:BB46)</f>
        <v>0</v>
      </c>
      <c r="BS46" s="894">
        <f>BR46+BQ46+BP46-I46</f>
        <v>0</v>
      </c>
    </row>
    <row r="47" spans="1:71" x14ac:dyDescent="0.25">
      <c r="A47" s="343" t="str">
        <f>'Cost Allocation - Tier 1 (2)'!A47</f>
        <v>CMUS Admin</v>
      </c>
      <c r="B47" s="3" t="str">
        <f>'Cost Allocation - Tier 1 (2)'!B47</f>
        <v>CDN CONTRACT</v>
      </c>
      <c r="D47" s="664">
        <f>'Cost Allocation - Tier 1 (2)'!D47</f>
        <v>20894</v>
      </c>
      <c r="E47" s="713">
        <f>'Cost Allocation - Tier 1 (2)'!E47</f>
        <v>15719.229611796571</v>
      </c>
      <c r="F47" s="713"/>
      <c r="G47" s="713"/>
      <c r="I47" s="694">
        <f t="shared" si="21"/>
        <v>15719.229611796576</v>
      </c>
      <c r="J47" s="73">
        <f>'Cost Allocation - Tier 1 (2)'!J47</f>
        <v>404.10531180932128</v>
      </c>
      <c r="K47" s="73">
        <f>'Cost Allocation - Tier 1 (2)'!K47</f>
        <v>102.95772665926791</v>
      </c>
      <c r="L47" s="73">
        <f>'Cost Allocation - Tier 1 (2)'!L47</f>
        <v>98.111774377500367</v>
      </c>
      <c r="M47" s="73">
        <f>'Cost Allocation - Tier 1 (2)'!M47</f>
        <v>137.59630282403077</v>
      </c>
      <c r="N47" s="73">
        <f>'Cost Allocation - Tier 1 (2)'!N47</f>
        <v>186.4462589742794</v>
      </c>
      <c r="O47" s="73">
        <f>'Cost Allocation - Tier 1 (2)'!O47</f>
        <v>542.47095186079036</v>
      </c>
      <c r="P47" s="73">
        <f>'Cost Allocation - Tier 1 (2)'!P47</f>
        <v>68.931141399676747</v>
      </c>
      <c r="Q47" s="73">
        <f>'Cost Allocation - Tier 1 (2)'!Q47</f>
        <v>194.9710580588773</v>
      </c>
      <c r="R47" s="73">
        <f>'Cost Allocation - Tier 1 (2)'!R47</f>
        <v>170.1411302170651</v>
      </c>
      <c r="S47" s="73">
        <f>'Cost Allocation - Tier 1 (2)'!S47</f>
        <v>172.17971231786532</v>
      </c>
      <c r="T47" s="73">
        <f>'Cost Allocation - Tier 1 (2)'!T47</f>
        <v>641.90746497270993</v>
      </c>
      <c r="U47" s="73">
        <f>'Cost Allocation - Tier 1 (2)'!U47</f>
        <v>506.67901645552348</v>
      </c>
      <c r="V47" s="73">
        <f>'Cost Allocation - Tier 1 (2)'!V47</f>
        <v>258.97611723274412</v>
      </c>
      <c r="W47" s="73">
        <f>'Cost Allocation - Tier 1 (2)'!W47</f>
        <v>424.94191384570723</v>
      </c>
      <c r="X47" s="73">
        <f>'Cost Allocation - Tier 1 (2)'!X47</f>
        <v>15.089970855189939</v>
      </c>
      <c r="Y47" s="73">
        <f>'Cost Allocation - Tier 1 (2)'!Y47</f>
        <v>10.599039380012405</v>
      </c>
      <c r="Z47" s="73">
        <f>'Cost Allocation - Tier 1 (2)'!Z47</f>
        <v>43.972398760442886</v>
      </c>
      <c r="AA47" s="73">
        <f>'Cost Allocation - Tier 1 (2)'!AA47</f>
        <v>38.515355188577871</v>
      </c>
      <c r="AB47" s="73">
        <f>'Cost Allocation - Tier 1 (2)'!AB47</f>
        <v>22.31226580741065</v>
      </c>
      <c r="AC47" s="73">
        <f>'Cost Allocation - Tier 1 (2)'!AC47</f>
        <v>28.412842210358079</v>
      </c>
      <c r="AD47" s="73">
        <f>'Cost Allocation - Tier 1 (2)'!AD47</f>
        <v>199.95521207879196</v>
      </c>
      <c r="AE47" s="73">
        <f>'Cost Allocation - Tier 1 (2)'!AE47</f>
        <v>72.306576882516367</v>
      </c>
      <c r="AF47" s="73">
        <f>'Cost Allocation - Tier 1 (2)'!AF47</f>
        <v>144.81339302957923</v>
      </c>
      <c r="AG47" s="73">
        <f>'Cost Allocation - Tier 1 (2)'!AG47</f>
        <v>279.83021099952748</v>
      </c>
      <c r="AH47" s="73">
        <f>'Cost Allocation - Tier 1 (2)'!AH47</f>
        <v>3858.9552970412146</v>
      </c>
      <c r="AI47" s="73">
        <f>'Cost Allocation - Tier 1 (2)'!AI47</f>
        <v>38.884714502911891</v>
      </c>
      <c r="AJ47" s="73">
        <f>'Cost Allocation - Tier 1 (2)'!AJ47</f>
        <v>676.94784097030879</v>
      </c>
      <c r="AK47" s="73">
        <f>'Cost Allocation - Tier 1 (2)'!AK47</f>
        <v>540.73957321404919</v>
      </c>
      <c r="AL47" s="73">
        <f>'Cost Allocation - Tier 1 (2)'!AL47</f>
        <v>0</v>
      </c>
      <c r="AM47" s="73">
        <f>'Cost Allocation - Tier 1 (2)'!AM47</f>
        <v>58.448691898387175</v>
      </c>
      <c r="AN47" s="73">
        <f>'Cost Allocation - Tier 1 (2)'!AN47</f>
        <v>73.683830451690838</v>
      </c>
      <c r="AO47" s="73">
        <f>'Cost Allocation - Tier 1 (2)'!AO47</f>
        <v>674.45511887381713</v>
      </c>
      <c r="AP47" s="73">
        <f>'Cost Allocation - Tier 1 (2)'!AP47</f>
        <v>94.617821833332556</v>
      </c>
      <c r="AQ47" s="73">
        <f>'Cost Allocation - Tier 1 (2)'!AQ47</f>
        <v>342.7664749866625</v>
      </c>
      <c r="AR47" s="73">
        <f>'Cost Allocation - Tier 1 (2)'!AR47</f>
        <v>1.3863353299053596</v>
      </c>
      <c r="AS47" s="73">
        <f>'Cost Allocation - Tier 1 (2)'!AS47</f>
        <v>510.78919129877363</v>
      </c>
      <c r="AT47" s="73">
        <f>'Cost Allocation - Tier 1 (2)'!AT47</f>
        <v>411.24487752071127</v>
      </c>
      <c r="AU47" s="73">
        <f>'Cost Allocation - Tier 1 (2)'!AU47</f>
        <v>620.09704013552073</v>
      </c>
      <c r="AV47" s="73">
        <f>'Cost Allocation - Tier 1 (2)'!AV47</f>
        <v>838.96424284688067</v>
      </c>
      <c r="AW47" s="73">
        <f>'Cost Allocation - Tier 1 (2)'!AW47</f>
        <v>2181.6159037957741</v>
      </c>
      <c r="AX47" s="73">
        <f>'Cost Allocation - Tier 1 (2)'!AX47</f>
        <v>29.409510898867499</v>
      </c>
      <c r="AY47" s="73">
        <f>'Cost Allocation - Tier 1 (2)'!AY47</f>
        <v>0</v>
      </c>
      <c r="AZ47" s="73">
        <f>'Cost Allocation - Tier 1 (2)'!AZ47</f>
        <v>0</v>
      </c>
      <c r="BA47" s="73">
        <f>'Cost Allocation - Tier 1 (2)'!BA47</f>
        <v>0</v>
      </c>
      <c r="BB47" s="73">
        <f>'Cost Allocation - Tier 1 (2)'!BB47</f>
        <v>0</v>
      </c>
      <c r="BC47" s="666">
        <f t="shared" si="22"/>
        <v>0</v>
      </c>
      <c r="BD47" s="73">
        <f>'Cost Allocation - Tier 1 (2)'!BD47</f>
        <v>0</v>
      </c>
      <c r="BE47" s="73">
        <f>'Cost Allocation - Tier 1 (2)'!BE47</f>
        <v>0</v>
      </c>
      <c r="BF47" s="73">
        <f>'Cost Allocation - Tier 1 (2)'!BF47</f>
        <v>0</v>
      </c>
      <c r="BG47" s="73">
        <f>'Cost Allocation - Tier 1 (2)'!BG47</f>
        <v>0</v>
      </c>
      <c r="BH47" s="73">
        <f>'Cost Allocation - Tier 1 (2)'!BH47</f>
        <v>0</v>
      </c>
      <c r="BI47" s="73">
        <f>'Cost Allocation - Tier 1 (2)'!BI47</f>
        <v>0</v>
      </c>
      <c r="BJ47" s="73">
        <f>'Cost Allocation - Tier 1 (2)'!BJ47</f>
        <v>0</v>
      </c>
      <c r="BK47" s="73">
        <f>'Cost Allocation - Tier 1 (2)'!BK47</f>
        <v>0</v>
      </c>
      <c r="BL47" s="76">
        <f>BC47+I47+H47</f>
        <v>15719.229611796576</v>
      </c>
      <c r="BM47" s="76">
        <f>BL47-E47</f>
        <v>0</v>
      </c>
      <c r="BO47" s="20"/>
      <c r="BP47" s="894">
        <f>SUM(J47:AE47)+AH47+AI47+AM47+AQ47+AR47+AS47+AT47+AU47+AV47++AW47+AX47</f>
        <v>13234.141822424272</v>
      </c>
      <c r="BQ47" s="894">
        <f>AF47+AG47+AJ47+AK47+AL47+AN47+AO47+AP47</f>
        <v>2485.0877893723055</v>
      </c>
      <c r="BR47" s="894">
        <f>SUM(AY46:BB47)</f>
        <v>0</v>
      </c>
      <c r="BS47" s="894">
        <f>BR47+BQ47+BP47-I47</f>
        <v>0</v>
      </c>
    </row>
    <row r="48" spans="1:71" x14ac:dyDescent="0.25">
      <c r="A48" s="343" t="str">
        <f>'Cost Allocation - Tier 1 (2)'!A48</f>
        <v>COO Office</v>
      </c>
      <c r="B48" s="3" t="str">
        <f>'Cost Allocation - Tier 1 (2)'!B48</f>
        <v>ALL CONTRACT</v>
      </c>
      <c r="D48" s="664">
        <f>'Cost Allocation - Tier 1 (2)'!D48</f>
        <v>422974</v>
      </c>
      <c r="E48" s="713">
        <f>'Cost Allocation - Tier 1 (2)'!E48</f>
        <v>318216.97261510685</v>
      </c>
      <c r="F48" s="713"/>
      <c r="G48" s="713"/>
      <c r="I48" s="694">
        <f t="shared" si="21"/>
        <v>318216.9726151069</v>
      </c>
      <c r="J48" s="73">
        <f>'Cost Allocation - Tier 1 (2)'!J48</f>
        <v>1978.5104905483331</v>
      </c>
      <c r="K48" s="73">
        <f>'Cost Allocation - Tier 1 (2)'!K48</f>
        <v>570.61483506265574</v>
      </c>
      <c r="L48" s="73">
        <f>'Cost Allocation - Tier 1 (2)'!L48</f>
        <v>589.53805840153711</v>
      </c>
      <c r="M48" s="73">
        <f>'Cost Allocation - Tier 1 (2)'!M48</f>
        <v>605.77947308763953</v>
      </c>
      <c r="N48" s="73">
        <f>'Cost Allocation - Tier 1 (2)'!N48</f>
        <v>1007.9107484053038</v>
      </c>
      <c r="O48" s="73">
        <f>'Cost Allocation - Tier 1 (2)'!O48</f>
        <v>2369.4088207445457</v>
      </c>
      <c r="P48" s="73">
        <f>'Cost Allocation - Tier 1 (2)'!P48</f>
        <v>288.944926086186</v>
      </c>
      <c r="Q48" s="73">
        <f>'Cost Allocation - Tier 1 (2)'!Q48</f>
        <v>773.79830376193968</v>
      </c>
      <c r="R48" s="73">
        <f>'Cost Allocation - Tier 1 (2)'!R48</f>
        <v>664.2057644150118</v>
      </c>
      <c r="S48" s="73">
        <f>'Cost Allocation - Tier 1 (2)'!S48</f>
        <v>681.3126761320442</v>
      </c>
      <c r="T48" s="73">
        <f>'Cost Allocation - Tier 1 (2)'!T48</f>
        <v>2480.5858397051657</v>
      </c>
      <c r="U48" s="73">
        <f>'Cost Allocation - Tier 1 (2)'!U48</f>
        <v>1976.3984375497439</v>
      </c>
      <c r="V48" s="73">
        <f>'Cost Allocation - Tier 1 (2)'!V48</f>
        <v>1543.3456498622802</v>
      </c>
      <c r="W48" s="73">
        <f>'Cost Allocation - Tier 1 (2)'!W48</f>
        <v>2489.1620713832767</v>
      </c>
      <c r="X48" s="73">
        <f>'Cost Allocation - Tier 1 (2)'!X48</f>
        <v>60.313312664817957</v>
      </c>
      <c r="Y48" s="73">
        <f>'Cost Allocation - Tier 1 (2)'!Y48</f>
        <v>46.599478314015926</v>
      </c>
      <c r="Z48" s="73">
        <f>'Cost Allocation - Tier 1 (2)'!Z48</f>
        <v>219.87072546083232</v>
      </c>
      <c r="AA48" s="73">
        <f>'Cost Allocation - Tier 1 (2)'!AA48</f>
        <v>199.71723300339428</v>
      </c>
      <c r="AB48" s="73">
        <f>'Cost Allocation - Tier 1 (2)'!AB48</f>
        <v>119.51146403896772</v>
      </c>
      <c r="AC48" s="73">
        <f>'Cost Allocation - Tier 1 (2)'!AC48</f>
        <v>126.42186791940232</v>
      </c>
      <c r="AD48" s="73">
        <f>'Cost Allocation - Tier 1 (2)'!AD48</f>
        <v>746.29701911205348</v>
      </c>
      <c r="AE48" s="73">
        <f>'Cost Allocation - Tier 1 (2)'!AE48</f>
        <v>293.42051358447986</v>
      </c>
      <c r="AF48" s="73">
        <f>'Cost Allocation - Tier 1 (2)'!AF48</f>
        <v>771.08510691184404</v>
      </c>
      <c r="AG48" s="73">
        <f>'Cost Allocation - Tier 1 (2)'!AG48</f>
        <v>2498.1913917691086</v>
      </c>
      <c r="AH48" s="73">
        <f>'Cost Allocation - Tier 1 (2)'!AH48</f>
        <v>19010.654899223988</v>
      </c>
      <c r="AI48" s="73">
        <f>'Cost Allocation - Tier 1 (2)'!AI48</f>
        <v>139.11656006349574</v>
      </c>
      <c r="AJ48" s="73">
        <f>'Cost Allocation - Tier 1 (2)'!AJ48</f>
        <v>2982.6547285705392</v>
      </c>
      <c r="AK48" s="73">
        <f>'Cost Allocation - Tier 1 (2)'!AK48</f>
        <v>2536.2826404802895</v>
      </c>
      <c r="AL48" s="73">
        <f>'Cost Allocation - Tier 1 (2)'!AL48</f>
        <v>0</v>
      </c>
      <c r="AM48" s="73">
        <f>'Cost Allocation - Tier 1 (2)'!AM48</f>
        <v>288.53286082829078</v>
      </c>
      <c r="AN48" s="73">
        <f>'Cost Allocation - Tier 1 (2)'!AN48</f>
        <v>497.1520986867381</v>
      </c>
      <c r="AO48" s="73">
        <f>'Cost Allocation - Tier 1 (2)'!AO48</f>
        <v>3095.4961095511107</v>
      </c>
      <c r="AP48" s="73">
        <f>'Cost Allocation - Tier 1 (2)'!AP48</f>
        <v>463.66567268505383</v>
      </c>
      <c r="AQ48" s="73">
        <f>'Cost Allocation - Tier 1 (2)'!AQ48</f>
        <v>2972.2209371096519</v>
      </c>
      <c r="AR48" s="73">
        <f>'Cost Allocation - Tier 1 (2)'!AR48</f>
        <v>8.0447105690953471</v>
      </c>
      <c r="AS48" s="73">
        <f>'Cost Allocation - Tier 1 (2)'!AS48</f>
        <v>4366.7051205209009</v>
      </c>
      <c r="AT48" s="73">
        <f>'Cost Allocation - Tier 1 (2)'!AT48</f>
        <v>3653.1161806848754</v>
      </c>
      <c r="AU48" s="73">
        <f>'Cost Allocation - Tier 1 (2)'!AU48</f>
        <v>5003.5155282625674</v>
      </c>
      <c r="AV48" s="73">
        <f>'Cost Allocation - Tier 1 (2)'!AV48</f>
        <v>7096.9936192662417</v>
      </c>
      <c r="AW48" s="73">
        <f>'Cost Allocation - Tier 1 (2)'!AW48</f>
        <v>18111.52680455273</v>
      </c>
      <c r="AX48" s="73">
        <f>'Cost Allocation - Tier 1 (2)'!AX48</f>
        <v>170.65929004074033</v>
      </c>
      <c r="AY48" s="73">
        <f>'Cost Allocation - Tier 1 (2)'!AY48</f>
        <v>58304.48837945221</v>
      </c>
      <c r="AZ48" s="73">
        <f>'Cost Allocation - Tier 1 (2)'!AZ48</f>
        <v>1926.959240652375</v>
      </c>
      <c r="BA48" s="73">
        <f>'Cost Allocation - Tier 1 (2)'!BA48</f>
        <v>33732.490142212358</v>
      </c>
      <c r="BB48" s="73">
        <f>'Cost Allocation - Tier 1 (2)'!BB48</f>
        <v>130755.75288376906</v>
      </c>
      <c r="BC48" s="666">
        <f t="shared" si="22"/>
        <v>0</v>
      </c>
      <c r="BD48" s="73">
        <f>'Cost Allocation - Tier 1 (2)'!BD48</f>
        <v>0</v>
      </c>
      <c r="BE48" s="73">
        <f>'Cost Allocation - Tier 1 (2)'!BE48</f>
        <v>0</v>
      </c>
      <c r="BF48" s="73">
        <f>'Cost Allocation - Tier 1 (2)'!BF48</f>
        <v>0</v>
      </c>
      <c r="BG48" s="73">
        <f>'Cost Allocation - Tier 1 (2)'!BG48</f>
        <v>0</v>
      </c>
      <c r="BH48" s="73">
        <f>'Cost Allocation - Tier 1 (2)'!BH48</f>
        <v>0</v>
      </c>
      <c r="BI48" s="73">
        <f>'Cost Allocation - Tier 1 (2)'!BI48</f>
        <v>0</v>
      </c>
      <c r="BJ48" s="73">
        <f>'Cost Allocation - Tier 1 (2)'!BJ48</f>
        <v>0</v>
      </c>
      <c r="BK48" s="73">
        <f>'Cost Allocation - Tier 1 (2)'!BK48</f>
        <v>0</v>
      </c>
      <c r="BL48" s="76">
        <f>BC48+I48+H48</f>
        <v>318216.9726151069</v>
      </c>
      <c r="BM48" s="76">
        <f>BL48-E48</f>
        <v>0</v>
      </c>
      <c r="BO48" s="20"/>
      <c r="BP48" s="894">
        <f>SUM(J48:AE48)+AH48+AI48+AM48+AQ48+AR48+AS48+AT48+AU48+AV48++AW48+AX48</f>
        <v>80652.754220366216</v>
      </c>
      <c r="BQ48" s="894">
        <f>AF48+AG48+AJ48+AK48+AL48+AN48+AO48+AP48</f>
        <v>12844.527748654686</v>
      </c>
      <c r="BR48" s="894">
        <f>SUM(AY47:BB48)</f>
        <v>224719.690646086</v>
      </c>
      <c r="BS48" s="894">
        <f>BR48+BQ48+BP48-I48</f>
        <v>0</v>
      </c>
    </row>
    <row r="49" spans="1:71" x14ac:dyDescent="0.25">
      <c r="D49" s="895"/>
      <c r="E49" s="895"/>
      <c r="F49" s="895"/>
      <c r="G49" s="895"/>
      <c r="BD49" s="73"/>
      <c r="BE49" s="73"/>
      <c r="BF49" s="73"/>
      <c r="BG49" s="73"/>
      <c r="BH49" s="73"/>
      <c r="BI49" s="73"/>
      <c r="BJ49" s="73"/>
      <c r="BK49" s="73"/>
      <c r="BL49" s="76"/>
      <c r="BM49" s="76"/>
      <c r="BO49" s="20"/>
      <c r="BP49" s="20"/>
      <c r="BQ49" s="20"/>
      <c r="BR49" s="20"/>
      <c r="BS49" s="20"/>
    </row>
    <row r="50" spans="1:71" s="721" customFormat="1" ht="30" x14ac:dyDescent="0.25">
      <c r="A50" s="896" t="str">
        <f>'Cost Allocation - Tier 1 (2)'!A50</f>
        <v>US Senior Tax Manager</v>
      </c>
      <c r="B50" s="897" t="str">
        <f>'Cost Allocation - Tier 1 (2)'!B50</f>
        <v>US CONTRACT/ REGULATED</v>
      </c>
      <c r="C50" s="897"/>
      <c r="D50" s="898">
        <f>'Cost Allocation - Tier 1 (2)'!D50</f>
        <v>35615.913999999997</v>
      </c>
      <c r="E50" s="898">
        <f>'Cost Allocation - Tier 1 (2)'!E50</f>
        <v>26795</v>
      </c>
      <c r="F50" s="898"/>
      <c r="G50" s="898"/>
      <c r="H50" s="899"/>
      <c r="I50" s="900">
        <f>SUM(J50:BB50)</f>
        <v>26795</v>
      </c>
      <c r="J50" s="901">
        <f>'Cost Allocation - Tier 1 (2)'!J50</f>
        <v>0</v>
      </c>
      <c r="K50" s="901">
        <f>'Cost Allocation - Tier 1 (2)'!K50</f>
        <v>0</v>
      </c>
      <c r="L50" s="901">
        <f>'Cost Allocation - Tier 1 (2)'!L50</f>
        <v>0</v>
      </c>
      <c r="M50" s="901">
        <f>'Cost Allocation - Tier 1 (2)'!M50</f>
        <v>0</v>
      </c>
      <c r="N50" s="901">
        <f>'Cost Allocation - Tier 1 (2)'!N50</f>
        <v>0</v>
      </c>
      <c r="O50" s="901">
        <f>'Cost Allocation - Tier 1 (2)'!O50</f>
        <v>0</v>
      </c>
      <c r="P50" s="901">
        <f>'Cost Allocation - Tier 1 (2)'!P50</f>
        <v>0</v>
      </c>
      <c r="Q50" s="901">
        <f>'Cost Allocation - Tier 1 (2)'!Q50</f>
        <v>0</v>
      </c>
      <c r="R50" s="901">
        <f>'Cost Allocation - Tier 1 (2)'!R50</f>
        <v>0</v>
      </c>
      <c r="S50" s="901">
        <f>'Cost Allocation - Tier 1 (2)'!S50</f>
        <v>0</v>
      </c>
      <c r="T50" s="901">
        <f>'Cost Allocation - Tier 1 (2)'!T50</f>
        <v>0</v>
      </c>
      <c r="U50" s="901">
        <f>'Cost Allocation - Tier 1 (2)'!U50</f>
        <v>0</v>
      </c>
      <c r="V50" s="901">
        <f>'Cost Allocation - Tier 1 (2)'!V50</f>
        <v>0</v>
      </c>
      <c r="W50" s="901">
        <f>'Cost Allocation - Tier 1 (2)'!W50</f>
        <v>0</v>
      </c>
      <c r="X50" s="901">
        <f>'Cost Allocation - Tier 1 (2)'!X50</f>
        <v>0</v>
      </c>
      <c r="Y50" s="901">
        <f>'Cost Allocation - Tier 1 (2)'!Y50</f>
        <v>0</v>
      </c>
      <c r="Z50" s="901">
        <f>'Cost Allocation - Tier 1 (2)'!Z50</f>
        <v>0</v>
      </c>
      <c r="AA50" s="901">
        <f>'Cost Allocation - Tier 1 (2)'!AA50</f>
        <v>0</v>
      </c>
      <c r="AB50" s="901">
        <f>'Cost Allocation - Tier 1 (2)'!AB50</f>
        <v>0</v>
      </c>
      <c r="AC50" s="901">
        <f>'Cost Allocation - Tier 1 (2)'!AC50</f>
        <v>0</v>
      </c>
      <c r="AD50" s="901">
        <f>'Cost Allocation - Tier 1 (2)'!AD50</f>
        <v>0</v>
      </c>
      <c r="AE50" s="901">
        <f>'Cost Allocation - Tier 1 (2)'!AE50</f>
        <v>0</v>
      </c>
      <c r="AF50" s="901">
        <f>'Cost Allocation - Tier 1 (2)'!AF50</f>
        <v>0</v>
      </c>
      <c r="AG50" s="901">
        <f>'Cost Allocation - Tier 1 (2)'!AG50</f>
        <v>0</v>
      </c>
      <c r="AH50" s="901">
        <f>'Cost Allocation - Tier 1 (2)'!AH50</f>
        <v>0</v>
      </c>
      <c r="AI50" s="901">
        <f>'Cost Allocation - Tier 1 (2)'!AI50</f>
        <v>0</v>
      </c>
      <c r="AJ50" s="901">
        <f>'Cost Allocation - Tier 1 (2)'!AJ50</f>
        <v>0</v>
      </c>
      <c r="AK50" s="901">
        <f>'Cost Allocation - Tier 1 (2)'!AK50</f>
        <v>0</v>
      </c>
      <c r="AL50" s="901">
        <f>'Cost Allocation - Tier 1 (2)'!AL50</f>
        <v>0</v>
      </c>
      <c r="AM50" s="901">
        <f>'Cost Allocation - Tier 1 (2)'!AM50</f>
        <v>0</v>
      </c>
      <c r="AN50" s="901">
        <f>'Cost Allocation - Tier 1 (2)'!AN50</f>
        <v>0</v>
      </c>
      <c r="AO50" s="901">
        <f>'Cost Allocation - Tier 1 (2)'!AO50</f>
        <v>0</v>
      </c>
      <c r="AP50" s="901">
        <f>'Cost Allocation - Tier 1 (2)'!AP50</f>
        <v>0</v>
      </c>
      <c r="AQ50" s="901">
        <f>'Cost Allocation - Tier 1 (2)'!AQ50</f>
        <v>0</v>
      </c>
      <c r="AR50" s="901">
        <f>'Cost Allocation - Tier 1 (2)'!AR50</f>
        <v>0</v>
      </c>
      <c r="AS50" s="901">
        <f>'Cost Allocation - Tier 1 (2)'!AS50</f>
        <v>0</v>
      </c>
      <c r="AT50" s="901">
        <f>'Cost Allocation - Tier 1 (2)'!AT50</f>
        <v>0</v>
      </c>
      <c r="AU50" s="901">
        <f>'Cost Allocation - Tier 1 (2)'!AU50</f>
        <v>0</v>
      </c>
      <c r="AV50" s="901">
        <f>'Cost Allocation - Tier 1 (2)'!AV50</f>
        <v>0</v>
      </c>
      <c r="AW50" s="901">
        <f>'Cost Allocation - Tier 1 (2)'!AW50</f>
        <v>0</v>
      </c>
      <c r="AX50" s="901">
        <f>'Cost Allocation - Tier 1 (2)'!AX50</f>
        <v>0</v>
      </c>
      <c r="AY50" s="901">
        <f>'Cost Allocation - Tier 1 (2)'!AY50</f>
        <v>6871.223222083343</v>
      </c>
      <c r="AZ50" s="901">
        <f>'Cost Allocation - Tier 1 (2)'!AZ50</f>
        <v>280.55526040109538</v>
      </c>
      <c r="BA50" s="901">
        <f>'Cost Allocation - Tier 1 (2)'!BA50</f>
        <v>4307.2478811439096</v>
      </c>
      <c r="BB50" s="901">
        <f>'Cost Allocation - Tier 1 (2)'!BB50</f>
        <v>15335.973636371653</v>
      </c>
      <c r="BC50" s="902">
        <f>'Cost Allocation - Tier 1 (2)'!BC50</f>
        <v>0</v>
      </c>
      <c r="BD50" s="901">
        <v>0</v>
      </c>
      <c r="BE50" s="901">
        <v>0</v>
      </c>
      <c r="BF50" s="901">
        <v>0</v>
      </c>
      <c r="BG50" s="901">
        <v>0</v>
      </c>
      <c r="BH50" s="901">
        <v>0</v>
      </c>
      <c r="BI50" s="901">
        <v>0</v>
      </c>
      <c r="BJ50" s="901">
        <v>0</v>
      </c>
      <c r="BK50" s="903">
        <f>'Cost Allocation - Tier 1 (2)'!BK50</f>
        <v>0</v>
      </c>
      <c r="BL50" s="904">
        <f>BC50+I50+H50</f>
        <v>26795</v>
      </c>
      <c r="BM50" s="904">
        <f>BL50-E50</f>
        <v>0</v>
      </c>
      <c r="BN50" s="720">
        <f t="shared" ref="BN50" si="23">SUM(BD50:BK50)-BC50</f>
        <v>0</v>
      </c>
      <c r="BO50" s="905"/>
      <c r="BP50" s="905"/>
      <c r="BQ50" s="905"/>
      <c r="BR50" s="905"/>
      <c r="BS50" s="905"/>
    </row>
    <row r="51" spans="1:71" s="721" customFormat="1" x14ac:dyDescent="0.25">
      <c r="A51" s="714"/>
      <c r="B51" s="670"/>
      <c r="C51" s="670"/>
      <c r="D51" s="782"/>
      <c r="E51" s="782"/>
      <c r="F51" s="782"/>
      <c r="G51" s="782"/>
      <c r="I51" s="718"/>
      <c r="J51" s="715"/>
      <c r="K51" s="715"/>
      <c r="L51" s="715"/>
      <c r="M51" s="715"/>
      <c r="N51" s="715"/>
      <c r="O51" s="715"/>
      <c r="P51" s="715"/>
      <c r="Q51" s="715"/>
      <c r="R51" s="715"/>
      <c r="S51" s="715"/>
      <c r="T51" s="715"/>
      <c r="U51" s="715"/>
      <c r="V51" s="715"/>
      <c r="W51" s="715"/>
      <c r="X51" s="715"/>
      <c r="Y51" s="715"/>
      <c r="Z51" s="715"/>
      <c r="AA51" s="715"/>
      <c r="AB51" s="715"/>
      <c r="AC51" s="715"/>
      <c r="AD51" s="715"/>
      <c r="AE51" s="715"/>
      <c r="AF51" s="715"/>
      <c r="AG51" s="715"/>
      <c r="AH51" s="715"/>
      <c r="AI51" s="715"/>
      <c r="AJ51" s="715"/>
      <c r="AK51" s="715"/>
      <c r="AL51" s="715"/>
      <c r="AM51" s="715"/>
      <c r="AN51" s="715"/>
      <c r="AO51" s="715"/>
      <c r="AP51" s="715"/>
      <c r="AQ51" s="715"/>
      <c r="AR51" s="715"/>
      <c r="AS51" s="715"/>
      <c r="AT51" s="715"/>
      <c r="AU51" s="715"/>
      <c r="AV51" s="715"/>
      <c r="AW51" s="715"/>
      <c r="AX51" s="715"/>
      <c r="AY51" s="715"/>
      <c r="AZ51" s="715"/>
      <c r="BA51" s="715"/>
      <c r="BB51" s="715"/>
      <c r="BC51" s="906"/>
      <c r="BD51" s="907"/>
      <c r="BE51" s="907"/>
      <c r="BF51" s="907"/>
      <c r="BG51" s="907"/>
      <c r="BH51" s="907"/>
      <c r="BI51" s="907"/>
      <c r="BJ51" s="907"/>
      <c r="BK51" s="907"/>
      <c r="BL51" s="720"/>
      <c r="BM51" s="720"/>
      <c r="BN51" s="720"/>
      <c r="BO51" s="905"/>
      <c r="BP51" s="905"/>
      <c r="BQ51" s="905"/>
      <c r="BR51" s="905"/>
      <c r="BS51" s="905"/>
    </row>
    <row r="52" spans="1:71" s="730" customFormat="1" x14ac:dyDescent="0.25">
      <c r="A52" s="725" t="str">
        <f>'Cost Allocation - Tier 1 (2)'!A52</f>
        <v>Non-Corporate Cost Allocation (no mark up)</v>
      </c>
      <c r="B52" s="726"/>
      <c r="C52" s="726"/>
      <c r="D52" s="728">
        <f t="shared" ref="D52:AK52" si="24">D50+SUM(D45:D48)+D41+D43</f>
        <v>1595178.5584444443</v>
      </c>
      <c r="E52" s="728">
        <f t="shared" si="24"/>
        <v>1200104.2419834821</v>
      </c>
      <c r="F52" s="728"/>
      <c r="G52" s="728"/>
      <c r="H52" s="728">
        <f t="shared" si="24"/>
        <v>0</v>
      </c>
      <c r="I52" s="728">
        <f t="shared" si="24"/>
        <v>1200104.2419834826</v>
      </c>
      <c r="J52" s="728">
        <f t="shared" si="24"/>
        <v>17655.633806209018</v>
      </c>
      <c r="K52" s="728">
        <f t="shared" si="24"/>
        <v>4535.9138756795837</v>
      </c>
      <c r="L52" s="728">
        <f t="shared" si="24"/>
        <v>4348.3077622779883</v>
      </c>
      <c r="M52" s="728">
        <f t="shared" si="24"/>
        <v>5973.2823273082167</v>
      </c>
      <c r="N52" s="728">
        <f t="shared" si="24"/>
        <v>8199.719216828591</v>
      </c>
      <c r="O52" s="728">
        <f t="shared" si="24"/>
        <v>23486.658959741653</v>
      </c>
      <c r="P52" s="728">
        <f t="shared" si="24"/>
        <v>2976.9669417767777</v>
      </c>
      <c r="Q52" s="728">
        <f t="shared" si="24"/>
        <v>8393.6063441160859</v>
      </c>
      <c r="R52" s="728">
        <f t="shared" si="24"/>
        <v>7317.8766918074789</v>
      </c>
      <c r="S52" s="728">
        <f t="shared" si="24"/>
        <v>7411.178620913387</v>
      </c>
      <c r="T52" s="728">
        <f t="shared" si="24"/>
        <v>27593.281438213911</v>
      </c>
      <c r="U52" s="728">
        <f t="shared" si="24"/>
        <v>21791.598249768955</v>
      </c>
      <c r="V52" s="728">
        <f t="shared" si="24"/>
        <v>11541.0688254947</v>
      </c>
      <c r="W52" s="728">
        <f t="shared" si="24"/>
        <v>18915.29526988526</v>
      </c>
      <c r="X52" s="728">
        <f t="shared" si="24"/>
        <v>648.61149286037676</v>
      </c>
      <c r="Y52" s="728">
        <f t="shared" si="24"/>
        <v>458.00435678284822</v>
      </c>
      <c r="Z52" s="728">
        <f t="shared" si="24"/>
        <v>1915.3331823544543</v>
      </c>
      <c r="AA52" s="728">
        <f t="shared" si="24"/>
        <v>1681.7229345621508</v>
      </c>
      <c r="AB52" s="728">
        <f t="shared" si="24"/>
        <v>976.42048867376297</v>
      </c>
      <c r="AC52" s="728">
        <f t="shared" si="24"/>
        <v>1228.6328717743033</v>
      </c>
      <c r="AD52" s="728">
        <f t="shared" si="24"/>
        <v>8564.3608457251285</v>
      </c>
      <c r="AE52" s="728">
        <f t="shared" si="24"/>
        <v>3110.4803414322159</v>
      </c>
      <c r="AF52" s="728">
        <f t="shared" si="24"/>
        <v>25799.009485174389</v>
      </c>
      <c r="AG52" s="728">
        <f t="shared" si="24"/>
        <v>13188.869221561434</v>
      </c>
      <c r="AH52" s="728">
        <f t="shared" si="24"/>
        <v>168219.73003428555</v>
      </c>
      <c r="AI52" s="728">
        <f t="shared" si="24"/>
        <v>1662.0420294872449</v>
      </c>
      <c r="AJ52" s="728">
        <f t="shared" si="24"/>
        <v>98955.294472853857</v>
      </c>
      <c r="AK52" s="728">
        <f t="shared" si="24"/>
        <v>84396.611321500386</v>
      </c>
      <c r="AL52" s="728">
        <f t="shared" ref="AL52:BC52" si="25">AL50+SUM(AL45:AL48)+AL41+AL43</f>
        <v>0</v>
      </c>
      <c r="AM52" s="728">
        <f t="shared" si="25"/>
        <v>2543.7540649461939</v>
      </c>
      <c r="AN52" s="728">
        <f t="shared" si="25"/>
        <v>16775.067894038715</v>
      </c>
      <c r="AO52" s="728">
        <f t="shared" si="25"/>
        <v>102900.80024860881</v>
      </c>
      <c r="AP52" s="728">
        <f t="shared" si="25"/>
        <v>15459.222351388198</v>
      </c>
      <c r="AQ52" s="728">
        <f t="shared" si="25"/>
        <v>16065.231687032854</v>
      </c>
      <c r="AR52" s="728">
        <f t="shared" si="25"/>
        <v>61.022848971502206</v>
      </c>
      <c r="AS52" s="728">
        <f t="shared" si="25"/>
        <v>23879.014391008732</v>
      </c>
      <c r="AT52" s="728">
        <f t="shared" si="25"/>
        <v>19360.267425263268</v>
      </c>
      <c r="AU52" s="728">
        <f t="shared" si="25"/>
        <v>28701.111824182</v>
      </c>
      <c r="AV52" s="728">
        <f t="shared" si="25"/>
        <v>39143.48138679695</v>
      </c>
      <c r="AW52" s="728">
        <f t="shared" si="25"/>
        <v>101460.53619037084</v>
      </c>
      <c r="AX52" s="728">
        <f t="shared" si="25"/>
        <v>1294.5296157386788</v>
      </c>
      <c r="AY52" s="728">
        <f t="shared" si="25"/>
        <v>65175.711601535557</v>
      </c>
      <c r="AZ52" s="728">
        <f t="shared" si="25"/>
        <v>2207.5145010534702</v>
      </c>
      <c r="BA52" s="728">
        <f t="shared" si="25"/>
        <v>38039.738023356265</v>
      </c>
      <c r="BB52" s="728">
        <f t="shared" si="25"/>
        <v>146091.72652014071</v>
      </c>
      <c r="BC52" s="728">
        <f t="shared" si="25"/>
        <v>0</v>
      </c>
      <c r="BD52" s="728">
        <f>BD50+BD48+BD47+BD46+BD45+BD43+BD41</f>
        <v>0</v>
      </c>
      <c r="BE52" s="728">
        <f t="shared" ref="BE52:BK52" si="26">BE50+BE48+BE47+BE46+BE45+BE43+BE41</f>
        <v>0</v>
      </c>
      <c r="BF52" s="728">
        <f t="shared" si="26"/>
        <v>0</v>
      </c>
      <c r="BG52" s="728">
        <f t="shared" si="26"/>
        <v>0</v>
      </c>
      <c r="BH52" s="728">
        <f t="shared" si="26"/>
        <v>0</v>
      </c>
      <c r="BI52" s="728">
        <f t="shared" si="26"/>
        <v>0</v>
      </c>
      <c r="BJ52" s="728">
        <f t="shared" si="26"/>
        <v>0</v>
      </c>
      <c r="BK52" s="728">
        <f t="shared" si="26"/>
        <v>0</v>
      </c>
      <c r="BL52" s="728">
        <f>BL50+SUM(BL45:BL48)+BL41+BL43</f>
        <v>1200104.2419834826</v>
      </c>
      <c r="BM52" s="908">
        <f>BL52-E52</f>
        <v>0</v>
      </c>
      <c r="BO52" s="20"/>
      <c r="BP52" s="894">
        <f>SUM(J52:AE52)+AH52+AI52+AM52+AQ52+AR52+AS52+AT52+AU52+AV52++AW52+AX52</f>
        <v>591114.67634227045</v>
      </c>
      <c r="BQ52" s="894">
        <f>AF52+AG52+AJ52+AK52+AL52+AN52+AO52+AP52</f>
        <v>357474.87499512581</v>
      </c>
      <c r="BR52" s="894">
        <f>SUM(AY51:BB52)</f>
        <v>251514.690646086</v>
      </c>
      <c r="BS52" s="894">
        <f>BR52+BQ52+BP52-I52</f>
        <v>0</v>
      </c>
    </row>
    <row r="53" spans="1:71" x14ac:dyDescent="0.25">
      <c r="D53" s="895"/>
      <c r="E53" s="895"/>
      <c r="F53" s="895"/>
      <c r="G53" s="895"/>
      <c r="BD53" s="73"/>
      <c r="BE53" s="73"/>
      <c r="BF53" s="73"/>
      <c r="BG53" s="73"/>
      <c r="BH53" s="73"/>
      <c r="BI53" s="73"/>
      <c r="BJ53" s="73"/>
      <c r="BK53" s="73"/>
      <c r="BL53" s="80"/>
      <c r="BM53" s="76"/>
      <c r="BO53" s="20"/>
      <c r="BP53" s="20"/>
      <c r="BQ53" s="20"/>
      <c r="BR53" s="20"/>
      <c r="BS53" s="20"/>
    </row>
    <row r="54" spans="1:71" x14ac:dyDescent="0.25">
      <c r="A54" s="1" t="str">
        <f>'Cost Allocation - Tier 1 (2)'!A54</f>
        <v>Shared Services</v>
      </c>
      <c r="D54" s="895"/>
      <c r="E54" s="895"/>
      <c r="F54" s="895"/>
      <c r="G54" s="895"/>
      <c r="BD54" s="73"/>
      <c r="BE54" s="73"/>
      <c r="BF54" s="73"/>
      <c r="BG54" s="73"/>
      <c r="BH54" s="73"/>
      <c r="BI54" s="73"/>
      <c r="BJ54" s="73"/>
      <c r="BK54" s="73"/>
      <c r="BL54" s="80"/>
      <c r="BM54" s="76"/>
      <c r="BO54" s="20"/>
      <c r="BP54" s="20"/>
      <c r="BQ54" s="20"/>
      <c r="BR54" s="20"/>
      <c r="BS54" s="20"/>
    </row>
    <row r="55" spans="1:71" x14ac:dyDescent="0.25">
      <c r="A55" s="177" t="str">
        <f>'Cost Allocation - Tier 1 (2)'!A55</f>
        <v>8025 -Finance SS</v>
      </c>
      <c r="B55" s="3" t="str">
        <f>'Cost Allocation - Tier 1 (2)'!B55</f>
        <v>CDN CONTRACT</v>
      </c>
      <c r="D55" s="664">
        <f>'Cost Allocation - Tier 1 (2)'!D55</f>
        <v>98358</v>
      </c>
      <c r="E55" s="664">
        <f>'Cost Allocation - Tier 1 (2)'!E55</f>
        <v>73997.893469756251</v>
      </c>
      <c r="F55" s="664"/>
      <c r="G55" s="664"/>
      <c r="I55" s="694">
        <f t="shared" si="21"/>
        <v>73997.893469756265</v>
      </c>
      <c r="J55" s="81">
        <f>'Cost Allocation - Tier 1 (2)'!J55</f>
        <v>1902.3159882713323</v>
      </c>
      <c r="K55" s="81">
        <f>'Cost Allocation - Tier 1 (2)'!K55</f>
        <v>484.67100979957269</v>
      </c>
      <c r="L55" s="81">
        <f>'Cost Allocation - Tier 1 (2)'!L55</f>
        <v>461.85880655796791</v>
      </c>
      <c r="M55" s="81">
        <f>'Cost Allocation - Tier 1 (2)'!M55</f>
        <v>647.73126989403738</v>
      </c>
      <c r="N55" s="81">
        <f>'Cost Allocation - Tier 1 (2)'!N55</f>
        <v>877.69125778654995</v>
      </c>
      <c r="O55" s="81">
        <f>'Cost Allocation - Tier 1 (2)'!O55</f>
        <v>2553.6688945689489</v>
      </c>
      <c r="P55" s="81">
        <f>'Cost Allocation - Tier 1 (2)'!P55</f>
        <v>324.49168209961738</v>
      </c>
      <c r="Q55" s="81">
        <f>'Cost Allocation - Tier 1 (2)'!Q55</f>
        <v>917.8215434361565</v>
      </c>
      <c r="R55" s="81">
        <f>'Cost Allocation - Tier 1 (2)'!R55</f>
        <v>800.93525825069821</v>
      </c>
      <c r="S55" s="81">
        <f>'Cost Allocation - Tier 1 (2)'!S55</f>
        <v>810.53183421846461</v>
      </c>
      <c r="T55" s="81">
        <f>'Cost Allocation - Tier 1 (2)'!T55</f>
        <v>3021.7638767007661</v>
      </c>
      <c r="U55" s="81">
        <f>'Cost Allocation - Tier 1 (2)'!U55</f>
        <v>2385.1792237260638</v>
      </c>
      <c r="V55" s="81">
        <f>'Cost Allocation - Tier 1 (2)'!V55</f>
        <v>1219.1238125192997</v>
      </c>
      <c r="W55" s="81">
        <f>'Cost Allocation - Tier 1 (2)'!W55</f>
        <v>2000.4037887449065</v>
      </c>
      <c r="X55" s="81">
        <f>'Cost Allocation - Tier 1 (2)'!X55</f>
        <v>71.035673081974352</v>
      </c>
      <c r="Y55" s="81">
        <f>'Cost Allocation - Tier 1 (2)'!Y55</f>
        <v>49.894721706674652</v>
      </c>
      <c r="Z55" s="81">
        <f>'Cost Allocation - Tier 1 (2)'!Z55</f>
        <v>206.99900436870115</v>
      </c>
      <c r="AA55" s="81">
        <f>'Cost Allocation - Tier 1 (2)'!AA55</f>
        <v>181.31010364880549</v>
      </c>
      <c r="AB55" s="81">
        <f>'Cost Allocation - Tier 1 (2)'!AB55</f>
        <v>105.03445200944275</v>
      </c>
      <c r="AC55" s="81">
        <f>'Cost Allocation - Tier 1 (2)'!AC55</f>
        <v>133.7527679777161</v>
      </c>
      <c r="AD55" s="81">
        <f>'Cost Allocation - Tier 1 (2)'!AD55</f>
        <v>941.28432801980568</v>
      </c>
      <c r="AE55" s="81">
        <f>'Cost Allocation - Tier 1 (2)'!AE55</f>
        <v>340.38146305209841</v>
      </c>
      <c r="AF55" s="81">
        <f>'Cost Allocation - Tier 1 (2)'!AF55</f>
        <v>681.7055476023429</v>
      </c>
      <c r="AG55" s="81">
        <f>'Cost Allocation - Tier 1 (2)'!AG55</f>
        <v>1317.2939548909508</v>
      </c>
      <c r="AH55" s="81">
        <f>'Cost Allocation - Tier 1 (2)'!AH55</f>
        <v>18165.93879134583</v>
      </c>
      <c r="AI55" s="81">
        <f>'Cost Allocation - Tier 1 (2)'!AI55</f>
        <v>183.04885369375936</v>
      </c>
      <c r="AJ55" s="81">
        <f>'Cost Allocation - Tier 1 (2)'!AJ55</f>
        <v>3186.7155997969576</v>
      </c>
      <c r="AK55" s="81">
        <f>'Cost Allocation - Tier 1 (2)'!AK55</f>
        <v>2545.5184714361753</v>
      </c>
      <c r="AL55" s="81">
        <f>'Cost Allocation - Tier 1 (2)'!AL55</f>
        <v>0</v>
      </c>
      <c r="AM55" s="81">
        <f>'Cost Allocation - Tier 1 (2)'!AM55</f>
        <v>275.14580442909761</v>
      </c>
      <c r="AN55" s="81">
        <f>'Cost Allocation - Tier 1 (2)'!AN55</f>
        <v>346.86485094129449</v>
      </c>
      <c r="AO55" s="81">
        <f>'Cost Allocation - Tier 1 (2)'!AO55</f>
        <v>3174.981170775864</v>
      </c>
      <c r="AP55" s="81">
        <f>'Cost Allocation - Tier 1 (2)'!AP55</f>
        <v>445.41110940379644</v>
      </c>
      <c r="AQ55" s="81">
        <f>'Cost Allocation - Tier 1 (2)'!AQ55</f>
        <v>1613.5648964649254</v>
      </c>
      <c r="AR55" s="81">
        <f>'Cost Allocation - Tier 1 (2)'!AR55</f>
        <v>6.5261400583340361</v>
      </c>
      <c r="AS55" s="81">
        <f>'Cost Allocation - Tier 1 (2)'!AS55</f>
        <v>2404.5277724593079</v>
      </c>
      <c r="AT55" s="81">
        <f>'Cost Allocation - Tier 1 (2)'!AT55</f>
        <v>1935.9253212971246</v>
      </c>
      <c r="AU55" s="81">
        <f>'Cost Allocation - Tier 1 (2)'!AU55</f>
        <v>2919.0918289293363</v>
      </c>
      <c r="AV55" s="81">
        <f>'Cost Allocation - Tier 1 (2)'!AV55</f>
        <v>3949.4038957563648</v>
      </c>
      <c r="AW55" s="81">
        <f>'Cost Allocation - Tier 1 (2)'!AW55</f>
        <v>10269.904138295431</v>
      </c>
      <c r="AX55" s="81">
        <f>'Cost Allocation - Tier 1 (2)'!AX55</f>
        <v>138.44456173977264</v>
      </c>
      <c r="AY55" s="177">
        <f>'Cost Allocation - Tier 1 (2)'!AY55</f>
        <v>0</v>
      </c>
      <c r="AZ55" s="177">
        <f>'Cost Allocation - Tier 1 (2)'!AZ55</f>
        <v>0</v>
      </c>
      <c r="BA55" s="177">
        <f>'Cost Allocation - Tier 1 (2)'!BA55</f>
        <v>0</v>
      </c>
      <c r="BB55" s="177">
        <f>'Cost Allocation - Tier 1 (2)'!BB55</f>
        <v>0</v>
      </c>
      <c r="BC55" s="666">
        <f t="shared" ref="BC55:BC57" si="27">SUM(BD55:BK55)</f>
        <v>0</v>
      </c>
      <c r="BD55" s="73">
        <f>'Cost Allocation - Tier 1 (2)'!BD55</f>
        <v>0</v>
      </c>
      <c r="BE55" s="73">
        <f>'Cost Allocation - Tier 1 (2)'!BE55</f>
        <v>0</v>
      </c>
      <c r="BF55" s="73">
        <f>'Cost Allocation - Tier 1 (2)'!BF55</f>
        <v>0</v>
      </c>
      <c r="BG55" s="73">
        <f>'Cost Allocation - Tier 1 (2)'!BG55</f>
        <v>0</v>
      </c>
      <c r="BH55" s="73">
        <f>'Cost Allocation - Tier 1 (2)'!BH55</f>
        <v>0</v>
      </c>
      <c r="BI55" s="73">
        <f>'Cost Allocation - Tier 1 (2)'!BI55</f>
        <v>0</v>
      </c>
      <c r="BJ55" s="73">
        <f>'Cost Allocation - Tier 1 (2)'!BJ55</f>
        <v>0</v>
      </c>
      <c r="BK55" s="73">
        <f>'Cost Allocation - Tier 1 (2)'!BK55</f>
        <v>0</v>
      </c>
      <c r="BL55" s="76">
        <f>BC55+I55+H55</f>
        <v>73997.893469756265</v>
      </c>
      <c r="BM55" s="76">
        <f>BL55-E55</f>
        <v>0</v>
      </c>
      <c r="BO55" s="20"/>
      <c r="BP55" s="20"/>
      <c r="BQ55" s="20"/>
      <c r="BR55" s="20"/>
      <c r="BS55" s="20"/>
    </row>
    <row r="56" spans="1:71" x14ac:dyDescent="0.25">
      <c r="A56" s="69" t="str">
        <f>'Cost Allocation - Tier 1 (2)'!A56</f>
        <v>8033 - IT Support Service</v>
      </c>
      <c r="B56" s="27" t="str">
        <f>'Cost Allocation - Tier 1 (2)'!B56</f>
        <v>ALL CONTRACT</v>
      </c>
      <c r="C56" s="27"/>
      <c r="D56" s="664">
        <f>'Cost Allocation - Tier 1 (2)'!D56</f>
        <v>1052104</v>
      </c>
      <c r="E56" s="664">
        <f>'Cost Allocation - Tier 1 (2)'!E56</f>
        <v>791531.74842010241</v>
      </c>
      <c r="F56" s="664"/>
      <c r="G56" s="664"/>
      <c r="I56" s="694">
        <f t="shared" si="21"/>
        <v>791531.74842010252</v>
      </c>
      <c r="J56" s="73">
        <f>'Cost Allocation - Tier 1 (2)'!J56</f>
        <v>4921.3398486617698</v>
      </c>
      <c r="K56" s="73">
        <f>'Cost Allocation - Tier 1 (2)'!K56</f>
        <v>1419.3452799197123</v>
      </c>
      <c r="L56" s="73">
        <f>'Cost Allocation - Tier 1 (2)'!L56</f>
        <v>1466.4148373103094</v>
      </c>
      <c r="M56" s="73">
        <f>'Cost Allocation - Tier 1 (2)'!M56</f>
        <v>1506.8136735435226</v>
      </c>
      <c r="N56" s="73">
        <f>'Cost Allocation - Tier 1 (2)'!N56</f>
        <v>2507.0735554436296</v>
      </c>
      <c r="O56" s="73">
        <f>'Cost Allocation - Tier 1 (2)'!O56</f>
        <v>5893.65894343534</v>
      </c>
      <c r="P56" s="73">
        <f>'Cost Allocation - Tier 1 (2)'!P56</f>
        <v>718.72056560209523</v>
      </c>
      <c r="Q56" s="73">
        <f>'Cost Allocation - Tier 1 (2)'!Q56</f>
        <v>1924.7431061510918</v>
      </c>
      <c r="R56" s="73">
        <f>'Cost Allocation - Tier 1 (2)'!R56</f>
        <v>1652.1430195806165</v>
      </c>
      <c r="S56" s="73">
        <f>'Cost Allocation - Tier 1 (2)'!S56</f>
        <v>1694.6946900027622</v>
      </c>
      <c r="T56" s="73">
        <f>'Cost Allocation - Tier 1 (2)'!T56</f>
        <v>6170.2002588744554</v>
      </c>
      <c r="U56" s="73">
        <f>'Cost Allocation - Tier 1 (2)'!U56</f>
        <v>4916.0863356609052</v>
      </c>
      <c r="V56" s="73">
        <f>'Cost Allocation - Tier 1 (2)'!V56</f>
        <v>3838.9123955673504</v>
      </c>
      <c r="W56" s="73">
        <f>'Cost Allocation - Tier 1 (2)'!W56</f>
        <v>6191.5327465769324</v>
      </c>
      <c r="X56" s="73">
        <f>'Cost Allocation - Tier 1 (2)'!X56</f>
        <v>150.0231160967474</v>
      </c>
      <c r="Y56" s="73">
        <f>'Cost Allocation - Tier 1 (2)'!Y56</f>
        <v>115.91137406102837</v>
      </c>
      <c r="Z56" s="73">
        <f>'Cost Allocation - Tier 1 (2)'!Z56</f>
        <v>546.90564843286711</v>
      </c>
      <c r="AA56" s="73">
        <f>'Cost Allocation - Tier 1 (2)'!AA56</f>
        <v>496.77592407997457</v>
      </c>
      <c r="AB56" s="73">
        <f>'Cost Allocation - Tier 1 (2)'!AB56</f>
        <v>297.27238402656923</v>
      </c>
      <c r="AC56" s="73">
        <f>'Cost Allocation - Tier 1 (2)'!AC56</f>
        <v>314.46129768135836</v>
      </c>
      <c r="AD56" s="73">
        <f>'Cost Allocation - Tier 1 (2)'!AD56</f>
        <v>1856.3365100357657</v>
      </c>
      <c r="AE56" s="73">
        <f>'Cost Allocation - Tier 1 (2)'!AE56</f>
        <v>729.85312578145613</v>
      </c>
      <c r="AF56" s="73">
        <f>'Cost Allocation - Tier 1 (2)'!AF56</f>
        <v>1917.9943101050628</v>
      </c>
      <c r="AG56" s="73">
        <f>'Cost Allocation - Tier 1 (2)'!AG56</f>
        <v>6213.9922454946318</v>
      </c>
      <c r="AH56" s="73">
        <f>'Cost Allocation - Tier 1 (2)'!AH56</f>
        <v>47287.034338028243</v>
      </c>
      <c r="AI56" s="73">
        <f>'Cost Allocation - Tier 1 (2)'!AI56</f>
        <v>346.03802907281329</v>
      </c>
      <c r="AJ56" s="73">
        <f>'Cost Allocation - Tier 1 (2)'!AJ56</f>
        <v>7419.0445997814968</v>
      </c>
      <c r="AK56" s="73">
        <f>'Cost Allocation - Tier 1 (2)'!AK56</f>
        <v>6308.740279969631</v>
      </c>
      <c r="AL56" s="73">
        <f>'Cost Allocation - Tier 1 (2)'!AL56</f>
        <v>0</v>
      </c>
      <c r="AM56" s="73">
        <f>'Cost Allocation - Tier 1 (2)'!AM56</f>
        <v>717.69559596780903</v>
      </c>
      <c r="AN56" s="73">
        <f>'Cost Allocation - Tier 1 (2)'!AN56</f>
        <v>1236.6143347740333</v>
      </c>
      <c r="AO56" s="73">
        <f>'Cost Allocation - Tier 1 (2)'!AO56</f>
        <v>7699.7258432980807</v>
      </c>
      <c r="AP56" s="73">
        <f>'Cost Allocation - Tier 1 (2)'!AP56</f>
        <v>1153.3203196759987</v>
      </c>
      <c r="AQ56" s="73">
        <f>'Cost Allocation - Tier 1 (2)'!AQ56</f>
        <v>7393.091624584049</v>
      </c>
      <c r="AR56" s="73">
        <f>'Cost Allocation - Tier 1 (2)'!AR56</f>
        <v>20.010384015536395</v>
      </c>
      <c r="AS56" s="73">
        <f>'Cost Allocation - Tier 1 (2)'!AS56</f>
        <v>10861.726546124637</v>
      </c>
      <c r="AT56" s="73">
        <f>'Cost Allocation - Tier 1 (2)'!AT56</f>
        <v>9086.7479943525614</v>
      </c>
      <c r="AU56" s="73">
        <f>'Cost Allocation - Tier 1 (2)'!AU56</f>
        <v>12445.726454456209</v>
      </c>
      <c r="AV56" s="73">
        <f>'Cost Allocation - Tier 1 (2)'!AV56</f>
        <v>17653.036297277114</v>
      </c>
      <c r="AW56" s="73">
        <f>'Cost Allocation - Tier 1 (2)'!AW56</f>
        <v>45050.546362606561</v>
      </c>
      <c r="AX56" s="73">
        <f>'Cost Allocation - Tier 1 (2)'!AX56</f>
        <v>424.49730169944979</v>
      </c>
      <c r="AY56" s="73">
        <f>'Cost Allocation - Tier 1 (2)'!AY56</f>
        <v>145026.37382433718</v>
      </c>
      <c r="AZ56" s="73">
        <f>'Cost Allocation - Tier 1 (2)'!AZ56</f>
        <v>4793.1114558514855</v>
      </c>
      <c r="BA56" s="73">
        <f>'Cost Allocation - Tier 1 (2)'!BA56</f>
        <v>83906.074152506291</v>
      </c>
      <c r="BB56" s="73">
        <f>'Cost Allocation - Tier 1 (2)'!BB56</f>
        <v>325241.38748959743</v>
      </c>
      <c r="BC56" s="666">
        <f t="shared" si="27"/>
        <v>0</v>
      </c>
      <c r="BD56" s="73">
        <f>'Cost Allocation - Tier 1 (2)'!BD56</f>
        <v>0</v>
      </c>
      <c r="BE56" s="73">
        <f>'Cost Allocation - Tier 1 (2)'!BE56</f>
        <v>0</v>
      </c>
      <c r="BF56" s="73">
        <f>'Cost Allocation - Tier 1 (2)'!BF56</f>
        <v>0</v>
      </c>
      <c r="BG56" s="73">
        <f>'Cost Allocation - Tier 1 (2)'!BG56</f>
        <v>0</v>
      </c>
      <c r="BH56" s="73">
        <f>'Cost Allocation - Tier 1 (2)'!BH56</f>
        <v>0</v>
      </c>
      <c r="BI56" s="73">
        <f>'Cost Allocation - Tier 1 (2)'!BI56</f>
        <v>0</v>
      </c>
      <c r="BJ56" s="73">
        <f>'Cost Allocation - Tier 1 (2)'!BJ56</f>
        <v>0</v>
      </c>
      <c r="BK56" s="73">
        <f>'Cost Allocation - Tier 1 (2)'!BK56</f>
        <v>0</v>
      </c>
      <c r="BL56" s="76">
        <f>BC56+I56+H56</f>
        <v>791531.74842010252</v>
      </c>
      <c r="BM56" s="76">
        <f>BL56-E56</f>
        <v>0</v>
      </c>
      <c r="BO56" s="20"/>
      <c r="BP56" s="20"/>
      <c r="BQ56" s="20"/>
      <c r="BR56" s="20"/>
      <c r="BS56" s="20"/>
    </row>
    <row r="57" spans="1:71" s="721" customFormat="1" ht="30" x14ac:dyDescent="0.25">
      <c r="A57" s="721" t="str">
        <f>'Cost Allocation - Tier 1 (2)'!A57</f>
        <v>8045 - HR Shared Service</v>
      </c>
      <c r="B57" s="734" t="str">
        <f>'Cost Allocation - Tier 1 (2)'!B57</f>
        <v>HEADCOUNT IN CDN CONTRACT</v>
      </c>
      <c r="C57" s="734"/>
      <c r="D57" s="737">
        <f>'Cost Allocation - Tier 1 (2)'!D57</f>
        <v>62616</v>
      </c>
      <c r="E57" s="737">
        <f>'Cost Allocation - Tier 1 (2)'!E57</f>
        <v>47108.034908215472</v>
      </c>
      <c r="F57" s="737"/>
      <c r="G57" s="737"/>
      <c r="H57" s="741"/>
      <c r="I57" s="739">
        <f t="shared" si="21"/>
        <v>47108.034908215486</v>
      </c>
      <c r="J57" s="740">
        <f>'Cost Allocation - Tier 1 (2)'!J57</f>
        <v>632.91364281152983</v>
      </c>
      <c r="K57" s="740">
        <f>'Cost Allocation - Tier 1 (2)'!K57</f>
        <v>158.02438114042263</v>
      </c>
      <c r="L57" s="740">
        <f>'Cost Allocation - Tier 1 (2)'!L57</f>
        <v>148.36467854218273</v>
      </c>
      <c r="M57" s="740">
        <f>'Cost Allocation - Tier 1 (2)'!M57</f>
        <v>218.79989752495291</v>
      </c>
      <c r="N57" s="740">
        <f>'Cost Allocation - Tier 1 (2)'!N57</f>
        <v>287.40007220476042</v>
      </c>
      <c r="O57" s="740">
        <f>'Cost Allocation - Tier 1 (2)'!O57</f>
        <v>584.91806184539564</v>
      </c>
      <c r="P57" s="740">
        <f>'Cost Allocation - Tier 1 (2)'!P57</f>
        <v>71.744540694059651</v>
      </c>
      <c r="Q57" s="740">
        <f>'Cost Allocation - Tier 1 (2)'!Q57</f>
        <v>193.68203498709869</v>
      </c>
      <c r="R57" s="740">
        <f>'Cost Allocation - Tier 1 (2)'!R57</f>
        <v>166.66674112245468</v>
      </c>
      <c r="S57" s="740">
        <f>'Cost Allocation - Tier 1 (2)'!S57</f>
        <v>170.60930169346574</v>
      </c>
      <c r="T57" s="740">
        <f>'Cost Allocation - Tier 1 (2)'!T57</f>
        <v>623.41333564516287</v>
      </c>
      <c r="U57" s="740">
        <f>'Cost Allocation - Tier 1 (2)'!U57</f>
        <v>495.99175153234847</v>
      </c>
      <c r="V57" s="740">
        <f>'Cost Allocation - Tier 1 (2)'!V57</f>
        <v>768.31619980616551</v>
      </c>
      <c r="W57" s="740">
        <f>'Cost Allocation - Tier 1 (2)'!W57</f>
        <v>1276.3543481999131</v>
      </c>
      <c r="X57" s="740">
        <f>'Cost Allocation - Tier 1 (2)'!X57</f>
        <v>8.2501736324679289</v>
      </c>
      <c r="Y57" s="740">
        <f>'Cost Allocation - Tier 1 (2)'!Y57</f>
        <v>5.7546415457066704</v>
      </c>
      <c r="Z57" s="740">
        <f>'Cost Allocation - Tier 1 (2)'!Z57</f>
        <v>23.622510475851065</v>
      </c>
      <c r="AA57" s="740">
        <f>'Cost Allocation - Tier 1 (2)'!AA57</f>
        <v>20.623237809076389</v>
      </c>
      <c r="AB57" s="740">
        <f>'Cost Allocation - Tier 1 (2)'!AB57</f>
        <v>11.911026562941938</v>
      </c>
      <c r="AC57" s="740">
        <f>'Cost Allocation - Tier 1 (2)'!AC57</f>
        <v>15.412207661951147</v>
      </c>
      <c r="AD57" s="740">
        <f>'Cost Allocation - Tier 1 (2)'!AD57</f>
        <v>109.82398552513847</v>
      </c>
      <c r="AE57" s="740">
        <f>'Cost Allocation - Tier 1 (2)'!AE57</f>
        <v>39.490421428683</v>
      </c>
      <c r="AF57" s="740">
        <f>'Cost Allocation - Tier 1 (2)'!AF57</f>
        <v>300.70366790240712</v>
      </c>
      <c r="AG57" s="740">
        <f>'Cost Allocation - Tier 1 (2)'!AG57</f>
        <v>2116.9872599083442</v>
      </c>
      <c r="AH57" s="740">
        <f>'Cost Allocation - Tier 1 (2)'!AH57</f>
        <v>3654.6517942234223</v>
      </c>
      <c r="AI57" s="740">
        <f>'Cost Allocation - Tier 1 (2)'!AI57</f>
        <v>21.414217129566925</v>
      </c>
      <c r="AJ57" s="740">
        <f>'Cost Allocation - Tier 1 (2)'!AJ57</f>
        <v>1157.7462169844837</v>
      </c>
      <c r="AK57" s="740">
        <f>'Cost Allocation - Tier 1 (2)'!AK57</f>
        <v>986.10024939362017</v>
      </c>
      <c r="AL57" s="740">
        <f>'Cost Allocation - Tier 1 (2)'!AL57</f>
        <v>0</v>
      </c>
      <c r="AM57" s="740">
        <f>'Cost Allocation - Tier 1 (2)'!AM57</f>
        <v>31.434671641552562</v>
      </c>
      <c r="AN57" s="740">
        <f>'Cost Allocation - Tier 1 (2)'!AN57</f>
        <v>194.78912379542891</v>
      </c>
      <c r="AO57" s="740">
        <f>'Cost Allocation - Tier 1 (2)'!AO57</f>
        <v>1202.8493584985908</v>
      </c>
      <c r="AP57" s="740">
        <f>'Cost Allocation - Tier 1 (2)'!AP57</f>
        <v>180.46840747155503</v>
      </c>
      <c r="AQ57" s="740">
        <f>'Cost Allocation - Tier 1 (2)'!AQ57</f>
        <v>2382.6171066987908</v>
      </c>
      <c r="AR57" s="740">
        <f>'Cost Allocation - Tier 1 (2)'!AR57</f>
        <v>0.73419750376698278</v>
      </c>
      <c r="AS57" s="740">
        <f>'Cost Allocation - Tier 1 (2)'!AS57</f>
        <v>3414.9432758128696</v>
      </c>
      <c r="AT57" s="740">
        <f>'Cost Allocation - Tier 1 (2)'!AT57</f>
        <v>3047.7408869967353</v>
      </c>
      <c r="AU57" s="740">
        <f>'Cost Allocation - Tier 1 (2)'!AU57</f>
        <v>3521.9543736554101</v>
      </c>
      <c r="AV57" s="740">
        <f>'Cost Allocation - Tier 1 (2)'!AV57</f>
        <v>5426.4049868218572</v>
      </c>
      <c r="AW57" s="740">
        <f>'Cost Allocation - Tier 1 (2)'!AW57</f>
        <v>13418.83276505544</v>
      </c>
      <c r="AX57" s="740">
        <f>'Cost Allocation - Tier 1 (2)'!AX57</f>
        <v>15.575156329912208</v>
      </c>
      <c r="AY57" s="740">
        <f>'Cost Allocation - Tier 1 (2)'!AY57</f>
        <v>0</v>
      </c>
      <c r="AZ57" s="740">
        <f>'Cost Allocation - Tier 1 (2)'!AZ57</f>
        <v>0</v>
      </c>
      <c r="BA57" s="740">
        <f>'Cost Allocation - Tier 1 (2)'!BA57</f>
        <v>0</v>
      </c>
      <c r="BB57" s="740">
        <f>'Cost Allocation - Tier 1 (2)'!BB57</f>
        <v>0</v>
      </c>
      <c r="BC57" s="684">
        <f t="shared" si="27"/>
        <v>0</v>
      </c>
      <c r="BD57" s="909">
        <f>'Cost Allocation - Tier 1 (2)'!BD57</f>
        <v>0</v>
      </c>
      <c r="BE57" s="909">
        <f>'Cost Allocation - Tier 1 (2)'!BE57</f>
        <v>0</v>
      </c>
      <c r="BF57" s="909">
        <f>'Cost Allocation - Tier 1 (2)'!BF57</f>
        <v>0</v>
      </c>
      <c r="BG57" s="909">
        <f>'Cost Allocation - Tier 1 (2)'!BG57</f>
        <v>0</v>
      </c>
      <c r="BH57" s="909">
        <f>'Cost Allocation - Tier 1 (2)'!BH57</f>
        <v>0</v>
      </c>
      <c r="BI57" s="909">
        <f>'Cost Allocation - Tier 1 (2)'!BI57</f>
        <v>0</v>
      </c>
      <c r="BJ57" s="909">
        <f>'Cost Allocation - Tier 1 (2)'!BJ57</f>
        <v>0</v>
      </c>
      <c r="BK57" s="909">
        <f>'Cost Allocation - Tier 1 (2)'!BK57</f>
        <v>0</v>
      </c>
      <c r="BL57" s="742">
        <f>BC57+I57+H57</f>
        <v>47108.034908215486</v>
      </c>
      <c r="BM57" s="742">
        <f>BL57-E57</f>
        <v>0</v>
      </c>
      <c r="BO57" s="905"/>
      <c r="BP57" s="905"/>
      <c r="BQ57" s="905"/>
      <c r="BR57" s="905"/>
      <c r="BS57" s="905"/>
    </row>
    <row r="58" spans="1:71" s="294" customFormat="1" x14ac:dyDescent="0.25">
      <c r="A58" s="745" t="str">
        <f>'Cost Allocation - Tier 1 (2)'!A58</f>
        <v>Total Shared Services (no mark up)</v>
      </c>
      <c r="B58" s="746"/>
      <c r="C58" s="746"/>
      <c r="D58" s="910">
        <f>SUM(D55:D57)</f>
        <v>1213078</v>
      </c>
      <c r="E58" s="910">
        <f>SUM(E55:E57)</f>
        <v>912637.67679807416</v>
      </c>
      <c r="F58" s="910"/>
      <c r="G58" s="910"/>
      <c r="H58" s="748"/>
      <c r="I58" s="749">
        <f>SUM(I55:I57)</f>
        <v>912637.67679807427</v>
      </c>
      <c r="J58" s="748">
        <f>SUM(J55:J57)</f>
        <v>7456.5694797446322</v>
      </c>
      <c r="K58" s="748">
        <f t="shared" ref="K58:BK58" si="28">SUM(K55:K57)</f>
        <v>2062.0406708597075</v>
      </c>
      <c r="L58" s="748">
        <f t="shared" si="28"/>
        <v>2076.6383224104602</v>
      </c>
      <c r="M58" s="748">
        <f t="shared" si="28"/>
        <v>2373.344840962513</v>
      </c>
      <c r="N58" s="748">
        <f t="shared" si="28"/>
        <v>3672.1648854349401</v>
      </c>
      <c r="O58" s="748">
        <f t="shared" si="28"/>
        <v>9032.2458998496841</v>
      </c>
      <c r="P58" s="748">
        <f t="shared" si="28"/>
        <v>1114.9567883957723</v>
      </c>
      <c r="Q58" s="748">
        <f t="shared" si="28"/>
        <v>3036.246684574347</v>
      </c>
      <c r="R58" s="748">
        <f t="shared" si="28"/>
        <v>2619.7450189537694</v>
      </c>
      <c r="S58" s="748">
        <f t="shared" si="28"/>
        <v>2675.8358259146926</v>
      </c>
      <c r="T58" s="748">
        <f t="shared" si="28"/>
        <v>9815.3774712203831</v>
      </c>
      <c r="U58" s="748">
        <f t="shared" si="28"/>
        <v>7797.2573109193181</v>
      </c>
      <c r="V58" s="748">
        <f t="shared" si="28"/>
        <v>5826.3524078928149</v>
      </c>
      <c r="W58" s="748">
        <f t="shared" si="28"/>
        <v>9468.2908835217531</v>
      </c>
      <c r="X58" s="748">
        <f t="shared" si="28"/>
        <v>229.30896281118967</v>
      </c>
      <c r="Y58" s="748">
        <f t="shared" si="28"/>
        <v>171.5607373134097</v>
      </c>
      <c r="Z58" s="748">
        <f t="shared" si="28"/>
        <v>777.52716327741939</v>
      </c>
      <c r="AA58" s="748">
        <f t="shared" si="28"/>
        <v>698.70926553785648</v>
      </c>
      <c r="AB58" s="748">
        <f t="shared" si="28"/>
        <v>414.2178625989539</v>
      </c>
      <c r="AC58" s="748">
        <f t="shared" si="28"/>
        <v>463.62627332102556</v>
      </c>
      <c r="AD58" s="748">
        <f t="shared" si="28"/>
        <v>2907.4448235807099</v>
      </c>
      <c r="AE58" s="748">
        <f t="shared" si="28"/>
        <v>1109.7250102622374</v>
      </c>
      <c r="AF58" s="748">
        <f t="shared" si="28"/>
        <v>2900.4035256098127</v>
      </c>
      <c r="AG58" s="748">
        <f t="shared" si="28"/>
        <v>9648.2734602939272</v>
      </c>
      <c r="AH58" s="748">
        <f t="shared" si="28"/>
        <v>69107.624923597497</v>
      </c>
      <c r="AI58" s="748">
        <f t="shared" si="28"/>
        <v>550.50109989613964</v>
      </c>
      <c r="AJ58" s="748">
        <f t="shared" si="28"/>
        <v>11763.506416562937</v>
      </c>
      <c r="AK58" s="748">
        <f t="shared" si="28"/>
        <v>9840.3590007994262</v>
      </c>
      <c r="AL58" s="748">
        <f t="shared" si="28"/>
        <v>0</v>
      </c>
      <c r="AM58" s="748">
        <f t="shared" si="28"/>
        <v>1024.2760720384592</v>
      </c>
      <c r="AN58" s="748">
        <f t="shared" si="28"/>
        <v>1778.2683095107566</v>
      </c>
      <c r="AO58" s="748">
        <f t="shared" si="28"/>
        <v>12077.556372572537</v>
      </c>
      <c r="AP58" s="748">
        <f t="shared" si="28"/>
        <v>1779.1998365513502</v>
      </c>
      <c r="AQ58" s="748">
        <f t="shared" si="28"/>
        <v>11389.273627747767</v>
      </c>
      <c r="AR58" s="748">
        <f t="shared" si="28"/>
        <v>27.270721577637413</v>
      </c>
      <c r="AS58" s="748">
        <f t="shared" si="28"/>
        <v>16681.197594396814</v>
      </c>
      <c r="AT58" s="748">
        <f t="shared" si="28"/>
        <v>14070.414202646421</v>
      </c>
      <c r="AU58" s="748">
        <f t="shared" si="28"/>
        <v>18886.772657040958</v>
      </c>
      <c r="AV58" s="748">
        <f t="shared" si="28"/>
        <v>27028.845179855336</v>
      </c>
      <c r="AW58" s="748">
        <f t="shared" si="28"/>
        <v>68739.283265957434</v>
      </c>
      <c r="AX58" s="748">
        <f t="shared" si="28"/>
        <v>578.51701976913466</v>
      </c>
      <c r="AY58" s="748">
        <f t="shared" si="28"/>
        <v>145026.37382433718</v>
      </c>
      <c r="AZ58" s="748">
        <f t="shared" si="28"/>
        <v>4793.1114558514855</v>
      </c>
      <c r="BA58" s="748">
        <f t="shared" si="28"/>
        <v>83906.074152506291</v>
      </c>
      <c r="BB58" s="748">
        <f t="shared" si="28"/>
        <v>325241.38748959743</v>
      </c>
      <c r="BC58" s="749">
        <f>SUM(BC55:BC57)</f>
        <v>0</v>
      </c>
      <c r="BD58" s="748">
        <f t="shared" si="28"/>
        <v>0</v>
      </c>
      <c r="BE58" s="748">
        <f t="shared" si="28"/>
        <v>0</v>
      </c>
      <c r="BF58" s="748">
        <f t="shared" si="28"/>
        <v>0</v>
      </c>
      <c r="BG58" s="748">
        <f t="shared" si="28"/>
        <v>0</v>
      </c>
      <c r="BH58" s="748">
        <f t="shared" si="28"/>
        <v>0</v>
      </c>
      <c r="BI58" s="748">
        <f t="shared" si="28"/>
        <v>0</v>
      </c>
      <c r="BJ58" s="748">
        <f t="shared" si="28"/>
        <v>0</v>
      </c>
      <c r="BK58" s="748">
        <f t="shared" si="28"/>
        <v>0</v>
      </c>
      <c r="BL58" s="750">
        <f>SUM(BL55:BL57)</f>
        <v>912637.67679807427</v>
      </c>
      <c r="BM58" s="748">
        <f>BL58-E58</f>
        <v>0</v>
      </c>
      <c r="BO58" s="20"/>
      <c r="BP58" s="894">
        <f>SUM(J58:AE58)+AH58+AI58+AM58+AQ58+AR58+AS58+AT58+AU58+AV58++AW58+AX58</f>
        <v>303883.16295388114</v>
      </c>
      <c r="BQ58" s="894">
        <f>AF58+AG58+AJ58+AK58+AL58+AN58+AO58+AP58</f>
        <v>49787.566921900747</v>
      </c>
      <c r="BR58" s="894">
        <f>SUM(AY57:BB58)</f>
        <v>558966.94692229247</v>
      </c>
      <c r="BS58" s="894">
        <f>BR58+BQ58+BP58-I58</f>
        <v>0</v>
      </c>
    </row>
    <row r="59" spans="1:71" x14ac:dyDescent="0.2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BO59" s="20" t="s">
        <v>939</v>
      </c>
      <c r="BP59" s="884">
        <f>BP58+BP52</f>
        <v>894997.83929615165</v>
      </c>
      <c r="BQ59" s="884">
        <f t="shared" ref="BQ59:BR59" si="29">BQ58+BQ52</f>
        <v>407262.44191702653</v>
      </c>
      <c r="BR59" s="884">
        <f t="shared" si="29"/>
        <v>810481.63756837847</v>
      </c>
      <c r="BS59" s="20"/>
    </row>
    <row r="60" spans="1:71" x14ac:dyDescent="0.25">
      <c r="A60" s="1"/>
      <c r="D60" s="76"/>
      <c r="E60" s="76"/>
      <c r="F60" s="76"/>
      <c r="G60" s="76"/>
      <c r="I60" s="692">
        <f>I52/$BL$52</f>
        <v>1</v>
      </c>
      <c r="J60" s="692"/>
      <c r="K60" s="692"/>
      <c r="L60" s="692"/>
      <c r="M60" s="692"/>
      <c r="N60" s="692"/>
      <c r="O60" s="692"/>
      <c r="P60" s="692"/>
      <c r="Q60" s="692"/>
      <c r="R60" s="692"/>
      <c r="S60" s="692"/>
      <c r="T60" s="692"/>
      <c r="U60" s="692"/>
      <c r="V60" s="692"/>
      <c r="W60" s="692"/>
      <c r="X60" s="692"/>
      <c r="Y60" s="692"/>
      <c r="Z60" s="692"/>
      <c r="AA60" s="692"/>
      <c r="AB60" s="692"/>
      <c r="AC60" s="692"/>
      <c r="AD60" s="692"/>
      <c r="AE60" s="692"/>
      <c r="AF60" s="692"/>
      <c r="AG60" s="692"/>
      <c r="AH60" s="692"/>
      <c r="AI60" s="692"/>
      <c r="AJ60" s="692"/>
      <c r="AK60" s="692"/>
      <c r="AL60" s="692"/>
      <c r="AM60" s="692"/>
      <c r="AN60" s="692"/>
      <c r="AO60" s="692"/>
      <c r="AP60" s="692"/>
      <c r="AQ60" s="692"/>
      <c r="AR60" s="692"/>
      <c r="AS60" s="692"/>
      <c r="AT60" s="692"/>
      <c r="AU60" s="692"/>
      <c r="AV60" s="692"/>
      <c r="AW60" s="692"/>
      <c r="AX60" s="692"/>
      <c r="AY60" s="692"/>
      <c r="AZ60" s="692"/>
      <c r="BA60" s="692"/>
      <c r="BB60" s="692"/>
      <c r="BC60" s="692">
        <f>BC52/BL52</f>
        <v>0</v>
      </c>
      <c r="BD60" s="688"/>
      <c r="BE60" s="688"/>
      <c r="BF60" s="688"/>
      <c r="BG60" s="688"/>
      <c r="BH60" s="688"/>
      <c r="BI60" s="688"/>
      <c r="BJ60" s="688"/>
      <c r="BK60" s="688"/>
      <c r="BL60" s="752">
        <f>BL52/$BL$52</f>
        <v>1</v>
      </c>
      <c r="BM60" s="76"/>
      <c r="BO60" s="20"/>
      <c r="BP60" s="20"/>
      <c r="BQ60" s="20"/>
      <c r="BR60" s="20"/>
      <c r="BS60" s="20"/>
    </row>
    <row r="61" spans="1:71" x14ac:dyDescent="0.25">
      <c r="BL61" s="73"/>
      <c r="BM61" s="76"/>
      <c r="BO61" s="20"/>
      <c r="BP61" s="20"/>
      <c r="BQ61" s="20"/>
      <c r="BR61" s="20"/>
      <c r="BS61" s="20"/>
    </row>
    <row r="62" spans="1:71" s="725" customFormat="1" x14ac:dyDescent="0.25">
      <c r="A62" s="725" t="s">
        <v>940</v>
      </c>
      <c r="B62" s="911"/>
      <c r="C62" s="911"/>
      <c r="D62" s="728">
        <f>D58+D50+SUM(D45:D48)+D41+D33+D43</f>
        <v>6438973.6047999989</v>
      </c>
      <c r="E62" s="728">
        <f>E58+E50+SUM(E45:E48)+E41+E33+E43</f>
        <v>4844247.37044839</v>
      </c>
      <c r="F62" s="728"/>
      <c r="G62" s="728"/>
      <c r="H62" s="728">
        <f>H58+H50+SUM(H45:H48)+H41+H33+H43</f>
        <v>27548.856455010533</v>
      </c>
      <c r="I62" s="912">
        <f t="shared" ref="I62:I64" si="30">SUM(J62:BB62)</f>
        <v>3176132.2046179175</v>
      </c>
      <c r="J62" s="728">
        <f t="shared" ref="J62:BB62" si="31">J58+J50+SUM(J45:J48)+J41+J33+J43</f>
        <v>31686.435988568737</v>
      </c>
      <c r="K62" s="728">
        <f t="shared" si="31"/>
        <v>8546.8428692607522</v>
      </c>
      <c r="L62" s="728">
        <f t="shared" si="31"/>
        <v>8470.5844367680056</v>
      </c>
      <c r="M62" s="728">
        <f t="shared" si="31"/>
        <v>10305.600641088527</v>
      </c>
      <c r="N62" s="728">
        <f t="shared" si="31"/>
        <v>15296.48900265585</v>
      </c>
      <c r="O62" s="728">
        <f t="shared" si="31"/>
        <v>40365.300010573796</v>
      </c>
      <c r="P62" s="728">
        <f t="shared" si="31"/>
        <v>5041.2886041228285</v>
      </c>
      <c r="Q62" s="728">
        <f t="shared" si="31"/>
        <v>13944.303422018018</v>
      </c>
      <c r="R62" s="728">
        <f t="shared" si="31"/>
        <v>12088.44819188488</v>
      </c>
      <c r="S62" s="728">
        <f t="shared" si="31"/>
        <v>12299.553699288159</v>
      </c>
      <c r="T62" s="728">
        <f t="shared" si="31"/>
        <v>45423.786717032694</v>
      </c>
      <c r="U62" s="728">
        <f t="shared" si="31"/>
        <v>35987.709437096382</v>
      </c>
      <c r="V62" s="728">
        <f t="shared" si="31"/>
        <v>22443.288080094029</v>
      </c>
      <c r="W62" s="728">
        <f t="shared" si="31"/>
        <v>36524.535773680684</v>
      </c>
      <c r="X62" s="728">
        <f t="shared" si="31"/>
        <v>1079.120190275594</v>
      </c>
      <c r="Y62" s="728">
        <f t="shared" si="31"/>
        <v>788.20626112447519</v>
      </c>
      <c r="Z62" s="728">
        <f t="shared" si="31"/>
        <v>3459.5470886382473</v>
      </c>
      <c r="AA62" s="728">
        <f t="shared" si="31"/>
        <v>3081.1370003160432</v>
      </c>
      <c r="AB62" s="728">
        <f t="shared" si="31"/>
        <v>1812.1557998743467</v>
      </c>
      <c r="AC62" s="728">
        <f t="shared" si="31"/>
        <v>2123.6726457079058</v>
      </c>
      <c r="AD62" s="728">
        <f t="shared" si="31"/>
        <v>13921.54840946506</v>
      </c>
      <c r="AE62" s="728">
        <f t="shared" si="31"/>
        <v>5202.3556123258677</v>
      </c>
      <c r="AF62" s="728">
        <f t="shared" si="31"/>
        <v>31255.446437008297</v>
      </c>
      <c r="AG62" s="728">
        <f t="shared" si="31"/>
        <v>30784.49945368306</v>
      </c>
      <c r="AH62" s="728">
        <f t="shared" si="31"/>
        <v>302307.63767774508</v>
      </c>
      <c r="AI62" s="728">
        <f t="shared" si="31"/>
        <v>2664.3484598436662</v>
      </c>
      <c r="AJ62" s="728">
        <f t="shared" si="31"/>
        <v>120307.50580991061</v>
      </c>
      <c r="AK62" s="728">
        <f t="shared" si="31"/>
        <v>102479.82141452201</v>
      </c>
      <c r="AL62" s="728">
        <f t="shared" si="31"/>
        <v>0</v>
      </c>
      <c r="AM62" s="728">
        <f t="shared" si="31"/>
        <v>4571.9006710548674</v>
      </c>
      <c r="AN62" s="728">
        <f t="shared" si="31"/>
        <v>20251.606080295409</v>
      </c>
      <c r="AO62" s="728">
        <f t="shared" si="31"/>
        <v>125001.61954606257</v>
      </c>
      <c r="AP62" s="728">
        <f t="shared" si="31"/>
        <v>18756.145746931586</v>
      </c>
      <c r="AQ62" s="728">
        <f t="shared" si="31"/>
        <v>36982.491807172592</v>
      </c>
      <c r="AR62" s="728">
        <f t="shared" si="31"/>
        <v>117.01512712759512</v>
      </c>
      <c r="AS62" s="728">
        <f t="shared" si="31"/>
        <v>54601.476803428493</v>
      </c>
      <c r="AT62" s="728">
        <f t="shared" si="31"/>
        <v>45081.394591363001</v>
      </c>
      <c r="AU62" s="728">
        <f t="shared" si="31"/>
        <v>63868.590139517539</v>
      </c>
      <c r="AV62" s="728">
        <f t="shared" si="31"/>
        <v>89059.328680737235</v>
      </c>
      <c r="AW62" s="728">
        <f t="shared" si="31"/>
        <v>228811.94100553083</v>
      </c>
      <c r="AX62" s="728">
        <f t="shared" si="31"/>
        <v>2482.3414525736025</v>
      </c>
      <c r="AY62" s="728">
        <f t="shared" si="31"/>
        <v>403422.1253013229</v>
      </c>
      <c r="AZ62" s="728">
        <f t="shared" si="31"/>
        <v>13734.802634813954</v>
      </c>
      <c r="BA62" s="728">
        <f t="shared" si="31"/>
        <v>239549.59479921655</v>
      </c>
      <c r="BB62" s="728">
        <f t="shared" si="31"/>
        <v>910148.66109619522</v>
      </c>
      <c r="BC62" s="728">
        <f>SUM(BD62:BK62)</f>
        <v>1640566.3093754631</v>
      </c>
      <c r="BD62" s="728">
        <f t="shared" ref="BD62:BK62" si="32">BD58+BD50+SUM(BD45:BD48)+BD41+BD33+BD43</f>
        <v>265418.80299123481</v>
      </c>
      <c r="BE62" s="728">
        <f t="shared" si="32"/>
        <v>246729.18749619363</v>
      </c>
      <c r="BF62" s="728">
        <f t="shared" si="32"/>
        <v>139361.41241089863</v>
      </c>
      <c r="BG62" s="728">
        <f t="shared" si="32"/>
        <v>312307.1843429436</v>
      </c>
      <c r="BH62" s="728">
        <f t="shared" si="32"/>
        <v>233844.03320061401</v>
      </c>
      <c r="BI62" s="728">
        <f t="shared" si="32"/>
        <v>153579.76571224324</v>
      </c>
      <c r="BJ62" s="728">
        <f t="shared" si="32"/>
        <v>48728.896825019918</v>
      </c>
      <c r="BK62" s="728">
        <f t="shared" si="32"/>
        <v>240597.02639631496</v>
      </c>
      <c r="BL62" s="728">
        <f>I62+BC62+H62</f>
        <v>4844247.370448391</v>
      </c>
      <c r="BM62" s="728">
        <f>BL62-E58-E50-SUM(E45:E48)-E41-E33-E43</f>
        <v>4.7293724492192268E-10</v>
      </c>
      <c r="BO62" s="629"/>
      <c r="BP62" s="894">
        <f>SUM(J62:AE62)+AH62+AI62+AM62+AQ62+AR62+AS62+AT62+AU62+AV62++AW62+AX62</f>
        <v>1160440.3762979554</v>
      </c>
      <c r="BQ62" s="894">
        <f>AF62+AG62+AJ62+AK62+AL62+AN62+AO62+AP62</f>
        <v>448836.64448841353</v>
      </c>
      <c r="BR62" s="894">
        <f>SUM(AY61:BB62)</f>
        <v>1566855.1838315486</v>
      </c>
      <c r="BS62" s="894">
        <f>BR62+BQ62+BP62-I62</f>
        <v>0</v>
      </c>
    </row>
    <row r="63" spans="1:71" x14ac:dyDescent="0.25">
      <c r="A63" s="1"/>
      <c r="H63" s="888">
        <f>H62/BL62</f>
        <v>5.6869218989658177E-3</v>
      </c>
      <c r="I63" s="692">
        <f>I62/$BL$62</f>
        <v>0.65565029234333461</v>
      </c>
      <c r="BC63" s="692">
        <f>BC62/BL62</f>
        <v>0.33866278575769959</v>
      </c>
      <c r="BL63" s="761">
        <f>SUM(H63:BC63)</f>
        <v>1</v>
      </c>
      <c r="BO63" s="20"/>
      <c r="BP63" s="20"/>
      <c r="BQ63" s="20"/>
      <c r="BR63" s="20"/>
      <c r="BS63" s="20"/>
    </row>
    <row r="64" spans="1:71" s="917" customFormat="1" x14ac:dyDescent="0.25">
      <c r="A64" s="913" t="s">
        <v>941</v>
      </c>
      <c r="B64" s="881"/>
      <c r="C64" s="881"/>
      <c r="D64" s="914">
        <f>D62-D50</f>
        <v>6403357.6907999991</v>
      </c>
      <c r="E64" s="914">
        <f>E62-E50</f>
        <v>4817452.37044839</v>
      </c>
      <c r="F64" s="914"/>
      <c r="G64" s="914"/>
      <c r="H64" s="914">
        <f>H62-H50</f>
        <v>27548.856455010533</v>
      </c>
      <c r="I64" s="915">
        <f t="shared" si="30"/>
        <v>3149337.2046179175</v>
      </c>
      <c r="J64" s="914">
        <f>J62-J50</f>
        <v>31686.435988568737</v>
      </c>
      <c r="K64" s="914">
        <f t="shared" ref="K64:BB64" si="33">K62-K50</f>
        <v>8546.8428692607522</v>
      </c>
      <c r="L64" s="914">
        <f t="shared" si="33"/>
        <v>8470.5844367680056</v>
      </c>
      <c r="M64" s="914">
        <f t="shared" si="33"/>
        <v>10305.600641088527</v>
      </c>
      <c r="N64" s="914">
        <f t="shared" si="33"/>
        <v>15296.48900265585</v>
      </c>
      <c r="O64" s="914">
        <f t="shared" si="33"/>
        <v>40365.300010573796</v>
      </c>
      <c r="P64" s="914">
        <f t="shared" si="33"/>
        <v>5041.2886041228285</v>
      </c>
      <c r="Q64" s="914">
        <f t="shared" si="33"/>
        <v>13944.303422018018</v>
      </c>
      <c r="R64" s="914">
        <f t="shared" si="33"/>
        <v>12088.44819188488</v>
      </c>
      <c r="S64" s="914">
        <f t="shared" si="33"/>
        <v>12299.553699288159</v>
      </c>
      <c r="T64" s="914">
        <f t="shared" si="33"/>
        <v>45423.786717032694</v>
      </c>
      <c r="U64" s="914">
        <f t="shared" si="33"/>
        <v>35987.709437096382</v>
      </c>
      <c r="V64" s="914">
        <f t="shared" si="33"/>
        <v>22443.288080094029</v>
      </c>
      <c r="W64" s="914">
        <f t="shared" si="33"/>
        <v>36524.535773680684</v>
      </c>
      <c r="X64" s="914">
        <f t="shared" si="33"/>
        <v>1079.120190275594</v>
      </c>
      <c r="Y64" s="914">
        <f t="shared" si="33"/>
        <v>788.20626112447519</v>
      </c>
      <c r="Z64" s="914">
        <f t="shared" si="33"/>
        <v>3459.5470886382473</v>
      </c>
      <c r="AA64" s="914">
        <f t="shared" si="33"/>
        <v>3081.1370003160432</v>
      </c>
      <c r="AB64" s="914">
        <f t="shared" si="33"/>
        <v>1812.1557998743467</v>
      </c>
      <c r="AC64" s="914">
        <f t="shared" si="33"/>
        <v>2123.6726457079058</v>
      </c>
      <c r="AD64" s="914">
        <f t="shared" si="33"/>
        <v>13921.54840946506</v>
      </c>
      <c r="AE64" s="914">
        <f t="shared" si="33"/>
        <v>5202.3556123258677</v>
      </c>
      <c r="AF64" s="914">
        <f t="shared" si="33"/>
        <v>31255.446437008297</v>
      </c>
      <c r="AG64" s="914">
        <f t="shared" si="33"/>
        <v>30784.49945368306</v>
      </c>
      <c r="AH64" s="914">
        <f t="shared" si="33"/>
        <v>302307.63767774508</v>
      </c>
      <c r="AI64" s="914">
        <f t="shared" si="33"/>
        <v>2664.3484598436662</v>
      </c>
      <c r="AJ64" s="914">
        <f t="shared" si="33"/>
        <v>120307.50580991061</v>
      </c>
      <c r="AK64" s="914">
        <f t="shared" si="33"/>
        <v>102479.82141452201</v>
      </c>
      <c r="AL64" s="914">
        <f t="shared" si="33"/>
        <v>0</v>
      </c>
      <c r="AM64" s="914">
        <f t="shared" si="33"/>
        <v>4571.9006710548674</v>
      </c>
      <c r="AN64" s="914">
        <f t="shared" si="33"/>
        <v>20251.606080295409</v>
      </c>
      <c r="AO64" s="914">
        <f t="shared" si="33"/>
        <v>125001.61954606257</v>
      </c>
      <c r="AP64" s="914">
        <f t="shared" si="33"/>
        <v>18756.145746931586</v>
      </c>
      <c r="AQ64" s="914">
        <f t="shared" si="33"/>
        <v>36982.491807172592</v>
      </c>
      <c r="AR64" s="914">
        <f t="shared" si="33"/>
        <v>117.01512712759512</v>
      </c>
      <c r="AS64" s="914">
        <f t="shared" si="33"/>
        <v>54601.476803428493</v>
      </c>
      <c r="AT64" s="914">
        <f t="shared" si="33"/>
        <v>45081.394591363001</v>
      </c>
      <c r="AU64" s="914">
        <f t="shared" si="33"/>
        <v>63868.590139517539</v>
      </c>
      <c r="AV64" s="914">
        <f t="shared" si="33"/>
        <v>89059.328680737235</v>
      </c>
      <c r="AW64" s="914">
        <f t="shared" si="33"/>
        <v>228811.94100553083</v>
      </c>
      <c r="AX64" s="914">
        <f t="shared" si="33"/>
        <v>2482.3414525736025</v>
      </c>
      <c r="AY64" s="914">
        <f t="shared" si="33"/>
        <v>396550.90207923955</v>
      </c>
      <c r="AZ64" s="914">
        <f t="shared" si="33"/>
        <v>13454.247374412858</v>
      </c>
      <c r="BA64" s="914">
        <f t="shared" si="33"/>
        <v>235242.34691807264</v>
      </c>
      <c r="BB64" s="914">
        <f t="shared" si="33"/>
        <v>894812.68745982356</v>
      </c>
      <c r="BC64" s="902">
        <f>SUM(BD64:BK64)</f>
        <v>1640566.3093754631</v>
      </c>
      <c r="BD64" s="916">
        <f>BD62-BD50</f>
        <v>265418.80299123481</v>
      </c>
      <c r="BE64" s="916">
        <f t="shared" ref="BE64:BK64" si="34">BE62-BE50</f>
        <v>246729.18749619363</v>
      </c>
      <c r="BF64" s="916">
        <f t="shared" si="34"/>
        <v>139361.41241089863</v>
      </c>
      <c r="BG64" s="916">
        <f t="shared" si="34"/>
        <v>312307.1843429436</v>
      </c>
      <c r="BH64" s="916">
        <f t="shared" si="34"/>
        <v>233844.03320061401</v>
      </c>
      <c r="BI64" s="916">
        <f t="shared" si="34"/>
        <v>153579.76571224324</v>
      </c>
      <c r="BJ64" s="916">
        <f t="shared" si="34"/>
        <v>48728.896825019918</v>
      </c>
      <c r="BK64" s="916">
        <f t="shared" si="34"/>
        <v>240597.02639631496</v>
      </c>
      <c r="BL64" s="914">
        <f>I64+BC64+H64</f>
        <v>4817452.370448391</v>
      </c>
      <c r="BM64" s="916">
        <f>BL64-E64</f>
        <v>0</v>
      </c>
      <c r="BO64" s="918"/>
      <c r="BP64" s="918"/>
      <c r="BQ64" s="918"/>
      <c r="BR64" s="918"/>
      <c r="BS64" s="918"/>
    </row>
    <row r="65" spans="1:71" x14ac:dyDescent="0.25">
      <c r="A65" s="1"/>
      <c r="H65" s="888"/>
      <c r="I65" s="692"/>
      <c r="BC65" s="692"/>
      <c r="BL65" s="761"/>
      <c r="BO65" s="20"/>
      <c r="BP65" s="20"/>
      <c r="BQ65" s="20"/>
      <c r="BR65" s="20"/>
      <c r="BS65" s="20"/>
    </row>
    <row r="66" spans="1:71" ht="15.75" thickBot="1" x14ac:dyDescent="0.3">
      <c r="A66" s="1"/>
      <c r="H66" s="888"/>
      <c r="I66" s="692"/>
      <c r="BC66" s="692"/>
      <c r="BL66" s="761"/>
      <c r="BO66" s="20"/>
      <c r="BP66" s="20"/>
      <c r="BQ66" s="20"/>
      <c r="BR66" s="20"/>
      <c r="BS66" s="20"/>
    </row>
    <row r="67" spans="1:71" x14ac:dyDescent="0.25">
      <c r="B67" s="3" t="s">
        <v>942</v>
      </c>
      <c r="D67" s="76">
        <f>D62-D52-D33-D58</f>
        <v>0</v>
      </c>
      <c r="BD67" s="919" t="s">
        <v>943</v>
      </c>
      <c r="BE67" s="16"/>
      <c r="BF67" s="16"/>
      <c r="BG67" s="16"/>
      <c r="BH67" s="16"/>
      <c r="BI67" s="16"/>
      <c r="BJ67" s="16"/>
      <c r="BK67" s="209"/>
      <c r="BM67" s="76"/>
      <c r="BO67" s="20"/>
      <c r="BP67" s="20"/>
      <c r="BQ67" s="20"/>
      <c r="BR67" s="20"/>
      <c r="BS67" s="20"/>
    </row>
    <row r="68" spans="1:71" x14ac:dyDescent="0.25">
      <c r="B68" s="3" t="s">
        <v>944</v>
      </c>
      <c r="D68" s="76">
        <f>D62-'Cost Allocation - Tier 1 (2)'!D62</f>
        <v>0</v>
      </c>
      <c r="E68" s="76">
        <f>E62-'Cost Allocation - Tier 1 (2)'!E62</f>
        <v>0</v>
      </c>
      <c r="F68" s="76"/>
      <c r="G68" s="76"/>
      <c r="H68" s="76">
        <f>H62-'Cost Allocation - Tier 1 (2)'!H62</f>
        <v>0</v>
      </c>
      <c r="I68" s="666">
        <f>I62-'Cost Allocation - Tier 1 (2)'!I62</f>
        <v>0</v>
      </c>
      <c r="J68" s="76">
        <f>J62-'Cost Allocation - Tier 1 (2)'!J62</f>
        <v>0</v>
      </c>
      <c r="K68" s="76">
        <f>K62-'Cost Allocation - Tier 1 (2)'!K62</f>
        <v>0</v>
      </c>
      <c r="L68" s="76">
        <f>L62-'Cost Allocation - Tier 1 (2)'!L62</f>
        <v>0</v>
      </c>
      <c r="M68" s="76">
        <f>M62-'Cost Allocation - Tier 1 (2)'!M62</f>
        <v>0</v>
      </c>
      <c r="N68" s="76">
        <f>N62-'Cost Allocation - Tier 1 (2)'!N62</f>
        <v>0</v>
      </c>
      <c r="O68" s="76">
        <f>O62-'Cost Allocation - Tier 1 (2)'!O62</f>
        <v>0</v>
      </c>
      <c r="P68" s="76">
        <f>P62-'Cost Allocation - Tier 1 (2)'!P62</f>
        <v>0</v>
      </c>
      <c r="Q68" s="76">
        <f>Q62-'Cost Allocation - Tier 1 (2)'!Q62</f>
        <v>0</v>
      </c>
      <c r="R68" s="76">
        <f>R62-'Cost Allocation - Tier 1 (2)'!R62</f>
        <v>0</v>
      </c>
      <c r="S68" s="76">
        <f>S62-'Cost Allocation - Tier 1 (2)'!S62</f>
        <v>0</v>
      </c>
      <c r="T68" s="76">
        <f>T62-'Cost Allocation - Tier 1 (2)'!T62</f>
        <v>0</v>
      </c>
      <c r="U68" s="76">
        <f>U62-'Cost Allocation - Tier 1 (2)'!U62</f>
        <v>0</v>
      </c>
      <c r="V68" s="76">
        <f>V62-'Cost Allocation - Tier 1 (2)'!V62</f>
        <v>0</v>
      </c>
      <c r="W68" s="76">
        <f>W62-'Cost Allocation - Tier 1 (2)'!W62</f>
        <v>0</v>
      </c>
      <c r="X68" s="76">
        <f>X62-'Cost Allocation - Tier 1 (2)'!X62</f>
        <v>0</v>
      </c>
      <c r="Y68" s="76">
        <f>Y62-'Cost Allocation - Tier 1 (2)'!Y62</f>
        <v>0</v>
      </c>
      <c r="Z68" s="76">
        <f>Z62-'Cost Allocation - Tier 1 (2)'!Z62</f>
        <v>0</v>
      </c>
      <c r="AA68" s="76">
        <f>AA62-'Cost Allocation - Tier 1 (2)'!AA62</f>
        <v>0</v>
      </c>
      <c r="AB68" s="76">
        <f>AB62-'Cost Allocation - Tier 1 (2)'!AB62</f>
        <v>0</v>
      </c>
      <c r="AC68" s="76">
        <f>AC62-'Cost Allocation - Tier 1 (2)'!AC62</f>
        <v>0</v>
      </c>
      <c r="AD68" s="76">
        <f>AD62-'Cost Allocation - Tier 1 (2)'!AD62</f>
        <v>0</v>
      </c>
      <c r="AE68" s="76">
        <f>AE62-'Cost Allocation - Tier 1 (2)'!AE62</f>
        <v>0</v>
      </c>
      <c r="AF68" s="76">
        <f>AF62-'Cost Allocation - Tier 1 (2)'!AF62</f>
        <v>0</v>
      </c>
      <c r="AG68" s="76">
        <f>AG62-'Cost Allocation - Tier 1 (2)'!AG62</f>
        <v>0</v>
      </c>
      <c r="AH68" s="76">
        <f>AH62-'Cost Allocation - Tier 1 (2)'!AH62</f>
        <v>0</v>
      </c>
      <c r="AI68" s="76">
        <f>AI62-'Cost Allocation - Tier 1 (2)'!AI62</f>
        <v>0</v>
      </c>
      <c r="AJ68" s="76">
        <f>AJ62-'Cost Allocation - Tier 1 (2)'!AJ62</f>
        <v>0</v>
      </c>
      <c r="AK68" s="76">
        <f>AK62-'Cost Allocation - Tier 1 (2)'!AK62</f>
        <v>0</v>
      </c>
      <c r="AL68" s="76">
        <f>AL62-'Cost Allocation - Tier 1 (2)'!AL62</f>
        <v>0</v>
      </c>
      <c r="AM68" s="76">
        <f>AM62-'Cost Allocation - Tier 1 (2)'!AM62</f>
        <v>0</v>
      </c>
      <c r="AN68" s="76">
        <f>AN62-'Cost Allocation - Tier 1 (2)'!AN62</f>
        <v>0</v>
      </c>
      <c r="AO68" s="76">
        <f>AO62-'Cost Allocation - Tier 1 (2)'!AO62</f>
        <v>0</v>
      </c>
      <c r="AP68" s="76">
        <f>AP62-'Cost Allocation - Tier 1 (2)'!AP62</f>
        <v>0</v>
      </c>
      <c r="AQ68" s="76">
        <f>AQ62-'Cost Allocation - Tier 1 (2)'!AQ62</f>
        <v>0</v>
      </c>
      <c r="AR68" s="76">
        <f>AR62-'Cost Allocation - Tier 1 (2)'!AR62</f>
        <v>0</v>
      </c>
      <c r="AS68" s="76">
        <f>AS62-'Cost Allocation - Tier 1 (2)'!AS62</f>
        <v>0</v>
      </c>
      <c r="AT68" s="76">
        <f>AT62-'Cost Allocation - Tier 1 (2)'!AT62</f>
        <v>0</v>
      </c>
      <c r="AU68" s="76">
        <f>AU62-'Cost Allocation - Tier 1 (2)'!AU62</f>
        <v>0</v>
      </c>
      <c r="AV68" s="76">
        <f>AV62-'Cost Allocation - Tier 1 (2)'!AV62</f>
        <v>0</v>
      </c>
      <c r="AW68" s="76">
        <f>AW62-'Cost Allocation - Tier 1 (2)'!AW62</f>
        <v>0</v>
      </c>
      <c r="AX68" s="76">
        <f>AX62-'Cost Allocation - Tier 1 (2)'!AX62</f>
        <v>0</v>
      </c>
      <c r="AY68" s="76">
        <f>AY62-'Cost Allocation - Tier 1 (2)'!AY62</f>
        <v>0</v>
      </c>
      <c r="AZ68" s="76">
        <f>AZ62-'Cost Allocation - Tier 1 (2)'!AZ62</f>
        <v>0</v>
      </c>
      <c r="BA68" s="76">
        <f>BA62-'Cost Allocation - Tier 1 (2)'!BA62</f>
        <v>0</v>
      </c>
      <c r="BB68" s="76">
        <f>BB62-'Cost Allocation - Tier 1 (2)'!BB62</f>
        <v>0</v>
      </c>
      <c r="BC68" s="637">
        <f>BC62-'Cost Allocation - Tier 1 (2)'!BC62</f>
        <v>0</v>
      </c>
      <c r="BD68" s="920">
        <f>BD62-'Cost Allocation - Tier 1 (2)'!BD62</f>
        <v>-2190.087330293667</v>
      </c>
      <c r="BE68" s="921">
        <f>BE62-'Cost Allocation - Tier 1 (2)'!BE62</f>
        <v>2670.6567803779617</v>
      </c>
      <c r="BF68" s="921">
        <f>BF62-'Cost Allocation - Tier 1 (2)'!BF62</f>
        <v>-10068.990316378186</v>
      </c>
      <c r="BG68" s="921">
        <f>BG62-'Cost Allocation - Tier 1 (2)'!BG62</f>
        <v>36140.346312855196</v>
      </c>
      <c r="BH68" s="921">
        <f>BH62-'Cost Allocation - Tier 1 (2)'!BH62</f>
        <v>17509.029907963675</v>
      </c>
      <c r="BI68" s="921">
        <f>BI62-'Cost Allocation - Tier 1 (2)'!BI62</f>
        <v>-3943.3411083442625</v>
      </c>
      <c r="BJ68" s="921">
        <f>BJ62-'Cost Allocation - Tier 1 (2)'!BJ62</f>
        <v>-40117.61424618071</v>
      </c>
      <c r="BK68" s="922">
        <f>BK62-'Cost Allocation - Tier 1 (2)'!BK62</f>
        <v>0</v>
      </c>
      <c r="BL68" s="76">
        <f>BL62-'Cost Allocation - Tier 1 (2)'!BL62</f>
        <v>0</v>
      </c>
      <c r="BM68" s="76"/>
      <c r="BO68" s="20"/>
      <c r="BP68" s="20"/>
      <c r="BQ68" s="20"/>
      <c r="BR68" s="20"/>
      <c r="BS68" s="20"/>
    </row>
    <row r="69" spans="1:71" x14ac:dyDescent="0.25">
      <c r="BC69" s="241" t="s">
        <v>945</v>
      </c>
      <c r="BD69" s="923">
        <f>'Cost Allocation - Tier 1 (2)'!BD62</f>
        <v>267608.89032152848</v>
      </c>
      <c r="BE69" s="78">
        <f>'Cost Allocation - Tier 1 (2)'!BE62</f>
        <v>244058.53071581566</v>
      </c>
      <c r="BF69" s="78">
        <f>'Cost Allocation - Tier 1 (2)'!BF62</f>
        <v>149430.40272727681</v>
      </c>
      <c r="BG69" s="78">
        <f>'Cost Allocation - Tier 1 (2)'!BG62</f>
        <v>276166.8380300884</v>
      </c>
      <c r="BH69" s="78">
        <f>'Cost Allocation - Tier 1 (2)'!BH62</f>
        <v>216335.00329265033</v>
      </c>
      <c r="BI69" s="78">
        <f>'Cost Allocation - Tier 1 (2)'!BI62</f>
        <v>157523.10682058751</v>
      </c>
      <c r="BJ69" s="78">
        <f>'Cost Allocation - Tier 1 (2)'!BJ62</f>
        <v>88846.511071200628</v>
      </c>
      <c r="BK69" s="924">
        <f>'Cost Allocation - Tier 1 (2)'!BK62</f>
        <v>240597.02639631496</v>
      </c>
      <c r="BL69" s="76">
        <f>SUM(BD69:BK69)</f>
        <v>1640566.3093754626</v>
      </c>
      <c r="BM69" s="76"/>
      <c r="BO69" s="20"/>
      <c r="BP69" s="20"/>
      <c r="BQ69" s="20"/>
      <c r="BR69" s="20"/>
      <c r="BS69" s="20"/>
    </row>
    <row r="70" spans="1:71" x14ac:dyDescent="0.25">
      <c r="BC70" s="241" t="s">
        <v>121</v>
      </c>
      <c r="BD70" s="925">
        <f>BD68+BD69</f>
        <v>265418.80299123481</v>
      </c>
      <c r="BE70" s="695">
        <f t="shared" ref="BE70:BK70" si="35">BE68+BE69</f>
        <v>246729.18749619363</v>
      </c>
      <c r="BF70" s="695">
        <f t="shared" si="35"/>
        <v>139361.41241089863</v>
      </c>
      <c r="BG70" s="695">
        <f t="shared" si="35"/>
        <v>312307.1843429436</v>
      </c>
      <c r="BH70" s="695">
        <f t="shared" si="35"/>
        <v>233844.03320061401</v>
      </c>
      <c r="BI70" s="695">
        <f t="shared" si="35"/>
        <v>153579.76571224324</v>
      </c>
      <c r="BJ70" s="695">
        <f t="shared" si="35"/>
        <v>48728.896825019918</v>
      </c>
      <c r="BK70" s="800">
        <f t="shared" si="35"/>
        <v>240597.02639631496</v>
      </c>
      <c r="BL70" s="76">
        <f>SUM(BD70:BK70)</f>
        <v>1640566.3093754631</v>
      </c>
      <c r="BM70" s="76"/>
    </row>
    <row r="71" spans="1:71" ht="15.75" thickBot="1" x14ac:dyDescent="0.3">
      <c r="A71" s="351"/>
      <c r="B71" s="752"/>
      <c r="C71" s="752"/>
      <c r="D71" s="343"/>
      <c r="E71" s="351"/>
      <c r="F71" s="351"/>
      <c r="G71" s="351"/>
      <c r="H71" s="351"/>
      <c r="I71" s="637"/>
      <c r="J71" s="351"/>
      <c r="K71" s="351"/>
      <c r="L71" s="351"/>
      <c r="M71" s="351"/>
      <c r="N71" s="351"/>
      <c r="O71" s="351"/>
      <c r="P71" s="69"/>
      <c r="BC71" s="241" t="s">
        <v>118</v>
      </c>
      <c r="BD71" s="926">
        <f t="shared" ref="BD71:BK71" si="36">BD70-BD62</f>
        <v>0</v>
      </c>
      <c r="BE71" s="239">
        <f>BE70-BE62</f>
        <v>0</v>
      </c>
      <c r="BF71" s="239">
        <f t="shared" si="36"/>
        <v>0</v>
      </c>
      <c r="BG71" s="239">
        <f t="shared" si="36"/>
        <v>0</v>
      </c>
      <c r="BH71" s="239">
        <f t="shared" si="36"/>
        <v>0</v>
      </c>
      <c r="BI71" s="239">
        <f t="shared" si="36"/>
        <v>0</v>
      </c>
      <c r="BJ71" s="239">
        <f t="shared" si="36"/>
        <v>0</v>
      </c>
      <c r="BK71" s="927">
        <f t="shared" si="36"/>
        <v>0</v>
      </c>
      <c r="BL71" s="76"/>
    </row>
    <row r="72" spans="1:71" x14ac:dyDescent="0.25">
      <c r="A72" s="351"/>
      <c r="B72" s="928"/>
      <c r="C72" s="928"/>
      <c r="D72" s="752"/>
      <c r="E72" s="706"/>
      <c r="F72" s="706"/>
      <c r="G72" s="706"/>
      <c r="H72" s="706"/>
      <c r="I72" s="321"/>
      <c r="J72" s="706"/>
      <c r="K72" s="706"/>
      <c r="L72" s="706"/>
      <c r="M72" s="706"/>
      <c r="N72" s="706"/>
      <c r="O72" s="928"/>
      <c r="P72" s="69"/>
      <c r="BC72" s="241" t="s">
        <v>128</v>
      </c>
      <c r="BD72" s="165">
        <f>BD68/BD69</f>
        <v>-8.1839109592446897E-3</v>
      </c>
      <c r="BE72" s="165">
        <f t="shared" ref="BE72:BK72" si="37">BE68/BE69</f>
        <v>1.0942689741452646E-2</v>
      </c>
      <c r="BF72" s="165">
        <f t="shared" si="37"/>
        <v>-6.7382474600934786E-2</v>
      </c>
      <c r="BG72" s="165">
        <f t="shared" si="37"/>
        <v>0.13086417822880567</v>
      </c>
      <c r="BH72" s="165">
        <f t="shared" si="37"/>
        <v>8.0934798536869593E-2</v>
      </c>
      <c r="BI72" s="165">
        <f t="shared" si="37"/>
        <v>-2.5033413750755754E-2</v>
      </c>
      <c r="BJ72" s="165">
        <f t="shared" si="37"/>
        <v>-0.45153843141944977</v>
      </c>
      <c r="BK72" s="165">
        <f t="shared" si="37"/>
        <v>0</v>
      </c>
    </row>
    <row r="73" spans="1:71" x14ac:dyDescent="0.25">
      <c r="A73" s="69"/>
      <c r="B73" s="27"/>
      <c r="C73" s="27"/>
      <c r="D73" s="69"/>
      <c r="E73" s="69"/>
      <c r="F73" s="69"/>
      <c r="G73" s="69"/>
      <c r="H73" s="69"/>
      <c r="J73" s="69"/>
      <c r="K73" s="69"/>
      <c r="L73" s="69"/>
      <c r="M73" s="69"/>
      <c r="N73" s="69"/>
      <c r="O73" s="69"/>
      <c r="P73" s="69"/>
    </row>
    <row r="74" spans="1:71" x14ac:dyDescent="0.25">
      <c r="A74" s="69"/>
      <c r="B74" s="27"/>
      <c r="C74" s="27"/>
      <c r="D74" s="69"/>
      <c r="E74" s="69"/>
      <c r="F74" s="69"/>
      <c r="G74" s="69"/>
      <c r="H74" s="69"/>
      <c r="J74" s="69"/>
      <c r="K74" s="69"/>
      <c r="L74" s="69"/>
      <c r="M74" s="69"/>
      <c r="N74" s="69"/>
      <c r="O74" s="69"/>
      <c r="P74" s="69"/>
      <c r="BD74" s="89">
        <f t="shared" ref="BD74:BJ74" si="38">BD68/($BC$62-$BK$62)</f>
        <v>-1.564382416757845E-3</v>
      </c>
      <c r="BE74" s="89">
        <f t="shared" si="38"/>
        <v>1.9076538413005596E-3</v>
      </c>
      <c r="BF74" s="89">
        <f t="shared" si="38"/>
        <v>-7.1922937444393624E-3</v>
      </c>
      <c r="BG74" s="89">
        <f t="shared" si="38"/>
        <v>2.581509948271736E-2</v>
      </c>
      <c r="BH74" s="89">
        <f t="shared" si="38"/>
        <v>1.2506724340911461E-2</v>
      </c>
      <c r="BI74" s="89">
        <f t="shared" si="38"/>
        <v>-2.8167340214442383E-3</v>
      </c>
      <c r="BJ74" s="89">
        <f t="shared" si="38"/>
        <v>-2.8656067482287929E-2</v>
      </c>
      <c r="BK74" s="89"/>
    </row>
    <row r="75" spans="1:71" x14ac:dyDescent="0.25">
      <c r="A75" s="69"/>
      <c r="B75" s="27"/>
      <c r="C75" s="27"/>
      <c r="D75" s="69"/>
      <c r="E75" s="69"/>
      <c r="F75" s="69"/>
      <c r="G75" s="69"/>
      <c r="H75" s="69"/>
      <c r="J75" s="69"/>
      <c r="K75" s="69"/>
      <c r="L75" s="69"/>
      <c r="M75" s="69"/>
      <c r="N75" s="69"/>
      <c r="O75" s="69"/>
      <c r="P75" s="69"/>
      <c r="BD75" s="929">
        <v>-1.6141358737525036E-3</v>
      </c>
      <c r="BE75" s="929">
        <v>2.072232403331653E-3</v>
      </c>
      <c r="BF75" s="929">
        <v>-7.5253543179601839E-3</v>
      </c>
      <c r="BG75" s="929">
        <v>2.5442965588794525E-2</v>
      </c>
      <c r="BH75" s="929">
        <v>1.2743317416230748E-2</v>
      </c>
      <c r="BI75" s="929">
        <v>-2.7591213729237091E-3</v>
      </c>
      <c r="BJ75" s="929">
        <v>-2.8326570510387103E-2</v>
      </c>
      <c r="BK75" s="929"/>
    </row>
    <row r="76" spans="1:71" x14ac:dyDescent="0.25">
      <c r="A76" s="930" t="s">
        <v>946</v>
      </c>
      <c r="B76" s="27"/>
      <c r="C76" s="27"/>
      <c r="D76" s="69"/>
      <c r="E76" s="69"/>
      <c r="F76" s="69"/>
      <c r="G76" s="69"/>
      <c r="H76" s="69"/>
      <c r="J76" s="69"/>
      <c r="K76" s="69"/>
      <c r="L76" s="69"/>
      <c r="M76" s="69"/>
      <c r="N76" s="69"/>
      <c r="O76" s="69"/>
      <c r="P76" s="69"/>
      <c r="BD76" s="771">
        <f>BD74-BD75</f>
        <v>4.9753456994658515E-5</v>
      </c>
      <c r="BE76" s="771">
        <f t="shared" ref="BE76:BJ76" si="39">BE74-BE75</f>
        <v>-1.645785620310934E-4</v>
      </c>
      <c r="BF76" s="771">
        <f t="shared" si="39"/>
        <v>3.3306057352082159E-4</v>
      </c>
      <c r="BG76" s="771">
        <f t="shared" si="39"/>
        <v>3.7213389392283525E-4</v>
      </c>
      <c r="BH76" s="771">
        <f t="shared" si="39"/>
        <v>-2.3659307531928749E-4</v>
      </c>
      <c r="BI76" s="771">
        <f t="shared" si="39"/>
        <v>-5.7612648520529233E-5</v>
      </c>
      <c r="BJ76" s="771">
        <f t="shared" si="39"/>
        <v>-3.2949697190082575E-4</v>
      </c>
      <c r="BK76" s="771"/>
      <c r="BL76" s="177" t="s">
        <v>947</v>
      </c>
      <c r="BM76" s="177" t="s">
        <v>948</v>
      </c>
    </row>
    <row r="77" spans="1:71" x14ac:dyDescent="0.25">
      <c r="A77" s="69"/>
      <c r="B77" s="27"/>
      <c r="C77" s="27"/>
      <c r="D77" s="69"/>
      <c r="E77" s="69"/>
      <c r="F77" s="69"/>
      <c r="G77" s="69"/>
      <c r="H77" s="69"/>
      <c r="J77" s="69"/>
      <c r="K77" s="69"/>
      <c r="L77" s="69"/>
      <c r="M77" s="69"/>
      <c r="N77" s="69"/>
      <c r="O77" s="69"/>
      <c r="P77" s="69"/>
      <c r="BD77" s="65"/>
      <c r="BE77" s="65"/>
      <c r="BF77" s="65"/>
      <c r="BG77" s="65"/>
      <c r="BH77" s="65"/>
      <c r="BI77" s="65"/>
      <c r="BJ77" s="65"/>
      <c r="BK77" s="65"/>
    </row>
    <row r="78" spans="1:71" ht="15" customHeight="1" x14ac:dyDescent="0.25">
      <c r="A78" s="199" t="str">
        <f>'Cost Allocation - Tier 1 (2)'!A67</f>
        <v>Corporate cost allocation (including mark ups)</v>
      </c>
      <c r="B78" s="653"/>
      <c r="C78" s="653"/>
      <c r="D78" s="656"/>
      <c r="E78" s="656"/>
      <c r="F78" s="659"/>
      <c r="G78" s="659"/>
      <c r="H78" s="659"/>
      <c r="I78" s="773"/>
      <c r="J78" s="774"/>
      <c r="K78" s="656"/>
      <c r="L78" s="659"/>
      <c r="M78" s="656"/>
      <c r="N78" s="656"/>
      <c r="O78" s="656"/>
      <c r="P78" s="656"/>
      <c r="Q78" s="656"/>
      <c r="R78" s="656"/>
      <c r="S78" s="656"/>
      <c r="T78" s="656"/>
      <c r="U78" s="656"/>
      <c r="V78" s="656"/>
      <c r="W78" s="656"/>
      <c r="X78" s="656"/>
      <c r="Y78" s="656"/>
      <c r="Z78" s="656"/>
      <c r="AA78" s="656"/>
      <c r="AB78" s="656"/>
      <c r="AC78" s="656"/>
      <c r="AD78" s="656"/>
      <c r="AE78" s="656"/>
      <c r="AF78" s="656"/>
      <c r="AG78" s="656"/>
      <c r="AH78" s="656"/>
      <c r="AI78" s="656"/>
      <c r="AJ78" s="656"/>
      <c r="AK78" s="656"/>
      <c r="AL78" s="656"/>
      <c r="AM78" s="656"/>
      <c r="AN78" s="656"/>
      <c r="AO78" s="656"/>
      <c r="AP78" s="656"/>
      <c r="AQ78" s="656"/>
      <c r="AR78" s="656"/>
      <c r="AS78" s="656"/>
      <c r="AT78" s="656"/>
      <c r="AU78" s="656"/>
      <c r="AV78" s="656"/>
      <c r="AW78" s="661"/>
      <c r="AX78" s="656"/>
      <c r="AY78" s="656"/>
      <c r="AZ78" s="656"/>
      <c r="BA78" s="656"/>
      <c r="BB78" s="656"/>
      <c r="BC78" s="658"/>
      <c r="BD78" s="656"/>
      <c r="BE78" s="656"/>
      <c r="BF78" s="656"/>
      <c r="BG78" s="656"/>
      <c r="BH78" s="656"/>
      <c r="BI78" s="656"/>
      <c r="BJ78" s="656"/>
      <c r="BK78" s="656"/>
    </row>
    <row r="79" spans="1:71" x14ac:dyDescent="0.25">
      <c r="A79" s="1"/>
      <c r="B79" s="653"/>
      <c r="C79" s="653"/>
      <c r="D79" s="656"/>
      <c r="E79" s="656"/>
      <c r="F79" s="656"/>
      <c r="G79" s="656"/>
      <c r="H79" s="656"/>
      <c r="I79" s="658"/>
      <c r="J79" s="661"/>
      <c r="K79" s="661"/>
      <c r="L79" s="661"/>
      <c r="M79" s="661"/>
      <c r="N79" s="661"/>
      <c r="O79" s="661"/>
      <c r="P79" s="661"/>
      <c r="Q79" s="661"/>
      <c r="R79" s="661"/>
      <c r="S79" s="661"/>
      <c r="T79" s="661"/>
      <c r="U79" s="661"/>
      <c r="V79" s="661"/>
      <c r="W79" s="661"/>
      <c r="X79" s="661"/>
      <c r="Y79" s="661"/>
      <c r="Z79" s="661"/>
      <c r="AA79" s="661"/>
      <c r="AB79" s="661"/>
      <c r="AC79" s="661"/>
      <c r="AD79" s="661"/>
      <c r="AE79" s="661"/>
      <c r="AF79" s="661"/>
      <c r="AG79" s="661"/>
      <c r="AH79" s="661"/>
      <c r="AI79" s="661"/>
      <c r="AJ79" s="661"/>
      <c r="AK79" s="661"/>
      <c r="AL79" s="661"/>
      <c r="AM79" s="661"/>
      <c r="AN79" s="661"/>
      <c r="AO79" s="661"/>
      <c r="AP79" s="661"/>
      <c r="AQ79" s="661"/>
      <c r="AR79" s="661"/>
      <c r="AS79" s="661"/>
      <c r="AT79" s="661"/>
      <c r="AU79" s="661"/>
      <c r="AV79" s="661"/>
      <c r="AW79" s="661"/>
      <c r="AX79" s="661"/>
      <c r="AY79" s="661"/>
      <c r="AZ79" s="661"/>
      <c r="BA79" s="661"/>
      <c r="BB79" s="661"/>
      <c r="BC79" s="658"/>
      <c r="BD79" s="656"/>
      <c r="BE79" s="656"/>
      <c r="BF79" s="656"/>
      <c r="BG79" s="656"/>
      <c r="BH79" s="656"/>
      <c r="BI79" s="656"/>
      <c r="BJ79" s="656"/>
      <c r="BK79" s="656"/>
    </row>
    <row r="80" spans="1:71" x14ac:dyDescent="0.25">
      <c r="A80" s="693" t="str">
        <f>'Cost Allocation - Tier 1 (2)'!A69</f>
        <v>6300 - BD ($Cdn)</v>
      </c>
      <c r="B80" s="693" t="str">
        <f>'Cost Allocation - Tier 1 (2)'!B69</f>
        <v>ALL</v>
      </c>
      <c r="C80" s="693" t="str">
        <f>'Cost Allocation - Tier 1 (2)'!C69</f>
        <v>Y</v>
      </c>
      <c r="D80" s="778">
        <f>'Cost Allocation - Tier 1 (2)'!D69</f>
        <v>301462</v>
      </c>
      <c r="E80" s="778">
        <f>'Cost Allocation - Tier 1 (2)'!E69</f>
        <v>226799.57869395125</v>
      </c>
      <c r="F80" s="778">
        <f>'Cost Allocation - Tier 1 (2)'!F69</f>
        <v>38611.194703581103</v>
      </c>
      <c r="G80" s="778">
        <f>'Cost Allocation - Tier 1 (2)'!G69</f>
        <v>238090.88173337348</v>
      </c>
      <c r="H80" s="778">
        <f>'Cost Allocation - Tier 1 (2)'!H69</f>
        <v>0</v>
      </c>
      <c r="I80" s="688">
        <f>'Cost Allocation - Tier 1 (2)'!I69</f>
        <v>87637.907743313423</v>
      </c>
      <c r="J80" s="931">
        <f>'Cost Allocation - Tier 1 (2)'!J69</f>
        <v>542.70345715582278</v>
      </c>
      <c r="K80" s="931">
        <f>'Cost Allocation - Tier 1 (2)'!K69</f>
        <v>160.97248189699172</v>
      </c>
      <c r="L80" s="931">
        <f>'Cost Allocation - Tier 1 (2)'!L69</f>
        <v>169.01791690915769</v>
      </c>
      <c r="M80" s="931">
        <f>'Cost Allocation - Tier 1 (2)'!M69</f>
        <v>161.61995611874002</v>
      </c>
      <c r="N80" s="931">
        <f>'Cost Allocation - Tier 1 (2)'!N69</f>
        <v>282.83228875944093</v>
      </c>
      <c r="O80" s="931">
        <f>'Cost Allocation - Tier 1 (2)'!O69</f>
        <v>647.67425400162551</v>
      </c>
      <c r="P80" s="931">
        <f>'Cost Allocation - Tier 1 (2)'!P69</f>
        <v>78.351521075132041</v>
      </c>
      <c r="Q80" s="931">
        <f>'Cost Allocation - Tier 1 (2)'!Q69</f>
        <v>207.46973531021285</v>
      </c>
      <c r="R80" s="931">
        <f>'Cost Allocation - Tier 1 (2)'!R69</f>
        <v>177.45347371971593</v>
      </c>
      <c r="S80" s="931">
        <f>'Cost Allocation - Tier 1 (2)'!S69</f>
        <v>182.55630895276022</v>
      </c>
      <c r="T80" s="931">
        <f>'Cost Allocation - Tier 1 (2)'!T69</f>
        <v>661.25528116220278</v>
      </c>
      <c r="U80" s="931">
        <f>'Cost Allocation - Tier 1 (2)'!U69</f>
        <v>527.93408853178585</v>
      </c>
      <c r="V80" s="931">
        <f>'Cost Allocation - Tier 1 (2)'!V69</f>
        <v>418.9224165773897</v>
      </c>
      <c r="W80" s="931">
        <f>'Cost Allocation - Tier 1 (2)'!W69</f>
        <v>671.81058187333019</v>
      </c>
      <c r="X80" s="931">
        <f>'Cost Allocation - Tier 1 (2)'!X69</f>
        <v>16.610423345084033</v>
      </c>
      <c r="Y80" s="931">
        <f>'Cost Allocation - Tier 1 (2)'!Y69</f>
        <v>13.10242753854806</v>
      </c>
      <c r="Z80" s="931">
        <f>'Cost Allocation - Tier 1 (2)'!Z69</f>
        <v>63.352622388467942</v>
      </c>
      <c r="AA80" s="931">
        <f>'Cost Allocation - Tier 1 (2)'!AA69</f>
        <v>57.907513966978868</v>
      </c>
      <c r="AB80" s="931">
        <f>'Cost Allocation - Tier 1 (2)'!AB69</f>
        <v>34.838599014969432</v>
      </c>
      <c r="AC80" s="931">
        <f>'Cost Allocation - Tier 1 (2)'!AC69</f>
        <v>35.63287075080855</v>
      </c>
      <c r="AD80" s="931">
        <f>'Cost Allocation - Tier 1 (2)'!AD69</f>
        <v>202.17434935397696</v>
      </c>
      <c r="AE80" s="931">
        <f>'Cost Allocation - Tier 1 (2)'!AE69</f>
        <v>81.089008779167202</v>
      </c>
      <c r="AF80" s="931">
        <f>'Cost Allocation - Tier 1 (2)'!AF69</f>
        <v>210.99012413065398</v>
      </c>
      <c r="AG80" s="931">
        <f>'Cost Allocation - Tier 1 (2)'!AG69</f>
        <v>655.44190178083124</v>
      </c>
      <c r="AH80" s="931">
        <f>'Cost Allocation - Tier 1 (2)'!AH69</f>
        <v>5367.2674290987779</v>
      </c>
      <c r="AI80" s="931">
        <f>'Cost Allocation - Tier 1 (2)'!AI69</f>
        <v>37.278447252890423</v>
      </c>
      <c r="AJ80" s="931">
        <f>'Cost Allocation - Tier 1 (2)'!AJ69</f>
        <v>790.99004039629062</v>
      </c>
      <c r="AK80" s="931">
        <f>'Cost Allocation - Tier 1 (2)'!AK69</f>
        <v>680.12779056918339</v>
      </c>
      <c r="AL80" s="931">
        <f>'Cost Allocation - Tier 1 (2)'!AL69</f>
        <v>0</v>
      </c>
      <c r="AM80" s="931">
        <f>'Cost Allocation - Tier 1 (2)'!AM69</f>
        <v>82.947819781082003</v>
      </c>
      <c r="AN80" s="931">
        <f>'Cost Allocation - Tier 1 (2)'!AN69</f>
        <v>140.27261530094282</v>
      </c>
      <c r="AO80" s="931">
        <f>'Cost Allocation - Tier 1 (2)'!AO69</f>
        <v>826.96616005115425</v>
      </c>
      <c r="AP80" s="931">
        <f>'Cost Allocation - Tier 1 (2)'!AP69</f>
        <v>125.24841899275664</v>
      </c>
      <c r="AQ80" s="931">
        <f>'Cost Allocation - Tier 1 (2)'!AQ69</f>
        <v>785.93257680746865</v>
      </c>
      <c r="AR80" s="931">
        <f>'Cost Allocation - Tier 1 (2)'!AR69</f>
        <v>2.3744170555882205</v>
      </c>
      <c r="AS80" s="931">
        <f>'Cost Allocation - Tier 1 (2)'!AS69</f>
        <v>1158.2954836363283</v>
      </c>
      <c r="AT80" s="931">
        <f>'Cost Allocation - Tier 1 (2)'!AT69</f>
        <v>960.92155853553299</v>
      </c>
      <c r="AU80" s="931">
        <f>'Cost Allocation - Tier 1 (2)'!AU69</f>
        <v>1343.3754701855983</v>
      </c>
      <c r="AV80" s="931">
        <f>'Cost Allocation - Tier 1 (2)'!AV69</f>
        <v>1888.1191946170513</v>
      </c>
      <c r="AW80" s="931">
        <f>'Cost Allocation - Tier 1 (2)'!AW69</f>
        <v>4835.7154951408238</v>
      </c>
      <c r="AX80" s="931">
        <f>'Cost Allocation - Tier 1 (2)'!AX69</f>
        <v>50.370529242406107</v>
      </c>
      <c r="AY80" s="931">
        <f>'Cost Allocation - Tier 1 (2)'!AY69</f>
        <v>16337.113458142077</v>
      </c>
      <c r="AZ80" s="931">
        <f>'Cost Allocation - Tier 1 (2)'!AZ69</f>
        <v>549.43007190100752</v>
      </c>
      <c r="BA80" s="931">
        <f>'Cost Allocation - Tier 1 (2)'!BA69</f>
        <v>9907.4818986806531</v>
      </c>
      <c r="BB80" s="931">
        <f>'Cost Allocation - Tier 1 (2)'!BB69</f>
        <v>35505.965264832019</v>
      </c>
      <c r="BC80" s="688">
        <f>'Cost Allocation - Tier 1 (2)'!BC69</f>
        <v>147423.83823387758</v>
      </c>
      <c r="BD80" s="932">
        <v>23484.133218217266</v>
      </c>
      <c r="BE80" s="932">
        <v>21830.484663041992</v>
      </c>
      <c r="BF80" s="932">
        <v>12330.633465499206</v>
      </c>
      <c r="BG80" s="932">
        <v>27632.795564819993</v>
      </c>
      <c r="BH80" s="932">
        <v>20690.412156480848</v>
      </c>
      <c r="BI80" s="932">
        <v>13588.666804921215</v>
      </c>
      <c r="BJ80" s="932">
        <v>4311.510306424384</v>
      </c>
      <c r="BK80" s="931">
        <f>'Cost Allocation - Tier 1 (2)'!BK69</f>
        <v>23555.20205447268</v>
      </c>
      <c r="BL80" s="76">
        <f>BC80+I80+H80</f>
        <v>235061.74597719102</v>
      </c>
      <c r="BM80" s="76">
        <f>BL80-G80</f>
        <v>-3029.1357561824552</v>
      </c>
      <c r="BN80" s="76">
        <f>SUM(BD80:BK80)-'Cost Allocation - Tier 1 (2)'!BC69</f>
        <v>0</v>
      </c>
    </row>
    <row r="81" spans="1:98" x14ac:dyDescent="0.25">
      <c r="A81" s="693" t="str">
        <f>'Cost Allocation - Tier 1 (2)'!A70</f>
        <v>6300 - BD ($Usd)</v>
      </c>
      <c r="B81" s="693" t="str">
        <f>'Cost Allocation - Tier 1 (2)'!B70</f>
        <v>ALL</v>
      </c>
      <c r="C81" s="693" t="str">
        <f>'Cost Allocation - Tier 1 (2)'!C70</f>
        <v>Y</v>
      </c>
      <c r="D81" s="778">
        <f>'Cost Allocation - Tier 1 (2)'!D70</f>
        <v>152564.24679999999</v>
      </c>
      <c r="E81" s="778">
        <f>'Cost Allocation - Tier 1 (2)'!E70</f>
        <v>114779</v>
      </c>
      <c r="F81" s="778">
        <f>'Cost Allocation - Tier 1 (2)'!F70</f>
        <v>0</v>
      </c>
      <c r="G81" s="778">
        <f>'Cost Allocation - Tier 1 (2)'!G70</f>
        <v>121665.74</v>
      </c>
      <c r="H81" s="778">
        <f>'Cost Allocation - Tier 1 (2)'!H70</f>
        <v>0</v>
      </c>
      <c r="I81" s="688">
        <f>'Cost Allocation - Tier 1 (2)'!I70</f>
        <v>44478.20717682012</v>
      </c>
      <c r="J81" s="931">
        <f>'Cost Allocation - Tier 1 (2)'!J70</f>
        <v>291.1311303823972</v>
      </c>
      <c r="K81" s="931">
        <f>'Cost Allocation - Tier 1 (2)'!K70</f>
        <v>86.35305339813857</v>
      </c>
      <c r="L81" s="931">
        <f>'Cost Allocation - Tier 1 (2)'!L70</f>
        <v>90.668995297210472</v>
      </c>
      <c r="M81" s="931">
        <f>'Cost Allocation - Tier 1 (2)'!M70</f>
        <v>86.700388392204985</v>
      </c>
      <c r="N81" s="931">
        <f>'Cost Allocation - Tier 1 (2)'!N70</f>
        <v>151.72426644692356</v>
      </c>
      <c r="O81" s="931">
        <f>'Cost Allocation - Tier 1 (2)'!O70</f>
        <v>347.44230058024056</v>
      </c>
      <c r="P81" s="931">
        <f>'Cost Allocation - Tier 1 (2)'!P70</f>
        <v>42.031364637564792</v>
      </c>
      <c r="Q81" s="931">
        <f>'Cost Allocation - Tier 1 (2)'!Q70</f>
        <v>111.29632171047054</v>
      </c>
      <c r="R81" s="931">
        <f>'Cost Allocation - Tier 1 (2)'!R70</f>
        <v>95.194216497261934</v>
      </c>
      <c r="S81" s="931">
        <f>'Cost Allocation - Tier 1 (2)'!S70</f>
        <v>97.931612343857338</v>
      </c>
      <c r="T81" s="931">
        <f>'Cost Allocation - Tier 1 (2)'!T70</f>
        <v>354.72778906733095</v>
      </c>
      <c r="U81" s="931">
        <f>'Cost Allocation - Tier 1 (2)'!U70</f>
        <v>283.20816080139525</v>
      </c>
      <c r="V81" s="931">
        <f>'Cost Allocation - Tier 1 (2)'!V70</f>
        <v>224.7292790797222</v>
      </c>
      <c r="W81" s="931">
        <f>'Cost Allocation - Tier 1 (2)'!W70</f>
        <v>360.39013852731301</v>
      </c>
      <c r="X81" s="931">
        <f>'Cost Allocation - Tier 1 (2)'!X70</f>
        <v>8.9105961291048121</v>
      </c>
      <c r="Y81" s="931">
        <f>'Cost Allocation - Tier 1 (2)'!Y70</f>
        <v>7.028745606379486</v>
      </c>
      <c r="Z81" s="931">
        <f>'Cost Allocation - Tier 1 (2)'!Z70</f>
        <v>33.985264559219786</v>
      </c>
      <c r="AA81" s="931">
        <f>'Cost Allocation - Tier 1 (2)'!AA70</f>
        <v>31.064257609843256</v>
      </c>
      <c r="AB81" s="931">
        <f>'Cost Allocation - Tier 1 (2)'!AB70</f>
        <v>18.68902911605176</v>
      </c>
      <c r="AC81" s="931">
        <f>'Cost Allocation - Tier 1 (2)'!AC70</f>
        <v>19.115113057911078</v>
      </c>
      <c r="AD81" s="931">
        <f>'Cost Allocation - Tier 1 (2)'!AD70</f>
        <v>108.45563278740849</v>
      </c>
      <c r="AE81" s="931">
        <f>'Cost Allocation - Tier 1 (2)'!AE70</f>
        <v>43.499879125864503</v>
      </c>
      <c r="AF81" s="931">
        <f>'Cost Allocation - Tier 1 (2)'!AF70</f>
        <v>113.18482041665496</v>
      </c>
      <c r="AG81" s="931">
        <f>'Cost Allocation - Tier 1 (2)'!AG70</f>
        <v>351.60922461316261</v>
      </c>
      <c r="AH81" s="931">
        <f>'Cost Allocation - Tier 1 (2)'!AH70</f>
        <v>2879.2494558395592</v>
      </c>
      <c r="AI81" s="931">
        <f>'Cost Allocation - Tier 1 (2)'!AI70</f>
        <v>19.997876085979001</v>
      </c>
      <c r="AJ81" s="931">
        <f>'Cost Allocation - Tier 1 (2)'!AJ70</f>
        <v>424.32348927467928</v>
      </c>
      <c r="AK81" s="931">
        <f>'Cost Allocation - Tier 1 (2)'!AK70</f>
        <v>364.85187234773122</v>
      </c>
      <c r="AL81" s="931">
        <f>'Cost Allocation - Tier 1 (2)'!AL70</f>
        <v>0</v>
      </c>
      <c r="AM81" s="931">
        <f>'Cost Allocation - Tier 1 (2)'!AM70</f>
        <v>44.497030960847773</v>
      </c>
      <c r="AN81" s="931">
        <f>'Cost Allocation - Tier 1 (2)'!AN70</f>
        <v>75.248691556673037</v>
      </c>
      <c r="AO81" s="931">
        <f>'Cost Allocation - Tier 1 (2)'!AO70</f>
        <v>443.62273685416454</v>
      </c>
      <c r="AP81" s="931">
        <f>'Cost Allocation - Tier 1 (2)'!AP70</f>
        <v>67.189020668979765</v>
      </c>
      <c r="AQ81" s="931">
        <f>'Cost Allocation - Tier 1 (2)'!AQ70</f>
        <v>421.61043286778261</v>
      </c>
      <c r="AR81" s="931">
        <f>'Cost Allocation - Tier 1 (2)'!AR70</f>
        <v>1.2737466700790947</v>
      </c>
      <c r="AS81" s="931">
        <f>'Cost Allocation - Tier 1 (2)'!AS70</f>
        <v>621.36304646949611</v>
      </c>
      <c r="AT81" s="931">
        <f>'Cost Allocation - Tier 1 (2)'!AT70</f>
        <v>515.48258235056846</v>
      </c>
      <c r="AU81" s="931">
        <f>'Cost Allocation - Tier 1 (2)'!AU70</f>
        <v>720.64847571226005</v>
      </c>
      <c r="AV81" s="931">
        <f>'Cost Allocation - Tier 1 (2)'!AV70</f>
        <v>1012.8740994324174</v>
      </c>
      <c r="AW81" s="931">
        <f>'Cost Allocation - Tier 1 (2)'!AW70</f>
        <v>2594.1005161199878</v>
      </c>
      <c r="AX81" s="931">
        <f>'Cost Allocation - Tier 1 (2)'!AX70</f>
        <v>27.021071863359783</v>
      </c>
      <c r="AY81" s="931">
        <f>'Cost Allocation - Tier 1 (2)'!AY70</f>
        <v>7875.8057929828165</v>
      </c>
      <c r="AZ81" s="931">
        <f>'Cost Allocation - Tier 1 (2)'!AZ70</f>
        <v>264.86958998012784</v>
      </c>
      <c r="BA81" s="931">
        <f>'Cost Allocation - Tier 1 (2)'!BA70</f>
        <v>4776.2050212495305</v>
      </c>
      <c r="BB81" s="931">
        <f>'Cost Allocation - Tier 1 (2)'!BB70</f>
        <v>17968.901047349449</v>
      </c>
      <c r="BC81" s="688">
        <f>'Cost Allocation - Tier 1 (2)'!BC70</f>
        <v>71070.175411402044</v>
      </c>
      <c r="BD81" s="932">
        <v>11321.245513603093</v>
      </c>
      <c r="BE81" s="932">
        <v>10524.053592045109</v>
      </c>
      <c r="BF81" s="932">
        <v>5944.3594321325463</v>
      </c>
      <c r="BG81" s="932">
        <v>13321.235231873634</v>
      </c>
      <c r="BH81" s="932">
        <v>9974.4467306739061</v>
      </c>
      <c r="BI81" s="932">
        <v>6550.8329250033084</v>
      </c>
      <c r="BJ81" s="932">
        <v>2078.4955637875555</v>
      </c>
      <c r="BK81" s="931">
        <f>'Cost Allocation - Tier 1 (2)'!BK70</f>
        <v>11355.506422282895</v>
      </c>
      <c r="BL81" s="76">
        <f t="shared" ref="BL81:BL96" si="40">BC81+I81+H81</f>
        <v>115548.38258822216</v>
      </c>
      <c r="BM81" s="76">
        <f t="shared" ref="BM81:BM96" si="41">BL81-G81</f>
        <v>-6117.357411777848</v>
      </c>
      <c r="BN81" s="76">
        <f>SUM(BD81:BK81)-'Cost Allocation - Tier 1 (2)'!BC70</f>
        <v>0</v>
      </c>
    </row>
    <row r="82" spans="1:98" x14ac:dyDescent="0.25">
      <c r="A82" s="693" t="str">
        <f>'Cost Allocation - Tier 1 (2)'!A71</f>
        <v>7501 - Corp Communications</v>
      </c>
      <c r="B82" s="693" t="str">
        <f>'Cost Allocation - Tier 1 (2)'!B71</f>
        <v>ALL</v>
      </c>
      <c r="C82" s="693" t="str">
        <f>'Cost Allocation - Tier 1 (2)'!C71</f>
        <v>Y</v>
      </c>
      <c r="D82" s="778">
        <f>'Cost Allocation - Tier 1 (2)'!D71</f>
        <v>81200</v>
      </c>
      <c r="E82" s="778">
        <f>'Cost Allocation - Tier 1 (2)'!E71</f>
        <v>61089.377068913636</v>
      </c>
      <c r="F82" s="778">
        <f>'Cost Allocation - Tier 1 (2)'!F71</f>
        <v>4616.3105627445084</v>
      </c>
      <c r="G82" s="778">
        <f>'Cost Allocation - Tier 1 (2)'!G71</f>
        <v>64477.761059283788</v>
      </c>
      <c r="H82" s="778">
        <f>'Cost Allocation - Tier 1 (2)'!H71</f>
        <v>0</v>
      </c>
      <c r="I82" s="688">
        <f>'Cost Allocation - Tier 1 (2)'!I71</f>
        <v>23644.675570435567</v>
      </c>
      <c r="J82" s="931">
        <f>'Cost Allocation - Tier 1 (2)'!J71</f>
        <v>146.17935501341069</v>
      </c>
      <c r="K82" s="931">
        <f>'Cost Allocation - Tier 1 (2)'!K71</f>
        <v>43.35858426612883</v>
      </c>
      <c r="L82" s="931">
        <f>'Cost Allocation - Tier 1 (2)'!L71</f>
        <v>45.525654487211007</v>
      </c>
      <c r="M82" s="931">
        <f>'Cost Allocation - Tier 1 (2)'!M71</f>
        <v>43.532984047215535</v>
      </c>
      <c r="N82" s="931">
        <f>'Cost Allocation - Tier 1 (2)'!N71</f>
        <v>76.182012483386316</v>
      </c>
      <c r="O82" s="931">
        <f>'Cost Allocation - Tier 1 (2)'!O71</f>
        <v>174.45366057722694</v>
      </c>
      <c r="P82" s="931">
        <f>'Cost Allocation - Tier 1 (2)'!P71</f>
        <v>21.104296764768765</v>
      </c>
      <c r="Q82" s="931">
        <f>'Cost Allocation - Tier 1 (2)'!Q71</f>
        <v>55.882806148666454</v>
      </c>
      <c r="R82" s="931">
        <f>'Cost Allocation - Tier 1 (2)'!R71</f>
        <v>47.797805580938672</v>
      </c>
      <c r="S82" s="931">
        <f>'Cost Allocation - Tier 1 (2)'!S71</f>
        <v>49.17227473765891</v>
      </c>
      <c r="T82" s="931">
        <f>'Cost Allocation - Tier 1 (2)'!T71</f>
        <v>178.11176476760212</v>
      </c>
      <c r="U82" s="931">
        <f>'Cost Allocation - Tier 1 (2)'!U71</f>
        <v>142.20116627893736</v>
      </c>
      <c r="V82" s="931">
        <f>'Cost Allocation - Tier 1 (2)'!V71</f>
        <v>112.83843478144524</v>
      </c>
      <c r="W82" s="931">
        <f>'Cost Allocation - Tier 1 (2)'!W71</f>
        <v>180.95487739122814</v>
      </c>
      <c r="X82" s="931">
        <f>'Cost Allocation - Tier 1 (2)'!X71</f>
        <v>4.4740842149950026</v>
      </c>
      <c r="Y82" s="931">
        <f>'Cost Allocation - Tier 1 (2)'!Y71</f>
        <v>3.5291914607151234</v>
      </c>
      <c r="Z82" s="931">
        <f>'Cost Allocation - Tier 1 (2)'!Z71</f>
        <v>17.064283186416851</v>
      </c>
      <c r="AA82" s="931">
        <f>'Cost Allocation - Tier 1 (2)'!AA71</f>
        <v>15.597621372241557</v>
      </c>
      <c r="AB82" s="931">
        <f>'Cost Allocation - Tier 1 (2)'!AB71</f>
        <v>9.3839165135755689</v>
      </c>
      <c r="AC82" s="931">
        <f>'Cost Allocation - Tier 1 (2)'!AC71</f>
        <v>9.5978567944406077</v>
      </c>
      <c r="AD82" s="931">
        <f>'Cost Allocation - Tier 1 (2)'!AD71</f>
        <v>54.456472681608069</v>
      </c>
      <c r="AE82" s="931">
        <f>'Cost Allocation - Tier 1 (2)'!AE71</f>
        <v>21.841650068228756</v>
      </c>
      <c r="AF82" s="931">
        <f>'Cost Allocation - Tier 1 (2)'!AF71</f>
        <v>56.831037010996759</v>
      </c>
      <c r="AG82" s="931">
        <f>'Cost Allocation - Tier 1 (2)'!AG71</f>
        <v>176.54590769186001</v>
      </c>
      <c r="AH82" s="931">
        <f>'Cost Allocation - Tier 1 (2)'!AH71</f>
        <v>1445.6950303614412</v>
      </c>
      <c r="AI82" s="931">
        <f>'Cost Allocation - Tier 1 (2)'!AI71</f>
        <v>10.041099431884291</v>
      </c>
      <c r="AJ82" s="931">
        <f>'Cost Allocation - Tier 1 (2)'!AJ71</f>
        <v>213.0563430222675</v>
      </c>
      <c r="AK82" s="931">
        <f>'Cost Allocation - Tier 1 (2)'!AK71</f>
        <v>183.19515094511976</v>
      </c>
      <c r="AL82" s="931">
        <f>'Cost Allocation - Tier 1 (2)'!AL71</f>
        <v>0</v>
      </c>
      <c r="AM82" s="931">
        <f>'Cost Allocation - Tier 1 (2)'!AM71</f>
        <v>22.342328274289493</v>
      </c>
      <c r="AN82" s="931">
        <f>'Cost Allocation - Tier 1 (2)'!AN71</f>
        <v>37.782992093320409</v>
      </c>
      <c r="AO82" s="931">
        <f>'Cost Allocation - Tier 1 (2)'!AO71</f>
        <v>222.74665528708005</v>
      </c>
      <c r="AP82" s="931">
        <f>'Cost Allocation - Tier 1 (2)'!AP71</f>
        <v>33.73616449904744</v>
      </c>
      <c r="AQ82" s="931">
        <f>'Cost Allocation - Tier 1 (2)'!AQ71</f>
        <v>211.69409490007516</v>
      </c>
      <c r="AR82" s="931">
        <f>'Cost Allocation - Tier 1 (2)'!AR71</f>
        <v>0.63955876665637301</v>
      </c>
      <c r="AS82" s="931">
        <f>'Cost Allocation - Tier 1 (2)'!AS71</f>
        <v>311.99153880512256</v>
      </c>
      <c r="AT82" s="931">
        <f>'Cost Allocation - Tier 1 (2)'!AT71</f>
        <v>258.82807966869882</v>
      </c>
      <c r="AU82" s="931">
        <f>'Cost Allocation - Tier 1 (2)'!AU71</f>
        <v>361.84357623538153</v>
      </c>
      <c r="AV82" s="931">
        <f>'Cost Allocation - Tier 1 (2)'!AV71</f>
        <v>508.57248543068306</v>
      </c>
      <c r="AW82" s="931">
        <f>'Cost Allocation - Tier 1 (2)'!AW71</f>
        <v>1302.5193828921551</v>
      </c>
      <c r="AX82" s="931">
        <f>'Cost Allocation - Tier 1 (2)'!AX71</f>
        <v>13.567504277432565</v>
      </c>
      <c r="AY82" s="931">
        <f>'Cost Allocation - Tier 1 (2)'!AY71</f>
        <v>4424.2790411945489</v>
      </c>
      <c r="AZ82" s="931">
        <f>'Cost Allocation - Tier 1 (2)'!AZ71</f>
        <v>148.79201016395987</v>
      </c>
      <c r="BA82" s="931">
        <f>'Cost Allocation - Tier 1 (2)'!BA71</f>
        <v>2683.0605435687598</v>
      </c>
      <c r="BB82" s="931">
        <f>'Cost Allocation - Tier 1 (2)'!BB71</f>
        <v>9563.6742922967405</v>
      </c>
      <c r="BC82" s="688">
        <f>'Cost Allocation - Tier 1 (2)'!BC71</f>
        <v>39924.0783472392</v>
      </c>
      <c r="BD82" s="932">
        <v>6359.7745503932683</v>
      </c>
      <c r="BE82" s="932">
        <v>5911.9474196759165</v>
      </c>
      <c r="BF82" s="932">
        <v>3339.2779786854935</v>
      </c>
      <c r="BG82" s="932">
        <v>7483.2802367616132</v>
      </c>
      <c r="BH82" s="932">
        <v>5603.2026154518389</v>
      </c>
      <c r="BI82" s="932">
        <v>3679.967939062481</v>
      </c>
      <c r="BJ82" s="932">
        <v>1167.6067950119393</v>
      </c>
      <c r="BK82" s="931">
        <f>'Cost Allocation - Tier 1 (2)'!BK71</f>
        <v>6379.020812196648</v>
      </c>
      <c r="BL82" s="76">
        <f t="shared" si="40"/>
        <v>63568.753917674767</v>
      </c>
      <c r="BM82" s="76">
        <f t="shared" si="41"/>
        <v>-909.00714160902135</v>
      </c>
      <c r="BN82" s="76">
        <f>SUM(BD82:BK82)-'Cost Allocation - Tier 1 (2)'!BC71</f>
        <v>0</v>
      </c>
    </row>
    <row r="83" spans="1:98" x14ac:dyDescent="0.25">
      <c r="A83" s="693" t="str">
        <f>'Cost Allocation - Tier 1 (2)'!A72</f>
        <v xml:space="preserve">8000 - Corporate Functions </v>
      </c>
      <c r="B83" s="693" t="str">
        <f>'Cost Allocation - Tier 1 (2)'!B72</f>
        <v>ALL + TRIBUS</v>
      </c>
      <c r="C83" s="693" t="str">
        <f>'Cost Allocation - Tier 1 (2)'!C72</f>
        <v>Y</v>
      </c>
      <c r="D83" s="778">
        <f>'Cost Allocation - Tier 1 (2)'!D72</f>
        <v>846550</v>
      </c>
      <c r="E83" s="778">
        <f>'Cost Allocation - Tier 1 (2)'!E72</f>
        <v>636886.84923262114</v>
      </c>
      <c r="F83" s="778">
        <f>'Cost Allocation - Tier 1 (2)'!F72</f>
        <v>245055.67258501356</v>
      </c>
      <c r="G83" s="778">
        <f>'Cost Allocation - Tier 1 (2)'!G72</f>
        <v>660396.71983147762</v>
      </c>
      <c r="H83" s="778">
        <f>'Cost Allocation - Tier 1 (2)'!H72</f>
        <v>13207.934396629553</v>
      </c>
      <c r="I83" s="688">
        <f>'Cost Allocation - Tier 1 (2)'!I72</f>
        <v>240274.13348681084</v>
      </c>
      <c r="J83" s="931">
        <f>'Cost Allocation - Tier 1 (2)'!J72</f>
        <v>1493.5119498383096</v>
      </c>
      <c r="K83" s="931">
        <f>'Cost Allocation - Tier 1 (2)'!K72</f>
        <v>442.9939078852405</v>
      </c>
      <c r="L83" s="931">
        <f>'Cost Allocation - Tier 1 (2)'!L72</f>
        <v>465.13482697075744</v>
      </c>
      <c r="M83" s="931">
        <f>'Cost Allocation - Tier 1 (2)'!M72</f>
        <v>444.77574744171062</v>
      </c>
      <c r="N83" s="931">
        <f>'Cost Allocation - Tier 1 (2)'!N72</f>
        <v>778.35030805978408</v>
      </c>
      <c r="O83" s="931">
        <f>'Cost Allocation - Tier 1 (2)'!O72</f>
        <v>1782.3900422957936</v>
      </c>
      <c r="P83" s="931">
        <f>'Cost Allocation - Tier 1 (2)'!P72</f>
        <v>215.62223617845686</v>
      </c>
      <c r="Q83" s="931">
        <f>'Cost Allocation - Tier 1 (2)'!Q72</f>
        <v>570.95366692426728</v>
      </c>
      <c r="R83" s="931">
        <f>'Cost Allocation - Tier 1 (2)'!R72</f>
        <v>488.34935552035415</v>
      </c>
      <c r="S83" s="931">
        <f>'Cost Allocation - Tier 1 (2)'!S72</f>
        <v>502.39228319682076</v>
      </c>
      <c r="T83" s="931">
        <f>'Cost Allocation - Tier 1 (2)'!T72</f>
        <v>1819.7648297380947</v>
      </c>
      <c r="U83" s="931">
        <f>'Cost Allocation - Tier 1 (2)'!U72</f>
        <v>1452.8668641276565</v>
      </c>
      <c r="V83" s="931">
        <f>'Cost Allocation - Tier 1 (2)'!V72</f>
        <v>1152.868342671771</v>
      </c>
      <c r="W83" s="931">
        <f>'Cost Allocation - Tier 1 (2)'!W72</f>
        <v>1848.8128623944986</v>
      </c>
      <c r="X83" s="931">
        <f>'Cost Allocation - Tier 1 (2)'!X72</f>
        <v>45.711641285220921</v>
      </c>
      <c r="Y83" s="931">
        <f>'Cost Allocation - Tier 1 (2)'!Y72</f>
        <v>36.057688305997779</v>
      </c>
      <c r="Z83" s="931">
        <f>'Cost Allocation - Tier 1 (2)'!Z72</f>
        <v>174.34548710384189</v>
      </c>
      <c r="AA83" s="931">
        <f>'Cost Allocation - Tier 1 (2)'!AA72</f>
        <v>159.36062863568554</v>
      </c>
      <c r="AB83" s="931">
        <f>'Cost Allocation - Tier 1 (2)'!AB72</f>
        <v>95.875313227537546</v>
      </c>
      <c r="AC83" s="931">
        <f>'Cost Allocation - Tier 1 (2)'!AC72</f>
        <v>98.061137388510119</v>
      </c>
      <c r="AD83" s="931">
        <f>'Cost Allocation - Tier 1 (2)'!AD72</f>
        <v>556.38084248328812</v>
      </c>
      <c r="AE83" s="931">
        <f>'Cost Allocation - Tier 1 (2)'!AE72</f>
        <v>223.15576216691957</v>
      </c>
      <c r="AF83" s="931">
        <f>'Cost Allocation - Tier 1 (2)'!AF72</f>
        <v>580.64172529588814</v>
      </c>
      <c r="AG83" s="931">
        <f>'Cost Allocation - Tier 1 (2)'!AG72</f>
        <v>1803.7664949927732</v>
      </c>
      <c r="AH83" s="931">
        <f>'Cost Allocation - Tier 1 (2)'!AH72</f>
        <v>14770.641199426458</v>
      </c>
      <c r="AI83" s="931">
        <f>'Cost Allocation - Tier 1 (2)'!AI72</f>
        <v>102.5897397731578</v>
      </c>
      <c r="AJ83" s="931">
        <f>'Cost Allocation - Tier 1 (2)'!AJ72</f>
        <v>2176.7929832732821</v>
      </c>
      <c r="AK83" s="931">
        <f>'Cost Allocation - Tier 1 (2)'!AK72</f>
        <v>1871.7016986692033</v>
      </c>
      <c r="AL83" s="931">
        <f>'Cost Allocation - Tier 1 (2)'!AL72</f>
        <v>0</v>
      </c>
      <c r="AM83" s="931">
        <f>'Cost Allocation - Tier 1 (2)'!AM72</f>
        <v>228.27118276585927</v>
      </c>
      <c r="AN83" s="931">
        <f>'Cost Allocation - Tier 1 (2)'!AN72</f>
        <v>386.02817878655645</v>
      </c>
      <c r="AO83" s="931">
        <f>'Cost Allocation - Tier 1 (2)'!AO72</f>
        <v>2275.7987366085226</v>
      </c>
      <c r="AP83" s="931">
        <f>'Cost Allocation - Tier 1 (2)'!AP72</f>
        <v>344.68181102875906</v>
      </c>
      <c r="AQ83" s="931">
        <f>'Cost Allocation - Tier 1 (2)'!AQ72</f>
        <v>2162.8749176958795</v>
      </c>
      <c r="AR83" s="931">
        <f>'Cost Allocation - Tier 1 (2)'!AR72</f>
        <v>6.5343608920528746</v>
      </c>
      <c r="AS83" s="931">
        <f>'Cost Allocation - Tier 1 (2)'!AS72</f>
        <v>3187.612172807475</v>
      </c>
      <c r="AT83" s="931">
        <f>'Cost Allocation - Tier 1 (2)'!AT72</f>
        <v>2644.4420274219979</v>
      </c>
      <c r="AU83" s="931">
        <f>'Cost Allocation - Tier 1 (2)'!AU72</f>
        <v>3696.9495797145437</v>
      </c>
      <c r="AV83" s="931">
        <f>'Cost Allocation - Tier 1 (2)'!AV72</f>
        <v>5196.0763151541605</v>
      </c>
      <c r="AW83" s="931">
        <f>'Cost Allocation - Tier 1 (2)'!AW72</f>
        <v>13307.818077778409</v>
      </c>
      <c r="AX83" s="931">
        <f>'Cost Allocation - Tier 1 (2)'!AX72</f>
        <v>138.61895728004097</v>
      </c>
      <c r="AY83" s="931">
        <f>'Cost Allocation - Tier 1 (2)'!AY72</f>
        <v>44408.238314337024</v>
      </c>
      <c r="AZ83" s="931">
        <f>'Cost Allocation - Tier 1 (2)'!AZ72</f>
        <v>1493.4842457057923</v>
      </c>
      <c r="BA83" s="931">
        <f>'Cost Allocation - Tier 1 (2)'!BA72</f>
        <v>26930.939690102776</v>
      </c>
      <c r="BB83" s="931">
        <f>'Cost Allocation - Tier 1 (2)'!BB72</f>
        <v>97711.895353459724</v>
      </c>
      <c r="BC83" s="688">
        <f>'Cost Allocation - Tier 1 (2)'!BC72</f>
        <v>400733.76231842849</v>
      </c>
      <c r="BD83" s="932">
        <v>63835.572130428998</v>
      </c>
      <c r="BE83" s="932">
        <v>59340.554126512048</v>
      </c>
      <c r="BF83" s="932">
        <v>33517.653587067725</v>
      </c>
      <c r="BG83" s="932">
        <v>75112.642993998947</v>
      </c>
      <c r="BH83" s="932">
        <v>56241.560433611012</v>
      </c>
      <c r="BI83" s="932">
        <v>36937.293444963849</v>
      </c>
      <c r="BJ83" s="932">
        <v>11719.731130776432</v>
      </c>
      <c r="BK83" s="931">
        <f>'Cost Allocation - Tier 1 (2)'!BK72</f>
        <v>64028.754471069478</v>
      </c>
      <c r="BL83" s="76">
        <f t="shared" si="40"/>
        <v>654215.8302018689</v>
      </c>
      <c r="BM83" s="76">
        <f t="shared" si="41"/>
        <v>-6180.8896296087187</v>
      </c>
      <c r="BN83" s="76">
        <f>SUM(BD83:BK83)-'Cost Allocation - Tier 1 (2)'!BC72</f>
        <v>0</v>
      </c>
    </row>
    <row r="84" spans="1:98" x14ac:dyDescent="0.25">
      <c r="A84" s="693" t="str">
        <f>'Cost Allocation - Tier 1 (2)'!A73</f>
        <v>8000 - Corporate Functions (Vancouver rent)</v>
      </c>
      <c r="B84" s="693" t="str">
        <f>'Cost Allocation - Tier 1 (2)'!B73</f>
        <v>PRORATA CORP. ALL</v>
      </c>
      <c r="C84" s="693" t="str">
        <f>'Cost Allocation - Tier 1 (2)'!C73</f>
        <v>Y</v>
      </c>
      <c r="D84" s="778">
        <f>'Cost Allocation - Tier 1 (2)'!D73</f>
        <v>99934.35555555555</v>
      </c>
      <c r="E84" s="778">
        <f>'Cost Allocation - Tier 1 (2)'!E73</f>
        <v>75183.836560002674</v>
      </c>
      <c r="F84" s="778">
        <f>'Cost Allocation - Tier 1 (2)'!F73</f>
        <v>0</v>
      </c>
      <c r="G84" s="778">
        <f>'Cost Allocation - Tier 1 (2)'!G73</f>
        <v>79694.866753602837</v>
      </c>
      <c r="H84" s="778">
        <f>'Cost Allocation - Tier 1 (2)'!H73</f>
        <v>0</v>
      </c>
      <c r="I84" s="688">
        <f>'Cost Allocation - Tier 1 (2)'!I73</f>
        <v>29138.305453170873</v>
      </c>
      <c r="J84" s="931">
        <f>'Cost Allocation - Tier 1 (2)'!J73</f>
        <v>179.90566057625574</v>
      </c>
      <c r="K84" s="931">
        <f>'Cost Allocation - Tier 1 (2)'!K73</f>
        <v>53.3622189216359</v>
      </c>
      <c r="L84" s="931">
        <f>'Cost Allocation - Tier 1 (2)'!L73</f>
        <v>56.029272689954652</v>
      </c>
      <c r="M84" s="931">
        <f>'Cost Allocation - Tier 1 (2)'!M73</f>
        <v>53.576855987300064</v>
      </c>
      <c r="N84" s="931">
        <f>'Cost Allocation - Tier 1 (2)'!N73</f>
        <v>93.75862466074507</v>
      </c>
      <c r="O84" s="931">
        <f>'Cost Allocation - Tier 1 (2)'!O73</f>
        <v>214.70337615877835</v>
      </c>
      <c r="P84" s="931">
        <f>'Cost Allocation - Tier 1 (2)'!P73</f>
        <v>25.973451929068503</v>
      </c>
      <c r="Q84" s="931">
        <f>'Cost Allocation - Tier 1 (2)'!Q73</f>
        <v>68.776012550529785</v>
      </c>
      <c r="R84" s="931">
        <f>'Cost Allocation - Tier 1 (2)'!R73</f>
        <v>58.825651449517764</v>
      </c>
      <c r="S84" s="931">
        <f>'Cost Allocation - Tier 1 (2)'!S73</f>
        <v>60.517236294441723</v>
      </c>
      <c r="T84" s="931">
        <f>'Cost Allocation - Tier 1 (2)'!T73</f>
        <v>219.20547326247564</v>
      </c>
      <c r="U84" s="931">
        <f>'Cost Allocation - Tier 1 (2)'!U73</f>
        <v>175.00962944992611</v>
      </c>
      <c r="V84" s="931">
        <f>'Cost Allocation - Tier 1 (2)'!V73</f>
        <v>138.87236775592751</v>
      </c>
      <c r="W84" s="931">
        <f>'Cost Allocation - Tier 1 (2)'!W73</f>
        <v>222.70454503358317</v>
      </c>
      <c r="X84" s="931">
        <f>'Cost Allocation - Tier 1 (2)'!X73</f>
        <v>5.5063389498375521</v>
      </c>
      <c r="Y84" s="931">
        <f>'Cost Allocation - Tier 1 (2)'!Y73</f>
        <v>4.3434418012159552</v>
      </c>
      <c r="Z84" s="931">
        <f>'Cost Allocation - Tier 1 (2)'!Z73</f>
        <v>21.001331813449138</v>
      </c>
      <c r="AA84" s="931">
        <f>'Cost Allocation - Tier 1 (2)'!AA73</f>
        <v>19.196283744267486</v>
      </c>
      <c r="AB84" s="931">
        <f>'Cost Allocation - Tier 1 (2)'!AB73</f>
        <v>11.548961199154066</v>
      </c>
      <c r="AC84" s="931">
        <f>'Cost Allocation - Tier 1 (2)'!AC73</f>
        <v>11.812261495898181</v>
      </c>
      <c r="AD84" s="931">
        <f>'Cost Allocation - Tier 1 (2)'!AD73</f>
        <v>67.020597330852439</v>
      </c>
      <c r="AE84" s="931">
        <f>'Cost Allocation - Tier 1 (2)'!AE73</f>
        <v>26.880926401950695</v>
      </c>
      <c r="AF84" s="931">
        <f>'Cost Allocation - Tier 1 (2)'!AF73</f>
        <v>69.943017971033086</v>
      </c>
      <c r="AG84" s="931">
        <f>'Cost Allocation - Tier 1 (2)'!AG73</f>
        <v>217.27834373345598</v>
      </c>
      <c r="AH84" s="931">
        <f>'Cost Allocation - Tier 1 (2)'!AH73</f>
        <v>1779.2438570078812</v>
      </c>
      <c r="AI84" s="931">
        <f>'Cost Allocation - Tier 1 (2)'!AI73</f>
        <v>12.357768482692261</v>
      </c>
      <c r="AJ84" s="931">
        <f>'Cost Allocation - Tier 1 (2)'!AJ73</f>
        <v>262.21241794277938</v>
      </c>
      <c r="AK84" s="931">
        <f>'Cost Allocation - Tier 1 (2)'!AK73</f>
        <v>225.46169150989246</v>
      </c>
      <c r="AL84" s="931">
        <f>'Cost Allocation - Tier 1 (2)'!AL73</f>
        <v>0</v>
      </c>
      <c r="AM84" s="931">
        <f>'Cost Allocation - Tier 1 (2)'!AM73</f>
        <v>27.497120415046648</v>
      </c>
      <c r="AN84" s="931">
        <f>'Cost Allocation - Tier 1 (2)'!AN73</f>
        <v>46.500233569047118</v>
      </c>
      <c r="AO84" s="931">
        <f>'Cost Allocation - Tier 1 (2)'!AO73</f>
        <v>274.13846611169737</v>
      </c>
      <c r="AP84" s="931">
        <f>'Cost Allocation - Tier 1 (2)'!AP73</f>
        <v>41.519727316853668</v>
      </c>
      <c r="AQ84" s="931">
        <f>'Cost Allocation - Tier 1 (2)'!AQ73</f>
        <v>260.53587375314811</v>
      </c>
      <c r="AR84" s="931">
        <f>'Cost Allocation - Tier 1 (2)'!AR73</f>
        <v>0.7871169111540709</v>
      </c>
      <c r="AS84" s="931">
        <f>'Cost Allocation - Tier 1 (2)'!AS73</f>
        <v>383.97380996645353</v>
      </c>
      <c r="AT84" s="931">
        <f>'Cost Allocation - Tier 1 (2)'!AT73</f>
        <v>318.54454853908135</v>
      </c>
      <c r="AU84" s="931">
        <f>'Cost Allocation - Tier 1 (2)'!AU73</f>
        <v>445.3276428940934</v>
      </c>
      <c r="AV84" s="931">
        <f>'Cost Allocation - Tier 1 (2)'!AV73</f>
        <v>625.90965005914381</v>
      </c>
      <c r="AW84" s="931">
        <f>'Cost Allocation - Tier 1 (2)'!AW73</f>
        <v>1603.0349153688107</v>
      </c>
      <c r="AX84" s="931">
        <f>'Cost Allocation - Tier 1 (2)'!AX73</f>
        <v>16.697780744611659</v>
      </c>
      <c r="AY84" s="931">
        <f>'Cost Allocation - Tier 1 (2)'!AY73</f>
        <v>5468.4331911675381</v>
      </c>
      <c r="AZ84" s="931">
        <f>'Cost Allocation - Tier 1 (2)'!AZ73</f>
        <v>183.90774166483158</v>
      </c>
      <c r="BA84" s="931">
        <f>'Cost Allocation - Tier 1 (2)'!BA73</f>
        <v>3316.2775660736734</v>
      </c>
      <c r="BB84" s="931">
        <f>'Cost Allocation - Tier 1 (2)'!BB73</f>
        <v>11770.19245251119</v>
      </c>
      <c r="BC84" s="688">
        <f>'Cost Allocation - Tier 1 (2)'!BC73</f>
        <v>49346.380083176089</v>
      </c>
      <c r="BD84" s="932">
        <v>7860.7162694519266</v>
      </c>
      <c r="BE84" s="932">
        <v>7307.1994766099242</v>
      </c>
      <c r="BF84" s="932">
        <v>4127.3659195438677</v>
      </c>
      <c r="BG84" s="932">
        <v>9249.37546761663</v>
      </c>
      <c r="BH84" s="932">
        <v>6925.5892030943523</v>
      </c>
      <c r="BI84" s="932">
        <v>4548.4605814935931</v>
      </c>
      <c r="BJ84" s="932">
        <v>1443.1684106326409</v>
      </c>
      <c r="BK84" s="931">
        <f>'Cost Allocation - Tier 1 (2)'!BK73</f>
        <v>7884.5047547331533</v>
      </c>
      <c r="BL84" s="76">
        <f t="shared" si="40"/>
        <v>78484.685536346966</v>
      </c>
      <c r="BM84" s="76">
        <f t="shared" si="41"/>
        <v>-1210.1812172558712</v>
      </c>
      <c r="BN84" s="76">
        <f>SUM(BD84:BK84)-'Cost Allocation - Tier 1 (2)'!BC73</f>
        <v>0</v>
      </c>
    </row>
    <row r="85" spans="1:98" x14ac:dyDescent="0.25">
      <c r="A85" s="693" t="str">
        <f>'Cost Allocation - Tier 1 (2)'!A74</f>
        <v>8000 - Corporate Functions ($Usd)</v>
      </c>
      <c r="B85" s="693" t="str">
        <f>'Cost Allocation - Tier 1 (2)'!B74</f>
        <v>ALL CONTRACT</v>
      </c>
      <c r="C85" s="693" t="str">
        <f>'Cost Allocation - Tier 1 (2)'!C74</f>
        <v>Y</v>
      </c>
      <c r="D85" s="778">
        <f>'Cost Allocation - Tier 1 (2)'!D74</f>
        <v>28904.783199999998</v>
      </c>
      <c r="E85" s="778">
        <f>'Cost Allocation - Tier 1 (2)'!E74</f>
        <v>21746</v>
      </c>
      <c r="F85" s="778">
        <f>'Cost Allocation - Tier 1 (2)'!F74</f>
        <v>0</v>
      </c>
      <c r="G85" s="778">
        <f>'Cost Allocation - Tier 1 (2)'!G74</f>
        <v>23050.760000000002</v>
      </c>
      <c r="H85" s="778">
        <f>'Cost Allocation - Tier 1 (2)'!H74</f>
        <v>0</v>
      </c>
      <c r="I85" s="688">
        <f>'Cost Allocation - Tier 1 (2)'!I74</f>
        <v>22129.359544336607</v>
      </c>
      <c r="J85" s="931">
        <f>'Cost Allocation - Tier 1 (2)'!J74</f>
        <v>143.31784411221193</v>
      </c>
      <c r="K85" s="931">
        <f>'Cost Allocation - Tier 1 (2)'!K74</f>
        <v>41.33376515833411</v>
      </c>
      <c r="L85" s="931">
        <f>'Cost Allocation - Tier 1 (2)'!L74</f>
        <v>42.704511275445043</v>
      </c>
      <c r="M85" s="931">
        <f>'Cost Allocation - Tier 1 (2)'!M74</f>
        <v>43.880994568945049</v>
      </c>
      <c r="N85" s="931">
        <f>'Cost Allocation - Tier 1 (2)'!N74</f>
        <v>73.010275259617273</v>
      </c>
      <c r="O85" s="931">
        <f>'Cost Allocation - Tier 1 (2)'!O74</f>
        <v>171.63344123358902</v>
      </c>
      <c r="P85" s="931">
        <f>'Cost Allocation - Tier 1 (2)'!P74</f>
        <v>20.930373668303265</v>
      </c>
      <c r="Q85" s="931">
        <f>'Cost Allocation - Tier 1 (2)'!Q74</f>
        <v>56.051815344235365</v>
      </c>
      <c r="R85" s="931">
        <f>'Cost Allocation - Tier 1 (2)'!R74</f>
        <v>48.113233999826384</v>
      </c>
      <c r="S85" s="931">
        <f>'Cost Allocation - Tier 1 (2)'!S74</f>
        <v>49.352411511603705</v>
      </c>
      <c r="T85" s="931">
        <f>'Cost Allocation - Tier 1 (2)'!T74</f>
        <v>179.68679791194691</v>
      </c>
      <c r="U85" s="931">
        <f>'Cost Allocation - Tier 1 (2)'!U74</f>
        <v>143.16485281706613</v>
      </c>
      <c r="V85" s="931">
        <f>'Cost Allocation - Tier 1 (2)'!V74</f>
        <v>111.79570303765304</v>
      </c>
      <c r="W85" s="931">
        <f>'Cost Allocation - Tier 1 (2)'!W74</f>
        <v>180.3080364854018</v>
      </c>
      <c r="X85" s="931">
        <f>'Cost Allocation - Tier 1 (2)'!X74</f>
        <v>4.3689300530278459</v>
      </c>
      <c r="Y85" s="931">
        <f>'Cost Allocation - Tier 1 (2)'!Y74</f>
        <v>3.3755377091114722</v>
      </c>
      <c r="Z85" s="931">
        <f>'Cost Allocation - Tier 1 (2)'!Z74</f>
        <v>15.926829049918915</v>
      </c>
      <c r="AA85" s="931">
        <f>'Cost Allocation - Tier 1 (2)'!AA74</f>
        <v>14.466965630376848</v>
      </c>
      <c r="AB85" s="931">
        <f>'Cost Allocation - Tier 1 (2)'!AB74</f>
        <v>8.657080897262281</v>
      </c>
      <c r="AC85" s="931">
        <f>'Cost Allocation - Tier 1 (2)'!AC74</f>
        <v>9.1576514986413375</v>
      </c>
      <c r="AD85" s="931">
        <f>'Cost Allocation - Tier 1 (2)'!AD74</f>
        <v>54.059698120108024</v>
      </c>
      <c r="AE85" s="931">
        <f>'Cost Allocation - Tier 1 (2)'!AE74</f>
        <v>21.254572885065205</v>
      </c>
      <c r="AF85" s="931">
        <f>'Cost Allocation - Tier 1 (2)'!AF74</f>
        <v>55.855278846165049</v>
      </c>
      <c r="AG85" s="931">
        <f>'Cost Allocation - Tier 1 (2)'!AG74</f>
        <v>180.96209555543339</v>
      </c>
      <c r="AH85" s="931">
        <f>'Cost Allocation - Tier 1 (2)'!AH74</f>
        <v>1377.0794182460684</v>
      </c>
      <c r="AI85" s="931">
        <f>'Cost Allocation - Tier 1 (2)'!AI74</f>
        <v>10.077219991429804</v>
      </c>
      <c r="AJ85" s="931">
        <f>'Cost Allocation - Tier 1 (2)'!AJ74</f>
        <v>216.0552837459831</v>
      </c>
      <c r="AK85" s="931">
        <f>'Cost Allocation - Tier 1 (2)'!AK74</f>
        <v>183.72132057390453</v>
      </c>
      <c r="AL85" s="931">
        <f>'Cost Allocation - Tier 1 (2)'!AL74</f>
        <v>0</v>
      </c>
      <c r="AM85" s="931">
        <f>'Cost Allocation - Tier 1 (2)'!AM74</f>
        <v>20.900524797308034</v>
      </c>
      <c r="AN85" s="931">
        <f>'Cost Allocation - Tier 1 (2)'!AN74</f>
        <v>36.012327111744646</v>
      </c>
      <c r="AO85" s="931">
        <f>'Cost Allocation - Tier 1 (2)'!AO74</f>
        <v>224.22920221952037</v>
      </c>
      <c r="AP85" s="931">
        <f>'Cost Allocation - Tier 1 (2)'!AP74</f>
        <v>33.586662752363651</v>
      </c>
      <c r="AQ85" s="931">
        <f>'Cost Allocation - Tier 1 (2)'!AQ74</f>
        <v>215.29948866416058</v>
      </c>
      <c r="AR85" s="931">
        <f>'Cost Allocation - Tier 1 (2)'!AR74</f>
        <v>0.58273665000883412</v>
      </c>
      <c r="AS85" s="931">
        <f>'Cost Allocation - Tier 1 (2)'!AS74</f>
        <v>316.31207756364626</v>
      </c>
      <c r="AT85" s="931">
        <f>'Cost Allocation - Tier 1 (2)'!AT74</f>
        <v>264.62166251243542</v>
      </c>
      <c r="AU85" s="931">
        <f>'Cost Allocation - Tier 1 (2)'!AU74</f>
        <v>362.44086746986522</v>
      </c>
      <c r="AV85" s="931">
        <f>'Cost Allocation - Tier 1 (2)'!AV74</f>
        <v>514.08664753123014</v>
      </c>
      <c r="AW85" s="931">
        <f>'Cost Allocation - Tier 1 (2)'!AW74</f>
        <v>1311.9490584503553</v>
      </c>
      <c r="AX85" s="931">
        <f>'Cost Allocation - Tier 1 (2)'!AX74</f>
        <v>12.362088370621196</v>
      </c>
      <c r="AY85" s="931">
        <f>'Cost Allocation - Tier 1 (2)'!AY74</f>
        <v>3984.3550577458318</v>
      </c>
      <c r="AZ85" s="931">
        <f>'Cost Allocation - Tier 1 (2)'!AZ74</f>
        <v>131.68265445699623</v>
      </c>
      <c r="BA85" s="931">
        <f>'Cost Allocation - Tier 1 (2)'!BA74</f>
        <v>2305.1778935745115</v>
      </c>
      <c r="BB85" s="931">
        <f>'Cost Allocation - Tier 1 (2)'!BB74</f>
        <v>8935.4586552793298</v>
      </c>
      <c r="BC85" s="688">
        <f>'Cost Allocation - Tier 1 (2)'!BC74</f>
        <v>0</v>
      </c>
      <c r="BD85" s="932">
        <v>0</v>
      </c>
      <c r="BE85" s="932">
        <v>0</v>
      </c>
      <c r="BF85" s="932">
        <v>0</v>
      </c>
      <c r="BG85" s="932">
        <v>0</v>
      </c>
      <c r="BH85" s="932">
        <v>0</v>
      </c>
      <c r="BI85" s="932">
        <v>0</v>
      </c>
      <c r="BJ85" s="932">
        <v>0</v>
      </c>
      <c r="BK85" s="931">
        <f>'Cost Allocation - Tier 1 (2)'!BK74</f>
        <v>0</v>
      </c>
      <c r="BL85" s="76">
        <f t="shared" si="40"/>
        <v>22129.359544336607</v>
      </c>
      <c r="BM85" s="76">
        <f t="shared" si="41"/>
        <v>-921.40045566339541</v>
      </c>
      <c r="BN85" s="76">
        <f>SUM(BD85:BK85)-'Cost Allocation - Tier 1 (2)'!BC74</f>
        <v>0</v>
      </c>
    </row>
    <row r="86" spans="1:98" x14ac:dyDescent="0.25">
      <c r="A86" s="693" t="str">
        <f>'Cost Allocation - Tier 1 (2)'!A75</f>
        <v>8020 - Finance</v>
      </c>
      <c r="B86" s="693" t="str">
        <f>'Cost Allocation - Tier 1 (2)'!B75</f>
        <v>ALL + TRIBUS</v>
      </c>
      <c r="C86" s="693" t="str">
        <f>'Cost Allocation - Tier 1 (2)'!C75</f>
        <v>Y</v>
      </c>
      <c r="D86" s="778">
        <f>'Cost Allocation - Tier 1 (2)'!D75</f>
        <v>937188</v>
      </c>
      <c r="E86" s="778">
        <f>'Cost Allocation - Tier 1 (2)'!E75</f>
        <v>705076.73788745108</v>
      </c>
      <c r="F86" s="778">
        <f>'Cost Allocation - Tier 1 (2)'!F75</f>
        <v>205935.14896178152</v>
      </c>
      <c r="G86" s="778">
        <f>'Cost Allocation - Tier 1 (2)'!G75</f>
        <v>735025.23322299123</v>
      </c>
      <c r="H86" s="778">
        <f>'Cost Allocation - Tier 1 (2)'!H75</f>
        <v>14700.504664459824</v>
      </c>
      <c r="I86" s="688">
        <f>'Cost Allocation - Tier 1 (2)'!I75</f>
        <v>266432.17190036131</v>
      </c>
      <c r="J86" s="931">
        <f>'Cost Allocation - Tier 1 (2)'!J75</f>
        <v>1653.4185544209624</v>
      </c>
      <c r="K86" s="931">
        <f>'Cost Allocation - Tier 1 (2)'!K75</f>
        <v>490.42416223867787</v>
      </c>
      <c r="L86" s="931">
        <f>'Cost Allocation - Tier 1 (2)'!L75</f>
        <v>514.93565438434848</v>
      </c>
      <c r="M86" s="931">
        <f>'Cost Allocation - Tier 1 (2)'!M75</f>
        <v>492.39677891843587</v>
      </c>
      <c r="N86" s="931">
        <f>'Cost Allocation - Tier 1 (2)'!N75</f>
        <v>861.68633690854983</v>
      </c>
      <c r="O86" s="931">
        <f>'Cost Allocation - Tier 1 (2)'!O75</f>
        <v>1973.2261047299155</v>
      </c>
      <c r="P86" s="931">
        <f>'Cost Allocation - Tier 1 (2)'!P75</f>
        <v>238.70837195631165</v>
      </c>
      <c r="Q86" s="931">
        <f>'Cost Allocation - Tier 1 (2)'!Q75</f>
        <v>632.08425396895666</v>
      </c>
      <c r="R86" s="931">
        <f>'Cost Allocation - Tier 1 (2)'!R75</f>
        <v>540.63570468538137</v>
      </c>
      <c r="S86" s="931">
        <f>'Cost Allocation - Tier 1 (2)'!S75</f>
        <v>556.18217365148189</v>
      </c>
      <c r="T86" s="931">
        <f>'Cost Allocation - Tier 1 (2)'!T75</f>
        <v>2014.602517574373</v>
      </c>
      <c r="U86" s="931">
        <f>'Cost Allocation - Tier 1 (2)'!U75</f>
        <v>1608.4217006178844</v>
      </c>
      <c r="V86" s="931">
        <f>'Cost Allocation - Tier 1 (2)'!V75</f>
        <v>1276.3030846752958</v>
      </c>
      <c r="W86" s="931">
        <f>'Cost Allocation - Tier 1 (2)'!W75</f>
        <v>2046.7606507374346</v>
      </c>
      <c r="X86" s="931">
        <f>'Cost Allocation - Tier 1 (2)'!X75</f>
        <v>50.605872863757163</v>
      </c>
      <c r="Y86" s="931">
        <f>'Cost Allocation - Tier 1 (2)'!Y75</f>
        <v>39.918295184125505</v>
      </c>
      <c r="Z86" s="931">
        <f>'Cost Allocation - Tier 1 (2)'!Z75</f>
        <v>193.01222416617489</v>
      </c>
      <c r="AA86" s="931">
        <f>'Cost Allocation - Tier 1 (2)'!AA75</f>
        <v>176.42297422458316</v>
      </c>
      <c r="AB86" s="931">
        <f>'Cost Allocation - Tier 1 (2)'!AB75</f>
        <v>106.14044421840347</v>
      </c>
      <c r="AC86" s="931">
        <f>'Cost Allocation - Tier 1 (2)'!AC75</f>
        <v>108.56029912806453</v>
      </c>
      <c r="AD86" s="931">
        <f>'Cost Allocation - Tier 1 (2)'!AD75</f>
        <v>615.95115351157972</v>
      </c>
      <c r="AE86" s="931">
        <f>'Cost Allocation - Tier 1 (2)'!AE75</f>
        <v>247.04849380862444</v>
      </c>
      <c r="AF86" s="931">
        <f>'Cost Allocation - Tier 1 (2)'!AF75</f>
        <v>642.8095886204037</v>
      </c>
      <c r="AG86" s="931">
        <f>'Cost Allocation - Tier 1 (2)'!AG75</f>
        <v>1996.8912809748829</v>
      </c>
      <c r="AH86" s="931">
        <f>'Cost Allocation - Tier 1 (2)'!AH75</f>
        <v>16352.096963449392</v>
      </c>
      <c r="AI86" s="931">
        <f>'Cost Allocation - Tier 1 (2)'!AI75</f>
        <v>113.57376769065762</v>
      </c>
      <c r="AJ86" s="931">
        <f>'Cost Allocation - Tier 1 (2)'!AJ75</f>
        <v>2409.8567862594305</v>
      </c>
      <c r="AK86" s="931">
        <f>'Cost Allocation - Tier 1 (2)'!AK75</f>
        <v>2072.1001377029038</v>
      </c>
      <c r="AL86" s="931">
        <f>'Cost Allocation - Tier 1 (2)'!AL75</f>
        <v>0</v>
      </c>
      <c r="AM86" s="931">
        <f>'Cost Allocation - Tier 1 (2)'!AM75</f>
        <v>252.71160975012711</v>
      </c>
      <c r="AN86" s="931">
        <f>'Cost Allocation - Tier 1 (2)'!AN75</f>
        <v>427.35925440979889</v>
      </c>
      <c r="AO86" s="931">
        <f>'Cost Allocation - Tier 1 (2)'!AO75</f>
        <v>2519.4628390108892</v>
      </c>
      <c r="AP86" s="931">
        <f>'Cost Allocation - Tier 1 (2)'!AP75</f>
        <v>381.58603403747048</v>
      </c>
      <c r="AQ86" s="931">
        <f>'Cost Allocation - Tier 1 (2)'!AQ75</f>
        <v>2394.448548066347</v>
      </c>
      <c r="AR86" s="931">
        <f>'Cost Allocation - Tier 1 (2)'!AR75</f>
        <v>7.2339786376483959</v>
      </c>
      <c r="AS86" s="931">
        <f>'Cost Allocation - Tier 1 (2)'!AS75</f>
        <v>3528.9018687721832</v>
      </c>
      <c r="AT86" s="931">
        <f>'Cost Allocation - Tier 1 (2)'!AT75</f>
        <v>2927.5758487928265</v>
      </c>
      <c r="AU86" s="931">
        <f>'Cost Allocation - Tier 1 (2)'!AU75</f>
        <v>4092.7727632313668</v>
      </c>
      <c r="AV86" s="931">
        <f>'Cost Allocation - Tier 1 (2)'!AV75</f>
        <v>5752.4072643632353</v>
      </c>
      <c r="AW86" s="931">
        <f>'Cost Allocation - Tier 1 (2)'!AW75</f>
        <v>14732.653013616433</v>
      </c>
      <c r="AX86" s="931">
        <f>'Cost Allocation - Tier 1 (2)'!AX75</f>
        <v>153.46054377811947</v>
      </c>
      <c r="AY86" s="931">
        <f>'Cost Allocation - Tier 1 (2)'!AY75</f>
        <v>49426.616977060752</v>
      </c>
      <c r="AZ86" s="931">
        <f>'Cost Allocation - Tier 1 (2)'!AZ75</f>
        <v>1662.2562969345008</v>
      </c>
      <c r="BA86" s="931">
        <f>'Cost Allocation - Tier 1 (2)'!BA75</f>
        <v>29974.286110451067</v>
      </c>
      <c r="BB86" s="931">
        <f>'Cost Allocation - Tier 1 (2)'!BB75</f>
        <v>108173.66461817754</v>
      </c>
      <c r="BC86" s="688">
        <f>'Cost Allocation - Tier 1 (2)'!BC75</f>
        <v>446018.91297036392</v>
      </c>
      <c r="BD86" s="932">
        <v>71049.347890560472</v>
      </c>
      <c r="BE86" s="932">
        <v>66046.367776556101</v>
      </c>
      <c r="BF86" s="932">
        <v>37305.335422030366</v>
      </c>
      <c r="BG86" s="932">
        <v>83600.79067132248</v>
      </c>
      <c r="BH86" s="932">
        <v>62597.170508492098</v>
      </c>
      <c r="BI86" s="932">
        <v>41111.413660471859</v>
      </c>
      <c r="BJ86" s="932">
        <v>13044.126127561512</v>
      </c>
      <c r="BK86" s="931">
        <f>'Cost Allocation - Tier 1 (2)'!BK75</f>
        <v>71264.360913369048</v>
      </c>
      <c r="BL86" s="76">
        <f t="shared" si="40"/>
        <v>727151.58953518502</v>
      </c>
      <c r="BM86" s="76">
        <f t="shared" si="41"/>
        <v>-7873.6436878062086</v>
      </c>
      <c r="BN86" s="76">
        <f>SUM(BD86:BK86)-'Cost Allocation - Tier 1 (2)'!BC75</f>
        <v>0</v>
      </c>
    </row>
    <row r="87" spans="1:98" x14ac:dyDescent="0.25">
      <c r="A87" s="693" t="str">
        <f>'Cost Allocation - Tier 1 (2)'!A76</f>
        <v>8030 - IT Governance</v>
      </c>
      <c r="B87" s="693" t="str">
        <f>'Cost Allocation - Tier 1 (2)'!B76</f>
        <v>ALL</v>
      </c>
      <c r="C87" s="693" t="str">
        <f>'Cost Allocation - Tier 1 (2)'!C76</f>
        <v>Y</v>
      </c>
      <c r="D87" s="778">
        <f>'Cost Allocation - Tier 1 (2)'!D76</f>
        <v>151155</v>
      </c>
      <c r="E87" s="778">
        <f>'Cost Allocation - Tier 1 (2)'!E76</f>
        <v>113718.77821245862</v>
      </c>
      <c r="F87" s="778">
        <f>'Cost Allocation - Tier 1 (2)'!F76</f>
        <v>0</v>
      </c>
      <c r="G87" s="778">
        <f>'Cost Allocation - Tier 1 (2)'!G76</f>
        <v>120541.90490520615</v>
      </c>
      <c r="H87" s="778">
        <f>'Cost Allocation - Tier 1 (2)'!H76</f>
        <v>0</v>
      </c>
      <c r="I87" s="688">
        <f>'Cost Allocation - Tier 1 (2)'!I76</f>
        <v>44072.937042412275</v>
      </c>
      <c r="J87" s="931">
        <f>'Cost Allocation - Tier 1 (2)'!J76</f>
        <v>272.11502964349864</v>
      </c>
      <c r="K87" s="931">
        <f>'Cost Allocation - Tier 1 (2)'!K76</f>
        <v>80.712645378653974</v>
      </c>
      <c r="L87" s="931">
        <f>'Cost Allocation - Tier 1 (2)'!L76</f>
        <v>84.746678620866746</v>
      </c>
      <c r="M87" s="931">
        <f>'Cost Allocation - Tier 1 (2)'!M76</f>
        <v>81.037293148483542</v>
      </c>
      <c r="N87" s="931">
        <f>'Cost Allocation - Tier 1 (2)'!N76</f>
        <v>141.81394208037264</v>
      </c>
      <c r="O87" s="931">
        <f>'Cost Allocation - Tier 1 (2)'!O76</f>
        <v>324.74806729742289</v>
      </c>
      <c r="P87" s="931">
        <f>'Cost Allocation - Tier 1 (2)'!P76</f>
        <v>39.285960313776144</v>
      </c>
      <c r="Q87" s="931">
        <f>'Cost Allocation - Tier 1 (2)'!Q76</f>
        <v>104.02666950002066</v>
      </c>
      <c r="R87" s="931">
        <f>'Cost Allocation - Tier 1 (2)'!R76</f>
        <v>88.97632146042838</v>
      </c>
      <c r="S87" s="931">
        <f>'Cost Allocation - Tier 1 (2)'!S76</f>
        <v>91.534916108015182</v>
      </c>
      <c r="T87" s="931">
        <f>'Cost Allocation - Tier 1 (2)'!T76</f>
        <v>331.55768230845933</v>
      </c>
      <c r="U87" s="931">
        <f>'Cost Allocation - Tier 1 (2)'!U76</f>
        <v>264.70957252331004</v>
      </c>
      <c r="V87" s="931">
        <f>'Cost Allocation - Tier 1 (2)'!V76</f>
        <v>210.05041390873589</v>
      </c>
      <c r="W87" s="931">
        <f>'Cost Allocation - Tier 1 (2)'!W76</f>
        <v>336.85017847378191</v>
      </c>
      <c r="X87" s="931">
        <f>'Cost Allocation - Tier 1 (2)'!X76</f>
        <v>8.3285738856843547</v>
      </c>
      <c r="Y87" s="931">
        <f>'Cost Allocation - Tier 1 (2)'!Y76</f>
        <v>6.5696420596600307</v>
      </c>
      <c r="Z87" s="931">
        <f>'Cost Allocation - Tier 1 (2)'!Z76</f>
        <v>31.76541533303989</v>
      </c>
      <c r="AA87" s="931">
        <f>'Cost Allocation - Tier 1 (2)'!AA76</f>
        <v>29.035202691147443</v>
      </c>
      <c r="AB87" s="931">
        <f>'Cost Allocation - Tier 1 (2)'!AB76</f>
        <v>17.468299268590087</v>
      </c>
      <c r="AC87" s="931">
        <f>'Cost Allocation - Tier 1 (2)'!AC76</f>
        <v>17.866552263099386</v>
      </c>
      <c r="AD87" s="931">
        <f>'Cost Allocation - Tier 1 (2)'!AD76</f>
        <v>101.37152867227177</v>
      </c>
      <c r="AE87" s="931">
        <f>'Cost Allocation - Tier 1 (2)'!AE76</f>
        <v>40.658554385013758</v>
      </c>
      <c r="AF87" s="931">
        <f>'Cost Allocation - Tier 1 (2)'!AF76</f>
        <v>105.7918152635125</v>
      </c>
      <c r="AG87" s="931">
        <f>'Cost Allocation - Tier 1 (2)'!AG76</f>
        <v>328.64281622122041</v>
      </c>
      <c r="AH87" s="931">
        <f>'Cost Allocation - Tier 1 (2)'!AH76</f>
        <v>2691.1826639690103</v>
      </c>
      <c r="AI87" s="931">
        <f>'Cost Allocation - Tier 1 (2)'!AI76</f>
        <v>18.691654983084607</v>
      </c>
      <c r="AJ87" s="931">
        <f>'Cost Allocation - Tier 1 (2)'!AJ76</f>
        <v>396.60753115185764</v>
      </c>
      <c r="AK87" s="931">
        <f>'Cost Allocation - Tier 1 (2)'!AK76</f>
        <v>341.0204808018421</v>
      </c>
      <c r="AL87" s="931">
        <f>'Cost Allocation - Tier 1 (2)'!AL76</f>
        <v>0</v>
      </c>
      <c r="AM87" s="931">
        <f>'Cost Allocation - Tier 1 (2)'!AM76</f>
        <v>41.590574264781132</v>
      </c>
      <c r="AN87" s="931">
        <f>'Cost Allocation - Tier 1 (2)'!AN76</f>
        <v>70.333598151057231</v>
      </c>
      <c r="AO87" s="931">
        <f>'Cost Allocation - Tier 1 (2)'!AO76</f>
        <v>414.64619063939142</v>
      </c>
      <c r="AP87" s="931">
        <f>'Cost Allocation - Tier 1 (2)'!AP76</f>
        <v>62.800368778984186</v>
      </c>
      <c r="AQ87" s="931">
        <f>'Cost Allocation - Tier 1 (2)'!AQ76</f>
        <v>394.07168614065097</v>
      </c>
      <c r="AR87" s="931">
        <f>'Cost Allocation - Tier 1 (2)'!AR76</f>
        <v>1.1905480957382273</v>
      </c>
      <c r="AS87" s="931">
        <f>'Cost Allocation - Tier 1 (2)'!AS76</f>
        <v>580.77686019813177</v>
      </c>
      <c r="AT87" s="931">
        <f>'Cost Allocation - Tier 1 (2)'!AT76</f>
        <v>481.8122953487952</v>
      </c>
      <c r="AU87" s="931">
        <f>'Cost Allocation - Tier 1 (2)'!AU76</f>
        <v>673.57716460417601</v>
      </c>
      <c r="AV87" s="931">
        <f>'Cost Allocation - Tier 1 (2)'!AV76</f>
        <v>946.71519747875482</v>
      </c>
      <c r="AW87" s="931">
        <f>'Cost Allocation - Tier 1 (2)'!AW76</f>
        <v>2424.6590803086665</v>
      </c>
      <c r="AX87" s="931">
        <f>'Cost Allocation - Tier 1 (2)'!AX76</f>
        <v>25.256109717430043</v>
      </c>
      <c r="AY87" s="931">
        <f>'Cost Allocation - Tier 1 (2)'!AY76</f>
        <v>8271.2397995243591</v>
      </c>
      <c r="AZ87" s="931">
        <f>'Cost Allocation - Tier 1 (2)'!AZ76</f>
        <v>278.16834898078491</v>
      </c>
      <c r="BA87" s="931">
        <f>'Cost Allocation - Tier 1 (2)'!BA76</f>
        <v>5016.0120882672709</v>
      </c>
      <c r="BB87" s="931">
        <f>'Cost Allocation - Tier 1 (2)'!BB76</f>
        <v>17802.921030198446</v>
      </c>
      <c r="BC87" s="688">
        <f>'Cost Allocation - Tier 1 (2)'!BC76</f>
        <v>74638.516854455491</v>
      </c>
      <c r="BD87" s="932">
        <v>11889.670585292048</v>
      </c>
      <c r="BE87" s="932">
        <v>11052.45269003559</v>
      </c>
      <c r="BF87" s="932">
        <v>6242.8180188927126</v>
      </c>
      <c r="BG87" s="932">
        <v>13990.077196528926</v>
      </c>
      <c r="BH87" s="932">
        <v>10475.250780116037</v>
      </c>
      <c r="BI87" s="932">
        <v>6879.741760214345</v>
      </c>
      <c r="BJ87" s="932">
        <v>2182.8541335607765</v>
      </c>
      <c r="BK87" s="931">
        <f>'Cost Allocation - Tier 1 (2)'!BK76</f>
        <v>11925.651689815057</v>
      </c>
      <c r="BL87" s="76">
        <f t="shared" si="40"/>
        <v>118711.45389686777</v>
      </c>
      <c r="BM87" s="76">
        <f t="shared" si="41"/>
        <v>-1830.4510083383793</v>
      </c>
      <c r="BN87" s="76">
        <f>SUM(BD87:BK87)-'Cost Allocation - Tier 1 (2)'!BC76</f>
        <v>0</v>
      </c>
    </row>
    <row r="88" spans="1:98" x14ac:dyDescent="0.25">
      <c r="A88" s="693" t="str">
        <f>'Cost Allocation - Tier 1 (2)'!A77</f>
        <v>8040 - HR</v>
      </c>
      <c r="B88" s="693" t="str">
        <f>'Cost Allocation - Tier 1 (2)'!B77</f>
        <v>ALL</v>
      </c>
      <c r="C88" s="693" t="str">
        <f>'Cost Allocation - Tier 1 (2)'!C77</f>
        <v>Y</v>
      </c>
      <c r="D88" s="778">
        <f>'Cost Allocation - Tier 1 (2)'!D77</f>
        <v>280266</v>
      </c>
      <c r="E88" s="778">
        <f>'Cost Allocation - Tier 1 (2)'!E77</f>
        <v>210853.14474872104</v>
      </c>
      <c r="F88" s="778">
        <f>'Cost Allocation - Tier 1 (2)'!F77</f>
        <v>6391.0622931086373</v>
      </c>
      <c r="G88" s="778">
        <f>'Cost Allocation - Tier 1 (2)'!G77</f>
        <v>223120.86969605778</v>
      </c>
      <c r="H88" s="778">
        <f>'Cost Allocation - Tier 1 (2)'!H77</f>
        <v>0</v>
      </c>
      <c r="I88" s="688">
        <f>'Cost Allocation - Tier 1 (2)'!I77</f>
        <v>81675.252909962845</v>
      </c>
      <c r="J88" s="931">
        <f>'Cost Allocation - Tier 1 (2)'!J77</f>
        <v>504.54560482990837</v>
      </c>
      <c r="K88" s="931">
        <f>'Cost Allocation - Tier 1 (2)'!K77</f>
        <v>149.65439627993672</v>
      </c>
      <c r="L88" s="931">
        <f>'Cost Allocation - Tier 1 (2)'!L77</f>
        <v>157.13415123784088</v>
      </c>
      <c r="M88" s="931">
        <f>'Cost Allocation - Tier 1 (2)'!M77</f>
        <v>150.25634614503582</v>
      </c>
      <c r="N88" s="931">
        <f>'Cost Allocation - Tier 1 (2)'!N77</f>
        <v>262.94615653532941</v>
      </c>
      <c r="O88" s="931">
        <f>'Cost Allocation - Tier 1 (2)'!O77</f>
        <v>602.13583294750106</v>
      </c>
      <c r="P88" s="931">
        <f>'Cost Allocation - Tier 1 (2)'!P77</f>
        <v>72.84257188515619</v>
      </c>
      <c r="Q88" s="931">
        <f>'Cost Allocation - Tier 1 (2)'!Q77</f>
        <v>192.88239591209546</v>
      </c>
      <c r="R88" s="931">
        <f>'Cost Allocation - Tier 1 (2)'!R77</f>
        <v>164.97659826289848</v>
      </c>
      <c r="S88" s="931">
        <f>'Cost Allocation - Tier 1 (2)'!S77</f>
        <v>169.72064965055065</v>
      </c>
      <c r="T88" s="931">
        <f>'Cost Allocation - Tier 1 (2)'!T77</f>
        <v>614.76196877286668</v>
      </c>
      <c r="U88" s="931">
        <f>'Cost Allocation - Tier 1 (2)'!U77</f>
        <v>490.81468064449081</v>
      </c>
      <c r="V88" s="931">
        <f>'Cost Allocation - Tier 1 (2)'!V77</f>
        <v>389.46769411892279</v>
      </c>
      <c r="W88" s="931">
        <f>'Cost Allocation - Tier 1 (2)'!W77</f>
        <v>624.57511905086142</v>
      </c>
      <c r="X88" s="931">
        <f>'Cost Allocation - Tier 1 (2)'!X77</f>
        <v>15.442533086204303</v>
      </c>
      <c r="Y88" s="931">
        <f>'Cost Allocation - Tier 1 (2)'!Y77</f>
        <v>12.181186871044147</v>
      </c>
      <c r="Z88" s="931">
        <f>'Cost Allocation - Tier 1 (2)'!Z77</f>
        <v>58.89825605325499</v>
      </c>
      <c r="AA88" s="931">
        <f>'Cost Allocation - Tier 1 (2)'!AA77</f>
        <v>53.835996939810983</v>
      </c>
      <c r="AB88" s="931">
        <f>'Cost Allocation - Tier 1 (2)'!AB77</f>
        <v>32.389073221598153</v>
      </c>
      <c r="AC88" s="931">
        <f>'Cost Allocation - Tier 1 (2)'!AC77</f>
        <v>33.127499166880433</v>
      </c>
      <c r="AD88" s="931">
        <f>'Cost Allocation - Tier 1 (2)'!AD77</f>
        <v>187.95933217467444</v>
      </c>
      <c r="AE88" s="931">
        <f>'Cost Allocation - Tier 1 (2)'!AE77</f>
        <v>75.387584951012315</v>
      </c>
      <c r="AF88" s="931">
        <f>'Cost Allocation - Tier 1 (2)'!AF77</f>
        <v>196.15526377985242</v>
      </c>
      <c r="AG88" s="931">
        <f>'Cost Allocation - Tier 1 (2)'!AG77</f>
        <v>609.35733208333534</v>
      </c>
      <c r="AH88" s="931">
        <f>'Cost Allocation - Tier 1 (2)'!AH77</f>
        <v>4989.8911746216709</v>
      </c>
      <c r="AI88" s="931">
        <f>'Cost Allocation - Tier 1 (2)'!AI77</f>
        <v>34.657374056360624</v>
      </c>
      <c r="AJ88" s="931">
        <f>'Cost Allocation - Tier 1 (2)'!AJ77</f>
        <v>735.37498809702981</v>
      </c>
      <c r="AK88" s="931">
        <f>'Cost Allocation - Tier 1 (2)'!AK77</f>
        <v>632.30753909833663</v>
      </c>
      <c r="AL88" s="931">
        <f>'Cost Allocation - Tier 1 (2)'!AL77</f>
        <v>0</v>
      </c>
      <c r="AM88" s="931">
        <f>'Cost Allocation - Tier 1 (2)'!AM77</f>
        <v>77.115701676379544</v>
      </c>
      <c r="AN88" s="931">
        <f>'Cost Allocation - Tier 1 (2)'!AN77</f>
        <v>130.40995150278988</v>
      </c>
      <c r="AO88" s="931">
        <f>'Cost Allocation - Tier 1 (2)'!AO77</f>
        <v>768.82160210207849</v>
      </c>
      <c r="AP88" s="931">
        <f>'Cost Allocation - Tier 1 (2)'!AP77</f>
        <v>116.44211674248805</v>
      </c>
      <c r="AQ88" s="931">
        <f>'Cost Allocation - Tier 1 (2)'!AQ77</f>
        <v>730.67311824217313</v>
      </c>
      <c r="AR88" s="931">
        <f>'Cost Allocation - Tier 1 (2)'!AR77</f>
        <v>2.2074701637403327</v>
      </c>
      <c r="AS88" s="931">
        <f>'Cost Allocation - Tier 1 (2)'!AS77</f>
        <v>1076.8549336792671</v>
      </c>
      <c r="AT88" s="931">
        <f>'Cost Allocation - Tier 1 (2)'!AT77</f>
        <v>893.35850463580721</v>
      </c>
      <c r="AU88" s="931">
        <f>'Cost Allocation - Tier 1 (2)'!AU77</f>
        <v>1248.9218194234659</v>
      </c>
      <c r="AV88" s="931">
        <f>'Cost Allocation - Tier 1 (2)'!AV77</f>
        <v>1755.3642389373867</v>
      </c>
      <c r="AW88" s="931">
        <f>'Cost Allocation - Tier 1 (2)'!AW77</f>
        <v>4495.7130217444919</v>
      </c>
      <c r="AX88" s="931">
        <f>'Cost Allocation - Tier 1 (2)'!AX77</f>
        <v>46.828942781021127</v>
      </c>
      <c r="AY88" s="931">
        <f>'Cost Allocation - Tier 1 (2)'!AY77</f>
        <v>15309.91416624623</v>
      </c>
      <c r="AZ88" s="931">
        <f>'Cost Allocation - Tier 1 (2)'!AZ77</f>
        <v>514.88454571310388</v>
      </c>
      <c r="BA88" s="931">
        <f>'Cost Allocation - Tier 1 (2)'!BA77</f>
        <v>9284.5469832275376</v>
      </c>
      <c r="BB88" s="931">
        <f>'Cost Allocation - Tier 1 (2)'!BB77</f>
        <v>33009.516492670424</v>
      </c>
      <c r="BC88" s="688">
        <f>'Cost Allocation - Tier 1 (2)'!BC77</f>
        <v>138154.53477764581</v>
      </c>
      <c r="BD88" s="932">
        <v>22007.563622593985</v>
      </c>
      <c r="BE88" s="932">
        <v>20457.888552653589</v>
      </c>
      <c r="BF88" s="932">
        <v>11555.342408309692</v>
      </c>
      <c r="BG88" s="932">
        <v>25895.377990411242</v>
      </c>
      <c r="BH88" s="932">
        <v>19389.498334059044</v>
      </c>
      <c r="BI88" s="932">
        <v>12734.276648692779</v>
      </c>
      <c r="BJ88" s="932">
        <v>4040.423229438115</v>
      </c>
      <c r="BK88" s="931">
        <f>'Cost Allocation - Tier 1 (2)'!BK77</f>
        <v>22074.16399148737</v>
      </c>
      <c r="BL88" s="76">
        <f t="shared" si="40"/>
        <v>219829.78768760865</v>
      </c>
      <c r="BM88" s="76">
        <f t="shared" si="41"/>
        <v>-3291.0820084491279</v>
      </c>
      <c r="BN88" s="76">
        <f>SUM(BD88:BK88)-'Cost Allocation - Tier 1 (2)'!BC77</f>
        <v>0</v>
      </c>
    </row>
    <row r="89" spans="1:98" x14ac:dyDescent="0.25">
      <c r="A89" s="693" t="str">
        <f>'Cost Allocation - Tier 1 (2)'!A78</f>
        <v>8040 - HR $Usd</v>
      </c>
      <c r="B89" s="693" t="str">
        <f>'Cost Allocation - Tier 1 (2)'!B78</f>
        <v>US CONTRACT Headcount</v>
      </c>
      <c r="C89" s="693" t="str">
        <f>'Cost Allocation - Tier 1 (2)'!C78</f>
        <v>N</v>
      </c>
      <c r="D89" s="778">
        <f>'Cost Allocation - Tier 1 (2)'!D78</f>
        <v>22491.393199999999</v>
      </c>
      <c r="E89" s="778">
        <f>'Cost Allocation - Tier 1 (2)'!E78</f>
        <v>16921</v>
      </c>
      <c r="F89" s="778">
        <f>'Cost Allocation - Tier 1 (2)'!F78</f>
        <v>0</v>
      </c>
      <c r="G89" s="778">
        <f>'Cost Allocation - Tier 1 (2)'!G78</f>
        <v>16921</v>
      </c>
      <c r="H89" s="778">
        <f>'Cost Allocation - Tier 1 (2)'!H78</f>
        <v>0</v>
      </c>
      <c r="I89" s="688">
        <f>'Cost Allocation - Tier 1 (2)'!I78</f>
        <v>16921</v>
      </c>
      <c r="J89" s="931">
        <f>'Cost Allocation - Tier 1 (2)'!J78</f>
        <v>0</v>
      </c>
      <c r="K89" s="931">
        <f>'Cost Allocation - Tier 1 (2)'!K78</f>
        <v>0</v>
      </c>
      <c r="L89" s="931">
        <f>'Cost Allocation - Tier 1 (2)'!L78</f>
        <v>0</v>
      </c>
      <c r="M89" s="931">
        <f>'Cost Allocation - Tier 1 (2)'!M78</f>
        <v>0</v>
      </c>
      <c r="N89" s="931">
        <f>'Cost Allocation - Tier 1 (2)'!N78</f>
        <v>0</v>
      </c>
      <c r="O89" s="931">
        <f>'Cost Allocation - Tier 1 (2)'!O78</f>
        <v>0</v>
      </c>
      <c r="P89" s="931">
        <f>'Cost Allocation - Tier 1 (2)'!P78</f>
        <v>0</v>
      </c>
      <c r="Q89" s="931">
        <f>'Cost Allocation - Tier 1 (2)'!Q78</f>
        <v>0</v>
      </c>
      <c r="R89" s="931">
        <f>'Cost Allocation - Tier 1 (2)'!R78</f>
        <v>0</v>
      </c>
      <c r="S89" s="931">
        <f>'Cost Allocation - Tier 1 (2)'!S78</f>
        <v>0</v>
      </c>
      <c r="T89" s="931">
        <f>'Cost Allocation - Tier 1 (2)'!T78</f>
        <v>0</v>
      </c>
      <c r="U89" s="931">
        <f>'Cost Allocation - Tier 1 (2)'!U78</f>
        <v>0</v>
      </c>
      <c r="V89" s="931">
        <f>'Cost Allocation - Tier 1 (2)'!V78</f>
        <v>0</v>
      </c>
      <c r="W89" s="931">
        <f>'Cost Allocation - Tier 1 (2)'!W78</f>
        <v>0</v>
      </c>
      <c r="X89" s="931">
        <f>'Cost Allocation - Tier 1 (2)'!X78</f>
        <v>0</v>
      </c>
      <c r="Y89" s="931">
        <f>'Cost Allocation - Tier 1 (2)'!Y78</f>
        <v>0</v>
      </c>
      <c r="Z89" s="931">
        <f>'Cost Allocation - Tier 1 (2)'!Z78</f>
        <v>0</v>
      </c>
      <c r="AA89" s="931">
        <f>'Cost Allocation - Tier 1 (2)'!AA78</f>
        <v>0</v>
      </c>
      <c r="AB89" s="931">
        <f>'Cost Allocation - Tier 1 (2)'!AB78</f>
        <v>0</v>
      </c>
      <c r="AC89" s="931">
        <f>'Cost Allocation - Tier 1 (2)'!AC78</f>
        <v>0</v>
      </c>
      <c r="AD89" s="931">
        <f>'Cost Allocation - Tier 1 (2)'!AD78</f>
        <v>0</v>
      </c>
      <c r="AE89" s="931">
        <f>'Cost Allocation - Tier 1 (2)'!AE78</f>
        <v>0</v>
      </c>
      <c r="AF89" s="931">
        <f>'Cost Allocation - Tier 1 (2)'!AF78</f>
        <v>0</v>
      </c>
      <c r="AG89" s="931">
        <f>'Cost Allocation - Tier 1 (2)'!AG78</f>
        <v>0</v>
      </c>
      <c r="AH89" s="931">
        <f>'Cost Allocation - Tier 1 (2)'!AH78</f>
        <v>0</v>
      </c>
      <c r="AI89" s="931">
        <f>'Cost Allocation - Tier 1 (2)'!AI78</f>
        <v>0</v>
      </c>
      <c r="AJ89" s="931">
        <f>'Cost Allocation - Tier 1 (2)'!AJ78</f>
        <v>0</v>
      </c>
      <c r="AK89" s="931">
        <f>'Cost Allocation - Tier 1 (2)'!AK78</f>
        <v>0</v>
      </c>
      <c r="AL89" s="931">
        <f>'Cost Allocation - Tier 1 (2)'!AL78</f>
        <v>0</v>
      </c>
      <c r="AM89" s="931">
        <f>'Cost Allocation - Tier 1 (2)'!AM78</f>
        <v>0</v>
      </c>
      <c r="AN89" s="931">
        <f>'Cost Allocation - Tier 1 (2)'!AN78</f>
        <v>0</v>
      </c>
      <c r="AO89" s="931">
        <f>'Cost Allocation - Tier 1 (2)'!AO78</f>
        <v>0</v>
      </c>
      <c r="AP89" s="931">
        <f>'Cost Allocation - Tier 1 (2)'!AP78</f>
        <v>0</v>
      </c>
      <c r="AQ89" s="931">
        <f>'Cost Allocation - Tier 1 (2)'!AQ78</f>
        <v>0</v>
      </c>
      <c r="AR89" s="931">
        <f>'Cost Allocation - Tier 1 (2)'!AR78</f>
        <v>0</v>
      </c>
      <c r="AS89" s="931">
        <f>'Cost Allocation - Tier 1 (2)'!AS78</f>
        <v>0</v>
      </c>
      <c r="AT89" s="931">
        <f>'Cost Allocation - Tier 1 (2)'!AT78</f>
        <v>0</v>
      </c>
      <c r="AU89" s="931">
        <f>'Cost Allocation - Tier 1 (2)'!AU78</f>
        <v>0</v>
      </c>
      <c r="AV89" s="931">
        <f>'Cost Allocation - Tier 1 (2)'!AV78</f>
        <v>0</v>
      </c>
      <c r="AW89" s="931">
        <f>'Cost Allocation - Tier 1 (2)'!AW78</f>
        <v>0</v>
      </c>
      <c r="AX89" s="931">
        <f>'Cost Allocation - Tier 1 (2)'!AX78</f>
        <v>0</v>
      </c>
      <c r="AY89" s="931">
        <f>'Cost Allocation - Tier 1 (2)'!AY78</f>
        <v>4592.8428571428576</v>
      </c>
      <c r="AZ89" s="931">
        <f>'Cost Allocation - Tier 1 (2)'!AZ78</f>
        <v>392.80892857142857</v>
      </c>
      <c r="BA89" s="931">
        <f>'Cost Allocation - Tier 1 (2)'!BA78</f>
        <v>3323.7678571428569</v>
      </c>
      <c r="BB89" s="931">
        <f>'Cost Allocation - Tier 1 (2)'!BB78</f>
        <v>8611.5803571428569</v>
      </c>
      <c r="BC89" s="688">
        <f>'Cost Allocation - Tier 1 (2)'!BC78</f>
        <v>0</v>
      </c>
      <c r="BD89" s="932">
        <v>0</v>
      </c>
      <c r="BE89" s="932">
        <v>0</v>
      </c>
      <c r="BF89" s="932">
        <v>0</v>
      </c>
      <c r="BG89" s="932">
        <v>0</v>
      </c>
      <c r="BH89" s="932">
        <v>0</v>
      </c>
      <c r="BI89" s="932">
        <v>0</v>
      </c>
      <c r="BJ89" s="932">
        <v>0</v>
      </c>
      <c r="BK89" s="931">
        <f>'Cost Allocation - Tier 1 (2)'!BK78</f>
        <v>0</v>
      </c>
      <c r="BL89" s="76">
        <f t="shared" si="40"/>
        <v>16921</v>
      </c>
      <c r="BM89" s="76">
        <f t="shared" si="41"/>
        <v>0</v>
      </c>
      <c r="BN89" s="76">
        <f>SUM(BD89:BK89)-'Cost Allocation - Tier 1 (2)'!BC78</f>
        <v>0</v>
      </c>
    </row>
    <row r="90" spans="1:98" x14ac:dyDescent="0.25">
      <c r="A90" s="693" t="str">
        <f>'Cost Allocation - Tier 1 (2)'!A79</f>
        <v>8060 - Legal</v>
      </c>
      <c r="B90" s="693" t="str">
        <f>'Cost Allocation - Tier 1 (2)'!B79</f>
        <v>ALL</v>
      </c>
      <c r="C90" s="693" t="str">
        <f>'Cost Allocation - Tier 1 (2)'!C79</f>
        <v>Y</v>
      </c>
      <c r="D90" s="778">
        <f>'Cost Allocation - Tier 1 (2)'!D79</f>
        <v>209989</v>
      </c>
      <c r="E90" s="778">
        <f>'Cost Allocation - Tier 1 (2)'!E79</f>
        <v>157981.49262714415</v>
      </c>
      <c r="F90" s="778">
        <f>'Cost Allocation - Tier 1 (2)'!F79</f>
        <v>48840.656033704487</v>
      </c>
      <c r="G90" s="778">
        <f>'Cost Allocation - Tier 1 (2)'!G79</f>
        <v>164529.94282275054</v>
      </c>
      <c r="H90" s="778">
        <f>'Cost Allocation - Tier 1 (2)'!H79</f>
        <v>0</v>
      </c>
      <c r="I90" s="688">
        <f>'Cost Allocation - Tier 1 (2)'!I79</f>
        <v>60897.645889006832</v>
      </c>
      <c r="J90" s="931">
        <f>'Cost Allocation - Tier 1 (2)'!J79</f>
        <v>378.030253447181</v>
      </c>
      <c r="K90" s="931">
        <f>'Cost Allocation - Tier 1 (2)'!K79</f>
        <v>112.12839595394244</v>
      </c>
      <c r="L90" s="931">
        <f>'Cost Allocation - Tier 1 (2)'!L79</f>
        <v>117.73259433639103</v>
      </c>
      <c r="M90" s="931">
        <f>'Cost Allocation - Tier 1 (2)'!M79</f>
        <v>112.57940624495988</v>
      </c>
      <c r="N90" s="931">
        <f>'Cost Allocation - Tier 1 (2)'!N79</f>
        <v>197.01212585435724</v>
      </c>
      <c r="O90" s="931">
        <f>'Cost Allocation - Tier 1 (2)'!O79</f>
        <v>451.1496272284644</v>
      </c>
      <c r="P90" s="931">
        <f>'Cost Allocation - Tier 1 (2)'!P79</f>
        <v>54.577218883460937</v>
      </c>
      <c r="Q90" s="931">
        <f>'Cost Allocation - Tier 1 (2)'!Q79</f>
        <v>144.51692832946205</v>
      </c>
      <c r="R90" s="931">
        <f>'Cost Allocation - Tier 1 (2)'!R79</f>
        <v>123.60853936127747</v>
      </c>
      <c r="S90" s="931">
        <f>'Cost Allocation - Tier 1 (2)'!S79</f>
        <v>127.16301477692434</v>
      </c>
      <c r="T90" s="931">
        <f>'Cost Allocation - Tier 1 (2)'!T79</f>
        <v>460.60974595793101</v>
      </c>
      <c r="U90" s="931">
        <f>'Cost Allocation - Tier 1 (2)'!U79</f>
        <v>367.74237322349478</v>
      </c>
      <c r="V90" s="931">
        <f>'Cost Allocation - Tier 1 (2)'!V79</f>
        <v>291.80825223301605</v>
      </c>
      <c r="W90" s="931">
        <f>'Cost Allocation - Tier 1 (2)'!W79</f>
        <v>467.96223828210105</v>
      </c>
      <c r="X90" s="931">
        <f>'Cost Allocation - Tier 1 (2)'!X79</f>
        <v>11.570301357421005</v>
      </c>
      <c r="Y90" s="931">
        <f>'Cost Allocation - Tier 1 (2)'!Y79</f>
        <v>9.1267412025136458</v>
      </c>
      <c r="Z90" s="931">
        <f>'Cost Allocation - Tier 1 (2)'!Z79</f>
        <v>44.129455197444436</v>
      </c>
      <c r="AA90" s="931">
        <f>'Cost Allocation - Tier 1 (2)'!AA79</f>
        <v>40.336562984428966</v>
      </c>
      <c r="AB90" s="931">
        <f>'Cost Allocation - Tier 1 (2)'!AB79</f>
        <v>24.267478383857391</v>
      </c>
      <c r="AC90" s="931">
        <f>'Cost Allocation - Tier 1 (2)'!AC79</f>
        <v>24.820743231623016</v>
      </c>
      <c r="AD90" s="931">
        <f>'Cost Allocation - Tier 1 (2)'!AD79</f>
        <v>140.82832810268715</v>
      </c>
      <c r="AE90" s="931">
        <f>'Cost Allocation - Tier 1 (2)'!AE79</f>
        <v>56.484067194301574</v>
      </c>
      <c r="AF90" s="931">
        <f>'Cost Allocation - Tier 1 (2)'!AF79</f>
        <v>146.96912107022411</v>
      </c>
      <c r="AG90" s="931">
        <f>'Cost Allocation - Tier 1 (2)'!AG79</f>
        <v>456.56032771312795</v>
      </c>
      <c r="AH90" s="931">
        <f>'Cost Allocation - Tier 1 (2)'!AH79</f>
        <v>3738.6706124454272</v>
      </c>
      <c r="AI90" s="931">
        <f>'Cost Allocation - Tier 1 (2)'!AI79</f>
        <v>25.96700035224077</v>
      </c>
      <c r="AJ90" s="931">
        <f>'Cost Allocation - Tier 1 (2)'!AJ79</f>
        <v>550.97892136579958</v>
      </c>
      <c r="AK90" s="931">
        <f>'Cost Allocation - Tier 1 (2)'!AK79</f>
        <v>473.75574571200434</v>
      </c>
      <c r="AL90" s="931">
        <f>'Cost Allocation - Tier 1 (2)'!AL79</f>
        <v>0</v>
      </c>
      <c r="AM90" s="931">
        <f>'Cost Allocation - Tier 1 (2)'!AM79</f>
        <v>57.778856797903643</v>
      </c>
      <c r="AN90" s="931">
        <f>'Cost Allocation - Tier 1 (2)'!AN79</f>
        <v>97.709516338476107</v>
      </c>
      <c r="AO90" s="931">
        <f>'Cost Allocation - Tier 1 (2)'!AO79</f>
        <v>576.03876104776668</v>
      </c>
      <c r="AP90" s="931">
        <f>'Cost Allocation - Tier 1 (2)'!AP79</f>
        <v>87.244131120572334</v>
      </c>
      <c r="AQ90" s="931">
        <f>'Cost Allocation - Tier 1 (2)'!AQ79</f>
        <v>547.45605041837291</v>
      </c>
      <c r="AR90" s="931">
        <f>'Cost Allocation - Tier 1 (2)'!AR79</f>
        <v>1.6539446533424274</v>
      </c>
      <c r="AS90" s="931">
        <f>'Cost Allocation - Tier 1 (2)'!AS79</f>
        <v>806.83240445996159</v>
      </c>
      <c r="AT90" s="931">
        <f>'Cost Allocation - Tier 1 (2)'!AT79</f>
        <v>669.34790174323155</v>
      </c>
      <c r="AU90" s="931">
        <f>'Cost Allocation - Tier 1 (2)'!AU79</f>
        <v>935.75333411442762</v>
      </c>
      <c r="AV90" s="931">
        <f>'Cost Allocation - Tier 1 (2)'!AV79</f>
        <v>1315.2047739298484</v>
      </c>
      <c r="AW90" s="931">
        <f>'Cost Allocation - Tier 1 (2)'!AW79</f>
        <v>3368.4081612578912</v>
      </c>
      <c r="AX90" s="931">
        <f>'Cost Allocation - Tier 1 (2)'!AX79</f>
        <v>35.086535168889</v>
      </c>
      <c r="AY90" s="931">
        <f>'Cost Allocation - Tier 1 (2)'!AY79</f>
        <v>11289.572803409599</v>
      </c>
      <c r="AZ90" s="931">
        <f>'Cost Allocation - Tier 1 (2)'!AZ79</f>
        <v>379.67727977169875</v>
      </c>
      <c r="BA90" s="931">
        <f>'Cost Allocation - Tier 1 (2)'!BA79</f>
        <v>6846.450474877106</v>
      </c>
      <c r="BB90" s="931">
        <f>'Cost Allocation - Tier 1 (2)'!BB79</f>
        <v>24732.34483947168</v>
      </c>
      <c r="BC90" s="688">
        <f>'Cost Allocation - Tier 1 (2)'!BC79</f>
        <v>101875.53382448736</v>
      </c>
      <c r="BD90" s="932">
        <v>16228.437928849691</v>
      </c>
      <c r="BE90" s="932">
        <v>15085.703271179789</v>
      </c>
      <c r="BF90" s="932">
        <v>8520.9412652719238</v>
      </c>
      <c r="BG90" s="932">
        <v>19095.322933886688</v>
      </c>
      <c r="BH90" s="932">
        <v>14297.869386267084</v>
      </c>
      <c r="BI90" s="932">
        <v>9390.2906158111364</v>
      </c>
      <c r="BJ90" s="932">
        <v>2979.4191992203041</v>
      </c>
      <c r="BK90" s="931">
        <f>'Cost Allocation - Tier 1 (2)'!BK79</f>
        <v>16277.549224000742</v>
      </c>
      <c r="BL90" s="76">
        <f t="shared" si="40"/>
        <v>162773.1797134942</v>
      </c>
      <c r="BM90" s="76">
        <f t="shared" si="41"/>
        <v>-1756.7631092563388</v>
      </c>
      <c r="BN90" s="76">
        <f>SUM(BD90:BK90)-'Cost Allocation - Tier 1 (2)'!BC79</f>
        <v>0</v>
      </c>
    </row>
    <row r="91" spans="1:98" x14ac:dyDescent="0.25">
      <c r="A91" s="693" t="str">
        <f>'Cost Allocation - Tier 1 (2)'!A80</f>
        <v>8080 - Treasury</v>
      </c>
      <c r="B91" s="693" t="str">
        <f>'Cost Allocation - Tier 1 (2)'!B80</f>
        <v>ALL + TRIBUS</v>
      </c>
      <c r="C91" s="693" t="str">
        <f>'Cost Allocation - Tier 1 (2)'!C80</f>
        <v>Y</v>
      </c>
      <c r="D91" s="778">
        <f>'Cost Allocation - Tier 1 (2)'!D80</f>
        <v>47159</v>
      </c>
      <c r="E91" s="778">
        <f>'Cost Allocation - Tier 1 (2)'!E80</f>
        <v>35479.235630454408</v>
      </c>
      <c r="F91" s="778">
        <f>'Cost Allocation - Tier 1 (2)'!F80</f>
        <v>29.340956966596451</v>
      </c>
      <c r="G91" s="778">
        <f>'Cost Allocation - Tier 1 (2)'!G80</f>
        <v>37606.22931086368</v>
      </c>
      <c r="H91" s="778">
        <f>'Cost Allocation - Tier 1 (2)'!H80</f>
        <v>752.12458621727365</v>
      </c>
      <c r="I91" s="688">
        <f>'Cost Allocation - Tier 1 (2)'!I80</f>
        <v>13475.15846544612</v>
      </c>
      <c r="J91" s="931">
        <f>'Cost Allocation - Tier 1 (2)'!J80</f>
        <v>83.199492106106959</v>
      </c>
      <c r="K91" s="931">
        <f>'Cost Allocation - Tier 1 (2)'!K80</f>
        <v>24.677986772145836</v>
      </c>
      <c r="L91" s="931">
        <f>'Cost Allocation - Tier 1 (2)'!L80</f>
        <v>25.911397206442562</v>
      </c>
      <c r="M91" s="931">
        <f>'Cost Allocation - Tier 1 (2)'!M80</f>
        <v>24.777248211687002</v>
      </c>
      <c r="N91" s="931">
        <f>'Cost Allocation - Tier 1 (2)'!N80</f>
        <v>43.359780494703628</v>
      </c>
      <c r="O91" s="931">
        <f>'Cost Allocation - Tier 1 (2)'!O80</f>
        <v>99.292105610569166</v>
      </c>
      <c r="P91" s="931">
        <f>'Cost Allocation - Tier 1 (2)'!P80</f>
        <v>12.011728823979501</v>
      </c>
      <c r="Q91" s="931">
        <f>'Cost Allocation - Tier 1 (2)'!Q80</f>
        <v>31.80627721750815</v>
      </c>
      <c r="R91" s="931">
        <f>'Cost Allocation - Tier 1 (2)'!R80</f>
        <v>27.204615506448977</v>
      </c>
      <c r="S91" s="931">
        <f>'Cost Allocation - Tier 1 (2)'!S80</f>
        <v>27.986908845642752</v>
      </c>
      <c r="T91" s="931">
        <f>'Cost Allocation - Tier 1 (2)'!T80</f>
        <v>101.37415345297833</v>
      </c>
      <c r="U91" s="931">
        <f>'Cost Allocation - Tier 1 (2)'!U80</f>
        <v>80.935264834204901</v>
      </c>
      <c r="V91" s="931">
        <f>'Cost Allocation - Tier 1 (2)'!V80</f>
        <v>64.223162450012467</v>
      </c>
      <c r="W91" s="931">
        <f>'Cost Allocation - Tier 1 (2)'!W80</f>
        <v>102.99234041422498</v>
      </c>
      <c r="X91" s="931">
        <f>'Cost Allocation - Tier 1 (2)'!X80</f>
        <v>2.5464713145942159</v>
      </c>
      <c r="Y91" s="931">
        <f>'Cost Allocation - Tier 1 (2)'!Y80</f>
        <v>2.0086758287431921</v>
      </c>
      <c r="Z91" s="931">
        <f>'Cost Allocation - Tier 1 (2)'!Z80</f>
        <v>9.7123133026165966</v>
      </c>
      <c r="AA91" s="931">
        <f>'Cost Allocation - Tier 1 (2)'!AA80</f>
        <v>8.8775475587151327</v>
      </c>
      <c r="AB91" s="931">
        <f>'Cost Allocation - Tier 1 (2)'!AB80</f>
        <v>5.3409531586999508</v>
      </c>
      <c r="AC91" s="931">
        <f>'Cost Allocation - Tier 1 (2)'!AC80</f>
        <v>5.4627194827296073</v>
      </c>
      <c r="AD91" s="931">
        <f>'Cost Allocation - Tier 1 (2)'!AD80</f>
        <v>30.994464769558071</v>
      </c>
      <c r="AE91" s="931">
        <f>'Cost Allocation - Tier 1 (2)'!AE80</f>
        <v>12.431401084436549</v>
      </c>
      <c r="AF91" s="931">
        <f>'Cost Allocation - Tier 1 (2)'!AF80</f>
        <v>32.345972622088226</v>
      </c>
      <c r="AG91" s="931">
        <f>'Cost Allocation - Tier 1 (2)'!AG80</f>
        <v>100.48292969979823</v>
      </c>
      <c r="AH91" s="931">
        <f>'Cost Allocation - Tier 1 (2)'!AH80</f>
        <v>822.83228199604559</v>
      </c>
      <c r="AI91" s="931">
        <f>'Cost Allocation - Tier 1 (2)'!AI80</f>
        <v>5.7149956150993431</v>
      </c>
      <c r="AJ91" s="931">
        <f>'Cost Allocation - Tier 1 (2)'!AJ80</f>
        <v>121.26322166225825</v>
      </c>
      <c r="AK91" s="931">
        <f>'Cost Allocation - Tier 1 (2)'!AK80</f>
        <v>104.26741528266606</v>
      </c>
      <c r="AL91" s="931">
        <f>'Cost Allocation - Tier 1 (2)'!AL80</f>
        <v>0</v>
      </c>
      <c r="AM91" s="931">
        <f>'Cost Allocation - Tier 1 (2)'!AM80</f>
        <v>12.716367264845735</v>
      </c>
      <c r="AN91" s="931">
        <f>'Cost Allocation - Tier 1 (2)'!AN80</f>
        <v>21.504580808452207</v>
      </c>
      <c r="AO91" s="931">
        <f>'Cost Allocation - Tier 1 (2)'!AO80</f>
        <v>126.77856313238595</v>
      </c>
      <c r="AP91" s="931">
        <f>'Cost Allocation - Tier 1 (2)'!AP80</f>
        <v>19.201287019438013</v>
      </c>
      <c r="AQ91" s="931">
        <f>'Cost Allocation - Tier 1 (2)'!AQ80</f>
        <v>120.48788405129052</v>
      </c>
      <c r="AR91" s="931">
        <f>'Cost Allocation - Tier 1 (2)'!AR80</f>
        <v>0.36401148816764695</v>
      </c>
      <c r="AS91" s="931">
        <f>'Cost Allocation - Tier 1 (2)'!AS80</f>
        <v>177.57321180961279</v>
      </c>
      <c r="AT91" s="931">
        <f>'Cost Allocation - Tier 1 (2)'!AT80</f>
        <v>147.31467907529859</v>
      </c>
      <c r="AU91" s="931">
        <f>'Cost Allocation - Tier 1 (2)'!AU80</f>
        <v>205.94701462377671</v>
      </c>
      <c r="AV91" s="931">
        <f>'Cost Allocation - Tier 1 (2)'!AV80</f>
        <v>289.45929117755009</v>
      </c>
      <c r="AW91" s="931">
        <f>'Cost Allocation - Tier 1 (2)'!AW80</f>
        <v>741.34238111151376</v>
      </c>
      <c r="AX91" s="931">
        <f>'Cost Allocation - Tier 1 (2)'!AX80</f>
        <v>7.7220854129932697</v>
      </c>
      <c r="AY91" s="931">
        <f>'Cost Allocation - Tier 1 (2)'!AY80</f>
        <v>2528.8229683615086</v>
      </c>
      <c r="AZ91" s="931">
        <f>'Cost Allocation - Tier 1 (2)'!AZ80</f>
        <v>85.046320385277667</v>
      </c>
      <c r="BA91" s="931">
        <f>'Cost Allocation - Tier 1 (2)'!BA80</f>
        <v>1533.57983637697</v>
      </c>
      <c r="BB91" s="931">
        <f>'Cost Allocation - Tier 1 (2)'!BB80</f>
        <v>5443.2641580223344</v>
      </c>
      <c r="BC91" s="688">
        <f>'Cost Allocation - Tier 1 (2)'!BC80</f>
        <v>22819.746533867707</v>
      </c>
      <c r="BD91" s="932">
        <v>3635.1106715667652</v>
      </c>
      <c r="BE91" s="932">
        <v>3379.1422926582536</v>
      </c>
      <c r="BF91" s="932">
        <v>1908.6596418574177</v>
      </c>
      <c r="BG91" s="932">
        <v>4277.2824148765912</v>
      </c>
      <c r="BH91" s="932">
        <v>3202.6703872891658</v>
      </c>
      <c r="BI91" s="932">
        <v>2103.3907130375214</v>
      </c>
      <c r="BJ91" s="932">
        <v>667.37899073471237</v>
      </c>
      <c r="BK91" s="931">
        <f>'Cost Allocation - Tier 1 (2)'!BK80</f>
        <v>3646.1114218472776</v>
      </c>
      <c r="BL91" s="76">
        <f t="shared" si="40"/>
        <v>37047.029585531098</v>
      </c>
      <c r="BM91" s="76">
        <f t="shared" si="41"/>
        <v>-559.1997253325826</v>
      </c>
      <c r="BN91" s="76">
        <f>SUM(BD91:BK91)-'Cost Allocation - Tier 1 (2)'!BC80</f>
        <v>0</v>
      </c>
    </row>
    <row r="92" spans="1:98" x14ac:dyDescent="0.25">
      <c r="A92" s="693" t="str">
        <f>'Cost Allocation - Tier 1 (2)'!A81</f>
        <v>8090 - HSE</v>
      </c>
      <c r="B92" s="693" t="str">
        <f>'Cost Allocation - Tier 1 (2)'!B81</f>
        <v>ALL</v>
      </c>
      <c r="C92" s="693" t="str">
        <f>'Cost Allocation - Tier 1 (2)'!C81</f>
        <v>Y</v>
      </c>
      <c r="D92" s="778">
        <f>'Cost Allocation - Tier 1 (2)'!D81</f>
        <v>19409</v>
      </c>
      <c r="E92" s="778">
        <f>'Cost Allocation - Tier 1 (2)'!E81</f>
        <v>14602.016250376168</v>
      </c>
      <c r="F92" s="778">
        <f>'Cost Allocation - Tier 1 (2)'!F81</f>
        <v>0</v>
      </c>
      <c r="G92" s="778">
        <f>'Cost Allocation - Tier 1 (2)'!G81</f>
        <v>15478.137225398739</v>
      </c>
      <c r="H92" s="778">
        <f>'Cost Allocation - Tier 1 (2)'!H81</f>
        <v>0</v>
      </c>
      <c r="I92" s="688">
        <f>'Cost Allocation - Tier 1 (2)'!I81</f>
        <v>5659.168635216698</v>
      </c>
      <c r="J92" s="931">
        <f>'Cost Allocation - Tier 1 (2)'!J81</f>
        <v>34.940826372602068</v>
      </c>
      <c r="K92" s="931">
        <f>'Cost Allocation - Tier 1 (2)'!K81</f>
        <v>10.363876379572591</v>
      </c>
      <c r="L92" s="931">
        <f>'Cost Allocation - Tier 1 (2)'!L81</f>
        <v>10.881864876136435</v>
      </c>
      <c r="M92" s="931">
        <f>'Cost Allocation - Tier 1 (2)'!M81</f>
        <v>10.405562652369536</v>
      </c>
      <c r="N92" s="931">
        <f>'Cost Allocation - Tier 1 (2)'!N81</f>
        <v>18.209565028202526</v>
      </c>
      <c r="O92" s="931">
        <f>'Cost Allocation - Tier 1 (2)'!O81</f>
        <v>41.699151454967954</v>
      </c>
      <c r="P92" s="931">
        <f>'Cost Allocation - Tier 1 (2)'!P81</f>
        <v>5.0444987180713916</v>
      </c>
      <c r="Q92" s="931">
        <f>'Cost Allocation - Tier 1 (2)'!Q81</f>
        <v>13.357504735707725</v>
      </c>
      <c r="R92" s="931">
        <f>'Cost Allocation - Tier 1 (2)'!R81</f>
        <v>11.424970548281266</v>
      </c>
      <c r="S92" s="931">
        <f>'Cost Allocation - Tier 1 (2)'!S81</f>
        <v>11.75350591604953</v>
      </c>
      <c r="T92" s="931">
        <f>'Cost Allocation - Tier 1 (2)'!T81</f>
        <v>42.573537467664899</v>
      </c>
      <c r="U92" s="931">
        <f>'Cost Allocation - Tier 1 (2)'!U81</f>
        <v>33.989931481624325</v>
      </c>
      <c r="V92" s="931">
        <f>'Cost Allocation - Tier 1 (2)'!V81</f>
        <v>26.971443111737322</v>
      </c>
      <c r="W92" s="931">
        <f>'Cost Allocation - Tier 1 (2)'!W81</f>
        <v>43.253118414856495</v>
      </c>
      <c r="X92" s="931">
        <f>'Cost Allocation - Tier 1 (2)'!X81</f>
        <v>1.0694273464142612</v>
      </c>
      <c r="Y92" s="931">
        <f>'Cost Allocation - Tier 1 (2)'!Y81</f>
        <v>0.84357237759876647</v>
      </c>
      <c r="Z92" s="931">
        <f>'Cost Allocation - Tier 1 (2)'!Z81</f>
        <v>4.0788260143493185</v>
      </c>
      <c r="AA92" s="931">
        <f>'Cost Allocation - Tier 1 (2)'!AA81</f>
        <v>3.7282541036186747</v>
      </c>
      <c r="AB92" s="931">
        <f>'Cost Allocation - Tier 1 (2)'!AB81</f>
        <v>2.2430102907880323</v>
      </c>
      <c r="AC92" s="931">
        <f>'Cost Allocation - Tier 1 (2)'!AC81</f>
        <v>2.2941478143263274</v>
      </c>
      <c r="AD92" s="931">
        <f>'Cost Allocation - Tier 1 (2)'!AD81</f>
        <v>13.016572392577968</v>
      </c>
      <c r="AE92" s="931">
        <f>'Cost Allocation - Tier 1 (2)'!AE81</f>
        <v>5.2207461351508861</v>
      </c>
      <c r="AF92" s="931">
        <f>'Cost Allocation - Tier 1 (2)'!AF81</f>
        <v>13.584157602788624</v>
      </c>
      <c r="AG92" s="931">
        <f>'Cost Allocation - Tier 1 (2)'!AG81</f>
        <v>42.19925520186343</v>
      </c>
      <c r="AH92" s="931">
        <f>'Cost Allocation - Tier 1 (2)'!AH81</f>
        <v>345.56028133356176</v>
      </c>
      <c r="AI92" s="931">
        <f>'Cost Allocation - Tier 1 (2)'!AI81</f>
        <v>2.4000948137123426</v>
      </c>
      <c r="AJ92" s="931">
        <f>'Cost Allocation - Tier 1 (2)'!AJ81</f>
        <v>50.926238444817606</v>
      </c>
      <c r="AK92" s="931">
        <f>'Cost Allocation - Tier 1 (2)'!AK81</f>
        <v>43.788604491303325</v>
      </c>
      <c r="AL92" s="931">
        <f>'Cost Allocation - Tier 1 (2)'!AL81</f>
        <v>0</v>
      </c>
      <c r="AM92" s="931">
        <f>'Cost Allocation - Tier 1 (2)'!AM81</f>
        <v>5.3404217915724725</v>
      </c>
      <c r="AN92" s="931">
        <f>'Cost Allocation - Tier 1 (2)'!AN81</f>
        <v>9.0311587874292591</v>
      </c>
      <c r="AO92" s="931">
        <f>'Cost Allocation - Tier 1 (2)'!AO81</f>
        <v>53.242485621514</v>
      </c>
      <c r="AP92" s="931">
        <f>'Cost Allocation - Tier 1 (2)'!AP81</f>
        <v>8.0638573492858594</v>
      </c>
      <c r="AQ92" s="931">
        <f>'Cost Allocation - Tier 1 (2)'!AQ81</f>
        <v>50.600624235413285</v>
      </c>
      <c r="AR92" s="931">
        <f>'Cost Allocation - Tier 1 (2)'!AR81</f>
        <v>0.152871873177753</v>
      </c>
      <c r="AS92" s="931">
        <f>'Cost Allocation - Tier 1 (2)'!AS81</f>
        <v>74.574430747150544</v>
      </c>
      <c r="AT92" s="931">
        <f>'Cost Allocation - Tier 1 (2)'!AT81</f>
        <v>61.866923624258327</v>
      </c>
      <c r="AU92" s="931">
        <f>'Cost Allocation - Tier 1 (2)'!AU81</f>
        <v>86.490418363947285</v>
      </c>
      <c r="AV92" s="931">
        <f>'Cost Allocation - Tier 1 (2)'!AV81</f>
        <v>121.5626030754203</v>
      </c>
      <c r="AW92" s="931">
        <f>'Cost Allocation - Tier 1 (2)'!AW81</f>
        <v>311.33742244524433</v>
      </c>
      <c r="AX92" s="931">
        <f>'Cost Allocation - Tier 1 (2)'!AX81</f>
        <v>3.2430011147868063</v>
      </c>
      <c r="AY92" s="931">
        <f>'Cost Allocation - Tier 1 (2)'!AY81</f>
        <v>1062.0653849953246</v>
      </c>
      <c r="AZ92" s="931">
        <f>'Cost Allocation - Tier 1 (2)'!AZ81</f>
        <v>35.718100528385136</v>
      </c>
      <c r="BA92" s="931">
        <f>'Cost Allocation - Tier 1 (2)'!BA81</f>
        <v>644.07911495603503</v>
      </c>
      <c r="BB92" s="931">
        <f>'Cost Allocation - Tier 1 (2)'!BB81</f>
        <v>2285.9772701870374</v>
      </c>
      <c r="BC92" s="688">
        <f>'Cost Allocation - Tier 1 (2)'!BC81</f>
        <v>9583.9302280978245</v>
      </c>
      <c r="BD92" s="932">
        <v>1526.688606992381</v>
      </c>
      <c r="BE92" s="932">
        <v>1419.1859631563677</v>
      </c>
      <c r="BF92" s="932">
        <v>801.60666156388254</v>
      </c>
      <c r="BG92" s="932">
        <v>1796.3905150833907</v>
      </c>
      <c r="BH92" s="932">
        <v>1345.070572533308</v>
      </c>
      <c r="BI92" s="932">
        <v>883.39061112103627</v>
      </c>
      <c r="BJ92" s="932">
        <v>280.28855068162557</v>
      </c>
      <c r="BK92" s="931">
        <f>'Cost Allocation - Tier 1 (2)'!BK81</f>
        <v>1531.3087469658328</v>
      </c>
      <c r="BL92" s="76">
        <f t="shared" si="40"/>
        <v>15243.098863314523</v>
      </c>
      <c r="BM92" s="76">
        <f t="shared" si="41"/>
        <v>-235.03836208421671</v>
      </c>
      <c r="BN92" s="76">
        <f>SUM(BD92:BK92)-'Cost Allocation - Tier 1 (2)'!BC81</f>
        <v>0</v>
      </c>
    </row>
    <row r="93" spans="1:98" x14ac:dyDescent="0.25">
      <c r="A93" s="693" t="str">
        <f>'Cost Allocation - Tier 1 (2)'!A82</f>
        <v>8090 - HSE $Usd</v>
      </c>
      <c r="B93" s="693" t="str">
        <f>'Cost Allocation - Tier 1 (2)'!B82</f>
        <v>ALL</v>
      </c>
      <c r="C93" s="693" t="str">
        <f>'Cost Allocation - Tier 1 (2)'!C82</f>
        <v>Y</v>
      </c>
      <c r="D93" s="778">
        <f>'Cost Allocation - Tier 1 (2)'!D82</f>
        <v>98398.017599999992</v>
      </c>
      <c r="E93" s="778">
        <f>'Cost Allocation - Tier 1 (2)'!E82</f>
        <v>74028</v>
      </c>
      <c r="F93" s="778">
        <f>'Cost Allocation - Tier 1 (2)'!F82</f>
        <v>0</v>
      </c>
      <c r="G93" s="778">
        <f>'Cost Allocation - Tier 1 (2)'!G82</f>
        <v>78469.680000000008</v>
      </c>
      <c r="H93" s="778">
        <f>'Cost Allocation - Tier 1 (2)'!H82</f>
        <v>0</v>
      </c>
      <c r="I93" s="688">
        <f>'Cost Allocation - Tier 1 (2)'!I82</f>
        <v>28686.717264357067</v>
      </c>
      <c r="J93" s="931">
        <f>'Cost Allocation - Tier 1 (2)'!J82</f>
        <v>187.76827921438681</v>
      </c>
      <c r="K93" s="931">
        <f>'Cost Allocation - Tier 1 (2)'!K82</f>
        <v>55.694367758539478</v>
      </c>
      <c r="L93" s="931">
        <f>'Cost Allocation - Tier 1 (2)'!L82</f>
        <v>58.477982765679236</v>
      </c>
      <c r="M93" s="931">
        <f>'Cost Allocation - Tier 1 (2)'!M82</f>
        <v>55.918385348349013</v>
      </c>
      <c r="N93" s="931">
        <f>'Cost Allocation - Tier 1 (2)'!N82</f>
        <v>97.856262875028165</v>
      </c>
      <c r="O93" s="931">
        <f>'Cost Allocation - Tier 1 (2)'!O82</f>
        <v>224.08679834598706</v>
      </c>
      <c r="P93" s="931">
        <f>'Cost Allocation - Tier 1 (2)'!P82</f>
        <v>27.108598797599267</v>
      </c>
      <c r="Q93" s="931">
        <f>'Cost Allocation - Tier 1 (2)'!Q82</f>
        <v>71.781807678954465</v>
      </c>
      <c r="R93" s="931">
        <f>'Cost Allocation - Tier 1 (2)'!R82</f>
        <v>61.396574799042568</v>
      </c>
      <c r="S93" s="931">
        <f>'Cost Allocation - Tier 1 (2)'!S82</f>
        <v>63.162088871579911</v>
      </c>
      <c r="T93" s="931">
        <f>'Cost Allocation - Tier 1 (2)'!T82</f>
        <v>228.78565564324813</v>
      </c>
      <c r="U93" s="931">
        <f>'Cost Allocation - Tier 1 (2)'!U82</f>
        <v>182.65827135456561</v>
      </c>
      <c r="V93" s="931">
        <f>'Cost Allocation - Tier 1 (2)'!V82</f>
        <v>144.94166242704392</v>
      </c>
      <c r="W93" s="931">
        <f>'Cost Allocation - Tier 1 (2)'!W82</f>
        <v>232.43765126808847</v>
      </c>
      <c r="X93" s="931">
        <f>'Cost Allocation - Tier 1 (2)'!X82</f>
        <v>5.7469886498869229</v>
      </c>
      <c r="Y93" s="931">
        <f>'Cost Allocation - Tier 1 (2)'!Y82</f>
        <v>4.5332681043488847</v>
      </c>
      <c r="Z93" s="931">
        <f>'Cost Allocation - Tier 1 (2)'!Z82</f>
        <v>21.919176546144524</v>
      </c>
      <c r="AA93" s="931">
        <f>'Cost Allocation - Tier 1 (2)'!AA82</f>
        <v>20.035240438943333</v>
      </c>
      <c r="AB93" s="931">
        <f>'Cost Allocation - Tier 1 (2)'!AB82</f>
        <v>12.053698389104975</v>
      </c>
      <c r="AC93" s="931">
        <f>'Cost Allocation - Tier 1 (2)'!AC82</f>
        <v>12.328505993701297</v>
      </c>
      <c r="AD93" s="931">
        <f>'Cost Allocation - Tier 1 (2)'!AD82</f>
        <v>69.949673581284699</v>
      </c>
      <c r="AE93" s="931">
        <f>'Cost Allocation - Tier 1 (2)'!AE82</f>
        <v>28.055733644042011</v>
      </c>
      <c r="AF93" s="931">
        <f>'Cost Allocation - Tier 1 (2)'!AF82</f>
        <v>72.999816044782875</v>
      </c>
      <c r="AG93" s="931">
        <f>'Cost Allocation - Tier 1 (2)'!AG82</f>
        <v>226.77430261339794</v>
      </c>
      <c r="AH93" s="931">
        <f>'Cost Allocation - Tier 1 (2)'!AH82</f>
        <v>1857.0041446335208</v>
      </c>
      <c r="AI93" s="931">
        <f>'Cost Allocation - Tier 1 (2)'!AI82</f>
        <v>12.897853883487864</v>
      </c>
      <c r="AJ93" s="931">
        <f>'Cost Allocation - Tier 1 (2)'!AJ82</f>
        <v>273.67218100894723</v>
      </c>
      <c r="AK93" s="931">
        <f>'Cost Allocation - Tier 1 (2)'!AK82</f>
        <v>235.31529640576977</v>
      </c>
      <c r="AL93" s="931">
        <f>'Cost Allocation - Tier 1 (2)'!AL82</f>
        <v>0</v>
      </c>
      <c r="AM93" s="931">
        <f>'Cost Allocation - Tier 1 (2)'!AM82</f>
        <v>28.69885787443382</v>
      </c>
      <c r="AN93" s="931">
        <f>'Cost Allocation - Tier 1 (2)'!AN82</f>
        <v>48.532485372388606</v>
      </c>
      <c r="AO93" s="931">
        <f>'Cost Allocation - Tier 1 (2)'!AO82</f>
        <v>286.11944662211812</v>
      </c>
      <c r="AP93" s="931">
        <f>'Cost Allocation - Tier 1 (2)'!AP82</f>
        <v>43.334310475637828</v>
      </c>
      <c r="AQ93" s="931">
        <f>'Cost Allocation - Tier 1 (2)'!AQ82</f>
        <v>271.9223649303114</v>
      </c>
      <c r="AR93" s="931">
        <f>'Cost Allocation - Tier 1 (2)'!AR82</f>
        <v>0.82151716335405622</v>
      </c>
      <c r="AS93" s="931">
        <f>'Cost Allocation - Tier 1 (2)'!AS82</f>
        <v>400.75504756134711</v>
      </c>
      <c r="AT93" s="931">
        <f>'Cost Allocation - Tier 1 (2)'!AT82</f>
        <v>332.46625781935614</v>
      </c>
      <c r="AU93" s="931">
        <f>'Cost Allocation - Tier 1 (2)'!AU82</f>
        <v>464.79029578605139</v>
      </c>
      <c r="AV93" s="931">
        <f>'Cost Allocation - Tier 1 (2)'!AV82</f>
        <v>653.26448072193523</v>
      </c>
      <c r="AW93" s="931">
        <f>'Cost Allocation - Tier 1 (2)'!AW82</f>
        <v>1673.0941462055816</v>
      </c>
      <c r="AX93" s="931">
        <f>'Cost Allocation - Tier 1 (2)'!AX82</f>
        <v>17.427542563542094</v>
      </c>
      <c r="AY93" s="931">
        <f>'Cost Allocation - Tier 1 (2)'!AY82</f>
        <v>5079.5890471508892</v>
      </c>
      <c r="AZ93" s="931">
        <f>'Cost Allocation - Tier 1 (2)'!AZ82</f>
        <v>170.83060496300632</v>
      </c>
      <c r="BA93" s="931">
        <f>'Cost Allocation - Tier 1 (2)'!BA82</f>
        <v>3080.4668564202534</v>
      </c>
      <c r="BB93" s="931">
        <f>'Cost Allocation - Tier 1 (2)'!BB82</f>
        <v>11589.243735641407</v>
      </c>
      <c r="BC93" s="688">
        <f>'Cost Allocation - Tier 1 (2)'!BC82</f>
        <v>45837.504642445674</v>
      </c>
      <c r="BD93" s="932">
        <v>7301.7639366174126</v>
      </c>
      <c r="BE93" s="932">
        <v>6787.6060891967654</v>
      </c>
      <c r="BF93" s="932">
        <v>3833.8811110212519</v>
      </c>
      <c r="BG93" s="932">
        <v>8591.6796778604239</v>
      </c>
      <c r="BH93" s="932">
        <v>6433.1309958993206</v>
      </c>
      <c r="BI93" s="932">
        <v>4225.0329744303835</v>
      </c>
      <c r="BJ93" s="932">
        <v>1340.5489644975578</v>
      </c>
      <c r="BK93" s="931">
        <f>'Cost Allocation - Tier 1 (2)'!BK82</f>
        <v>7323.8608929225566</v>
      </c>
      <c r="BL93" s="76">
        <f t="shared" si="40"/>
        <v>74524.221906802733</v>
      </c>
      <c r="BM93" s="76">
        <f t="shared" si="41"/>
        <v>-3945.4580931972741</v>
      </c>
      <c r="BN93" s="76">
        <f>SUM(BD93:BK93)-'Cost Allocation - Tier 1 (2)'!BC82</f>
        <v>0</v>
      </c>
    </row>
    <row r="94" spans="1:98" x14ac:dyDescent="0.25">
      <c r="A94" s="693" t="str">
        <f>'Cost Allocation - Tier 1 (2)'!A83</f>
        <v>9000 - Transition &amp; Recovery</v>
      </c>
      <c r="B94" s="693" t="str">
        <f>'Cost Allocation - Tier 1 (2)'!B83</f>
        <v>ALL</v>
      </c>
      <c r="C94" s="693" t="str">
        <f>'Cost Allocation - Tier 1 (2)'!C83</f>
        <v>Y</v>
      </c>
      <c r="D94" s="778">
        <f>'Cost Allocation - Tier 1 (2)'!D83</f>
        <v>44091</v>
      </c>
      <c r="E94" s="778">
        <f>'Cost Allocation - Tier 1 (2)'!E83</f>
        <v>33171.080349082156</v>
      </c>
      <c r="F94" s="778">
        <f>'Cost Allocation - Tier 1 (2)'!F83</f>
        <v>0</v>
      </c>
      <c r="G94" s="778">
        <f>'Cost Allocation - Tier 1 (2)'!G83</f>
        <v>35161.345170027089</v>
      </c>
      <c r="H94" s="778">
        <f>'Cost Allocation - Tier 1 (2)'!H83</f>
        <v>0</v>
      </c>
      <c r="I94" s="688">
        <f>'Cost Allocation - Tier 1 (2)'!I83</f>
        <v>12855.809382005225</v>
      </c>
      <c r="J94" s="931">
        <f>'Cost Allocation - Tier 1 (2)'!J83</f>
        <v>79.374309629264658</v>
      </c>
      <c r="K94" s="931">
        <f>'Cost Allocation - Tier 1 (2)'!K83</f>
        <v>23.543390872880373</v>
      </c>
      <c r="L94" s="931">
        <f>'Cost Allocation - Tier 1 (2)'!L83</f>
        <v>24.720093990093847</v>
      </c>
      <c r="M94" s="931">
        <f>'Cost Allocation - Tier 1 (2)'!M83</f>
        <v>23.638088665342121</v>
      </c>
      <c r="N94" s="931">
        <f>'Cost Allocation - Tier 1 (2)'!N83</f>
        <v>41.366269857204259</v>
      </c>
      <c r="O94" s="931">
        <f>'Cost Allocation - Tier 1 (2)'!O83</f>
        <v>94.727048626976767</v>
      </c>
      <c r="P94" s="931">
        <f>'Cost Allocation - Tier 1 (2)'!P83</f>
        <v>11.459477200189898</v>
      </c>
      <c r="Q94" s="931">
        <f>'Cost Allocation - Tier 1 (2)'!Q83</f>
        <v>30.343950811586854</v>
      </c>
      <c r="R94" s="931">
        <f>'Cost Allocation - Tier 1 (2)'!R83</f>
        <v>25.953855244694175</v>
      </c>
      <c r="S94" s="931">
        <f>'Cost Allocation - Tier 1 (2)'!S83</f>
        <v>26.70018184061723</v>
      </c>
      <c r="T94" s="931">
        <f>'Cost Allocation - Tier 1 (2)'!T83</f>
        <v>96.713372172023952</v>
      </c>
      <c r="U94" s="931">
        <f>'Cost Allocation - Tier 1 (2)'!U83</f>
        <v>77.214182541928906</v>
      </c>
      <c r="V94" s="931">
        <f>'Cost Allocation - Tier 1 (2)'!V83</f>
        <v>61.270436304786969</v>
      </c>
      <c r="W94" s="931">
        <f>'Cost Allocation - Tier 1 (2)'!W83</f>
        <v>98.257161318431528</v>
      </c>
      <c r="X94" s="931">
        <f>'Cost Allocation - Tier 1 (2)'!X83</f>
        <v>2.4293946690067076</v>
      </c>
      <c r="Y94" s="931">
        <f>'Cost Allocation - Tier 1 (2)'!Y83</f>
        <v>1.9163248853988979</v>
      </c>
      <c r="Z94" s="931">
        <f>'Cost Allocation - Tier 1 (2)'!Z83</f>
        <v>9.2657796794618896</v>
      </c>
      <c r="AA94" s="931">
        <f>'Cost Allocation - Tier 1 (2)'!AA83</f>
        <v>8.4693931517672709</v>
      </c>
      <c r="AB94" s="931">
        <f>'Cost Allocation - Tier 1 (2)'!AB83</f>
        <v>5.0953973275869506</v>
      </c>
      <c r="AC94" s="931">
        <f>'Cost Allocation - Tier 1 (2)'!AC83</f>
        <v>5.2115653192571534</v>
      </c>
      <c r="AD94" s="931">
        <f>'Cost Allocation - Tier 1 (2)'!AD83</f>
        <v>29.569462278384005</v>
      </c>
      <c r="AE94" s="931">
        <f>'Cost Allocation - Tier 1 (2)'!AE83</f>
        <v>11.859854595545247</v>
      </c>
      <c r="AF94" s="931">
        <f>'Cost Allocation - Tier 1 (2)'!AF83</f>
        <v>30.858833163200224</v>
      </c>
      <c r="AG94" s="931">
        <f>'Cost Allocation - Tier 1 (2)'!AG83</f>
        <v>95.863123350268467</v>
      </c>
      <c r="AH94" s="931">
        <f>'Cost Allocation - Tier 1 (2)'!AH83</f>
        <v>785.00171901066881</v>
      </c>
      <c r="AI94" s="931">
        <f>'Cost Allocation - Tier 1 (2)'!AI83</f>
        <v>5.4522427961971713</v>
      </c>
      <c r="AJ94" s="931">
        <f>'Cost Allocation - Tier 1 (2)'!AJ83</f>
        <v>115.68801995313788</v>
      </c>
      <c r="AK94" s="931">
        <f>'Cost Allocation - Tier 1 (2)'!AK83</f>
        <v>99.473613304449202</v>
      </c>
      <c r="AL94" s="931">
        <f>'Cost Allocation - Tier 1 (2)'!AL83</f>
        <v>0</v>
      </c>
      <c r="AM94" s="931">
        <f>'Cost Allocation - Tier 1 (2)'!AM83</f>
        <v>12.131719161843572</v>
      </c>
      <c r="AN94" s="931">
        <f>'Cost Allocation - Tier 1 (2)'!AN83</f>
        <v>20.515885522002343</v>
      </c>
      <c r="AO94" s="931">
        <f>'Cost Allocation - Tier 1 (2)'!AO83</f>
        <v>120.9497879096385</v>
      </c>
      <c r="AP94" s="931">
        <f>'Cost Allocation - Tier 1 (2)'!AP83</f>
        <v>18.318488040979073</v>
      </c>
      <c r="AQ94" s="931">
        <f>'Cost Allocation - Tier 1 (2)'!AQ83</f>
        <v>114.94832928866026</v>
      </c>
      <c r="AR94" s="931">
        <f>'Cost Allocation - Tier 1 (2)'!AR83</f>
        <v>0.347275684490716</v>
      </c>
      <c r="AS94" s="931">
        <f>'Cost Allocation - Tier 1 (2)'!AS83</f>
        <v>169.40910021498348</v>
      </c>
      <c r="AT94" s="931">
        <f>'Cost Allocation - Tier 1 (2)'!AT83</f>
        <v>140.5417347373473</v>
      </c>
      <c r="AU94" s="931">
        <f>'Cost Allocation - Tier 1 (2)'!AU83</f>
        <v>196.4783881748055</v>
      </c>
      <c r="AV94" s="931">
        <f>'Cost Allocation - Tier 1 (2)'!AV83</f>
        <v>276.1511016640917</v>
      </c>
      <c r="AW94" s="931">
        <f>'Cost Allocation - Tier 1 (2)'!AW83</f>
        <v>707.25840038298043</v>
      </c>
      <c r="AX94" s="931">
        <f>'Cost Allocation - Tier 1 (2)'!AX83</f>
        <v>7.3670545701512227</v>
      </c>
      <c r="AY94" s="931">
        <f>'Cost Allocation - Tier 1 (2)'!AY83</f>
        <v>2412.6706625703982</v>
      </c>
      <c r="AZ94" s="931">
        <f>'Cost Allocation - Tier 1 (2)'!AZ83</f>
        <v>81.140026296925598</v>
      </c>
      <c r="BA94" s="931">
        <f>'Cost Allocation - Tier 1 (2)'!BA83</f>
        <v>1463.1404120524776</v>
      </c>
      <c r="BB94" s="931">
        <f>'Cost Allocation - Tier 1 (2)'!BB83</f>
        <v>5193.0044731730986</v>
      </c>
      <c r="BC94" s="688">
        <f>'Cost Allocation - Tier 1 (2)'!BC83</f>
        <v>21771.604291156742</v>
      </c>
      <c r="BD94" s="932">
        <v>3468.1450549178776</v>
      </c>
      <c r="BE94" s="932">
        <v>3223.9336545688816</v>
      </c>
      <c r="BF94" s="932">
        <v>1820.992287856827</v>
      </c>
      <c r="BG94" s="932">
        <v>4080.8209696811682</v>
      </c>
      <c r="BH94" s="932">
        <v>3055.5673457450716</v>
      </c>
      <c r="BI94" s="932">
        <v>2006.7790939738068</v>
      </c>
      <c r="BJ94" s="932">
        <v>636.7253587564303</v>
      </c>
      <c r="BK94" s="931">
        <f>'Cost Allocation - Tier 1 (2)'!BK83</f>
        <v>3478.6405256566813</v>
      </c>
      <c r="BL94" s="76">
        <f t="shared" si="40"/>
        <v>34627.413673161966</v>
      </c>
      <c r="BM94" s="76">
        <f t="shared" si="41"/>
        <v>-533.93149686512334</v>
      </c>
      <c r="BN94" s="76">
        <f>SUM(BD94:BK94)-'Cost Allocation - Tier 1 (2)'!BC83</f>
        <v>0</v>
      </c>
    </row>
    <row r="95" spans="1:98" x14ac:dyDescent="0.25">
      <c r="A95" s="693" t="str">
        <f>'Cost Allocation - Tier 1 (2)'!A84</f>
        <v>9100 - Transformation</v>
      </c>
      <c r="B95" s="693" t="str">
        <f>'Cost Allocation - Tier 1 (2)'!B84</f>
        <v>ALL</v>
      </c>
      <c r="C95" s="693" t="str">
        <f>'Cost Allocation - Tier 1 (2)'!C84</f>
        <v>Y</v>
      </c>
      <c r="D95" s="778">
        <f>'Cost Allocation - Tier 1 (2)'!D84</f>
        <v>344016</v>
      </c>
      <c r="E95" s="778">
        <f>'Cost Allocation - Tier 1 (2)'!E84</f>
        <v>258814.32440565756</v>
      </c>
      <c r="F95" s="778">
        <f>'Cost Allocation - Tier 1 (2)'!F84</f>
        <v>111464.79085164009</v>
      </c>
      <c r="G95" s="778">
        <f>'Cost Allocation - Tier 1 (2)'!G84</f>
        <v>267655.29641889862</v>
      </c>
      <c r="H95" s="778">
        <f>'Cost Allocation - Tier 1 (2)'!H84</f>
        <v>0</v>
      </c>
      <c r="I95" s="688">
        <f>'Cost Allocation - Tier 1 (2)'!I84</f>
        <v>99553.643825224135</v>
      </c>
      <c r="J95" s="931">
        <f>'Cost Allocation - Tier 1 (2)'!J84</f>
        <v>619.31080042233361</v>
      </c>
      <c r="K95" s="931">
        <f>'Cost Allocation - Tier 1 (2)'!K84</f>
        <v>183.69515671054896</v>
      </c>
      <c r="L95" s="931">
        <f>'Cost Allocation - Tier 1 (2)'!L84</f>
        <v>192.87627529645792</v>
      </c>
      <c r="M95" s="931">
        <f>'Cost Allocation - Tier 1 (2)'!M84</f>
        <v>184.43402758604557</v>
      </c>
      <c r="N95" s="931">
        <f>'Cost Allocation - Tier 1 (2)'!N84</f>
        <v>322.75654195178112</v>
      </c>
      <c r="O95" s="931">
        <f>'Cost Allocation - Tier 1 (2)'!O84</f>
        <v>739.09914405339055</v>
      </c>
      <c r="P95" s="931">
        <f>'Cost Allocation - Tier 1 (2)'!P84</f>
        <v>89.411524086560249</v>
      </c>
      <c r="Q95" s="931">
        <f>'Cost Allocation - Tier 1 (2)'!Q84</f>
        <v>236.75590443398571</v>
      </c>
      <c r="R95" s="931">
        <f>'Cost Allocation - Tier 1 (2)'!R84</f>
        <v>202.50258478734236</v>
      </c>
      <c r="S95" s="931">
        <f>'Cost Allocation - Tier 1 (2)'!S84</f>
        <v>208.32572987870034</v>
      </c>
      <c r="T95" s="931">
        <f>'Cost Allocation - Tier 1 (2)'!T84</f>
        <v>754.59725207255428</v>
      </c>
      <c r="U95" s="931">
        <f>'Cost Allocation - Tier 1 (2)'!U84</f>
        <v>602.45660614057772</v>
      </c>
      <c r="V95" s="931">
        <f>'Cost Allocation - Tier 1 (2)'!V84</f>
        <v>478.05698250952793</v>
      </c>
      <c r="W95" s="931">
        <f>'Cost Allocation - Tier 1 (2)'!W84</f>
        <v>766.64252586971361</v>
      </c>
      <c r="X95" s="931">
        <f>'Cost Allocation - Tier 1 (2)'!X84</f>
        <v>18.955129991449766</v>
      </c>
      <c r="Y95" s="931">
        <f>'Cost Allocation - Tier 1 (2)'!Y84</f>
        <v>14.951949871297709</v>
      </c>
      <c r="Z95" s="931">
        <f>'Cost Allocation - Tier 1 (2)'!Z84</f>
        <v>72.29539956475837</v>
      </c>
      <c r="AA95" s="931">
        <f>'Cost Allocation - Tier 1 (2)'!AA84</f>
        <v>66.08166642848586</v>
      </c>
      <c r="AB95" s="931">
        <f>'Cost Allocation - Tier 1 (2)'!AB84</f>
        <v>39.756372208549422</v>
      </c>
      <c r="AC95" s="931">
        <f>'Cost Allocation - Tier 1 (2)'!AC84</f>
        <v>40.662762352170937</v>
      </c>
      <c r="AD95" s="931">
        <f>'Cost Allocation - Tier 1 (2)'!AD84</f>
        <v>230.71302839945912</v>
      </c>
      <c r="AE95" s="931">
        <f>'Cost Allocation - Tier 1 (2)'!AE84</f>
        <v>92.535432141278122</v>
      </c>
      <c r="AF95" s="931">
        <f>'Cost Allocation - Tier 1 (2)'!AF84</f>
        <v>240.77322695043179</v>
      </c>
      <c r="AG95" s="931">
        <f>'Cost Allocation - Tier 1 (2)'!AG84</f>
        <v>747.96326330693239</v>
      </c>
      <c r="AH95" s="931">
        <f>'Cost Allocation - Tier 1 (2)'!AH84</f>
        <v>6124.9042064633204</v>
      </c>
      <c r="AI95" s="931">
        <f>'Cost Allocation - Tier 1 (2)'!AI84</f>
        <v>42.540626381269789</v>
      </c>
      <c r="AJ95" s="931">
        <f>'Cost Allocation - Tier 1 (2)'!AJ84</f>
        <v>902.64520814222135</v>
      </c>
      <c r="AK95" s="931">
        <f>'Cost Allocation - Tier 1 (2)'!AK84</f>
        <v>776.13378137360007</v>
      </c>
      <c r="AL95" s="931">
        <f>'Cost Allocation - Tier 1 (2)'!AL84</f>
        <v>0</v>
      </c>
      <c r="AM95" s="931">
        <f>'Cost Allocation - Tier 1 (2)'!AM84</f>
        <v>94.656630586305099</v>
      </c>
      <c r="AN95" s="931">
        <f>'Cost Allocation - Tier 1 (2)'!AN84</f>
        <v>160.07332275832161</v>
      </c>
      <c r="AO95" s="931">
        <f>'Cost Allocation - Tier 1 (2)'!AO84</f>
        <v>943.69967198571601</v>
      </c>
      <c r="AP95" s="931">
        <f>'Cost Allocation - Tier 1 (2)'!AP84</f>
        <v>142.92832963428947</v>
      </c>
      <c r="AQ95" s="931">
        <f>'Cost Allocation - Tier 1 (2)'!AQ84</f>
        <v>896.87383929980615</v>
      </c>
      <c r="AR95" s="931">
        <f>'Cost Allocation - Tier 1 (2)'!AR84</f>
        <v>2.7095868062815125</v>
      </c>
      <c r="AS95" s="931">
        <f>'Cost Allocation - Tier 1 (2)'!AS84</f>
        <v>1321.7990297239292</v>
      </c>
      <c r="AT95" s="931">
        <f>'Cost Allocation - Tier 1 (2)'!AT84</f>
        <v>1096.5640474791514</v>
      </c>
      <c r="AU95" s="931">
        <f>'Cost Allocation - Tier 1 (2)'!AU84</f>
        <v>1533.0046763816626</v>
      </c>
      <c r="AV95" s="931">
        <f>'Cost Allocation - Tier 1 (2)'!AV84</f>
        <v>2154.6437456640624</v>
      </c>
      <c r="AW95" s="931">
        <f>'Cost Allocation - Tier 1 (2)'!AW84</f>
        <v>5518.3190643476319</v>
      </c>
      <c r="AX95" s="931">
        <f>'Cost Allocation - Tier 1 (2)'!AX84</f>
        <v>57.480770338734509</v>
      </c>
      <c r="AY95" s="931">
        <f>'Cost Allocation - Tier 1 (2)'!AY84</f>
        <v>18365.738802903794</v>
      </c>
      <c r="AZ95" s="931">
        <f>'Cost Allocation - Tier 1 (2)'!AZ84</f>
        <v>617.65434982429929</v>
      </c>
      <c r="BA95" s="931">
        <f>'Cost Allocation - Tier 1 (2)'!BA84</f>
        <v>11137.721802071592</v>
      </c>
      <c r="BB95" s="931">
        <f>'Cost Allocation - Tier 1 (2)'!BB84</f>
        <v>40517.943046043794</v>
      </c>
      <c r="BC95" s="688">
        <f>'Cost Allocation - Tier 1 (2)'!BC84</f>
        <v>165729.87102415893</v>
      </c>
      <c r="BD95" s="932">
        <v>26400.224115688081</v>
      </c>
      <c r="BE95" s="932">
        <v>24541.237366654255</v>
      </c>
      <c r="BF95" s="932">
        <v>13861.762916804579</v>
      </c>
      <c r="BG95" s="932">
        <v>31064.037538687509</v>
      </c>
      <c r="BH95" s="932">
        <v>23259.598849206206</v>
      </c>
      <c r="BI95" s="932">
        <v>15276.009795628481</v>
      </c>
      <c r="BJ95" s="932">
        <v>4846.882672186759</v>
      </c>
      <c r="BK95" s="931">
        <f>'Cost Allocation - Tier 1 (2)'!BK84</f>
        <v>26480.117769303055</v>
      </c>
      <c r="BL95" s="76">
        <f t="shared" si="40"/>
        <v>265283.51484938303</v>
      </c>
      <c r="BM95" s="76">
        <f t="shared" si="41"/>
        <v>-2371.7815695155878</v>
      </c>
      <c r="BN95" s="695">
        <f>SUM(BD95:BK95)-'Cost Allocation - Tier 1 (2)'!BC84</f>
        <v>0</v>
      </c>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row>
    <row r="96" spans="1:98" s="938" customFormat="1" ht="15.75" thickBot="1" x14ac:dyDescent="0.3">
      <c r="A96" s="933" t="str">
        <f>'Cost Allocation - Tier 1 (2)'!A85</f>
        <v>Corporate Costs</v>
      </c>
      <c r="B96" s="933"/>
      <c r="C96" s="933"/>
      <c r="D96" s="934">
        <f>SUM(D80:D95)</f>
        <v>3664777.7963555548</v>
      </c>
      <c r="E96" s="934">
        <f t="shared" ref="E96:H96" si="42">SUM(E80:E95)</f>
        <v>2757130.4516668343</v>
      </c>
      <c r="F96" s="934">
        <f t="shared" si="42"/>
        <v>660944.17694854049</v>
      </c>
      <c r="G96" s="934">
        <f t="shared" si="42"/>
        <v>2881886.368149932</v>
      </c>
      <c r="H96" s="934">
        <f t="shared" si="42"/>
        <v>28660.563647306648</v>
      </c>
      <c r="I96" s="935">
        <f>SUM(I80:I95)</f>
        <v>1077532.0942888795</v>
      </c>
      <c r="J96" s="936">
        <f>SUM(J80:J95)</f>
        <v>6609.4525471646521</v>
      </c>
      <c r="K96" s="936">
        <f t="shared" ref="K96:BK96" si="43">SUM(K80:K95)</f>
        <v>1959.2683898713678</v>
      </c>
      <c r="L96" s="936">
        <f t="shared" si="43"/>
        <v>2056.4978703439933</v>
      </c>
      <c r="M96" s="936">
        <f t="shared" si="43"/>
        <v>1969.5300634768248</v>
      </c>
      <c r="N96" s="936">
        <f t="shared" si="43"/>
        <v>3442.864757255426</v>
      </c>
      <c r="O96" s="936">
        <f t="shared" si="43"/>
        <v>7888.4609551424492</v>
      </c>
      <c r="P96" s="936">
        <f t="shared" si="43"/>
        <v>954.46319491839949</v>
      </c>
      <c r="Q96" s="936">
        <f t="shared" si="43"/>
        <v>2527.9860505766592</v>
      </c>
      <c r="R96" s="936">
        <f t="shared" si="43"/>
        <v>2162.4135014234098</v>
      </c>
      <c r="S96" s="936">
        <f t="shared" si="43"/>
        <v>2224.4512965767053</v>
      </c>
      <c r="T96" s="936">
        <f t="shared" si="43"/>
        <v>8058.3278213317526</v>
      </c>
      <c r="U96" s="936">
        <f t="shared" si="43"/>
        <v>6433.327345368848</v>
      </c>
      <c r="V96" s="936">
        <f t="shared" si="43"/>
        <v>5103.1196756429881</v>
      </c>
      <c r="W96" s="936">
        <f t="shared" si="43"/>
        <v>8184.7120255348491</v>
      </c>
      <c r="X96" s="936">
        <f t="shared" si="43"/>
        <v>202.27670714168892</v>
      </c>
      <c r="Y96" s="936">
        <f t="shared" si="43"/>
        <v>159.48668880669862</v>
      </c>
      <c r="Z96" s="936">
        <f t="shared" si="43"/>
        <v>770.75266395855942</v>
      </c>
      <c r="AA96" s="936">
        <f t="shared" si="43"/>
        <v>704.41610948089442</v>
      </c>
      <c r="AB96" s="936">
        <f t="shared" si="43"/>
        <v>423.7476264357291</v>
      </c>
      <c r="AC96" s="936">
        <f t="shared" si="43"/>
        <v>433.71168573806256</v>
      </c>
      <c r="AD96" s="936">
        <f t="shared" si="43"/>
        <v>2462.901136639719</v>
      </c>
      <c r="AE96" s="936">
        <f t="shared" si="43"/>
        <v>987.40366736660076</v>
      </c>
      <c r="AF96" s="936">
        <f t="shared" si="43"/>
        <v>2569.7337987886767</v>
      </c>
      <c r="AG96" s="936">
        <f t="shared" si="43"/>
        <v>7990.3385995323433</v>
      </c>
      <c r="AH96" s="936">
        <f t="shared" si="43"/>
        <v>65326.320437902803</v>
      </c>
      <c r="AI96" s="936">
        <f t="shared" si="43"/>
        <v>454.23776159014369</v>
      </c>
      <c r="AJ96" s="936">
        <f t="shared" si="43"/>
        <v>9640.4436537407819</v>
      </c>
      <c r="AK96" s="936">
        <f t="shared" si="43"/>
        <v>8287.222138787909</v>
      </c>
      <c r="AL96" s="936">
        <f t="shared" si="43"/>
        <v>0</v>
      </c>
      <c r="AM96" s="936">
        <f t="shared" si="43"/>
        <v>1009.1967461626252</v>
      </c>
      <c r="AN96" s="936">
        <f t="shared" si="43"/>
        <v>1707.3147920690005</v>
      </c>
      <c r="AO96" s="936">
        <f t="shared" si="43"/>
        <v>10077.261305203638</v>
      </c>
      <c r="AP96" s="936">
        <f t="shared" si="43"/>
        <v>1525.8807284579052</v>
      </c>
      <c r="AQ96" s="936">
        <f t="shared" si="43"/>
        <v>9579.4298293615393</v>
      </c>
      <c r="AR96" s="936">
        <f t="shared" si="43"/>
        <v>28.873141511480533</v>
      </c>
      <c r="AS96" s="936">
        <f t="shared" si="43"/>
        <v>14117.025016415089</v>
      </c>
      <c r="AT96" s="936">
        <f t="shared" si="43"/>
        <v>11713.688652284385</v>
      </c>
      <c r="AU96" s="936">
        <f t="shared" si="43"/>
        <v>16368.321486915422</v>
      </c>
      <c r="AV96" s="936">
        <f t="shared" si="43"/>
        <v>23010.411089236972</v>
      </c>
      <c r="AW96" s="936">
        <f t="shared" si="43"/>
        <v>58927.922137170979</v>
      </c>
      <c r="AX96" s="936">
        <f t="shared" si="43"/>
        <v>612.5105172241399</v>
      </c>
      <c r="AY96" s="936">
        <f t="shared" si="43"/>
        <v>200837.29832493557</v>
      </c>
      <c r="AZ96" s="936">
        <f t="shared" si="43"/>
        <v>6990.3511158421261</v>
      </c>
      <c r="BA96" s="936">
        <f t="shared" si="43"/>
        <v>122223.19414909308</v>
      </c>
      <c r="BB96" s="936">
        <f t="shared" si="43"/>
        <v>438815.54708645714</v>
      </c>
      <c r="BC96" s="935">
        <f>SUM(BC80:BC95)</f>
        <v>1734928.3895408027</v>
      </c>
      <c r="BD96" s="937">
        <f t="shared" si="43"/>
        <v>276368.39409517328</v>
      </c>
      <c r="BE96" s="937">
        <f t="shared" si="43"/>
        <v>256907.7569345446</v>
      </c>
      <c r="BF96" s="937">
        <f t="shared" si="43"/>
        <v>145110.6301165375</v>
      </c>
      <c r="BG96" s="937">
        <f t="shared" si="43"/>
        <v>325191.10940340924</v>
      </c>
      <c r="BH96" s="937">
        <f t="shared" si="43"/>
        <v>243491.0382989193</v>
      </c>
      <c r="BI96" s="937">
        <f t="shared" si="43"/>
        <v>159915.54756882577</v>
      </c>
      <c r="BJ96" s="937">
        <f t="shared" si="43"/>
        <v>50739.159433270739</v>
      </c>
      <c r="BK96" s="936">
        <f t="shared" si="43"/>
        <v>277204.75369012251</v>
      </c>
      <c r="BL96" s="76">
        <f t="shared" si="40"/>
        <v>2841121.0474769888</v>
      </c>
      <c r="BM96" s="76">
        <f t="shared" si="41"/>
        <v>-40765.320672943257</v>
      </c>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row>
    <row r="97" spans="1:98" x14ac:dyDescent="0.25">
      <c r="A97" s="1"/>
      <c r="B97" s="1"/>
      <c r="C97" s="1"/>
      <c r="D97" s="698"/>
      <c r="E97" s="698"/>
      <c r="F97" s="698"/>
      <c r="G97" s="698"/>
      <c r="H97" s="888">
        <f>H96/G96</f>
        <v>9.9450706884413719E-3</v>
      </c>
      <c r="I97" s="692">
        <f>I96/G96</f>
        <v>0.37389818911583828</v>
      </c>
      <c r="J97" s="752"/>
      <c r="K97" s="752"/>
      <c r="L97" s="752"/>
      <c r="M97" s="752"/>
      <c r="N97" s="752"/>
      <c r="O97" s="752"/>
      <c r="P97" s="752"/>
      <c r="Q97" s="752"/>
      <c r="R97" s="752"/>
      <c r="S97" s="752"/>
      <c r="T97" s="752"/>
      <c r="U97" s="752"/>
      <c r="V97" s="752"/>
      <c r="W97" s="752"/>
      <c r="X97" s="752"/>
      <c r="Y97" s="752"/>
      <c r="Z97" s="752"/>
      <c r="AA97" s="752"/>
      <c r="AB97" s="752"/>
      <c r="AC97" s="752"/>
      <c r="AD97" s="752"/>
      <c r="AE97" s="752"/>
      <c r="AF97" s="752"/>
      <c r="AG97" s="752"/>
      <c r="AH97" s="752"/>
      <c r="AI97" s="752"/>
      <c r="AJ97" s="752"/>
      <c r="AK97" s="752"/>
      <c r="AL97" s="752"/>
      <c r="AM97" s="752"/>
      <c r="AN97" s="752"/>
      <c r="AO97" s="752"/>
      <c r="AP97" s="752"/>
      <c r="AQ97" s="752"/>
      <c r="AR97" s="752"/>
      <c r="AS97" s="752"/>
      <c r="AT97" s="752"/>
      <c r="AU97" s="752"/>
      <c r="AV97" s="752"/>
      <c r="AW97" s="752"/>
      <c r="AX97" s="752"/>
      <c r="AY97" s="752"/>
      <c r="AZ97" s="752"/>
      <c r="BA97" s="752"/>
      <c r="BB97" s="752"/>
      <c r="BC97" s="692">
        <f>BC96/G96</f>
        <v>0.60201138001654264</v>
      </c>
      <c r="BD97" s="888">
        <f>BD96/$BC$96</f>
        <v>0.15929671550784982</v>
      </c>
      <c r="BE97" s="888">
        <f t="shared" ref="BE97:BK97" si="44">BE96/$BC$96</f>
        <v>0.14807974697015733</v>
      </c>
      <c r="BF97" s="888">
        <f t="shared" si="44"/>
        <v>8.3640702977340234E-2</v>
      </c>
      <c r="BG97" s="888">
        <f t="shared" si="44"/>
        <v>0.1874377705522936</v>
      </c>
      <c r="BH97" s="888">
        <f t="shared" si="44"/>
        <v>0.14034644874499172</v>
      </c>
      <c r="BI97" s="888">
        <f t="shared" si="44"/>
        <v>9.2174148819567064E-2</v>
      </c>
      <c r="BJ97" s="888">
        <f t="shared" si="44"/>
        <v>2.9245679383170551E-2</v>
      </c>
      <c r="BK97" s="888">
        <f t="shared" si="44"/>
        <v>0.15977878704462983</v>
      </c>
      <c r="BL97" s="888">
        <f>'Cost Allocation - Tier 1 (2)'!BL86</f>
        <v>1</v>
      </c>
      <c r="BM97" s="698">
        <f>'Cost Allocation - Tier 1 (2)'!BM86</f>
        <v>0</v>
      </c>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row>
    <row r="98" spans="1:98" x14ac:dyDescent="0.25">
      <c r="A98" s="1"/>
      <c r="B98" s="1"/>
      <c r="C98" s="1"/>
      <c r="D98" s="698"/>
      <c r="E98" s="698"/>
      <c r="F98" s="698"/>
      <c r="G98" s="698"/>
      <c r="H98" s="698" t="str">
        <f>'Cost Allocation - Tier 1 (2)'!H87</f>
        <v>w/o Tribus</v>
      </c>
      <c r="I98" s="939">
        <f>I96/(I96+BC96)</f>
        <v>0.38312790543518016</v>
      </c>
      <c r="J98" s="940"/>
      <c r="K98" s="940"/>
      <c r="L98" s="940"/>
      <c r="M98" s="940"/>
      <c r="N98" s="940"/>
      <c r="O98" s="940"/>
      <c r="P98" s="940"/>
      <c r="Q98" s="940"/>
      <c r="R98" s="940"/>
      <c r="S98" s="940"/>
      <c r="T98" s="940"/>
      <c r="U98" s="940"/>
      <c r="V98" s="940"/>
      <c r="W98" s="940"/>
      <c r="X98" s="940"/>
      <c r="Y98" s="940"/>
      <c r="Z98" s="940"/>
      <c r="AA98" s="940"/>
      <c r="AB98" s="940"/>
      <c r="AC98" s="940"/>
      <c r="AD98" s="940"/>
      <c r="AE98" s="940"/>
      <c r="AF98" s="940"/>
      <c r="AG98" s="940"/>
      <c r="AH98" s="940"/>
      <c r="AI98" s="940"/>
      <c r="AJ98" s="940"/>
      <c r="AK98" s="940"/>
      <c r="AL98" s="940"/>
      <c r="AM98" s="940"/>
      <c r="AN98" s="940"/>
      <c r="AO98" s="940"/>
      <c r="AP98" s="940"/>
      <c r="AQ98" s="940"/>
      <c r="AR98" s="940"/>
      <c r="AS98" s="940"/>
      <c r="AT98" s="940"/>
      <c r="AU98" s="940"/>
      <c r="AV98" s="940"/>
      <c r="AW98" s="940"/>
      <c r="AX98" s="940"/>
      <c r="AY98" s="940"/>
      <c r="AZ98" s="940"/>
      <c r="BA98" s="940"/>
      <c r="BB98" s="940" t="str">
        <f>'Cost Allocation - Tier 1 (2)'!BB87</f>
        <v>w/o Tribus</v>
      </c>
      <c r="BC98" s="939">
        <f>BC96/(BC96+I96)</f>
        <v>0.61687209456481984</v>
      </c>
      <c r="BD98" s="941"/>
      <c r="BE98" s="941"/>
      <c r="BF98" s="941"/>
      <c r="BG98" s="941"/>
      <c r="BH98" s="941"/>
      <c r="BI98" s="941"/>
      <c r="BJ98" s="941"/>
      <c r="BK98" s="941"/>
      <c r="BL98" s="698">
        <f>'Cost Allocation - Tier 1 (2)'!BL87</f>
        <v>1</v>
      </c>
      <c r="BM98" s="698">
        <f>'Cost Allocation - Tier 1 (2)'!BM87</f>
        <v>0</v>
      </c>
    </row>
    <row r="99" spans="1:98" x14ac:dyDescent="0.25">
      <c r="A99" s="199" t="str">
        <f>'Cost Allocation - Tier 1 (2)'!A88</f>
        <v>Corporate revenue allocation</v>
      </c>
      <c r="B99" s="1"/>
      <c r="C99" s="1"/>
      <c r="D99" s="698"/>
      <c r="E99" s="698"/>
      <c r="F99" s="698"/>
      <c r="G99" s="698"/>
      <c r="H99" s="698"/>
      <c r="I99" s="688"/>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c r="AL99" s="942"/>
      <c r="AM99" s="942"/>
      <c r="AN99" s="942"/>
      <c r="AO99" s="942"/>
      <c r="AP99" s="942"/>
      <c r="AQ99" s="942"/>
      <c r="AR99" s="942"/>
      <c r="AS99" s="942"/>
      <c r="AT99" s="942"/>
      <c r="AU99" s="942"/>
      <c r="AV99" s="942"/>
      <c r="AW99" s="942"/>
      <c r="AX99" s="942"/>
      <c r="AY99" s="942"/>
      <c r="AZ99" s="942"/>
      <c r="BA99" s="942"/>
      <c r="BB99" s="942"/>
      <c r="BC99" s="688"/>
      <c r="BD99" s="698"/>
      <c r="BE99" s="698"/>
      <c r="BF99" s="698"/>
      <c r="BG99" s="698"/>
      <c r="BH99" s="698"/>
      <c r="BI99" s="698"/>
      <c r="BJ99" s="698"/>
      <c r="BK99" s="698"/>
      <c r="BL99" s="698"/>
      <c r="BM99" s="698"/>
    </row>
    <row r="100" spans="1:98" x14ac:dyDescent="0.25">
      <c r="A100" s="1"/>
      <c r="B100" s="1"/>
      <c r="C100" s="1"/>
      <c r="D100" s="698"/>
      <c r="E100" s="698"/>
      <c r="F100" s="698"/>
      <c r="G100" s="698"/>
      <c r="H100" s="698"/>
      <c r="I100" s="688"/>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c r="AL100" s="942"/>
      <c r="AM100" s="942"/>
      <c r="AN100" s="942"/>
      <c r="AO100" s="942"/>
      <c r="AP100" s="942"/>
      <c r="AQ100" s="942"/>
      <c r="AR100" s="942"/>
      <c r="AS100" s="942"/>
      <c r="AT100" s="942"/>
      <c r="AU100" s="942"/>
      <c r="AV100" s="942"/>
      <c r="AW100" s="942"/>
      <c r="AX100" s="942"/>
      <c r="AY100" s="942"/>
      <c r="AZ100" s="942"/>
      <c r="BA100" s="942"/>
      <c r="BB100" s="942"/>
      <c r="BC100" s="688"/>
      <c r="BD100" s="698"/>
      <c r="BE100" s="698"/>
      <c r="BF100" s="698"/>
      <c r="BG100" s="698"/>
      <c r="BH100" s="698"/>
      <c r="BI100" s="698"/>
      <c r="BJ100" s="698"/>
      <c r="BK100" s="698"/>
      <c r="BL100" s="698"/>
      <c r="BM100" s="698"/>
    </row>
    <row r="101" spans="1:98" x14ac:dyDescent="0.25">
      <c r="A101" s="693" t="str">
        <f>'Cost Allocation - Tier 1 (2)'!A90</f>
        <v>Doyon Board Fees</v>
      </c>
      <c r="B101" s="693" t="str">
        <f>'Cost Allocation - Tier 1 (2)'!B90</f>
        <v>DOYON</v>
      </c>
      <c r="C101" s="693" t="str">
        <f>'Cost Allocation - Tier 1 (2)'!C90</f>
        <v>N</v>
      </c>
      <c r="D101" s="778">
        <f>'Cost Allocation - Tier 1 (2)'!D90</f>
        <v>0</v>
      </c>
      <c r="E101" s="778">
        <f>'Cost Allocation - Tier 1 (2)'!E90</f>
        <v>0</v>
      </c>
      <c r="F101" s="778">
        <f>'Cost Allocation - Tier 1 (2)'!F90</f>
        <v>0</v>
      </c>
      <c r="G101" s="778">
        <f>'Cost Allocation - Tier 1 (2)'!G90</f>
        <v>0</v>
      </c>
      <c r="H101" s="778">
        <f>'Cost Allocation - Tier 1 (2)'!H90</f>
        <v>0</v>
      </c>
      <c r="I101" s="688">
        <f>'Cost Allocation - Tier 1 (2)'!I90</f>
        <v>0</v>
      </c>
      <c r="J101" s="942">
        <f>'Cost Allocation - Tier 1 (2)'!J90</f>
        <v>0</v>
      </c>
      <c r="K101" s="942">
        <f>'Cost Allocation - Tier 1 (2)'!K90</f>
        <v>0</v>
      </c>
      <c r="L101" s="942">
        <f>'Cost Allocation - Tier 1 (2)'!L90</f>
        <v>0</v>
      </c>
      <c r="M101" s="942">
        <f>'Cost Allocation - Tier 1 (2)'!M90</f>
        <v>0</v>
      </c>
      <c r="N101" s="942">
        <f>'Cost Allocation - Tier 1 (2)'!N90</f>
        <v>0</v>
      </c>
      <c r="O101" s="942">
        <f>'Cost Allocation - Tier 1 (2)'!O90</f>
        <v>0</v>
      </c>
      <c r="P101" s="942">
        <f>'Cost Allocation - Tier 1 (2)'!P90</f>
        <v>0</v>
      </c>
      <c r="Q101" s="942">
        <f>'Cost Allocation - Tier 1 (2)'!Q90</f>
        <v>0</v>
      </c>
      <c r="R101" s="942">
        <f>'Cost Allocation - Tier 1 (2)'!R90</f>
        <v>0</v>
      </c>
      <c r="S101" s="942">
        <f>'Cost Allocation - Tier 1 (2)'!S90</f>
        <v>0</v>
      </c>
      <c r="T101" s="942">
        <f>'Cost Allocation - Tier 1 (2)'!T90</f>
        <v>0</v>
      </c>
      <c r="U101" s="942">
        <f>'Cost Allocation - Tier 1 (2)'!U90</f>
        <v>0</v>
      </c>
      <c r="V101" s="942">
        <f>'Cost Allocation - Tier 1 (2)'!V90</f>
        <v>0</v>
      </c>
      <c r="W101" s="942">
        <f>'Cost Allocation - Tier 1 (2)'!W90</f>
        <v>0</v>
      </c>
      <c r="X101" s="942">
        <f>'Cost Allocation - Tier 1 (2)'!X90</f>
        <v>0</v>
      </c>
      <c r="Y101" s="942">
        <f>'Cost Allocation - Tier 1 (2)'!Y90</f>
        <v>0</v>
      </c>
      <c r="Z101" s="942">
        <f>'Cost Allocation - Tier 1 (2)'!Z90</f>
        <v>0</v>
      </c>
      <c r="AA101" s="942">
        <f>'Cost Allocation - Tier 1 (2)'!AA90</f>
        <v>0</v>
      </c>
      <c r="AB101" s="942">
        <f>'Cost Allocation - Tier 1 (2)'!AB90</f>
        <v>0</v>
      </c>
      <c r="AC101" s="942">
        <f>'Cost Allocation - Tier 1 (2)'!AC90</f>
        <v>0</v>
      </c>
      <c r="AD101" s="942">
        <f>'Cost Allocation - Tier 1 (2)'!AD90</f>
        <v>0</v>
      </c>
      <c r="AE101" s="942">
        <f>'Cost Allocation - Tier 1 (2)'!AE90</f>
        <v>0</v>
      </c>
      <c r="AF101" s="942">
        <f>'Cost Allocation - Tier 1 (2)'!AF90</f>
        <v>0</v>
      </c>
      <c r="AG101" s="942">
        <f>'Cost Allocation - Tier 1 (2)'!AG90</f>
        <v>0</v>
      </c>
      <c r="AH101" s="942">
        <f>'Cost Allocation - Tier 1 (2)'!AH90</f>
        <v>0</v>
      </c>
      <c r="AI101" s="942">
        <f>'Cost Allocation - Tier 1 (2)'!AI90</f>
        <v>0</v>
      </c>
      <c r="AJ101" s="942">
        <f>'Cost Allocation - Tier 1 (2)'!AJ90</f>
        <v>0</v>
      </c>
      <c r="AK101" s="942">
        <f>'Cost Allocation - Tier 1 (2)'!AK90</f>
        <v>0</v>
      </c>
      <c r="AL101" s="942">
        <f>'Cost Allocation - Tier 1 (2)'!AL90</f>
        <v>0</v>
      </c>
      <c r="AM101" s="942">
        <f>'Cost Allocation - Tier 1 (2)'!AM90</f>
        <v>0</v>
      </c>
      <c r="AN101" s="942">
        <f>'Cost Allocation - Tier 1 (2)'!AN90</f>
        <v>0</v>
      </c>
      <c r="AO101" s="942">
        <f>'Cost Allocation - Tier 1 (2)'!AO90</f>
        <v>0</v>
      </c>
      <c r="AP101" s="942">
        <f>'Cost Allocation - Tier 1 (2)'!AP90</f>
        <v>0</v>
      </c>
      <c r="AQ101" s="942">
        <f>'Cost Allocation - Tier 1 (2)'!AQ90</f>
        <v>0</v>
      </c>
      <c r="AR101" s="942">
        <f>'Cost Allocation - Tier 1 (2)'!AR90</f>
        <v>0</v>
      </c>
      <c r="AS101" s="942">
        <f>'Cost Allocation - Tier 1 (2)'!AS90</f>
        <v>0</v>
      </c>
      <c r="AT101" s="942">
        <f>'Cost Allocation - Tier 1 (2)'!AT90</f>
        <v>0</v>
      </c>
      <c r="AU101" s="942">
        <f>'Cost Allocation - Tier 1 (2)'!AU90</f>
        <v>0</v>
      </c>
      <c r="AV101" s="942">
        <f>'Cost Allocation - Tier 1 (2)'!AV90</f>
        <v>0</v>
      </c>
      <c r="AW101" s="942">
        <f>'Cost Allocation - Tier 1 (2)'!AW90</f>
        <v>0</v>
      </c>
      <c r="AX101" s="942">
        <f>'Cost Allocation - Tier 1 (2)'!AX90</f>
        <v>0</v>
      </c>
      <c r="AY101" s="942">
        <f>'Cost Allocation - Tier 1 (2)'!AY90</f>
        <v>0</v>
      </c>
      <c r="AZ101" s="942">
        <f>'Cost Allocation - Tier 1 (2)'!AZ90</f>
        <v>0</v>
      </c>
      <c r="BA101" s="942">
        <f>'Cost Allocation - Tier 1 (2)'!BA90</f>
        <v>0</v>
      </c>
      <c r="BB101" s="942">
        <f>'Cost Allocation - Tier 1 (2)'!BB90</f>
        <v>0</v>
      </c>
      <c r="BC101" s="688">
        <f>'Cost Allocation - Tier 1 (2)'!BC90</f>
        <v>0</v>
      </c>
      <c r="BD101" s="778">
        <f>'Cost Allocation - Tier 1 (2)'!BD90</f>
        <v>0</v>
      </c>
      <c r="BE101" s="778">
        <f>'Cost Allocation - Tier 1 (2)'!BE90</f>
        <v>0</v>
      </c>
      <c r="BF101" s="778">
        <f>'Cost Allocation - Tier 1 (2)'!BF90</f>
        <v>0</v>
      </c>
      <c r="BG101" s="778">
        <f>'Cost Allocation - Tier 1 (2)'!BG90</f>
        <v>0</v>
      </c>
      <c r="BH101" s="778">
        <f>'Cost Allocation - Tier 1 (2)'!BH90</f>
        <v>0</v>
      </c>
      <c r="BI101" s="778">
        <f>'Cost Allocation - Tier 1 (2)'!BI90</f>
        <v>0</v>
      </c>
      <c r="BJ101" s="778">
        <f>'Cost Allocation - Tier 1 (2)'!BJ90</f>
        <v>0</v>
      </c>
      <c r="BK101" s="778">
        <f>'Cost Allocation - Tier 1 (2)'!BK90</f>
        <v>0</v>
      </c>
      <c r="BL101" s="76">
        <f t="shared" ref="BL101:BL103" si="45">BC101+I101+H101</f>
        <v>0</v>
      </c>
      <c r="BM101" s="76">
        <f t="shared" ref="BM101:BM103" si="46">BL101-G101</f>
        <v>0</v>
      </c>
    </row>
    <row r="102" spans="1:98" x14ac:dyDescent="0.25">
      <c r="A102" s="693" t="str">
        <f>'Cost Allocation - Tier 1 (2)'!A91</f>
        <v>FSW Board Fees</v>
      </c>
      <c r="B102" s="693" t="str">
        <f>'Cost Allocation - Tier 1 (2)'!B91</f>
        <v>FSW</v>
      </c>
      <c r="C102" s="693" t="str">
        <f>'Cost Allocation - Tier 1 (2)'!C91</f>
        <v>N</v>
      </c>
      <c r="D102" s="778">
        <f>'Cost Allocation - Tier 1 (2)'!D91</f>
        <v>-34060.75</v>
      </c>
      <c r="E102" s="778">
        <f>'Cost Allocation - Tier 1 (2)'!E91</f>
        <v>-25625</v>
      </c>
      <c r="F102" s="778">
        <f>'Cost Allocation - Tier 1 (2)'!F91</f>
        <v>0</v>
      </c>
      <c r="G102" s="778">
        <f>'Cost Allocation - Tier 1 (2)'!G91</f>
        <v>-25625</v>
      </c>
      <c r="H102" s="778">
        <f>'Cost Allocation - Tier 1 (2)'!H91</f>
        <v>0</v>
      </c>
      <c r="I102" s="688">
        <f>'Cost Allocation - Tier 1 (2)'!I91</f>
        <v>0</v>
      </c>
      <c r="J102" s="942">
        <f>'Cost Allocation - Tier 1 (2)'!J91</f>
        <v>0</v>
      </c>
      <c r="K102" s="942">
        <f>'Cost Allocation - Tier 1 (2)'!K91</f>
        <v>0</v>
      </c>
      <c r="L102" s="942">
        <f>'Cost Allocation - Tier 1 (2)'!L91</f>
        <v>0</v>
      </c>
      <c r="M102" s="942">
        <f>'Cost Allocation - Tier 1 (2)'!M91</f>
        <v>0</v>
      </c>
      <c r="N102" s="942">
        <f>'Cost Allocation - Tier 1 (2)'!N91</f>
        <v>0</v>
      </c>
      <c r="O102" s="942">
        <f>'Cost Allocation - Tier 1 (2)'!O91</f>
        <v>0</v>
      </c>
      <c r="P102" s="942">
        <f>'Cost Allocation - Tier 1 (2)'!P91</f>
        <v>0</v>
      </c>
      <c r="Q102" s="942">
        <f>'Cost Allocation - Tier 1 (2)'!Q91</f>
        <v>0</v>
      </c>
      <c r="R102" s="942">
        <f>'Cost Allocation - Tier 1 (2)'!R91</f>
        <v>0</v>
      </c>
      <c r="S102" s="942">
        <f>'Cost Allocation - Tier 1 (2)'!S91</f>
        <v>0</v>
      </c>
      <c r="T102" s="942">
        <f>'Cost Allocation - Tier 1 (2)'!T91</f>
        <v>0</v>
      </c>
      <c r="U102" s="942">
        <f>'Cost Allocation - Tier 1 (2)'!U91</f>
        <v>0</v>
      </c>
      <c r="V102" s="942">
        <f>'Cost Allocation - Tier 1 (2)'!V91</f>
        <v>0</v>
      </c>
      <c r="W102" s="942">
        <f>'Cost Allocation - Tier 1 (2)'!W91</f>
        <v>0</v>
      </c>
      <c r="X102" s="942">
        <f>'Cost Allocation - Tier 1 (2)'!X91</f>
        <v>0</v>
      </c>
      <c r="Y102" s="942">
        <f>'Cost Allocation - Tier 1 (2)'!Y91</f>
        <v>0</v>
      </c>
      <c r="Z102" s="942">
        <f>'Cost Allocation - Tier 1 (2)'!Z91</f>
        <v>0</v>
      </c>
      <c r="AA102" s="942">
        <f>'Cost Allocation - Tier 1 (2)'!AA91</f>
        <v>0</v>
      </c>
      <c r="AB102" s="942">
        <f>'Cost Allocation - Tier 1 (2)'!AB91</f>
        <v>0</v>
      </c>
      <c r="AC102" s="942">
        <f>'Cost Allocation - Tier 1 (2)'!AC91</f>
        <v>0</v>
      </c>
      <c r="AD102" s="942">
        <f>'Cost Allocation - Tier 1 (2)'!AD91</f>
        <v>0</v>
      </c>
      <c r="AE102" s="942">
        <f>'Cost Allocation - Tier 1 (2)'!AE91</f>
        <v>0</v>
      </c>
      <c r="AF102" s="942">
        <f>'Cost Allocation - Tier 1 (2)'!AF91</f>
        <v>0</v>
      </c>
      <c r="AG102" s="942">
        <f>'Cost Allocation - Tier 1 (2)'!AG91</f>
        <v>0</v>
      </c>
      <c r="AH102" s="942">
        <f>'Cost Allocation - Tier 1 (2)'!AH91</f>
        <v>0</v>
      </c>
      <c r="AI102" s="942">
        <f>'Cost Allocation - Tier 1 (2)'!AI91</f>
        <v>0</v>
      </c>
      <c r="AJ102" s="942">
        <f>'Cost Allocation - Tier 1 (2)'!AJ91</f>
        <v>0</v>
      </c>
      <c r="AK102" s="942">
        <f>'Cost Allocation - Tier 1 (2)'!AK91</f>
        <v>0</v>
      </c>
      <c r="AL102" s="942">
        <f>'Cost Allocation - Tier 1 (2)'!AL91</f>
        <v>0</v>
      </c>
      <c r="AM102" s="942">
        <f>'Cost Allocation - Tier 1 (2)'!AM91</f>
        <v>0</v>
      </c>
      <c r="AN102" s="942">
        <f>'Cost Allocation - Tier 1 (2)'!AN91</f>
        <v>0</v>
      </c>
      <c r="AO102" s="942">
        <f>'Cost Allocation - Tier 1 (2)'!AO91</f>
        <v>0</v>
      </c>
      <c r="AP102" s="942">
        <f>'Cost Allocation - Tier 1 (2)'!AP91</f>
        <v>0</v>
      </c>
      <c r="AQ102" s="942">
        <f>'Cost Allocation - Tier 1 (2)'!AQ91</f>
        <v>0</v>
      </c>
      <c r="AR102" s="942">
        <f>'Cost Allocation - Tier 1 (2)'!AR91</f>
        <v>0</v>
      </c>
      <c r="AS102" s="942">
        <f>'Cost Allocation - Tier 1 (2)'!AS91</f>
        <v>0</v>
      </c>
      <c r="AT102" s="942">
        <f>'Cost Allocation - Tier 1 (2)'!AT91</f>
        <v>0</v>
      </c>
      <c r="AU102" s="942">
        <f>'Cost Allocation - Tier 1 (2)'!AU91</f>
        <v>0</v>
      </c>
      <c r="AV102" s="942">
        <f>'Cost Allocation - Tier 1 (2)'!AV91</f>
        <v>0</v>
      </c>
      <c r="AW102" s="942">
        <f>'Cost Allocation - Tier 1 (2)'!AW91</f>
        <v>0</v>
      </c>
      <c r="AX102" s="942">
        <f>'Cost Allocation - Tier 1 (2)'!AX91</f>
        <v>0</v>
      </c>
      <c r="AY102" s="942">
        <f>'Cost Allocation - Tier 1 (2)'!AY91</f>
        <v>0</v>
      </c>
      <c r="AZ102" s="942">
        <f>'Cost Allocation - Tier 1 (2)'!AZ91</f>
        <v>0</v>
      </c>
      <c r="BA102" s="942">
        <f>'Cost Allocation - Tier 1 (2)'!BA91</f>
        <v>0</v>
      </c>
      <c r="BB102" s="942">
        <f>'Cost Allocation - Tier 1 (2)'!BB91</f>
        <v>0</v>
      </c>
      <c r="BC102" s="688">
        <f>'Cost Allocation - Tier 1 (2)'!BC91</f>
        <v>-25625</v>
      </c>
      <c r="BD102" s="778">
        <f>'Cost Allocation - Tier 1 (2)'!BD91</f>
        <v>0</v>
      </c>
      <c r="BE102" s="778">
        <f>'Cost Allocation - Tier 1 (2)'!BE91</f>
        <v>0</v>
      </c>
      <c r="BF102" s="778">
        <f>'Cost Allocation - Tier 1 (2)'!BF91</f>
        <v>0</v>
      </c>
      <c r="BG102" s="778">
        <f>'Cost Allocation - Tier 1 (2)'!BG91</f>
        <v>0</v>
      </c>
      <c r="BH102" s="778">
        <f>'Cost Allocation - Tier 1 (2)'!BH91</f>
        <v>0</v>
      </c>
      <c r="BI102" s="778">
        <f>'Cost Allocation - Tier 1 (2)'!BI91</f>
        <v>0</v>
      </c>
      <c r="BJ102" s="778">
        <f>'Cost Allocation - Tier 1 (2)'!BJ91</f>
        <v>0</v>
      </c>
      <c r="BK102" s="778">
        <f>'Cost Allocation - Tier 1 (2)'!BK91</f>
        <v>-25625</v>
      </c>
      <c r="BL102" s="76">
        <f t="shared" si="45"/>
        <v>-25625</v>
      </c>
      <c r="BM102" s="76">
        <f t="shared" si="46"/>
        <v>0</v>
      </c>
    </row>
    <row r="103" spans="1:98" x14ac:dyDescent="0.25">
      <c r="A103" s="693" t="str">
        <f>'Cost Allocation - Tier 1 (2)'!A92</f>
        <v>Other</v>
      </c>
      <c r="B103" s="693" t="str">
        <f>'Cost Allocation - Tier 1 (2)'!B92</f>
        <v>ALL</v>
      </c>
      <c r="C103" s="693" t="str">
        <f>'Cost Allocation - Tier 1 (2)'!C92</f>
        <v>N</v>
      </c>
      <c r="D103" s="778">
        <f>'Cost Allocation - Tier 1 (2)'!D92</f>
        <v>0</v>
      </c>
      <c r="E103" s="778">
        <f>'Cost Allocation - Tier 1 (2)'!E92</f>
        <v>0</v>
      </c>
      <c r="F103" s="778">
        <f>'Cost Allocation - Tier 1 (2)'!F92</f>
        <v>0</v>
      </c>
      <c r="G103" s="778">
        <f>'Cost Allocation - Tier 1 (2)'!G92</f>
        <v>0</v>
      </c>
      <c r="H103" s="778">
        <f>'Cost Allocation - Tier 1 (2)'!H92</f>
        <v>0</v>
      </c>
      <c r="I103" s="688">
        <f>'Cost Allocation - Tier 1 (2)'!I92</f>
        <v>0</v>
      </c>
      <c r="J103" s="942">
        <f>'Cost Allocation - Tier 1 (2)'!J92</f>
        <v>0</v>
      </c>
      <c r="K103" s="942">
        <f>'Cost Allocation - Tier 1 (2)'!K92</f>
        <v>0</v>
      </c>
      <c r="L103" s="942">
        <f>'Cost Allocation - Tier 1 (2)'!L92</f>
        <v>0</v>
      </c>
      <c r="M103" s="942">
        <f>'Cost Allocation - Tier 1 (2)'!M92</f>
        <v>0</v>
      </c>
      <c r="N103" s="942">
        <f>'Cost Allocation - Tier 1 (2)'!N92</f>
        <v>0</v>
      </c>
      <c r="O103" s="942">
        <f>'Cost Allocation - Tier 1 (2)'!O92</f>
        <v>0</v>
      </c>
      <c r="P103" s="942">
        <f>'Cost Allocation - Tier 1 (2)'!P92</f>
        <v>0</v>
      </c>
      <c r="Q103" s="942">
        <f>'Cost Allocation - Tier 1 (2)'!Q92</f>
        <v>0</v>
      </c>
      <c r="R103" s="942">
        <f>'Cost Allocation - Tier 1 (2)'!R92</f>
        <v>0</v>
      </c>
      <c r="S103" s="942">
        <f>'Cost Allocation - Tier 1 (2)'!S92</f>
        <v>0</v>
      </c>
      <c r="T103" s="942">
        <f>'Cost Allocation - Tier 1 (2)'!T92</f>
        <v>0</v>
      </c>
      <c r="U103" s="942">
        <f>'Cost Allocation - Tier 1 (2)'!U92</f>
        <v>0</v>
      </c>
      <c r="V103" s="942">
        <f>'Cost Allocation - Tier 1 (2)'!V92</f>
        <v>0</v>
      </c>
      <c r="W103" s="942">
        <f>'Cost Allocation - Tier 1 (2)'!W92</f>
        <v>0</v>
      </c>
      <c r="X103" s="942">
        <f>'Cost Allocation - Tier 1 (2)'!X92</f>
        <v>0</v>
      </c>
      <c r="Y103" s="942">
        <f>'Cost Allocation - Tier 1 (2)'!Y92</f>
        <v>0</v>
      </c>
      <c r="Z103" s="942">
        <f>'Cost Allocation - Tier 1 (2)'!Z92</f>
        <v>0</v>
      </c>
      <c r="AA103" s="942">
        <f>'Cost Allocation - Tier 1 (2)'!AA92</f>
        <v>0</v>
      </c>
      <c r="AB103" s="942">
        <f>'Cost Allocation - Tier 1 (2)'!AB92</f>
        <v>0</v>
      </c>
      <c r="AC103" s="942">
        <f>'Cost Allocation - Tier 1 (2)'!AC92</f>
        <v>0</v>
      </c>
      <c r="AD103" s="942">
        <f>'Cost Allocation - Tier 1 (2)'!AD92</f>
        <v>0</v>
      </c>
      <c r="AE103" s="942">
        <f>'Cost Allocation - Tier 1 (2)'!AE92</f>
        <v>0</v>
      </c>
      <c r="AF103" s="942">
        <f>'Cost Allocation - Tier 1 (2)'!AF92</f>
        <v>0</v>
      </c>
      <c r="AG103" s="942">
        <f>'Cost Allocation - Tier 1 (2)'!AG92</f>
        <v>0</v>
      </c>
      <c r="AH103" s="942">
        <f>'Cost Allocation - Tier 1 (2)'!AH92</f>
        <v>0</v>
      </c>
      <c r="AI103" s="942">
        <f>'Cost Allocation - Tier 1 (2)'!AI92</f>
        <v>0</v>
      </c>
      <c r="AJ103" s="942">
        <f>'Cost Allocation - Tier 1 (2)'!AJ92</f>
        <v>0</v>
      </c>
      <c r="AK103" s="942">
        <f>'Cost Allocation - Tier 1 (2)'!AK92</f>
        <v>0</v>
      </c>
      <c r="AL103" s="942">
        <f>'Cost Allocation - Tier 1 (2)'!AL92</f>
        <v>0</v>
      </c>
      <c r="AM103" s="942">
        <f>'Cost Allocation - Tier 1 (2)'!AM92</f>
        <v>0</v>
      </c>
      <c r="AN103" s="942">
        <f>'Cost Allocation - Tier 1 (2)'!AN92</f>
        <v>0</v>
      </c>
      <c r="AO103" s="942">
        <f>'Cost Allocation - Tier 1 (2)'!AO92</f>
        <v>0</v>
      </c>
      <c r="AP103" s="942">
        <f>'Cost Allocation - Tier 1 (2)'!AP92</f>
        <v>0</v>
      </c>
      <c r="AQ103" s="942">
        <f>'Cost Allocation - Tier 1 (2)'!AQ92</f>
        <v>0</v>
      </c>
      <c r="AR103" s="942">
        <f>'Cost Allocation - Tier 1 (2)'!AR92</f>
        <v>0</v>
      </c>
      <c r="AS103" s="942">
        <f>'Cost Allocation - Tier 1 (2)'!AS92</f>
        <v>0</v>
      </c>
      <c r="AT103" s="942">
        <f>'Cost Allocation - Tier 1 (2)'!AT92</f>
        <v>0</v>
      </c>
      <c r="AU103" s="942">
        <f>'Cost Allocation - Tier 1 (2)'!AU92</f>
        <v>0</v>
      </c>
      <c r="AV103" s="942">
        <f>'Cost Allocation - Tier 1 (2)'!AV92</f>
        <v>0</v>
      </c>
      <c r="AW103" s="942">
        <f>'Cost Allocation - Tier 1 (2)'!AW92</f>
        <v>0</v>
      </c>
      <c r="AX103" s="942">
        <f>'Cost Allocation - Tier 1 (2)'!AX92</f>
        <v>0</v>
      </c>
      <c r="AY103" s="942">
        <f>'Cost Allocation - Tier 1 (2)'!AY92</f>
        <v>0</v>
      </c>
      <c r="AZ103" s="942">
        <f>'Cost Allocation - Tier 1 (2)'!AZ92</f>
        <v>0</v>
      </c>
      <c r="BA103" s="942">
        <f>'Cost Allocation - Tier 1 (2)'!BA92</f>
        <v>0</v>
      </c>
      <c r="BB103" s="942">
        <f>'Cost Allocation - Tier 1 (2)'!BB92</f>
        <v>0</v>
      </c>
      <c r="BC103" s="688">
        <f>'Cost Allocation - Tier 1 (2)'!BC92</f>
        <v>0</v>
      </c>
      <c r="BD103" s="778">
        <f>'Cost Allocation - Tier 1 (2)'!BD92</f>
        <v>0</v>
      </c>
      <c r="BE103" s="778">
        <f>'Cost Allocation - Tier 1 (2)'!BE92</f>
        <v>0</v>
      </c>
      <c r="BF103" s="778">
        <f>'Cost Allocation - Tier 1 (2)'!BF92</f>
        <v>0</v>
      </c>
      <c r="BG103" s="778">
        <f>'Cost Allocation - Tier 1 (2)'!BG92</f>
        <v>0</v>
      </c>
      <c r="BH103" s="778">
        <f>'Cost Allocation - Tier 1 (2)'!BH92</f>
        <v>0</v>
      </c>
      <c r="BI103" s="778">
        <f>'Cost Allocation - Tier 1 (2)'!BI92</f>
        <v>0</v>
      </c>
      <c r="BJ103" s="778">
        <f>'Cost Allocation - Tier 1 (2)'!BJ92</f>
        <v>0</v>
      </c>
      <c r="BK103" s="778">
        <f>'Cost Allocation - Tier 1 (2)'!BK92</f>
        <v>0</v>
      </c>
      <c r="BL103" s="76">
        <f t="shared" si="45"/>
        <v>0</v>
      </c>
      <c r="BM103" s="76">
        <f t="shared" si="46"/>
        <v>0</v>
      </c>
    </row>
    <row r="104" spans="1:98" s="79" customFormat="1" x14ac:dyDescent="0.25">
      <c r="A104" s="943"/>
      <c r="B104" s="943"/>
      <c r="C104" s="943"/>
      <c r="D104" s="944"/>
      <c r="E104" s="944"/>
      <c r="F104" s="944"/>
      <c r="G104" s="944"/>
      <c r="H104" s="944"/>
      <c r="I104" s="945"/>
      <c r="J104" s="946"/>
      <c r="K104" s="946"/>
      <c r="L104" s="946"/>
      <c r="M104" s="946"/>
      <c r="N104" s="946"/>
      <c r="O104" s="946"/>
      <c r="P104" s="946"/>
      <c r="Q104" s="946"/>
      <c r="R104" s="946"/>
      <c r="S104" s="946"/>
      <c r="T104" s="946"/>
      <c r="U104" s="946"/>
      <c r="V104" s="946"/>
      <c r="W104" s="946"/>
      <c r="X104" s="946"/>
      <c r="Y104" s="946"/>
      <c r="Z104" s="946"/>
      <c r="AA104" s="946"/>
      <c r="AB104" s="946"/>
      <c r="AC104" s="946"/>
      <c r="AD104" s="946"/>
      <c r="AE104" s="946"/>
      <c r="AF104" s="946"/>
      <c r="AG104" s="946"/>
      <c r="AH104" s="946"/>
      <c r="AI104" s="946"/>
      <c r="AJ104" s="946"/>
      <c r="AK104" s="946"/>
      <c r="AL104" s="946"/>
      <c r="AM104" s="946"/>
      <c r="AN104" s="946"/>
      <c r="AO104" s="946"/>
      <c r="AP104" s="946"/>
      <c r="AQ104" s="946"/>
      <c r="AR104" s="946"/>
      <c r="AS104" s="946"/>
      <c r="AT104" s="946"/>
      <c r="AU104" s="946"/>
      <c r="AV104" s="946"/>
      <c r="AW104" s="946"/>
      <c r="AX104" s="946"/>
      <c r="AY104" s="946"/>
      <c r="AZ104" s="946"/>
      <c r="BA104" s="946"/>
      <c r="BB104" s="946"/>
      <c r="BC104" s="945"/>
      <c r="BD104" s="944"/>
      <c r="BE104" s="944"/>
      <c r="BF104" s="944"/>
      <c r="BG104" s="944"/>
      <c r="BH104" s="944"/>
      <c r="BI104" s="944"/>
      <c r="BJ104" s="944"/>
      <c r="BK104" s="944"/>
      <c r="BL104" s="947"/>
      <c r="BM104" s="947"/>
    </row>
    <row r="105" spans="1:98" x14ac:dyDescent="0.25">
      <c r="A105" s="1" t="str">
        <f>'Cost Allocation - Tier 1 (2)'!A94</f>
        <v>Net revenue allocated</v>
      </c>
      <c r="B105" s="1"/>
      <c r="C105" s="1"/>
      <c r="D105" s="698">
        <f>SUM(D101:D104)</f>
        <v>-34060.75</v>
      </c>
      <c r="E105" s="698">
        <f t="shared" ref="E105:H105" si="47">SUM(E101:E104)</f>
        <v>-25625</v>
      </c>
      <c r="F105" s="698">
        <f t="shared" si="47"/>
        <v>0</v>
      </c>
      <c r="G105" s="698">
        <f t="shared" si="47"/>
        <v>-25625</v>
      </c>
      <c r="H105" s="698">
        <f t="shared" si="47"/>
        <v>0</v>
      </c>
      <c r="I105" s="688">
        <f>SUM(I101:I104)</f>
        <v>0</v>
      </c>
      <c r="J105" s="942">
        <f>SUM(J101:J104)</f>
        <v>0</v>
      </c>
      <c r="K105" s="942">
        <f t="shared" ref="K105:BL105" si="48">SUM(K101:K104)</f>
        <v>0</v>
      </c>
      <c r="L105" s="942">
        <f t="shared" si="48"/>
        <v>0</v>
      </c>
      <c r="M105" s="942">
        <f t="shared" si="48"/>
        <v>0</v>
      </c>
      <c r="N105" s="942">
        <f t="shared" si="48"/>
        <v>0</v>
      </c>
      <c r="O105" s="942">
        <f t="shared" si="48"/>
        <v>0</v>
      </c>
      <c r="P105" s="942">
        <f t="shared" si="48"/>
        <v>0</v>
      </c>
      <c r="Q105" s="942">
        <f t="shared" si="48"/>
        <v>0</v>
      </c>
      <c r="R105" s="942">
        <f t="shared" si="48"/>
        <v>0</v>
      </c>
      <c r="S105" s="942">
        <f t="shared" si="48"/>
        <v>0</v>
      </c>
      <c r="T105" s="942">
        <f t="shared" si="48"/>
        <v>0</v>
      </c>
      <c r="U105" s="942">
        <f t="shared" si="48"/>
        <v>0</v>
      </c>
      <c r="V105" s="942">
        <f t="shared" si="48"/>
        <v>0</v>
      </c>
      <c r="W105" s="942">
        <f t="shared" si="48"/>
        <v>0</v>
      </c>
      <c r="X105" s="942">
        <f t="shared" si="48"/>
        <v>0</v>
      </c>
      <c r="Y105" s="942">
        <f t="shared" si="48"/>
        <v>0</v>
      </c>
      <c r="Z105" s="942">
        <f t="shared" si="48"/>
        <v>0</v>
      </c>
      <c r="AA105" s="942">
        <f t="shared" si="48"/>
        <v>0</v>
      </c>
      <c r="AB105" s="942">
        <f t="shared" si="48"/>
        <v>0</v>
      </c>
      <c r="AC105" s="942">
        <f t="shared" si="48"/>
        <v>0</v>
      </c>
      <c r="AD105" s="942">
        <f t="shared" si="48"/>
        <v>0</v>
      </c>
      <c r="AE105" s="942">
        <f t="shared" si="48"/>
        <v>0</v>
      </c>
      <c r="AF105" s="942">
        <f t="shared" si="48"/>
        <v>0</v>
      </c>
      <c r="AG105" s="942">
        <f t="shared" si="48"/>
        <v>0</v>
      </c>
      <c r="AH105" s="942">
        <f t="shared" si="48"/>
        <v>0</v>
      </c>
      <c r="AI105" s="942">
        <f t="shared" si="48"/>
        <v>0</v>
      </c>
      <c r="AJ105" s="942">
        <f t="shared" si="48"/>
        <v>0</v>
      </c>
      <c r="AK105" s="942">
        <f t="shared" si="48"/>
        <v>0</v>
      </c>
      <c r="AL105" s="942">
        <f t="shared" si="48"/>
        <v>0</v>
      </c>
      <c r="AM105" s="942">
        <f t="shared" si="48"/>
        <v>0</v>
      </c>
      <c r="AN105" s="942">
        <f t="shared" si="48"/>
        <v>0</v>
      </c>
      <c r="AO105" s="942">
        <f t="shared" si="48"/>
        <v>0</v>
      </c>
      <c r="AP105" s="942">
        <f t="shared" si="48"/>
        <v>0</v>
      </c>
      <c r="AQ105" s="942">
        <f t="shared" si="48"/>
        <v>0</v>
      </c>
      <c r="AR105" s="942">
        <f t="shared" si="48"/>
        <v>0</v>
      </c>
      <c r="AS105" s="942">
        <f t="shared" si="48"/>
        <v>0</v>
      </c>
      <c r="AT105" s="942">
        <f t="shared" si="48"/>
        <v>0</v>
      </c>
      <c r="AU105" s="942">
        <f t="shared" si="48"/>
        <v>0</v>
      </c>
      <c r="AV105" s="942">
        <f t="shared" si="48"/>
        <v>0</v>
      </c>
      <c r="AW105" s="942">
        <f t="shared" si="48"/>
        <v>0</v>
      </c>
      <c r="AX105" s="942">
        <f t="shared" si="48"/>
        <v>0</v>
      </c>
      <c r="AY105" s="942">
        <f t="shared" si="48"/>
        <v>0</v>
      </c>
      <c r="AZ105" s="942">
        <f t="shared" si="48"/>
        <v>0</v>
      </c>
      <c r="BA105" s="942">
        <f t="shared" si="48"/>
        <v>0</v>
      </c>
      <c r="BB105" s="942">
        <f t="shared" si="48"/>
        <v>0</v>
      </c>
      <c r="BC105" s="688">
        <f>SUM(BC101:BC104)</f>
        <v>-25625</v>
      </c>
      <c r="BD105" s="942">
        <f t="shared" si="48"/>
        <v>0</v>
      </c>
      <c r="BE105" s="942">
        <f t="shared" si="48"/>
        <v>0</v>
      </c>
      <c r="BF105" s="942">
        <f t="shared" si="48"/>
        <v>0</v>
      </c>
      <c r="BG105" s="942">
        <f t="shared" si="48"/>
        <v>0</v>
      </c>
      <c r="BH105" s="942">
        <f t="shared" si="48"/>
        <v>0</v>
      </c>
      <c r="BI105" s="942">
        <f t="shared" si="48"/>
        <v>0</v>
      </c>
      <c r="BJ105" s="942">
        <f t="shared" si="48"/>
        <v>0</v>
      </c>
      <c r="BK105" s="942">
        <f t="shared" si="48"/>
        <v>-25625</v>
      </c>
      <c r="BL105" s="942">
        <f t="shared" si="48"/>
        <v>-25625</v>
      </c>
      <c r="BM105" s="76">
        <f t="shared" ref="BM105" si="49">BL105-G105</f>
        <v>0</v>
      </c>
    </row>
    <row r="106" spans="1:98" x14ac:dyDescent="0.25">
      <c r="A106" s="1"/>
      <c r="B106" s="1"/>
      <c r="C106" s="1"/>
      <c r="D106" s="698"/>
      <c r="E106" s="698"/>
      <c r="F106" s="698"/>
      <c r="G106" s="698"/>
      <c r="H106" s="698"/>
      <c r="I106" s="688"/>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c r="AL106" s="942"/>
      <c r="AM106" s="942"/>
      <c r="AN106" s="942"/>
      <c r="AO106" s="942"/>
      <c r="AP106" s="942"/>
      <c r="AQ106" s="942"/>
      <c r="AR106" s="942"/>
      <c r="AS106" s="942"/>
      <c r="AT106" s="942"/>
      <c r="AU106" s="942"/>
      <c r="AV106" s="942"/>
      <c r="AW106" s="942"/>
      <c r="AX106" s="942"/>
      <c r="AY106" s="942"/>
      <c r="AZ106" s="942"/>
      <c r="BA106" s="942"/>
      <c r="BB106" s="942"/>
      <c r="BC106" s="688"/>
      <c r="BD106" s="698"/>
      <c r="BE106" s="698"/>
      <c r="BF106" s="698"/>
      <c r="BG106" s="698"/>
      <c r="BH106" s="698"/>
      <c r="BI106" s="698"/>
      <c r="BJ106" s="698"/>
      <c r="BK106" s="698"/>
      <c r="BL106" s="698"/>
      <c r="BM106" s="698"/>
    </row>
    <row r="107" spans="1:98" x14ac:dyDescent="0.25">
      <c r="A107" s="1"/>
      <c r="B107" s="1"/>
      <c r="C107" s="1"/>
      <c r="D107" s="698"/>
      <c r="E107" s="698"/>
      <c r="F107" s="698"/>
      <c r="G107" s="698"/>
      <c r="H107" s="698"/>
      <c r="I107" s="688"/>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c r="AL107" s="942"/>
      <c r="AM107" s="942"/>
      <c r="AN107" s="942"/>
      <c r="AO107" s="942"/>
      <c r="AP107" s="942"/>
      <c r="AQ107" s="942"/>
      <c r="AR107" s="942"/>
      <c r="AS107" s="942"/>
      <c r="AT107" s="942"/>
      <c r="AU107" s="942"/>
      <c r="AV107" s="942"/>
      <c r="AW107" s="942"/>
      <c r="AX107" s="942"/>
      <c r="AY107" s="942"/>
      <c r="AZ107" s="942"/>
      <c r="BA107" s="942"/>
      <c r="BB107" s="942"/>
      <c r="BC107" s="688"/>
      <c r="BD107" s="698"/>
      <c r="BE107" s="698"/>
      <c r="BF107" s="698"/>
      <c r="BG107" s="698"/>
      <c r="BH107" s="698"/>
      <c r="BI107" s="698"/>
      <c r="BJ107" s="698"/>
      <c r="BK107" s="698"/>
      <c r="BL107" s="698"/>
      <c r="BM107" s="698"/>
      <c r="BT107" s="177" t="s">
        <v>117</v>
      </c>
      <c r="BU107" s="177" t="s">
        <v>949</v>
      </c>
    </row>
    <row r="108" spans="1:98" s="951" customFormat="1" x14ac:dyDescent="0.25">
      <c r="A108" s="948" t="str">
        <f>'Cost Allocation - Tier 1 (2)'!A97</f>
        <v>Net corporate costs including mark ups</v>
      </c>
      <c r="B108" s="948"/>
      <c r="C108" s="948"/>
      <c r="D108" s="949">
        <f>D96+D105</f>
        <v>3630717.0463555548</v>
      </c>
      <c r="E108" s="949">
        <f>E96+E105</f>
        <v>2731505.4516668343</v>
      </c>
      <c r="F108" s="949">
        <f>F96+F105</f>
        <v>660944.17694854049</v>
      </c>
      <c r="G108" s="949">
        <f>G96+G105</f>
        <v>2856261.368149932</v>
      </c>
      <c r="H108" s="949">
        <f>H96+H105</f>
        <v>28660.563647306648</v>
      </c>
      <c r="I108" s="949">
        <f t="shared" ref="I108:BK108" si="50">I96+I105</f>
        <v>1077532.0942888795</v>
      </c>
      <c r="J108" s="949">
        <f t="shared" si="50"/>
        <v>6609.4525471646521</v>
      </c>
      <c r="K108" s="949">
        <f t="shared" si="50"/>
        <v>1959.2683898713678</v>
      </c>
      <c r="L108" s="949">
        <f t="shared" si="50"/>
        <v>2056.4978703439933</v>
      </c>
      <c r="M108" s="949">
        <f t="shared" si="50"/>
        <v>1969.5300634768248</v>
      </c>
      <c r="N108" s="949">
        <f t="shared" si="50"/>
        <v>3442.864757255426</v>
      </c>
      <c r="O108" s="949">
        <f t="shared" si="50"/>
        <v>7888.4609551424492</v>
      </c>
      <c r="P108" s="949">
        <f t="shared" si="50"/>
        <v>954.46319491839949</v>
      </c>
      <c r="Q108" s="949">
        <f t="shared" si="50"/>
        <v>2527.9860505766592</v>
      </c>
      <c r="R108" s="949">
        <f t="shared" si="50"/>
        <v>2162.4135014234098</v>
      </c>
      <c r="S108" s="949">
        <f t="shared" si="50"/>
        <v>2224.4512965767053</v>
      </c>
      <c r="T108" s="949">
        <f t="shared" si="50"/>
        <v>8058.3278213317526</v>
      </c>
      <c r="U108" s="949">
        <f t="shared" si="50"/>
        <v>6433.327345368848</v>
      </c>
      <c r="V108" s="949">
        <f t="shared" si="50"/>
        <v>5103.1196756429881</v>
      </c>
      <c r="W108" s="949">
        <f t="shared" si="50"/>
        <v>8184.7120255348491</v>
      </c>
      <c r="X108" s="949">
        <f t="shared" si="50"/>
        <v>202.27670714168892</v>
      </c>
      <c r="Y108" s="949">
        <f t="shared" si="50"/>
        <v>159.48668880669862</v>
      </c>
      <c r="Z108" s="949">
        <f t="shared" si="50"/>
        <v>770.75266395855942</v>
      </c>
      <c r="AA108" s="949">
        <f t="shared" si="50"/>
        <v>704.41610948089442</v>
      </c>
      <c r="AB108" s="949">
        <f t="shared" si="50"/>
        <v>423.7476264357291</v>
      </c>
      <c r="AC108" s="949">
        <f t="shared" si="50"/>
        <v>433.71168573806256</v>
      </c>
      <c r="AD108" s="949">
        <f t="shared" si="50"/>
        <v>2462.901136639719</v>
      </c>
      <c r="AE108" s="949">
        <f t="shared" si="50"/>
        <v>987.40366736660076</v>
      </c>
      <c r="AF108" s="949">
        <f t="shared" si="50"/>
        <v>2569.7337987886767</v>
      </c>
      <c r="AG108" s="949">
        <f t="shared" si="50"/>
        <v>7990.3385995323433</v>
      </c>
      <c r="AH108" s="949">
        <f t="shared" si="50"/>
        <v>65326.320437902803</v>
      </c>
      <c r="AI108" s="949">
        <f t="shared" si="50"/>
        <v>454.23776159014369</v>
      </c>
      <c r="AJ108" s="949">
        <f t="shared" si="50"/>
        <v>9640.4436537407819</v>
      </c>
      <c r="AK108" s="949">
        <f t="shared" si="50"/>
        <v>8287.222138787909</v>
      </c>
      <c r="AL108" s="949">
        <f t="shared" si="50"/>
        <v>0</v>
      </c>
      <c r="AM108" s="949">
        <f t="shared" si="50"/>
        <v>1009.1967461626252</v>
      </c>
      <c r="AN108" s="949">
        <f t="shared" si="50"/>
        <v>1707.3147920690005</v>
      </c>
      <c r="AO108" s="949">
        <f t="shared" si="50"/>
        <v>10077.261305203638</v>
      </c>
      <c r="AP108" s="949">
        <f t="shared" si="50"/>
        <v>1525.8807284579052</v>
      </c>
      <c r="AQ108" s="949">
        <f t="shared" si="50"/>
        <v>9579.4298293615393</v>
      </c>
      <c r="AR108" s="949">
        <f t="shared" si="50"/>
        <v>28.873141511480533</v>
      </c>
      <c r="AS108" s="949">
        <f t="shared" si="50"/>
        <v>14117.025016415089</v>
      </c>
      <c r="AT108" s="949">
        <f t="shared" si="50"/>
        <v>11713.688652284385</v>
      </c>
      <c r="AU108" s="949">
        <f t="shared" si="50"/>
        <v>16368.321486915422</v>
      </c>
      <c r="AV108" s="949">
        <f t="shared" si="50"/>
        <v>23010.411089236972</v>
      </c>
      <c r="AW108" s="949">
        <f t="shared" si="50"/>
        <v>58927.922137170979</v>
      </c>
      <c r="AX108" s="949">
        <f t="shared" si="50"/>
        <v>612.5105172241399</v>
      </c>
      <c r="AY108" s="949">
        <f t="shared" si="50"/>
        <v>200837.29832493557</v>
      </c>
      <c r="AZ108" s="949">
        <f t="shared" si="50"/>
        <v>6990.3511158421261</v>
      </c>
      <c r="BA108" s="949">
        <f t="shared" si="50"/>
        <v>122223.19414909308</v>
      </c>
      <c r="BB108" s="949">
        <f t="shared" si="50"/>
        <v>438815.54708645714</v>
      </c>
      <c r="BC108" s="949">
        <f t="shared" si="50"/>
        <v>1709303.3895408027</v>
      </c>
      <c r="BD108" s="949">
        <f t="shared" si="50"/>
        <v>276368.39409517328</v>
      </c>
      <c r="BE108" s="949">
        <f t="shared" si="50"/>
        <v>256907.7569345446</v>
      </c>
      <c r="BF108" s="949">
        <f t="shared" si="50"/>
        <v>145110.6301165375</v>
      </c>
      <c r="BG108" s="949">
        <f t="shared" si="50"/>
        <v>325191.10940340924</v>
      </c>
      <c r="BH108" s="949">
        <f t="shared" si="50"/>
        <v>243491.0382989193</v>
      </c>
      <c r="BI108" s="949">
        <f t="shared" si="50"/>
        <v>159915.54756882577</v>
      </c>
      <c r="BJ108" s="949">
        <f t="shared" si="50"/>
        <v>50739.159433270739</v>
      </c>
      <c r="BK108" s="949">
        <f t="shared" si="50"/>
        <v>251579.75369012251</v>
      </c>
      <c r="BL108" s="892">
        <f t="shared" ref="BL108" si="51">BC108+I108+H108</f>
        <v>2815496.0474769888</v>
      </c>
      <c r="BM108" s="950">
        <f t="shared" ref="BM108" si="52">BL108-G108</f>
        <v>-40765.320672943257</v>
      </c>
      <c r="BT108" s="952">
        <f>SUM(J108:AE108,AG108,AH108,AI108,AM108,AQ108,AR108,AS108,AT108,AU108,AV108,AW108,AX108)</f>
        <v>274857.84719550418</v>
      </c>
      <c r="BU108" s="952">
        <f>SUM(AF108,AJ108,AK108,AL108,AN108,AO108,AP108)</f>
        <v>33807.856417047908</v>
      </c>
    </row>
    <row r="109" spans="1:98" x14ac:dyDescent="0.25">
      <c r="A109" s="1"/>
      <c r="B109" s="1"/>
      <c r="C109" s="1"/>
      <c r="D109" s="698"/>
      <c r="E109" s="698"/>
      <c r="F109" s="698"/>
      <c r="G109" s="698"/>
      <c r="H109" s="698"/>
      <c r="I109" s="688"/>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c r="AL109" s="942"/>
      <c r="AM109" s="942"/>
      <c r="AN109" s="942"/>
      <c r="AO109" s="942"/>
      <c r="AP109" s="942"/>
      <c r="AQ109" s="942"/>
      <c r="AR109" s="942"/>
      <c r="AS109" s="942"/>
      <c r="AT109" s="942"/>
      <c r="AU109" s="942"/>
      <c r="AV109" s="942"/>
      <c r="AW109" s="942"/>
      <c r="AX109" s="942"/>
      <c r="AY109" s="942"/>
      <c r="AZ109" s="942"/>
      <c r="BA109" s="942"/>
      <c r="BB109" s="942"/>
      <c r="BC109" s="688"/>
      <c r="BD109" s="698"/>
      <c r="BE109" s="698"/>
      <c r="BF109" s="698"/>
      <c r="BG109" s="698"/>
      <c r="BH109" s="698"/>
      <c r="BI109" s="698"/>
      <c r="BJ109" s="698"/>
      <c r="BK109" s="698"/>
      <c r="BL109" s="698"/>
      <c r="BM109" s="698"/>
    </row>
    <row r="110" spans="1:98" x14ac:dyDescent="0.25">
      <c r="A110" s="199" t="str">
        <f>'Cost Allocation - Tier 1 (2)'!A99</f>
        <v>Non-Corporate Cost Allocation</v>
      </c>
      <c r="B110" s="1"/>
      <c r="C110" s="1"/>
      <c r="D110" s="698"/>
      <c r="E110" s="698"/>
      <c r="F110" s="698"/>
      <c r="G110" s="698"/>
      <c r="H110" s="698"/>
      <c r="I110" s="688"/>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c r="AU110" s="942"/>
      <c r="AV110" s="942"/>
      <c r="AW110" s="942"/>
      <c r="AX110" s="942"/>
      <c r="AY110" s="942"/>
      <c r="AZ110" s="942"/>
      <c r="BA110" s="942"/>
      <c r="BB110" s="942"/>
      <c r="BC110" s="688"/>
      <c r="BD110" s="698"/>
      <c r="BE110" s="698"/>
      <c r="BF110" s="698"/>
      <c r="BG110" s="698"/>
      <c r="BH110" s="698"/>
      <c r="BI110" s="698"/>
      <c r="BJ110" s="698"/>
      <c r="BK110" s="698"/>
      <c r="BL110" s="698"/>
      <c r="BM110" s="698"/>
    </row>
    <row r="111" spans="1:98" x14ac:dyDescent="0.25">
      <c r="A111" s="1"/>
      <c r="B111" s="1"/>
      <c r="C111" s="1"/>
      <c r="D111" s="698"/>
      <c r="E111" s="698"/>
      <c r="F111" s="698"/>
      <c r="G111" s="698"/>
      <c r="H111" s="698"/>
      <c r="I111" s="688"/>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c r="AU111" s="942"/>
      <c r="AV111" s="942"/>
      <c r="AW111" s="942"/>
      <c r="AX111" s="942"/>
      <c r="AY111" s="942"/>
      <c r="AZ111" s="942"/>
      <c r="BA111" s="942"/>
      <c r="BB111" s="942"/>
      <c r="BC111" s="688"/>
      <c r="BD111" s="698"/>
      <c r="BE111" s="698"/>
      <c r="BF111" s="698"/>
      <c r="BG111" s="698"/>
      <c r="BH111" s="698"/>
      <c r="BI111" s="698"/>
      <c r="BJ111" s="698"/>
      <c r="BK111" s="698"/>
      <c r="BL111" s="698"/>
      <c r="BM111" s="698"/>
    </row>
    <row r="112" spans="1:98" x14ac:dyDescent="0.25">
      <c r="A112" s="693" t="str">
        <f>'Cost Allocation - Tier 1 (2)'!A101</f>
        <v>FP&amp;A Canada (6700)</v>
      </c>
      <c r="B112" s="693"/>
      <c r="C112" s="693"/>
      <c r="D112" s="778"/>
      <c r="E112" s="778"/>
      <c r="F112" s="778"/>
      <c r="G112" s="778"/>
      <c r="H112" s="778"/>
      <c r="I112" s="688"/>
      <c r="J112" s="931"/>
      <c r="K112" s="931"/>
      <c r="L112" s="931"/>
      <c r="M112" s="931"/>
      <c r="N112" s="931"/>
      <c r="O112" s="931"/>
      <c r="P112" s="931"/>
      <c r="Q112" s="931"/>
      <c r="R112" s="931"/>
      <c r="S112" s="931"/>
      <c r="T112" s="931"/>
      <c r="U112" s="931"/>
      <c r="V112" s="931"/>
      <c r="W112" s="931"/>
      <c r="X112" s="931"/>
      <c r="Y112" s="931"/>
      <c r="Z112" s="931"/>
      <c r="AA112" s="931"/>
      <c r="AB112" s="931"/>
      <c r="AC112" s="931"/>
      <c r="AD112" s="931"/>
      <c r="AE112" s="931"/>
      <c r="AF112" s="931"/>
      <c r="AG112" s="931"/>
      <c r="AH112" s="931"/>
      <c r="AI112" s="931"/>
      <c r="AJ112" s="931"/>
      <c r="AK112" s="931"/>
      <c r="AL112" s="931"/>
      <c r="AM112" s="931"/>
      <c r="AN112" s="931"/>
      <c r="AO112" s="931"/>
      <c r="AP112" s="931"/>
      <c r="AQ112" s="931"/>
      <c r="AR112" s="931"/>
      <c r="AS112" s="931"/>
      <c r="AT112" s="931"/>
      <c r="AU112" s="931"/>
      <c r="AV112" s="931"/>
      <c r="AW112" s="931"/>
      <c r="AX112" s="931"/>
      <c r="AY112" s="931"/>
      <c r="AZ112" s="931"/>
      <c r="BA112" s="931"/>
      <c r="BB112" s="931"/>
      <c r="BC112" s="688"/>
      <c r="BD112" s="698"/>
      <c r="BE112" s="698"/>
      <c r="BF112" s="698"/>
      <c r="BG112" s="698"/>
      <c r="BH112" s="698"/>
      <c r="BI112" s="698"/>
      <c r="BJ112" s="698"/>
      <c r="BK112" s="698"/>
      <c r="BL112" s="698"/>
      <c r="BM112" s="698"/>
    </row>
    <row r="113" spans="1:65" x14ac:dyDescent="0.25">
      <c r="A113" s="693" t="str">
        <f>'Cost Allocation - Tier 1 (2)'!A102</f>
        <v>COO office</v>
      </c>
      <c r="B113" s="693" t="str">
        <f>'Cost Allocation - Tier 1 (2)'!B102</f>
        <v>ALL CONTRACT</v>
      </c>
      <c r="C113" s="693" t="str">
        <f>'Cost Allocation - Tier 1 (2)'!C102</f>
        <v>Y</v>
      </c>
      <c r="D113" s="778">
        <f>'Cost Allocation - Tier 1 (2)'!D102</f>
        <v>0</v>
      </c>
      <c r="E113" s="778">
        <f>'Cost Allocation - Tier 1 (2)'!E102</f>
        <v>0</v>
      </c>
      <c r="F113" s="778">
        <f>'Cost Allocation - Tier 1 (2)'!F102</f>
        <v>0</v>
      </c>
      <c r="G113" s="778">
        <f>'Cost Allocation - Tier 1 (2)'!G102</f>
        <v>0</v>
      </c>
      <c r="H113" s="778">
        <f>'Cost Allocation - Tier 1 (2)'!H102</f>
        <v>0</v>
      </c>
      <c r="I113" s="688">
        <f>'Cost Allocation - Tier 1 (2)'!I102</f>
        <v>0</v>
      </c>
      <c r="J113" s="931">
        <f>'Cost Allocation - Tier 1 (2)'!J102</f>
        <v>0</v>
      </c>
      <c r="K113" s="931">
        <f>'Cost Allocation - Tier 1 (2)'!K102</f>
        <v>0</v>
      </c>
      <c r="L113" s="931">
        <f>'Cost Allocation - Tier 1 (2)'!L102</f>
        <v>0</v>
      </c>
      <c r="M113" s="931">
        <f>'Cost Allocation - Tier 1 (2)'!M102</f>
        <v>0</v>
      </c>
      <c r="N113" s="931">
        <f>'Cost Allocation - Tier 1 (2)'!N102</f>
        <v>0</v>
      </c>
      <c r="O113" s="931">
        <f>'Cost Allocation - Tier 1 (2)'!O102</f>
        <v>0</v>
      </c>
      <c r="P113" s="931">
        <f>'Cost Allocation - Tier 1 (2)'!P102</f>
        <v>0</v>
      </c>
      <c r="Q113" s="931">
        <f>'Cost Allocation - Tier 1 (2)'!Q102</f>
        <v>0</v>
      </c>
      <c r="R113" s="931">
        <f>'Cost Allocation - Tier 1 (2)'!R102</f>
        <v>0</v>
      </c>
      <c r="S113" s="931">
        <f>'Cost Allocation - Tier 1 (2)'!S102</f>
        <v>0</v>
      </c>
      <c r="T113" s="931">
        <f>'Cost Allocation - Tier 1 (2)'!T102</f>
        <v>0</v>
      </c>
      <c r="U113" s="931">
        <f>'Cost Allocation - Tier 1 (2)'!U102</f>
        <v>0</v>
      </c>
      <c r="V113" s="931">
        <f>'Cost Allocation - Tier 1 (2)'!V102</f>
        <v>0</v>
      </c>
      <c r="W113" s="931">
        <f>'Cost Allocation - Tier 1 (2)'!W102</f>
        <v>0</v>
      </c>
      <c r="X113" s="931">
        <f>'Cost Allocation - Tier 1 (2)'!X102</f>
        <v>0</v>
      </c>
      <c r="Y113" s="931">
        <f>'Cost Allocation - Tier 1 (2)'!Y102</f>
        <v>0</v>
      </c>
      <c r="Z113" s="931">
        <f>'Cost Allocation - Tier 1 (2)'!Z102</f>
        <v>0</v>
      </c>
      <c r="AA113" s="931">
        <f>'Cost Allocation - Tier 1 (2)'!AA102</f>
        <v>0</v>
      </c>
      <c r="AB113" s="931">
        <f>'Cost Allocation - Tier 1 (2)'!AB102</f>
        <v>0</v>
      </c>
      <c r="AC113" s="931">
        <f>'Cost Allocation - Tier 1 (2)'!AC102</f>
        <v>0</v>
      </c>
      <c r="AD113" s="931">
        <f>'Cost Allocation - Tier 1 (2)'!AD102</f>
        <v>0</v>
      </c>
      <c r="AE113" s="931">
        <f>'Cost Allocation - Tier 1 (2)'!AE102</f>
        <v>0</v>
      </c>
      <c r="AF113" s="931">
        <f>'Cost Allocation - Tier 1 (2)'!AF102</f>
        <v>0</v>
      </c>
      <c r="AG113" s="931">
        <f>'Cost Allocation - Tier 1 (2)'!AG102</f>
        <v>0</v>
      </c>
      <c r="AH113" s="931">
        <f>'Cost Allocation - Tier 1 (2)'!AH102</f>
        <v>0</v>
      </c>
      <c r="AI113" s="931">
        <f>'Cost Allocation - Tier 1 (2)'!AI102</f>
        <v>0</v>
      </c>
      <c r="AJ113" s="931">
        <f>'Cost Allocation - Tier 1 (2)'!AJ102</f>
        <v>0</v>
      </c>
      <c r="AK113" s="931">
        <f>'Cost Allocation - Tier 1 (2)'!AK102</f>
        <v>0</v>
      </c>
      <c r="AL113" s="931">
        <f>'Cost Allocation - Tier 1 (2)'!AL102</f>
        <v>0</v>
      </c>
      <c r="AM113" s="931">
        <f>'Cost Allocation - Tier 1 (2)'!AM102</f>
        <v>0</v>
      </c>
      <c r="AN113" s="931">
        <f>'Cost Allocation - Tier 1 (2)'!AN102</f>
        <v>0</v>
      </c>
      <c r="AO113" s="931">
        <f>'Cost Allocation - Tier 1 (2)'!AO102</f>
        <v>0</v>
      </c>
      <c r="AP113" s="931">
        <f>'Cost Allocation - Tier 1 (2)'!AP102</f>
        <v>0</v>
      </c>
      <c r="AQ113" s="931">
        <f>'Cost Allocation - Tier 1 (2)'!AQ102</f>
        <v>0</v>
      </c>
      <c r="AR113" s="931">
        <f>'Cost Allocation - Tier 1 (2)'!AR102</f>
        <v>0</v>
      </c>
      <c r="AS113" s="931">
        <f>'Cost Allocation - Tier 1 (2)'!AS102</f>
        <v>0</v>
      </c>
      <c r="AT113" s="931">
        <f>'Cost Allocation - Tier 1 (2)'!AT102</f>
        <v>0</v>
      </c>
      <c r="AU113" s="931">
        <f>'Cost Allocation - Tier 1 (2)'!AU102</f>
        <v>0</v>
      </c>
      <c r="AV113" s="931">
        <f>'Cost Allocation - Tier 1 (2)'!AV102</f>
        <v>0</v>
      </c>
      <c r="AW113" s="931">
        <f>'Cost Allocation - Tier 1 (2)'!AW102</f>
        <v>0</v>
      </c>
      <c r="AX113" s="931">
        <f>'Cost Allocation - Tier 1 (2)'!AX102</f>
        <v>0</v>
      </c>
      <c r="AY113" s="931">
        <f>'Cost Allocation - Tier 1 (2)'!AY102</f>
        <v>0</v>
      </c>
      <c r="AZ113" s="931">
        <f>'Cost Allocation - Tier 1 (2)'!AZ102</f>
        <v>0</v>
      </c>
      <c r="BA113" s="931">
        <f>'Cost Allocation - Tier 1 (2)'!BA102</f>
        <v>0</v>
      </c>
      <c r="BB113" s="931">
        <f>'Cost Allocation - Tier 1 (2)'!BB102</f>
        <v>0</v>
      </c>
      <c r="BC113" s="688">
        <f>'Cost Allocation - Tier 1 (2)'!BC102</f>
        <v>0</v>
      </c>
      <c r="BD113" s="778">
        <f>'Cost Allocation - Tier 1 (2)'!BD102</f>
        <v>0</v>
      </c>
      <c r="BE113" s="778">
        <f>'Cost Allocation - Tier 1 (2)'!BE102</f>
        <v>0</v>
      </c>
      <c r="BF113" s="778">
        <f>'Cost Allocation - Tier 1 (2)'!BF102</f>
        <v>0</v>
      </c>
      <c r="BG113" s="778">
        <f>'Cost Allocation - Tier 1 (2)'!BG102</f>
        <v>0</v>
      </c>
      <c r="BH113" s="778">
        <f>'Cost Allocation - Tier 1 (2)'!BH102</f>
        <v>0</v>
      </c>
      <c r="BI113" s="778">
        <f>'Cost Allocation - Tier 1 (2)'!BI102</f>
        <v>0</v>
      </c>
      <c r="BJ113" s="778">
        <f>'Cost Allocation - Tier 1 (2)'!BJ102</f>
        <v>0</v>
      </c>
      <c r="BK113" s="778">
        <f>'Cost Allocation - Tier 1 (2)'!BK102</f>
        <v>0</v>
      </c>
      <c r="BL113" s="76">
        <f t="shared" ref="BL113:BL115" si="53">BC113+I113+H113</f>
        <v>0</v>
      </c>
      <c r="BM113" s="76">
        <f t="shared" ref="BM113:BM127" si="54">BL113-G113</f>
        <v>0</v>
      </c>
    </row>
    <row r="114" spans="1:65" x14ac:dyDescent="0.25">
      <c r="A114" s="693" t="str">
        <f>'Cost Allocation - Tier 1 (2)'!A103</f>
        <v>Langley Office rent</v>
      </c>
      <c r="B114" s="693" t="str">
        <f>'Cost Allocation - Tier 1 (2)'!B103</f>
        <v>CDN CONTRACT</v>
      </c>
      <c r="C114" s="693" t="str">
        <f>'Cost Allocation - Tier 1 (2)'!C103</f>
        <v>N</v>
      </c>
      <c r="D114" s="778">
        <f>'Cost Allocation - Tier 1 (2)'!D103</f>
        <v>173746</v>
      </c>
      <c r="E114" s="778">
        <f>'Cost Allocation - Tier 1 (2)'!E103</f>
        <v>130714.7156184171</v>
      </c>
      <c r="F114" s="778">
        <f>'Cost Allocation - Tier 1 (2)'!F103</f>
        <v>0</v>
      </c>
      <c r="G114" s="778">
        <f>'Cost Allocation - Tier 1 (2)'!G103</f>
        <v>130714.7156184171</v>
      </c>
      <c r="H114" s="778">
        <f>'Cost Allocation - Tier 1 (2)'!H103</f>
        <v>0</v>
      </c>
      <c r="I114" s="688">
        <f>'Cost Allocation - Tier 1 (2)'!I103</f>
        <v>130714.71561841713</v>
      </c>
      <c r="J114" s="931">
        <f>'Cost Allocation - Tier 1 (2)'!J103</f>
        <v>3360.3752993980247</v>
      </c>
      <c r="K114" s="931">
        <f>'Cost Allocation - Tier 1 (2)'!K103</f>
        <v>856.15455040399922</v>
      </c>
      <c r="L114" s="931">
        <f>'Cost Allocation - Tier 1 (2)'!L103</f>
        <v>815.85758356433325</v>
      </c>
      <c r="M114" s="931">
        <f>'Cost Allocation - Tier 1 (2)'!M103</f>
        <v>1144.194851654257</v>
      </c>
      <c r="N114" s="931">
        <f>'Cost Allocation - Tier 1 (2)'!N103</f>
        <v>1550.4112047355773</v>
      </c>
      <c r="O114" s="931">
        <f>'Cost Allocation - Tier 1 (2)'!O103</f>
        <v>4510.9676463101787</v>
      </c>
      <c r="P114" s="931">
        <f>'Cost Allocation - Tier 1 (2)'!P103</f>
        <v>573.20331643669169</v>
      </c>
      <c r="Q114" s="931">
        <f>'Cost Allocation - Tier 1 (2)'!Q103</f>
        <v>1621.2999642719296</v>
      </c>
      <c r="R114" s="931">
        <f>'Cost Allocation - Tier 1 (2)'!R103</f>
        <v>1414.8243902888003</v>
      </c>
      <c r="S114" s="931">
        <f>'Cost Allocation - Tier 1 (2)'!S103</f>
        <v>1431.7764093222854</v>
      </c>
      <c r="T114" s="931">
        <f>'Cost Allocation - Tier 1 (2)'!T103</f>
        <v>5337.8412180122741</v>
      </c>
      <c r="U114" s="931">
        <f>'Cost Allocation - Tier 1 (2)'!U103</f>
        <v>4213.3364790409387</v>
      </c>
      <c r="V114" s="931">
        <f>'Cost Allocation - Tier 1 (2)'!V103</f>
        <v>2153.5399858677306</v>
      </c>
      <c r="W114" s="931">
        <f>'Cost Allocation - Tier 1 (2)'!W103</f>
        <v>3533.644001293972</v>
      </c>
      <c r="X114" s="931">
        <f>'Cost Allocation - Tier 1 (2)'!X103</f>
        <v>125.48205591106687</v>
      </c>
      <c r="Y114" s="931">
        <f>'Cost Allocation - Tier 1 (2)'!Y103</f>
        <v>88.137297603122207</v>
      </c>
      <c r="Z114" s="931">
        <f>'Cost Allocation - Tier 1 (2)'!Z103</f>
        <v>365.65657102670195</v>
      </c>
      <c r="AA114" s="931">
        <f>'Cost Allocation - Tier 1 (2)'!AA103</f>
        <v>320.27801773689339</v>
      </c>
      <c r="AB114" s="931">
        <f>'Cost Allocation - Tier 1 (2)'!AB103</f>
        <v>185.53972121060451</v>
      </c>
      <c r="AC114" s="931">
        <f>'Cost Allocation - Tier 1 (2)'!AC103</f>
        <v>236.26963160145854</v>
      </c>
      <c r="AD114" s="931">
        <f>'Cost Allocation - Tier 1 (2)'!AD103</f>
        <v>1662.7461605169806</v>
      </c>
      <c r="AE114" s="931">
        <f>'Cost Allocation - Tier 1 (2)'!AE103</f>
        <v>601.27206408680422</v>
      </c>
      <c r="AF114" s="931">
        <f>'Cost Allocation - Tier 1 (2)'!AF103</f>
        <v>1204.2092363988356</v>
      </c>
      <c r="AG114" s="931">
        <f>'Cost Allocation - Tier 1 (2)'!AG103</f>
        <v>2326.9541418744093</v>
      </c>
      <c r="AH114" s="931">
        <f>'Cost Allocation - Tier 1 (2)'!AH103</f>
        <v>32089.501629162576</v>
      </c>
      <c r="AI114" s="931">
        <f>'Cost Allocation - Tier 1 (2)'!AI103</f>
        <v>323.34945946314394</v>
      </c>
      <c r="AJ114" s="931">
        <f>'Cost Allocation - Tier 1 (2)'!AJ103</f>
        <v>5629.2227231371335</v>
      </c>
      <c r="AK114" s="931">
        <f>'Cost Allocation - Tier 1 (2)'!AK103</f>
        <v>4496.5702061667553</v>
      </c>
      <c r="AL114" s="931">
        <f>'Cost Allocation - Tier 1 (2)'!AL103</f>
        <v>0</v>
      </c>
      <c r="AM114" s="931">
        <f>'Cost Allocation - Tier 1 (2)'!AM103</f>
        <v>486.03553281215557</v>
      </c>
      <c r="AN114" s="931">
        <f>'Cost Allocation - Tier 1 (2)'!AN103</f>
        <v>612.72474421649645</v>
      </c>
      <c r="AO114" s="931">
        <f>'Cost Allocation - Tier 1 (2)'!AO103</f>
        <v>5608.4942607375433</v>
      </c>
      <c r="AP114" s="931">
        <f>'Cost Allocation - Tier 1 (2)'!AP103</f>
        <v>786.80329626946479</v>
      </c>
      <c r="AQ114" s="931">
        <f>'Cost Allocation - Tier 1 (2)'!AQ103</f>
        <v>2850.3064977042527</v>
      </c>
      <c r="AR114" s="931">
        <f>'Cost Allocation - Tier 1 (2)'!AR103</f>
        <v>11.528200355591872</v>
      </c>
      <c r="AS114" s="931">
        <f>'Cost Allocation - Tier 1 (2)'!AS103</f>
        <v>4247.5150201683127</v>
      </c>
      <c r="AT114" s="931">
        <f>'Cost Allocation - Tier 1 (2)'!AT103</f>
        <v>3419.7450220021778</v>
      </c>
      <c r="AU114" s="931">
        <f>'Cost Allocation - Tier 1 (2)'!AU103</f>
        <v>5156.4746020573457</v>
      </c>
      <c r="AV114" s="931">
        <f>'Cost Allocation - Tier 1 (2)'!AV103</f>
        <v>6976.4851793660446</v>
      </c>
      <c r="AW114" s="931">
        <f>'Cost Allocation - Tier 1 (2)'!AW103</f>
        <v>18141.429923466094</v>
      </c>
      <c r="AX114" s="931">
        <f>'Cost Allocation - Tier 1 (2)'!AX103</f>
        <v>244.55752276417309</v>
      </c>
      <c r="AY114" s="931">
        <f>'Cost Allocation - Tier 1 (2)'!AY103</f>
        <v>0</v>
      </c>
      <c r="AZ114" s="931">
        <f>'Cost Allocation - Tier 1 (2)'!AZ103</f>
        <v>0</v>
      </c>
      <c r="BA114" s="931">
        <f>'Cost Allocation - Tier 1 (2)'!BA103</f>
        <v>0</v>
      </c>
      <c r="BB114" s="931">
        <f>'Cost Allocation - Tier 1 (2)'!BB103</f>
        <v>0</v>
      </c>
      <c r="BC114" s="688">
        <f>'Cost Allocation - Tier 1 (2)'!BC103</f>
        <v>0</v>
      </c>
      <c r="BD114" s="778">
        <f>'Cost Allocation - Tier 1 (2)'!BD103</f>
        <v>0</v>
      </c>
      <c r="BE114" s="778">
        <f>'Cost Allocation - Tier 1 (2)'!BE103</f>
        <v>0</v>
      </c>
      <c r="BF114" s="778">
        <f>'Cost Allocation - Tier 1 (2)'!BF103</f>
        <v>0</v>
      </c>
      <c r="BG114" s="778">
        <f>'Cost Allocation - Tier 1 (2)'!BG103</f>
        <v>0</v>
      </c>
      <c r="BH114" s="778">
        <f>'Cost Allocation - Tier 1 (2)'!BH103</f>
        <v>0</v>
      </c>
      <c r="BI114" s="778">
        <f>'Cost Allocation - Tier 1 (2)'!BI103</f>
        <v>0</v>
      </c>
      <c r="BJ114" s="778">
        <f>'Cost Allocation - Tier 1 (2)'!BJ103</f>
        <v>0</v>
      </c>
      <c r="BK114" s="778">
        <f>'Cost Allocation - Tier 1 (2)'!BK103</f>
        <v>0</v>
      </c>
      <c r="BL114" s="76">
        <f t="shared" si="53"/>
        <v>130714.71561841713</v>
      </c>
      <c r="BM114" s="76">
        <f t="shared" si="54"/>
        <v>0</v>
      </c>
    </row>
    <row r="115" spans="1:65" s="79" customFormat="1" ht="13.15" customHeight="1" x14ac:dyDescent="0.25">
      <c r="A115" s="943" t="str">
        <f>'Cost Allocation - Tier 1 (2)'!A104</f>
        <v>Other costs</v>
      </c>
      <c r="B115" s="943" t="str">
        <f>'Cost Allocation - Tier 1 (2)'!B104</f>
        <v>CDN CONTRACT</v>
      </c>
      <c r="C115" s="943" t="str">
        <f>'Cost Allocation - Tier 1 (2)'!C104</f>
        <v>N</v>
      </c>
      <c r="D115" s="944">
        <f>'Cost Allocation - Tier 1 (2)'!D104</f>
        <v>433486</v>
      </c>
      <c r="E115" s="944">
        <f>'Cost Allocation - Tier 1 (2)'!E104</f>
        <v>326125.48901594948</v>
      </c>
      <c r="F115" s="944">
        <f>'Cost Allocation - Tier 1 (2)'!F104</f>
        <v>0</v>
      </c>
      <c r="G115" s="944">
        <f>'Cost Allocation - Tier 1 (2)'!G104</f>
        <v>326125.48901594948</v>
      </c>
      <c r="H115" s="944">
        <f>'Cost Allocation - Tier 1 (2)'!H104</f>
        <v>0</v>
      </c>
      <c r="I115" s="945">
        <f>'Cost Allocation - Tier 1 (2)'!I104</f>
        <v>326125.48901594954</v>
      </c>
      <c r="J115" s="953">
        <f>'Cost Allocation - Tier 1 (2)'!J104</f>
        <v>8383.9377426522187</v>
      </c>
      <c r="K115" s="953">
        <f>'Cost Allocation - Tier 1 (2)'!K104</f>
        <v>2136.0549965836799</v>
      </c>
      <c r="L115" s="953">
        <f>'Cost Allocation - Tier 1 (2)'!L104</f>
        <v>2035.516446243186</v>
      </c>
      <c r="M115" s="953">
        <f>'Cost Allocation - Tier 1 (2)'!M104</f>
        <v>2854.6985223498518</v>
      </c>
      <c r="N115" s="953">
        <f>'Cost Allocation - Tier 1 (2)'!N104</f>
        <v>3868.1843121338416</v>
      </c>
      <c r="O115" s="953">
        <f>'Cost Allocation - Tier 1 (2)'!O104</f>
        <v>11254.597637519219</v>
      </c>
      <c r="P115" s="953">
        <f>'Cost Allocation - Tier 1 (2)'!P104</f>
        <v>1430.1083928773942</v>
      </c>
      <c r="Q115" s="953">
        <f>'Cost Allocation - Tier 1 (2)'!Q104</f>
        <v>4045.0475769938976</v>
      </c>
      <c r="R115" s="953">
        <f>'Cost Allocation - Tier 1 (2)'!R104</f>
        <v>3529.9032245273611</v>
      </c>
      <c r="S115" s="953">
        <f>'Cost Allocation - Tier 1 (2)'!S104</f>
        <v>3572.1975099943611</v>
      </c>
      <c r="T115" s="953">
        <f>'Cost Allocation - Tier 1 (2)'!T104</f>
        <v>13317.598323019056</v>
      </c>
      <c r="U115" s="953">
        <f>'Cost Allocation - Tier 1 (2)'!U104</f>
        <v>10512.025467944819</v>
      </c>
      <c r="V115" s="953">
        <f>'Cost Allocation - Tier 1 (2)'!V104</f>
        <v>5372.9549705539066</v>
      </c>
      <c r="W115" s="953">
        <f>'Cost Allocation - Tier 1 (2)'!W104</f>
        <v>8816.2329120953509</v>
      </c>
      <c r="X115" s="953">
        <f>'Cost Allocation - Tier 1 (2)'!X104</f>
        <v>313.07031234482946</v>
      </c>
      <c r="Y115" s="953">
        <f>'Cost Allocation - Tier 1 (2)'!Y104</f>
        <v>219.8973477880759</v>
      </c>
      <c r="Z115" s="953">
        <f>'Cost Allocation - Tier 1 (2)'!Z104</f>
        <v>912.29153101700717</v>
      </c>
      <c r="AA115" s="953">
        <f>'Cost Allocation - Tier 1 (2)'!AA104</f>
        <v>799.07472285229574</v>
      </c>
      <c r="AB115" s="953">
        <f>'Cost Allocation - Tier 1 (2)'!AB104</f>
        <v>462.91063730215433</v>
      </c>
      <c r="AC115" s="953">
        <f>'Cost Allocation - Tier 1 (2)'!AC104</f>
        <v>589.47876511913864</v>
      </c>
      <c r="AD115" s="953">
        <f>'Cost Allocation - Tier 1 (2)'!AD104</f>
        <v>4148.4533867707105</v>
      </c>
      <c r="AE115" s="953">
        <f>'Cost Allocation - Tier 1 (2)'!AE104</f>
        <v>1500.1382591411166</v>
      </c>
      <c r="AF115" s="953">
        <f>'Cost Allocation - Tier 1 (2)'!AF104</f>
        <v>3004.4308648808355</v>
      </c>
      <c r="AG115" s="953">
        <f>'Cost Allocation - Tier 1 (2)'!AG104</f>
        <v>5805.6130394056272</v>
      </c>
      <c r="AH115" s="953">
        <f>'Cost Allocation - Tier 1 (2)'!AH104</f>
        <v>80061.409777601613</v>
      </c>
      <c r="AI115" s="953">
        <f>'Cost Allocation - Tier 1 (2)'!AI104</f>
        <v>806.73778840859893</v>
      </c>
      <c r="AJ115" s="953">
        <f>'Cost Allocation - Tier 1 (2)'!AJ104</f>
        <v>14044.577954956221</v>
      </c>
      <c r="AK115" s="953">
        <f>'Cost Allocation - Tier 1 (2)'!AK104</f>
        <v>11218.676875383619</v>
      </c>
      <c r="AL115" s="953">
        <f>'Cost Allocation - Tier 1 (2)'!AL104</f>
        <v>0</v>
      </c>
      <c r="AM115" s="953">
        <f>'Cost Allocation - Tier 1 (2)'!AM104</f>
        <v>1212.6299251586227</v>
      </c>
      <c r="AN115" s="953">
        <f>'Cost Allocation - Tier 1 (2)'!AN104</f>
        <v>1528.7120191050853</v>
      </c>
      <c r="AO115" s="953">
        <f>'Cost Allocation - Tier 1 (2)'!AO104</f>
        <v>13992.861666513616</v>
      </c>
      <c r="AP115" s="953">
        <f>'Cost Allocation - Tier 1 (2)'!AP104</f>
        <v>1963.0277168203311</v>
      </c>
      <c r="AQ115" s="953">
        <f>'Cost Allocation - Tier 1 (2)'!AQ104</f>
        <v>7111.3462322230489</v>
      </c>
      <c r="AR115" s="953">
        <f>'Cost Allocation - Tier 1 (2)'!AR104</f>
        <v>28.762178463642897</v>
      </c>
      <c r="AS115" s="953">
        <f>'Cost Allocation - Tier 1 (2)'!AS104</f>
        <v>10597.298907788849</v>
      </c>
      <c r="AT115" s="953">
        <f>'Cost Allocation - Tier 1 (2)'!AT104</f>
        <v>8532.0616912483511</v>
      </c>
      <c r="AU115" s="953">
        <f>'Cost Allocation - Tier 1 (2)'!AU104</f>
        <v>12865.099336660589</v>
      </c>
      <c r="AV115" s="953">
        <f>'Cost Allocation - Tier 1 (2)'!AV104</f>
        <v>17405.918147541062</v>
      </c>
      <c r="AW115" s="953">
        <f>'Cost Allocation - Tier 1 (2)'!AW104</f>
        <v>45261.795332287496</v>
      </c>
      <c r="AX115" s="953">
        <f>'Cost Allocation - Tier 1 (2)'!AX104</f>
        <v>610.156563678878</v>
      </c>
      <c r="AY115" s="953">
        <f>'Cost Allocation - Tier 1 (2)'!AY104</f>
        <v>0</v>
      </c>
      <c r="AZ115" s="953">
        <f>'Cost Allocation - Tier 1 (2)'!AZ104</f>
        <v>0</v>
      </c>
      <c r="BA115" s="953">
        <f>'Cost Allocation - Tier 1 (2)'!BA104</f>
        <v>0</v>
      </c>
      <c r="BB115" s="953">
        <f>'Cost Allocation - Tier 1 (2)'!BB104</f>
        <v>0</v>
      </c>
      <c r="BC115" s="945">
        <f>'Cost Allocation - Tier 1 (2)'!BC104</f>
        <v>0</v>
      </c>
      <c r="BD115" s="944">
        <f>'Cost Allocation - Tier 1 (2)'!BD104</f>
        <v>0</v>
      </c>
      <c r="BE115" s="944">
        <f>'Cost Allocation - Tier 1 (2)'!BE104</f>
        <v>0</v>
      </c>
      <c r="BF115" s="944">
        <f>'Cost Allocation - Tier 1 (2)'!BF104</f>
        <v>0</v>
      </c>
      <c r="BG115" s="944">
        <f>'Cost Allocation - Tier 1 (2)'!BG104</f>
        <v>0</v>
      </c>
      <c r="BH115" s="944">
        <f>'Cost Allocation - Tier 1 (2)'!BH104</f>
        <v>0</v>
      </c>
      <c r="BI115" s="944">
        <f>'Cost Allocation - Tier 1 (2)'!BI104</f>
        <v>0</v>
      </c>
      <c r="BJ115" s="944">
        <f>'Cost Allocation - Tier 1 (2)'!BJ104</f>
        <v>0</v>
      </c>
      <c r="BK115" s="944">
        <f>'Cost Allocation - Tier 1 (2)'!BK104</f>
        <v>0</v>
      </c>
      <c r="BL115" s="76">
        <f t="shared" si="53"/>
        <v>326125.48901594954</v>
      </c>
      <c r="BM115" s="76">
        <f t="shared" si="54"/>
        <v>0</v>
      </c>
    </row>
    <row r="116" spans="1:65" x14ac:dyDescent="0.25">
      <c r="A116" s="693" t="str">
        <f>'Cost Allocation - Tier 1 (2)'!A105</f>
        <v>Net income</v>
      </c>
      <c r="B116" s="1"/>
      <c r="C116" s="1"/>
      <c r="D116" s="698">
        <f>SUM(D113:D115)</f>
        <v>607232</v>
      </c>
      <c r="E116" s="698">
        <f t="shared" ref="E116:H116" si="55">SUM(E113:E115)</f>
        <v>456840.20463436656</v>
      </c>
      <c r="F116" s="698">
        <f t="shared" si="55"/>
        <v>0</v>
      </c>
      <c r="G116" s="698">
        <f t="shared" si="55"/>
        <v>456840.20463436656</v>
      </c>
      <c r="H116" s="698">
        <f t="shared" si="55"/>
        <v>0</v>
      </c>
      <c r="I116" s="688">
        <f>SUM(I113:I115)</f>
        <v>456840.20463436667</v>
      </c>
      <c r="J116" s="942">
        <f>SUM(J113:J115)</f>
        <v>11744.313042050244</v>
      </c>
      <c r="K116" s="942">
        <f t="shared" ref="K116:BB116" si="56">SUM(K113:K115)</f>
        <v>2992.209546987679</v>
      </c>
      <c r="L116" s="942">
        <f t="shared" si="56"/>
        <v>2851.374029807519</v>
      </c>
      <c r="M116" s="942">
        <f t="shared" si="56"/>
        <v>3998.8933740041089</v>
      </c>
      <c r="N116" s="942">
        <f t="shared" si="56"/>
        <v>5418.595516869419</v>
      </c>
      <c r="O116" s="942">
        <f t="shared" si="56"/>
        <v>15765.565283829397</v>
      </c>
      <c r="P116" s="942">
        <f t="shared" si="56"/>
        <v>2003.3117093140859</v>
      </c>
      <c r="Q116" s="942">
        <f t="shared" si="56"/>
        <v>5666.3475412658272</v>
      </c>
      <c r="R116" s="942">
        <f t="shared" si="56"/>
        <v>4944.7276148161618</v>
      </c>
      <c r="S116" s="942">
        <f t="shared" si="56"/>
        <v>5003.9739193166461</v>
      </c>
      <c r="T116" s="942">
        <f t="shared" si="56"/>
        <v>18655.43954103133</v>
      </c>
      <c r="U116" s="942">
        <f t="shared" si="56"/>
        <v>14725.361946985759</v>
      </c>
      <c r="V116" s="942">
        <f t="shared" si="56"/>
        <v>7526.4949564216367</v>
      </c>
      <c r="W116" s="942">
        <f t="shared" si="56"/>
        <v>12349.876913389322</v>
      </c>
      <c r="X116" s="942">
        <f t="shared" si="56"/>
        <v>438.55236825589634</v>
      </c>
      <c r="Y116" s="942">
        <f t="shared" si="56"/>
        <v>308.03464539119813</v>
      </c>
      <c r="Z116" s="942">
        <f t="shared" si="56"/>
        <v>1277.9481020437092</v>
      </c>
      <c r="AA116" s="942">
        <f t="shared" si="56"/>
        <v>1119.3527405891891</v>
      </c>
      <c r="AB116" s="942">
        <f t="shared" si="56"/>
        <v>648.45035851275884</v>
      </c>
      <c r="AC116" s="942">
        <f t="shared" si="56"/>
        <v>825.74839672059716</v>
      </c>
      <c r="AD116" s="942">
        <f t="shared" si="56"/>
        <v>5811.1995472876915</v>
      </c>
      <c r="AE116" s="942">
        <f t="shared" si="56"/>
        <v>2101.4103232279208</v>
      </c>
      <c r="AF116" s="942">
        <f t="shared" si="56"/>
        <v>4208.6401012796714</v>
      </c>
      <c r="AG116" s="942">
        <f t="shared" si="56"/>
        <v>8132.5671812800365</v>
      </c>
      <c r="AH116" s="942">
        <f t="shared" si="56"/>
        <v>112150.91140676419</v>
      </c>
      <c r="AI116" s="942">
        <f t="shared" si="56"/>
        <v>1130.0872478717429</v>
      </c>
      <c r="AJ116" s="942">
        <f t="shared" si="56"/>
        <v>19673.800678093354</v>
      </c>
      <c r="AK116" s="942">
        <f t="shared" si="56"/>
        <v>15715.247081550373</v>
      </c>
      <c r="AL116" s="942">
        <f t="shared" si="56"/>
        <v>0</v>
      </c>
      <c r="AM116" s="942">
        <f t="shared" si="56"/>
        <v>1698.6654579707783</v>
      </c>
      <c r="AN116" s="942">
        <f t="shared" si="56"/>
        <v>2141.4367633215816</v>
      </c>
      <c r="AO116" s="942">
        <f t="shared" si="56"/>
        <v>19601.355927251159</v>
      </c>
      <c r="AP116" s="942">
        <f t="shared" si="56"/>
        <v>2749.8310130897958</v>
      </c>
      <c r="AQ116" s="942">
        <f t="shared" si="56"/>
        <v>9961.6527299273021</v>
      </c>
      <c r="AR116" s="942">
        <f t="shared" si="56"/>
        <v>40.290378819234768</v>
      </c>
      <c r="AS116" s="942">
        <f t="shared" si="56"/>
        <v>14844.813927957162</v>
      </c>
      <c r="AT116" s="942">
        <f t="shared" si="56"/>
        <v>11951.806713250529</v>
      </c>
      <c r="AU116" s="942">
        <f t="shared" si="56"/>
        <v>18021.573938717935</v>
      </c>
      <c r="AV116" s="942">
        <f t="shared" si="56"/>
        <v>24382.403326907108</v>
      </c>
      <c r="AW116" s="942">
        <f t="shared" si="56"/>
        <v>63403.22525575359</v>
      </c>
      <c r="AX116" s="942">
        <f t="shared" si="56"/>
        <v>854.71408644305109</v>
      </c>
      <c r="AY116" s="942">
        <f t="shared" si="56"/>
        <v>0</v>
      </c>
      <c r="AZ116" s="942">
        <f t="shared" si="56"/>
        <v>0</v>
      </c>
      <c r="BA116" s="942">
        <f t="shared" si="56"/>
        <v>0</v>
      </c>
      <c r="BB116" s="942">
        <f t="shared" si="56"/>
        <v>0</v>
      </c>
      <c r="BC116" s="688">
        <f>SUM(BC113:BC115)</f>
        <v>0</v>
      </c>
      <c r="BD116" s="778">
        <f>SUM(BD113:BD115)</f>
        <v>0</v>
      </c>
      <c r="BE116" s="778">
        <f t="shared" ref="BE116:BK116" si="57">SUM(BE113:BE115)</f>
        <v>0</v>
      </c>
      <c r="BF116" s="778">
        <f t="shared" si="57"/>
        <v>0</v>
      </c>
      <c r="BG116" s="778">
        <f t="shared" si="57"/>
        <v>0</v>
      </c>
      <c r="BH116" s="778">
        <f t="shared" si="57"/>
        <v>0</v>
      </c>
      <c r="BI116" s="778">
        <f t="shared" si="57"/>
        <v>0</v>
      </c>
      <c r="BJ116" s="778">
        <f t="shared" si="57"/>
        <v>0</v>
      </c>
      <c r="BK116" s="778">
        <f t="shared" si="57"/>
        <v>0</v>
      </c>
      <c r="BL116" s="698">
        <f>SUM(BL113:BL115)</f>
        <v>456840.20463436667</v>
      </c>
      <c r="BM116" s="76">
        <f t="shared" si="54"/>
        <v>0</v>
      </c>
    </row>
    <row r="117" spans="1:65" x14ac:dyDescent="0.25">
      <c r="A117" s="1"/>
      <c r="B117" s="693"/>
      <c r="C117" s="693"/>
      <c r="D117" s="778"/>
      <c r="E117" s="778"/>
      <c r="F117" s="778"/>
      <c r="G117" s="778"/>
      <c r="H117" s="698"/>
      <c r="I117" s="688"/>
      <c r="J117" s="931"/>
      <c r="K117" s="931"/>
      <c r="L117" s="931"/>
      <c r="M117" s="931"/>
      <c r="N117" s="931"/>
      <c r="O117" s="931"/>
      <c r="P117" s="931"/>
      <c r="Q117" s="931"/>
      <c r="R117" s="931"/>
      <c r="S117" s="931"/>
      <c r="T117" s="931"/>
      <c r="U117" s="931"/>
      <c r="V117" s="931"/>
      <c r="W117" s="931"/>
      <c r="X117" s="931"/>
      <c r="Y117" s="931"/>
      <c r="Z117" s="931"/>
      <c r="AA117" s="931"/>
      <c r="AB117" s="931"/>
      <c r="AC117" s="931"/>
      <c r="AD117" s="931"/>
      <c r="AE117" s="931"/>
      <c r="AF117" s="931"/>
      <c r="AG117" s="931"/>
      <c r="AH117" s="931"/>
      <c r="AI117" s="931"/>
      <c r="AJ117" s="931"/>
      <c r="AK117" s="931"/>
      <c r="AL117" s="931"/>
      <c r="AM117" s="931"/>
      <c r="AN117" s="931"/>
      <c r="AO117" s="931"/>
      <c r="AP117" s="931"/>
      <c r="AQ117" s="931"/>
      <c r="AR117" s="931"/>
      <c r="AS117" s="931"/>
      <c r="AT117" s="931"/>
      <c r="AU117" s="931"/>
      <c r="AV117" s="931"/>
      <c r="AW117" s="931"/>
      <c r="AX117" s="931"/>
      <c r="AY117" s="931"/>
      <c r="AZ117" s="931"/>
      <c r="BA117" s="931"/>
      <c r="BB117" s="931"/>
      <c r="BC117" s="688"/>
      <c r="BD117" s="778"/>
      <c r="BE117" s="778"/>
      <c r="BF117" s="778"/>
      <c r="BG117" s="778"/>
      <c r="BH117" s="778"/>
      <c r="BI117" s="778"/>
      <c r="BJ117" s="778"/>
      <c r="BK117" s="778"/>
      <c r="BL117" s="698"/>
      <c r="BM117" s="698"/>
    </row>
    <row r="118" spans="1:65" x14ac:dyDescent="0.25">
      <c r="A118" s="693" t="str">
        <f>'Cost Allocation - Tier 1 (2)'!A107</f>
        <v xml:space="preserve">Vancouver Rent direct </v>
      </c>
      <c r="B118" s="693" t="str">
        <f>'Cost Allocation - Tier 1 (2)'!B107</f>
        <v>CDN CONTRACT</v>
      </c>
      <c r="C118" s="693" t="str">
        <f>'Cost Allocation - Tier 1 (2)'!C107</f>
        <v>N</v>
      </c>
      <c r="D118" s="778">
        <f>'Cost Allocation - Tier 1 (2)'!D107</f>
        <v>45131.644444444442</v>
      </c>
      <c r="E118" s="778">
        <f>'Cost Allocation - Tier 1 (2)'!E107</f>
        <v>33953.990704517339</v>
      </c>
      <c r="F118" s="778">
        <f>'Cost Allocation - Tier 1 (2)'!F107</f>
        <v>0</v>
      </c>
      <c r="G118" s="778">
        <f>'Cost Allocation - Tier 1 (2)'!G107</f>
        <v>33953.990704517339</v>
      </c>
      <c r="H118" s="698">
        <f>'Cost Allocation - Tier 1 (2)'!H107</f>
        <v>0</v>
      </c>
      <c r="I118" s="688">
        <f>'Cost Allocation - Tier 1 (2)'!I107</f>
        <v>33953.990704517346</v>
      </c>
      <c r="J118" s="931">
        <f>'Cost Allocation - Tier 1 (2)'!J107</f>
        <v>872.87916390780333</v>
      </c>
      <c r="K118" s="931">
        <f>'Cost Allocation - Tier 1 (2)'!K107</f>
        <v>222.39166805754655</v>
      </c>
      <c r="L118" s="931">
        <f>'Cost Allocation - Tier 1 (2)'!L107</f>
        <v>211.92427093993018</v>
      </c>
      <c r="M118" s="931">
        <f>'Cost Allocation - Tier 1 (2)'!M107</f>
        <v>297.21199463598464</v>
      </c>
      <c r="N118" s="931">
        <f>'Cost Allocation - Tier 1 (2)'!N107</f>
        <v>402.72931310538848</v>
      </c>
      <c r="O118" s="931">
        <f>'Cost Allocation - Tier 1 (2)'!O107</f>
        <v>1171.7529492112819</v>
      </c>
      <c r="P118" s="931">
        <f>'Cost Allocation - Tier 1 (2)'!P107</f>
        <v>148.89325953862044</v>
      </c>
      <c r="Q118" s="931">
        <f>'Cost Allocation - Tier 1 (2)'!Q107</f>
        <v>421.14312574281541</v>
      </c>
      <c r="R118" s="931">
        <f>'Cost Allocation - Tier 1 (2)'!R107</f>
        <v>367.50976329723864</v>
      </c>
      <c r="S118" s="931">
        <f>'Cost Allocation - Tier 1 (2)'!S107</f>
        <v>371.91315960929597</v>
      </c>
      <c r="T118" s="931">
        <f>'Cost Allocation - Tier 1 (2)'!T107</f>
        <v>1386.5386941410463</v>
      </c>
      <c r="U118" s="931">
        <f>'Cost Allocation - Tier 1 (2)'!U107</f>
        <v>1094.44133330772</v>
      </c>
      <c r="V118" s="931">
        <f>'Cost Allocation - Tier 1 (2)'!V107</f>
        <v>559.39590516660144</v>
      </c>
      <c r="W118" s="931">
        <f>'Cost Allocation - Tier 1 (2)'!W107</f>
        <v>917.88682709037062</v>
      </c>
      <c r="X118" s="931">
        <f>'Cost Allocation - Tier 1 (2)'!X107</f>
        <v>32.59477358636267</v>
      </c>
      <c r="Y118" s="931">
        <f>'Cost Allocation - Tier 1 (2)'!Y107</f>
        <v>22.894231681410201</v>
      </c>
      <c r="Z118" s="931">
        <f>'Cost Allocation - Tier 1 (2)'!Z107</f>
        <v>94.981653404117836</v>
      </c>
      <c r="AA118" s="931">
        <f>'Cost Allocation - Tier 1 (2)'!AA107</f>
        <v>83.194281421574843</v>
      </c>
      <c r="AB118" s="931">
        <f>'Cost Allocation - Tier 1 (2)'!AB107</f>
        <v>48.195139617593206</v>
      </c>
      <c r="AC118" s="931">
        <f>'Cost Allocation - Tier 1 (2)'!AC107</f>
        <v>61.37256113209456</v>
      </c>
      <c r="AD118" s="931">
        <f>'Cost Allocation - Tier 1 (2)'!AD107</f>
        <v>431.90904261288034</v>
      </c>
      <c r="AE118" s="931">
        <f>'Cost Allocation - Tier 1 (2)'!AE107</f>
        <v>156.18429782983702</v>
      </c>
      <c r="AF118" s="931">
        <f>'Cost Allocation - Tier 1 (2)'!AF107</f>
        <v>312.80111826383455</v>
      </c>
      <c r="AG118" s="931">
        <f>'Cost Allocation - Tier 1 (2)'!AG107</f>
        <v>604.44135099284676</v>
      </c>
      <c r="AH118" s="931">
        <f>'Cost Allocation - Tier 1 (2)'!AH107</f>
        <v>8335.455077681132</v>
      </c>
      <c r="AI118" s="931">
        <f>'Cost Allocation - Tier 1 (2)'!AI107</f>
        <v>83.992108225765847</v>
      </c>
      <c r="AJ118" s="931">
        <f>'Cost Allocation - Tier 1 (2)'!AJ107</f>
        <v>1462.2269199821144</v>
      </c>
      <c r="AK118" s="931">
        <f>'Cost Allocation - Tier 1 (2)'!AK107</f>
        <v>1168.0131212471092</v>
      </c>
      <c r="AL118" s="931">
        <f>'Cost Allocation - Tier 1 (2)'!AL107</f>
        <v>0</v>
      </c>
      <c r="AM118" s="931">
        <f>'Cost Allocation - Tier 1 (2)'!AM107</f>
        <v>126.25086536809086</v>
      </c>
      <c r="AN118" s="931">
        <f>'Cost Allocation - Tier 1 (2)'!AN107</f>
        <v>159.15920538194882</v>
      </c>
      <c r="AO118" s="931">
        <f>'Cost Allocation - Tier 1 (2)'!AO107</f>
        <v>1456.8425681415058</v>
      </c>
      <c r="AP118" s="931">
        <f>'Cost Allocation - Tier 1 (2)'!AP107</f>
        <v>204.37723236765373</v>
      </c>
      <c r="AQ118" s="931">
        <f>'Cost Allocation - Tier 1 (2)'!AQ107</f>
        <v>740.38550189401792</v>
      </c>
      <c r="AR118" s="931">
        <f>'Cost Allocation - Tier 1 (2)'!AR107</f>
        <v>2.9945244180176256</v>
      </c>
      <c r="AS118" s="931">
        <f>'Cost Allocation - Tier 1 (2)'!AS107</f>
        <v>1103.3194298727658</v>
      </c>
      <c r="AT118" s="931">
        <f>'Cost Allocation - Tier 1 (2)'!AT107</f>
        <v>888.30083238555778</v>
      </c>
      <c r="AU118" s="931">
        <f>'Cost Allocation - Tier 1 (2)'!AU107</f>
        <v>1339.427545536935</v>
      </c>
      <c r="AV118" s="931">
        <f>'Cost Allocation - Tier 1 (2)'!AV107</f>
        <v>1812.1870350228755</v>
      </c>
      <c r="AW118" s="931">
        <f>'Cost Allocation - Tier 1 (2)'!AW107</f>
        <v>4712.353464365664</v>
      </c>
      <c r="AX118" s="931">
        <f>'Cost Allocation - Tier 1 (2)'!AX107</f>
        <v>63.52539433199491</v>
      </c>
      <c r="AY118" s="931">
        <f>'Cost Allocation - Tier 1 (2)'!AY107</f>
        <v>0</v>
      </c>
      <c r="AZ118" s="931">
        <f>'Cost Allocation - Tier 1 (2)'!AZ107</f>
        <v>0</v>
      </c>
      <c r="BA118" s="931">
        <f>'Cost Allocation - Tier 1 (2)'!BA107</f>
        <v>0</v>
      </c>
      <c r="BB118" s="931">
        <f>'Cost Allocation - Tier 1 (2)'!BB107</f>
        <v>0</v>
      </c>
      <c r="BC118" s="688">
        <f>'Cost Allocation - Tier 1 (2)'!BC107</f>
        <v>0</v>
      </c>
      <c r="BD118" s="778">
        <f>'Cost Allocation - Tier 1 (2)'!BD107</f>
        <v>0</v>
      </c>
      <c r="BE118" s="778">
        <f>'Cost Allocation - Tier 1 (2)'!BE107</f>
        <v>0</v>
      </c>
      <c r="BF118" s="778">
        <f>'Cost Allocation - Tier 1 (2)'!BF107</f>
        <v>0</v>
      </c>
      <c r="BG118" s="778">
        <f>'Cost Allocation - Tier 1 (2)'!BG107</f>
        <v>0</v>
      </c>
      <c r="BH118" s="778">
        <f>'Cost Allocation - Tier 1 (2)'!BH107</f>
        <v>0</v>
      </c>
      <c r="BI118" s="778">
        <f>'Cost Allocation - Tier 1 (2)'!BI107</f>
        <v>0</v>
      </c>
      <c r="BJ118" s="778">
        <f>'Cost Allocation - Tier 1 (2)'!BJ107</f>
        <v>0</v>
      </c>
      <c r="BK118" s="778">
        <f>'Cost Allocation - Tier 1 (2)'!BK107</f>
        <v>0</v>
      </c>
      <c r="BL118" s="76">
        <f t="shared" ref="BL118" si="58">BC118+I118+H118</f>
        <v>33953.990704517346</v>
      </c>
      <c r="BM118" s="76">
        <f t="shared" si="54"/>
        <v>0</v>
      </c>
    </row>
    <row r="119" spans="1:65" x14ac:dyDescent="0.25">
      <c r="A119" s="693"/>
      <c r="B119" s="693"/>
      <c r="C119" s="693"/>
      <c r="D119" s="778"/>
      <c r="E119" s="778"/>
      <c r="F119" s="778"/>
      <c r="G119" s="778"/>
      <c r="H119" s="698"/>
      <c r="I119" s="688"/>
      <c r="J119" s="931"/>
      <c r="K119" s="931"/>
      <c r="L119" s="931"/>
      <c r="M119" s="931"/>
      <c r="N119" s="931"/>
      <c r="O119" s="931"/>
      <c r="P119" s="931"/>
      <c r="Q119" s="931"/>
      <c r="R119" s="931"/>
      <c r="S119" s="931"/>
      <c r="T119" s="931"/>
      <c r="U119" s="931"/>
      <c r="V119" s="931"/>
      <c r="W119" s="931"/>
      <c r="X119" s="931"/>
      <c r="Y119" s="931"/>
      <c r="Z119" s="931"/>
      <c r="AA119" s="931"/>
      <c r="AB119" s="931"/>
      <c r="AC119" s="931"/>
      <c r="AD119" s="931"/>
      <c r="AE119" s="931"/>
      <c r="AF119" s="931"/>
      <c r="AG119" s="931"/>
      <c r="AH119" s="931"/>
      <c r="AI119" s="931"/>
      <c r="AJ119" s="931"/>
      <c r="AK119" s="931"/>
      <c r="AL119" s="931"/>
      <c r="AM119" s="931"/>
      <c r="AN119" s="931"/>
      <c r="AO119" s="931"/>
      <c r="AP119" s="931"/>
      <c r="AQ119" s="931"/>
      <c r="AR119" s="931"/>
      <c r="AS119" s="931"/>
      <c r="AT119" s="931"/>
      <c r="AU119" s="931"/>
      <c r="AV119" s="931"/>
      <c r="AW119" s="931"/>
      <c r="AX119" s="931"/>
      <c r="AY119" s="931"/>
      <c r="AZ119" s="931"/>
      <c r="BA119" s="931"/>
      <c r="BB119" s="931"/>
      <c r="BC119" s="688"/>
      <c r="BD119" s="778"/>
      <c r="BE119" s="778"/>
      <c r="BF119" s="778"/>
      <c r="BG119" s="778"/>
      <c r="BH119" s="778"/>
      <c r="BI119" s="778"/>
      <c r="BJ119" s="778"/>
      <c r="BK119" s="778"/>
      <c r="BL119" s="698"/>
      <c r="BM119" s="698"/>
    </row>
    <row r="120" spans="1:65" x14ac:dyDescent="0.25">
      <c r="A120" s="693" t="str">
        <f>'Cost Allocation - Tier 1 (2)'!A109</f>
        <v>Energy Services (6139)</v>
      </c>
      <c r="B120" s="693" t="str">
        <f>'Cost Allocation - Tier 1 (2)'!B109</f>
        <v>DES</v>
      </c>
      <c r="C120" s="693" t="str">
        <f>'Cost Allocation - Tier 1 (2)'!C109</f>
        <v>N</v>
      </c>
      <c r="D120" s="778">
        <f>'Cost Allocation - Tier 1 (2)'!D109</f>
        <v>349421</v>
      </c>
      <c r="E120" s="778">
        <f>'Cost Allocation - Tier 1 (2)'!E109</f>
        <v>262880.68010833586</v>
      </c>
      <c r="F120" s="778">
        <f>'Cost Allocation - Tier 1 (2)'!F109</f>
        <v>0</v>
      </c>
      <c r="G120" s="778">
        <f>'Cost Allocation - Tier 1 (2)'!G109</f>
        <v>262880.68010833586</v>
      </c>
      <c r="H120" s="698">
        <f>'Cost Allocation - Tier 1 (2)'!H109</f>
        <v>0</v>
      </c>
      <c r="I120" s="688">
        <f>'Cost Allocation - Tier 1 (2)'!I109</f>
        <v>262880.68010833592</v>
      </c>
      <c r="J120" s="931">
        <f>'Cost Allocation - Tier 1 (2)'!J109</f>
        <v>0</v>
      </c>
      <c r="K120" s="931">
        <f>'Cost Allocation - Tier 1 (2)'!K109</f>
        <v>0</v>
      </c>
      <c r="L120" s="931">
        <f>'Cost Allocation - Tier 1 (2)'!L109</f>
        <v>0</v>
      </c>
      <c r="M120" s="931">
        <f>'Cost Allocation - Tier 1 (2)'!M109</f>
        <v>0</v>
      </c>
      <c r="N120" s="931">
        <f>'Cost Allocation - Tier 1 (2)'!N109</f>
        <v>0</v>
      </c>
      <c r="O120" s="931">
        <f>'Cost Allocation - Tier 1 (2)'!O109</f>
        <v>0</v>
      </c>
      <c r="P120" s="931">
        <f>'Cost Allocation - Tier 1 (2)'!P109</f>
        <v>0</v>
      </c>
      <c r="Q120" s="931">
        <f>'Cost Allocation - Tier 1 (2)'!Q109</f>
        <v>0</v>
      </c>
      <c r="R120" s="931">
        <f>'Cost Allocation - Tier 1 (2)'!R109</f>
        <v>0</v>
      </c>
      <c r="S120" s="931">
        <f>'Cost Allocation - Tier 1 (2)'!S109</f>
        <v>0</v>
      </c>
      <c r="T120" s="931">
        <f>'Cost Allocation - Tier 1 (2)'!T109</f>
        <v>0</v>
      </c>
      <c r="U120" s="931">
        <f>'Cost Allocation - Tier 1 (2)'!U109</f>
        <v>0</v>
      </c>
      <c r="V120" s="931">
        <f>'Cost Allocation - Tier 1 (2)'!V109</f>
        <v>0</v>
      </c>
      <c r="W120" s="931">
        <f>'Cost Allocation - Tier 1 (2)'!W109</f>
        <v>0</v>
      </c>
      <c r="X120" s="931">
        <f>'Cost Allocation - Tier 1 (2)'!X109</f>
        <v>0</v>
      </c>
      <c r="Y120" s="931">
        <f>'Cost Allocation - Tier 1 (2)'!Y109</f>
        <v>0</v>
      </c>
      <c r="Z120" s="931">
        <f>'Cost Allocation - Tier 1 (2)'!Z109</f>
        <v>0</v>
      </c>
      <c r="AA120" s="931">
        <f>'Cost Allocation - Tier 1 (2)'!AA109</f>
        <v>0</v>
      </c>
      <c r="AB120" s="931">
        <f>'Cost Allocation - Tier 1 (2)'!AB109</f>
        <v>0</v>
      </c>
      <c r="AC120" s="931">
        <f>'Cost Allocation - Tier 1 (2)'!AC109</f>
        <v>0</v>
      </c>
      <c r="AD120" s="931">
        <f>'Cost Allocation - Tier 1 (2)'!AD109</f>
        <v>0</v>
      </c>
      <c r="AE120" s="931">
        <f>'Cost Allocation - Tier 1 (2)'!AE109</f>
        <v>0</v>
      </c>
      <c r="AF120" s="931">
        <f>'Cost Allocation - Tier 1 (2)'!AF109</f>
        <v>20361.669765689461</v>
      </c>
      <c r="AG120" s="931">
        <f>'Cost Allocation - Tier 1 (2)'!AG109</f>
        <v>0</v>
      </c>
      <c r="AH120" s="931">
        <f>'Cost Allocation - Tier 1 (2)'!AH109</f>
        <v>0</v>
      </c>
      <c r="AI120" s="931">
        <f>'Cost Allocation - Tier 1 (2)'!AI109</f>
        <v>0</v>
      </c>
      <c r="AJ120" s="931">
        <f>'Cost Allocation - Tier 1 (2)'!AJ109</f>
        <v>74159.664305237529</v>
      </c>
      <c r="AK120" s="931">
        <f>'Cost Allocation - Tier 1 (2)'!AK109</f>
        <v>64436.328905008566</v>
      </c>
      <c r="AL120" s="931">
        <f>'Cost Allocation - Tier 1 (2)'!AL109</f>
        <v>0</v>
      </c>
      <c r="AM120" s="931">
        <f>'Cost Allocation - Tier 1 (2)'!AM109</f>
        <v>0</v>
      </c>
      <c r="AN120" s="931">
        <f>'Cost Allocation - Tier 1 (2)'!AN109</f>
        <v>13903.635996196756</v>
      </c>
      <c r="AO120" s="931">
        <f>'Cost Allocation - Tier 1 (2)'!AO109</f>
        <v>78072.650524791214</v>
      </c>
      <c r="AP120" s="931">
        <f>'Cost Allocation - Tier 1 (2)'!AP109</f>
        <v>11946.730611412362</v>
      </c>
      <c r="AQ120" s="931">
        <f>'Cost Allocation - Tier 1 (2)'!AQ109</f>
        <v>0</v>
      </c>
      <c r="AR120" s="931">
        <f>'Cost Allocation - Tier 1 (2)'!AR109</f>
        <v>0</v>
      </c>
      <c r="AS120" s="931">
        <f>'Cost Allocation - Tier 1 (2)'!AS109</f>
        <v>0</v>
      </c>
      <c r="AT120" s="931">
        <f>'Cost Allocation - Tier 1 (2)'!AT109</f>
        <v>0</v>
      </c>
      <c r="AU120" s="931">
        <f>'Cost Allocation - Tier 1 (2)'!AU109</f>
        <v>0</v>
      </c>
      <c r="AV120" s="931">
        <f>'Cost Allocation - Tier 1 (2)'!AV109</f>
        <v>0</v>
      </c>
      <c r="AW120" s="931">
        <f>'Cost Allocation - Tier 1 (2)'!AW109</f>
        <v>0</v>
      </c>
      <c r="AX120" s="931">
        <f>'Cost Allocation - Tier 1 (2)'!AX109</f>
        <v>0</v>
      </c>
      <c r="AY120" s="931">
        <f>'Cost Allocation - Tier 1 (2)'!AY109</f>
        <v>0</v>
      </c>
      <c r="AZ120" s="931">
        <f>'Cost Allocation - Tier 1 (2)'!AZ109</f>
        <v>0</v>
      </c>
      <c r="BA120" s="931">
        <f>'Cost Allocation - Tier 1 (2)'!BA109</f>
        <v>0</v>
      </c>
      <c r="BB120" s="931">
        <f>'Cost Allocation - Tier 1 (2)'!BB109</f>
        <v>0</v>
      </c>
      <c r="BC120" s="688">
        <f>'Cost Allocation - Tier 1 (2)'!BC109</f>
        <v>0</v>
      </c>
      <c r="BD120" s="778">
        <f>'Cost Allocation - Tier 1 (2)'!BD109</f>
        <v>0</v>
      </c>
      <c r="BE120" s="778">
        <f>'Cost Allocation - Tier 1 (2)'!BE109</f>
        <v>0</v>
      </c>
      <c r="BF120" s="778">
        <f>'Cost Allocation - Tier 1 (2)'!BF109</f>
        <v>0</v>
      </c>
      <c r="BG120" s="778">
        <f>'Cost Allocation - Tier 1 (2)'!BG109</f>
        <v>0</v>
      </c>
      <c r="BH120" s="778">
        <f>'Cost Allocation - Tier 1 (2)'!BH109</f>
        <v>0</v>
      </c>
      <c r="BI120" s="778">
        <f>'Cost Allocation - Tier 1 (2)'!BI109</f>
        <v>0</v>
      </c>
      <c r="BJ120" s="778">
        <f>'Cost Allocation - Tier 1 (2)'!BJ109</f>
        <v>0</v>
      </c>
      <c r="BK120" s="778">
        <f>'Cost Allocation - Tier 1 (2)'!BK109</f>
        <v>0</v>
      </c>
      <c r="BL120" s="76">
        <f t="shared" ref="BL120:BL125" si="59">BC120+I120+H120</f>
        <v>262880.68010833592</v>
      </c>
      <c r="BM120" s="76">
        <f t="shared" si="54"/>
        <v>0</v>
      </c>
    </row>
    <row r="121" spans="1:65" x14ac:dyDescent="0.25">
      <c r="A121" s="693" t="str">
        <f>'Cost Allocation - Tier 1 (2)'!A110</f>
        <v>BC Ops</v>
      </c>
      <c r="B121" s="693" t="str">
        <f>'Cost Allocation - Tier 1 (2)'!B110</f>
        <v>Rick</v>
      </c>
      <c r="C121" s="693" t="str">
        <f>'Cost Allocation - Tier 1 (2)'!C110</f>
        <v>N</v>
      </c>
      <c r="D121" s="778">
        <f>'Cost Allocation - Tier 1 (2)'!D110</f>
        <v>113910</v>
      </c>
      <c r="E121" s="778">
        <f>'Cost Allocation - Tier 1 (2)'!E110</f>
        <v>85698.16430935901</v>
      </c>
      <c r="F121" s="778">
        <f>'Cost Allocation - Tier 1 (2)'!F110</f>
        <v>0</v>
      </c>
      <c r="G121" s="778">
        <f>'Cost Allocation - Tier 1 (2)'!G110</f>
        <v>85698.16430935901</v>
      </c>
      <c r="H121" s="698">
        <f>'Cost Allocation - Tier 1 (2)'!H110</f>
        <v>0</v>
      </c>
      <c r="I121" s="688">
        <f>'Cost Allocation - Tier 1 (2)'!I110</f>
        <v>85698.164309359025</v>
      </c>
      <c r="J121" s="931">
        <f>'Cost Allocation - Tier 1 (2)'!J110</f>
        <v>2655.8257978933161</v>
      </c>
      <c r="K121" s="931">
        <f>'Cost Allocation - Tier 1 (2)'!K110</f>
        <v>647.74009891243441</v>
      </c>
      <c r="L121" s="931">
        <f>'Cost Allocation - Tier 1 (2)'!L110</f>
        <v>597.35962875150085</v>
      </c>
      <c r="M121" s="931">
        <f>'Cost Allocation - Tier 1 (2)'!M110</f>
        <v>933.80118275645304</v>
      </c>
      <c r="N121" s="931">
        <f>'Cost Allocation - Tier 1 (2)'!N110</f>
        <v>1184.0373794741993</v>
      </c>
      <c r="O121" s="931">
        <f>'Cost Allocation - Tier 1 (2)'!O110</f>
        <v>3637.4609540956399</v>
      </c>
      <c r="P121" s="931">
        <f>'Cost Allocation - Tier 1 (2)'!P110</f>
        <v>466.88590543820868</v>
      </c>
      <c r="Q121" s="931">
        <f>'Cost Allocation - Tier 1 (2)'!Q110</f>
        <v>1337.3463152866263</v>
      </c>
      <c r="R121" s="931">
        <f>'Cost Allocation - Tier 1 (2)'!R110</f>
        <v>1171.2924190620022</v>
      </c>
      <c r="S121" s="931">
        <f>'Cost Allocation - Tier 1 (2)'!S110</f>
        <v>1181.7991535375356</v>
      </c>
      <c r="T121" s="931">
        <f>'Cost Allocation - Tier 1 (2)'!T110</f>
        <v>4428.8098983636573</v>
      </c>
      <c r="U121" s="931">
        <f>'Cost Allocation - Tier 1 (2)'!U110</f>
        <v>3488.7175154702086</v>
      </c>
      <c r="V121" s="931">
        <f>'Cost Allocation - Tier 1 (2)'!V110</f>
        <v>1652.8561968114379</v>
      </c>
      <c r="W121" s="931">
        <f>'Cost Allocation - Tier 1 (2)'!W110</f>
        <v>2733.4275441765867</v>
      </c>
      <c r="X121" s="931">
        <f>'Cost Allocation - Tier 1 (2)'!X110</f>
        <v>102.06106749810995</v>
      </c>
      <c r="Y121" s="931">
        <f>'Cost Allocation - Tier 1 (2)'!Y110</f>
        <v>69.876962016211593</v>
      </c>
      <c r="Z121" s="931">
        <f>'Cost Allocation - Tier 1 (2)'!Z110</f>
        <v>278.56030268535199</v>
      </c>
      <c r="AA121" s="931">
        <f>'Cost Allocation - Tier 1 (2)'!AA110</f>
        <v>240.94332435941473</v>
      </c>
      <c r="AB121" s="931">
        <f>'Cost Allocation - Tier 1 (2)'!AB110</f>
        <v>137.95126069703252</v>
      </c>
      <c r="AC121" s="931">
        <f>'Cost Allocation - Tier 1 (2)'!AC110</f>
        <v>186.6772037918513</v>
      </c>
      <c r="AD121" s="931">
        <f>'Cost Allocation - Tier 1 (2)'!AD110</f>
        <v>1375.000024633712</v>
      </c>
      <c r="AE121" s="931">
        <f>'Cost Allocation - Tier 1 (2)'!AE110</f>
        <v>487.15862990746223</v>
      </c>
      <c r="AF121" s="931">
        <f>'Cost Allocation - Tier 1 (2)'!AF110</f>
        <v>0</v>
      </c>
      <c r="AG121" s="931">
        <f>'Cost Allocation - Tier 1 (2)'!AG110</f>
        <v>1673.8390865199131</v>
      </c>
      <c r="AH121" s="931">
        <f>'Cost Allocation - Tier 1 (2)'!AH110</f>
        <v>24863.753353574994</v>
      </c>
      <c r="AI121" s="931">
        <f>'Cost Allocation - Tier 1 (2)'!AI110</f>
        <v>269.96139882332858</v>
      </c>
      <c r="AJ121" s="931">
        <f>'Cost Allocation - Tier 1 (2)'!AJ110</f>
        <v>0</v>
      </c>
      <c r="AK121" s="931">
        <f>'Cost Allocation - Tier 1 (2)'!AK110</f>
        <v>0</v>
      </c>
      <c r="AL121" s="931">
        <f>'Cost Allocation - Tier 1 (2)'!AL110</f>
        <v>0</v>
      </c>
      <c r="AM121" s="931">
        <f>'Cost Allocation - Tier 1 (2)'!AM110</f>
        <v>371.85618888064698</v>
      </c>
      <c r="AN121" s="931">
        <f>'Cost Allocation - Tier 1 (2)'!AN110</f>
        <v>0</v>
      </c>
      <c r="AO121" s="931">
        <f>'Cost Allocation - Tier 1 (2)'!AO110</f>
        <v>0</v>
      </c>
      <c r="AP121" s="931">
        <f>'Cost Allocation - Tier 1 (2)'!AP110</f>
        <v>0</v>
      </c>
      <c r="AQ121" s="931">
        <f>'Cost Allocation - Tier 1 (2)'!AQ110</f>
        <v>2048.2060431152204</v>
      </c>
      <c r="AR121" s="931">
        <f>'Cost Allocation - Tier 1 (2)'!AR110</f>
        <v>8.306899835249105</v>
      </c>
      <c r="AS121" s="931">
        <f>'Cost Allocation - Tier 1 (2)'!AS110</f>
        <v>3053.3867213591284</v>
      </c>
      <c r="AT121" s="931">
        <f>'Cost Allocation - Tier 1 (2)'!AT110</f>
        <v>2455.7988214215934</v>
      </c>
      <c r="AU121" s="931">
        <f>'Cost Allocation - Tier 1 (2)'!AU110</f>
        <v>3716.4977715290447</v>
      </c>
      <c r="AV121" s="931">
        <f>'Cost Allocation - Tier 1 (2)'!AV110</f>
        <v>5012.9331627538395</v>
      </c>
      <c r="AW121" s="931">
        <f>'Cost Allocation - Tier 1 (2)'!AW110</f>
        <v>13051.814761903093</v>
      </c>
      <c r="AX121" s="931">
        <f>'Cost Allocation - Tier 1 (2)'!AX110</f>
        <v>176.22133402402488</v>
      </c>
      <c r="AY121" s="931">
        <f>'Cost Allocation - Tier 1 (2)'!AY110</f>
        <v>0</v>
      </c>
      <c r="AZ121" s="931">
        <f>'Cost Allocation - Tier 1 (2)'!AZ110</f>
        <v>0</v>
      </c>
      <c r="BA121" s="931">
        <f>'Cost Allocation - Tier 1 (2)'!BA110</f>
        <v>0</v>
      </c>
      <c r="BB121" s="931">
        <f>'Cost Allocation - Tier 1 (2)'!BB110</f>
        <v>0</v>
      </c>
      <c r="BC121" s="688">
        <f>'Cost Allocation - Tier 1 (2)'!BC110</f>
        <v>0</v>
      </c>
      <c r="BD121" s="778">
        <f>'Cost Allocation - Tier 1 (2)'!BD110</f>
        <v>0</v>
      </c>
      <c r="BE121" s="778">
        <f>'Cost Allocation - Tier 1 (2)'!BE110</f>
        <v>0</v>
      </c>
      <c r="BF121" s="778">
        <f>'Cost Allocation - Tier 1 (2)'!BF110</f>
        <v>0</v>
      </c>
      <c r="BG121" s="778">
        <f>'Cost Allocation - Tier 1 (2)'!BG110</f>
        <v>0</v>
      </c>
      <c r="BH121" s="778">
        <f>'Cost Allocation - Tier 1 (2)'!BH110</f>
        <v>0</v>
      </c>
      <c r="BI121" s="778">
        <f>'Cost Allocation - Tier 1 (2)'!BI110</f>
        <v>0</v>
      </c>
      <c r="BJ121" s="778">
        <f>'Cost Allocation - Tier 1 (2)'!BJ110</f>
        <v>0</v>
      </c>
      <c r="BK121" s="778">
        <f>'Cost Allocation - Tier 1 (2)'!BK110</f>
        <v>0</v>
      </c>
      <c r="BL121" s="76">
        <f t="shared" si="59"/>
        <v>85698.164309359025</v>
      </c>
      <c r="BM121" s="76">
        <f t="shared" si="54"/>
        <v>0</v>
      </c>
    </row>
    <row r="122" spans="1:65" x14ac:dyDescent="0.25">
      <c r="A122" s="693" t="str">
        <f>'Cost Allocation - Tier 1 (2)'!A111</f>
        <v>CMUS Admin</v>
      </c>
      <c r="B122" s="693" t="str">
        <f>'Cost Allocation - Tier 1 (2)'!B111</f>
        <v>CDN CONTRACT</v>
      </c>
      <c r="C122" s="693" t="str">
        <f>'Cost Allocation - Tier 1 (2)'!C111</f>
        <v>N</v>
      </c>
      <c r="D122" s="778">
        <f>'Cost Allocation - Tier 1 (2)'!D111</f>
        <v>20894</v>
      </c>
      <c r="E122" s="778">
        <f>'Cost Allocation - Tier 1 (2)'!E111</f>
        <v>15719.229611796571</v>
      </c>
      <c r="F122" s="778">
        <f>'Cost Allocation - Tier 1 (2)'!F111</f>
        <v>0</v>
      </c>
      <c r="G122" s="778">
        <f>'Cost Allocation - Tier 1 (2)'!G111</f>
        <v>15719.229611796571</v>
      </c>
      <c r="H122" s="698">
        <f>'Cost Allocation - Tier 1 (2)'!H111</f>
        <v>0</v>
      </c>
      <c r="I122" s="688">
        <f>'Cost Allocation - Tier 1 (2)'!I111</f>
        <v>15719.229611796576</v>
      </c>
      <c r="J122" s="931">
        <f>'Cost Allocation - Tier 1 (2)'!J111</f>
        <v>404.10531180932128</v>
      </c>
      <c r="K122" s="931">
        <f>'Cost Allocation - Tier 1 (2)'!K111</f>
        <v>102.95772665926791</v>
      </c>
      <c r="L122" s="931">
        <f>'Cost Allocation - Tier 1 (2)'!L111</f>
        <v>98.111774377500367</v>
      </c>
      <c r="M122" s="931">
        <f>'Cost Allocation - Tier 1 (2)'!M111</f>
        <v>137.59630282403077</v>
      </c>
      <c r="N122" s="931">
        <f>'Cost Allocation - Tier 1 (2)'!N111</f>
        <v>186.4462589742794</v>
      </c>
      <c r="O122" s="931">
        <f>'Cost Allocation - Tier 1 (2)'!O111</f>
        <v>542.47095186079036</v>
      </c>
      <c r="P122" s="931">
        <f>'Cost Allocation - Tier 1 (2)'!P111</f>
        <v>68.931141399676747</v>
      </c>
      <c r="Q122" s="931">
        <f>'Cost Allocation - Tier 1 (2)'!Q111</f>
        <v>194.9710580588773</v>
      </c>
      <c r="R122" s="931">
        <f>'Cost Allocation - Tier 1 (2)'!R111</f>
        <v>170.1411302170651</v>
      </c>
      <c r="S122" s="931">
        <f>'Cost Allocation - Tier 1 (2)'!S111</f>
        <v>172.17971231786532</v>
      </c>
      <c r="T122" s="931">
        <f>'Cost Allocation - Tier 1 (2)'!T111</f>
        <v>641.90746497270993</v>
      </c>
      <c r="U122" s="931">
        <f>'Cost Allocation - Tier 1 (2)'!U111</f>
        <v>506.67901645552348</v>
      </c>
      <c r="V122" s="931">
        <f>'Cost Allocation - Tier 1 (2)'!V111</f>
        <v>258.97611723274412</v>
      </c>
      <c r="W122" s="931">
        <f>'Cost Allocation - Tier 1 (2)'!W111</f>
        <v>424.94191384570723</v>
      </c>
      <c r="X122" s="931">
        <f>'Cost Allocation - Tier 1 (2)'!X111</f>
        <v>15.089970855189939</v>
      </c>
      <c r="Y122" s="931">
        <f>'Cost Allocation - Tier 1 (2)'!Y111</f>
        <v>10.599039380012405</v>
      </c>
      <c r="Z122" s="931">
        <f>'Cost Allocation - Tier 1 (2)'!Z111</f>
        <v>43.972398760442886</v>
      </c>
      <c r="AA122" s="931">
        <f>'Cost Allocation - Tier 1 (2)'!AA111</f>
        <v>38.515355188577871</v>
      </c>
      <c r="AB122" s="931">
        <f>'Cost Allocation - Tier 1 (2)'!AB111</f>
        <v>22.31226580741065</v>
      </c>
      <c r="AC122" s="931">
        <f>'Cost Allocation - Tier 1 (2)'!AC111</f>
        <v>28.412842210358079</v>
      </c>
      <c r="AD122" s="931">
        <f>'Cost Allocation - Tier 1 (2)'!AD111</f>
        <v>199.95521207879196</v>
      </c>
      <c r="AE122" s="931">
        <f>'Cost Allocation - Tier 1 (2)'!AE111</f>
        <v>72.306576882516367</v>
      </c>
      <c r="AF122" s="931">
        <f>'Cost Allocation - Tier 1 (2)'!AF111</f>
        <v>144.81339302957923</v>
      </c>
      <c r="AG122" s="931">
        <f>'Cost Allocation - Tier 1 (2)'!AG111</f>
        <v>279.83021099952748</v>
      </c>
      <c r="AH122" s="931">
        <f>'Cost Allocation - Tier 1 (2)'!AH111</f>
        <v>3858.9552970412146</v>
      </c>
      <c r="AI122" s="931">
        <f>'Cost Allocation - Tier 1 (2)'!AI111</f>
        <v>38.884714502911891</v>
      </c>
      <c r="AJ122" s="931">
        <f>'Cost Allocation - Tier 1 (2)'!AJ111</f>
        <v>676.94784097030879</v>
      </c>
      <c r="AK122" s="931">
        <f>'Cost Allocation - Tier 1 (2)'!AK111</f>
        <v>540.73957321404919</v>
      </c>
      <c r="AL122" s="931">
        <f>'Cost Allocation - Tier 1 (2)'!AL111</f>
        <v>0</v>
      </c>
      <c r="AM122" s="931">
        <f>'Cost Allocation - Tier 1 (2)'!AM111</f>
        <v>58.448691898387175</v>
      </c>
      <c r="AN122" s="931">
        <f>'Cost Allocation - Tier 1 (2)'!AN111</f>
        <v>73.683830451690838</v>
      </c>
      <c r="AO122" s="931">
        <f>'Cost Allocation - Tier 1 (2)'!AO111</f>
        <v>674.45511887381713</v>
      </c>
      <c r="AP122" s="931">
        <f>'Cost Allocation - Tier 1 (2)'!AP111</f>
        <v>94.617821833332556</v>
      </c>
      <c r="AQ122" s="931">
        <f>'Cost Allocation - Tier 1 (2)'!AQ111</f>
        <v>342.7664749866625</v>
      </c>
      <c r="AR122" s="931">
        <f>'Cost Allocation - Tier 1 (2)'!AR111</f>
        <v>1.3863353299053596</v>
      </c>
      <c r="AS122" s="931">
        <f>'Cost Allocation - Tier 1 (2)'!AS111</f>
        <v>510.78919129877363</v>
      </c>
      <c r="AT122" s="931">
        <f>'Cost Allocation - Tier 1 (2)'!AT111</f>
        <v>411.24487752071127</v>
      </c>
      <c r="AU122" s="931">
        <f>'Cost Allocation - Tier 1 (2)'!AU111</f>
        <v>620.09704013552073</v>
      </c>
      <c r="AV122" s="931">
        <f>'Cost Allocation - Tier 1 (2)'!AV111</f>
        <v>838.96424284688067</v>
      </c>
      <c r="AW122" s="931">
        <f>'Cost Allocation - Tier 1 (2)'!AW111</f>
        <v>2181.6159037957741</v>
      </c>
      <c r="AX122" s="931">
        <f>'Cost Allocation - Tier 1 (2)'!AX111</f>
        <v>29.409510898867499</v>
      </c>
      <c r="AY122" s="931">
        <f>'Cost Allocation - Tier 1 (2)'!AY111</f>
        <v>0</v>
      </c>
      <c r="AZ122" s="931">
        <f>'Cost Allocation - Tier 1 (2)'!AZ111</f>
        <v>0</v>
      </c>
      <c r="BA122" s="931">
        <f>'Cost Allocation - Tier 1 (2)'!BA111</f>
        <v>0</v>
      </c>
      <c r="BB122" s="931">
        <f>'Cost Allocation - Tier 1 (2)'!BB111</f>
        <v>0</v>
      </c>
      <c r="BC122" s="688">
        <f>'Cost Allocation - Tier 1 (2)'!BC111</f>
        <v>0</v>
      </c>
      <c r="BD122" s="778">
        <f>'Cost Allocation - Tier 1 (2)'!BD111</f>
        <v>0</v>
      </c>
      <c r="BE122" s="778">
        <f>'Cost Allocation - Tier 1 (2)'!BE111</f>
        <v>0</v>
      </c>
      <c r="BF122" s="778">
        <f>'Cost Allocation - Tier 1 (2)'!BF111</f>
        <v>0</v>
      </c>
      <c r="BG122" s="778">
        <f>'Cost Allocation - Tier 1 (2)'!BG111</f>
        <v>0</v>
      </c>
      <c r="BH122" s="778">
        <f>'Cost Allocation - Tier 1 (2)'!BH111</f>
        <v>0</v>
      </c>
      <c r="BI122" s="778">
        <f>'Cost Allocation - Tier 1 (2)'!BI111</f>
        <v>0</v>
      </c>
      <c r="BJ122" s="778">
        <f>'Cost Allocation - Tier 1 (2)'!BJ111</f>
        <v>0</v>
      </c>
      <c r="BK122" s="778">
        <f>'Cost Allocation - Tier 1 (2)'!BK111</f>
        <v>0</v>
      </c>
      <c r="BL122" s="76">
        <f t="shared" si="59"/>
        <v>15719.229611796576</v>
      </c>
      <c r="BM122" s="76">
        <f t="shared" si="54"/>
        <v>0</v>
      </c>
    </row>
    <row r="123" spans="1:65" x14ac:dyDescent="0.25">
      <c r="A123" s="693" t="str">
        <f>'Cost Allocation - Tier 1 (2)'!A112</f>
        <v>Special Project</v>
      </c>
      <c r="B123" s="693" t="str">
        <f>'Cost Allocation - Tier 1 (2)'!B112</f>
        <v>ALL CONTRACT</v>
      </c>
      <c r="C123" s="693" t="str">
        <f>'Cost Allocation - Tier 1 (2)'!C112</f>
        <v>Y</v>
      </c>
      <c r="D123" s="778">
        <f>'Cost Allocation - Tier 1 (2)'!D112</f>
        <v>422974</v>
      </c>
      <c r="E123" s="778">
        <f>'Cost Allocation - Tier 1 (2)'!E112</f>
        <v>318216.97261510685</v>
      </c>
      <c r="F123" s="778">
        <f>'Cost Allocation - Tier 1 (2)'!F112</f>
        <v>0</v>
      </c>
      <c r="G123" s="778">
        <f>'Cost Allocation - Tier 1 (2)'!G112</f>
        <v>337309.99097201327</v>
      </c>
      <c r="H123" s="698">
        <f>'Cost Allocation - Tier 1 (2)'!H112</f>
        <v>0</v>
      </c>
      <c r="I123" s="688">
        <f>'Cost Allocation - Tier 1 (2)'!I112</f>
        <v>323854.8088808459</v>
      </c>
      <c r="J123" s="931">
        <f>'Cost Allocation - Tier 1 (2)'!J112</f>
        <v>1978.5104905483331</v>
      </c>
      <c r="K123" s="931">
        <f>'Cost Allocation - Tier 1 (2)'!K112</f>
        <v>570.61483506265574</v>
      </c>
      <c r="L123" s="931">
        <f>'Cost Allocation - Tier 1 (2)'!L112</f>
        <v>589.53805840153711</v>
      </c>
      <c r="M123" s="931">
        <f>'Cost Allocation - Tier 1 (2)'!M112</f>
        <v>605.77947308763953</v>
      </c>
      <c r="N123" s="931">
        <f>'Cost Allocation - Tier 1 (2)'!N112</f>
        <v>1007.9107484053038</v>
      </c>
      <c r="O123" s="931">
        <f>'Cost Allocation - Tier 1 (2)'!O112</f>
        <v>2369.4088207445457</v>
      </c>
      <c r="P123" s="931">
        <f>'Cost Allocation - Tier 1 (2)'!P112</f>
        <v>288.944926086186</v>
      </c>
      <c r="Q123" s="931">
        <f>'Cost Allocation - Tier 1 (2)'!Q112</f>
        <v>773.79830376193968</v>
      </c>
      <c r="R123" s="931">
        <f>'Cost Allocation - Tier 1 (2)'!R112</f>
        <v>664.2057644150118</v>
      </c>
      <c r="S123" s="931">
        <f>'Cost Allocation - Tier 1 (2)'!S112</f>
        <v>681.3126761320442</v>
      </c>
      <c r="T123" s="931">
        <f>'Cost Allocation - Tier 1 (2)'!T112</f>
        <v>2480.5858397051657</v>
      </c>
      <c r="U123" s="931">
        <f>'Cost Allocation - Tier 1 (2)'!U112</f>
        <v>1976.3984375497439</v>
      </c>
      <c r="V123" s="931">
        <f>'Cost Allocation - Tier 1 (2)'!V112</f>
        <v>1543.3456498622802</v>
      </c>
      <c r="W123" s="931">
        <f>'Cost Allocation - Tier 1 (2)'!W112</f>
        <v>2489.1620713832767</v>
      </c>
      <c r="X123" s="931">
        <f>'Cost Allocation - Tier 1 (2)'!X112</f>
        <v>60.313312664817957</v>
      </c>
      <c r="Y123" s="931">
        <f>'Cost Allocation - Tier 1 (2)'!Y112</f>
        <v>46.599478314015926</v>
      </c>
      <c r="Z123" s="931">
        <f>'Cost Allocation - Tier 1 (2)'!Z112</f>
        <v>219.87072546083232</v>
      </c>
      <c r="AA123" s="931">
        <f>'Cost Allocation - Tier 1 (2)'!AA112</f>
        <v>199.71723300339428</v>
      </c>
      <c r="AB123" s="931">
        <f>'Cost Allocation - Tier 1 (2)'!AB112</f>
        <v>119.51146403896772</v>
      </c>
      <c r="AC123" s="931">
        <f>'Cost Allocation - Tier 1 (2)'!AC112</f>
        <v>126.42186791940232</v>
      </c>
      <c r="AD123" s="931">
        <f>'Cost Allocation - Tier 1 (2)'!AD112</f>
        <v>746.29701911205348</v>
      </c>
      <c r="AE123" s="931">
        <f>'Cost Allocation - Tier 1 (2)'!AE112</f>
        <v>293.42051358447986</v>
      </c>
      <c r="AF123" s="931">
        <f>'Cost Allocation - Tier 1 (2)'!AF112</f>
        <v>771.08510691184404</v>
      </c>
      <c r="AG123" s="931">
        <f>'Cost Allocation - Tier 1 (2)'!AG112</f>
        <v>2498.1913917691086</v>
      </c>
      <c r="AH123" s="931">
        <f>'Cost Allocation - Tier 1 (2)'!AH112</f>
        <v>19010.654899223988</v>
      </c>
      <c r="AI123" s="931">
        <f>'Cost Allocation - Tier 1 (2)'!AI112</f>
        <v>139.11656006349574</v>
      </c>
      <c r="AJ123" s="931">
        <f>'Cost Allocation - Tier 1 (2)'!AJ112</f>
        <v>2982.6547285705392</v>
      </c>
      <c r="AK123" s="931">
        <f>'Cost Allocation - Tier 1 (2)'!AK112</f>
        <v>2536.2826404802895</v>
      </c>
      <c r="AL123" s="931">
        <f>'Cost Allocation - Tier 1 (2)'!AL112</f>
        <v>0</v>
      </c>
      <c r="AM123" s="931">
        <f>'Cost Allocation - Tier 1 (2)'!AM112</f>
        <v>288.53286082829078</v>
      </c>
      <c r="AN123" s="931">
        <f>'Cost Allocation - Tier 1 (2)'!AN112</f>
        <v>497.1520986867381</v>
      </c>
      <c r="AO123" s="931">
        <f>'Cost Allocation - Tier 1 (2)'!AO112</f>
        <v>3095.4961095511107</v>
      </c>
      <c r="AP123" s="931">
        <f>'Cost Allocation - Tier 1 (2)'!AP112</f>
        <v>463.66567268505383</v>
      </c>
      <c r="AQ123" s="931">
        <f>'Cost Allocation - Tier 1 (2)'!AQ112</f>
        <v>2972.2209371096519</v>
      </c>
      <c r="AR123" s="931">
        <f>'Cost Allocation - Tier 1 (2)'!AR112</f>
        <v>8.0447105690953471</v>
      </c>
      <c r="AS123" s="931">
        <f>'Cost Allocation - Tier 1 (2)'!AS112</f>
        <v>4366.7051205209009</v>
      </c>
      <c r="AT123" s="931">
        <f>'Cost Allocation - Tier 1 (2)'!AT112</f>
        <v>3653.1161806848754</v>
      </c>
      <c r="AU123" s="931">
        <f>'Cost Allocation - Tier 1 (2)'!AU112</f>
        <v>5003.5155282625674</v>
      </c>
      <c r="AV123" s="931">
        <f>'Cost Allocation - Tier 1 (2)'!AV112</f>
        <v>7096.9936192662417</v>
      </c>
      <c r="AW123" s="931">
        <f>'Cost Allocation - Tier 1 (2)'!AW112</f>
        <v>18111.52680455273</v>
      </c>
      <c r="AX123" s="931">
        <f>'Cost Allocation - Tier 1 (2)'!AX112</f>
        <v>170.65929004074033</v>
      </c>
      <c r="AY123" s="931">
        <f>'Cost Allocation - Tier 1 (2)'!AY112</f>
        <v>61802.757682219344</v>
      </c>
      <c r="AZ123" s="931">
        <f>'Cost Allocation - Tier 1 (2)'!AZ112</f>
        <v>2042.5767950915174</v>
      </c>
      <c r="BA123" s="931">
        <f>'Cost Allocation - Tier 1 (2)'!BA112</f>
        <v>35756.439550745104</v>
      </c>
      <c r="BB123" s="931">
        <f>'Cost Allocation - Tier 1 (2)'!BB112</f>
        <v>130755.75288376906</v>
      </c>
      <c r="BC123" s="688">
        <f>'Cost Allocation - Tier 1 (2)'!BC112</f>
        <v>0</v>
      </c>
      <c r="BD123" s="778">
        <f>'Cost Allocation - Tier 1 (2)'!BD112</f>
        <v>0</v>
      </c>
      <c r="BE123" s="778">
        <f>'Cost Allocation - Tier 1 (2)'!BE112</f>
        <v>0</v>
      </c>
      <c r="BF123" s="778">
        <f>'Cost Allocation - Tier 1 (2)'!BF112</f>
        <v>0</v>
      </c>
      <c r="BG123" s="778">
        <f>'Cost Allocation - Tier 1 (2)'!BG112</f>
        <v>0</v>
      </c>
      <c r="BH123" s="778">
        <f>'Cost Allocation - Tier 1 (2)'!BH112</f>
        <v>0</v>
      </c>
      <c r="BI123" s="778">
        <f>'Cost Allocation - Tier 1 (2)'!BI112</f>
        <v>0</v>
      </c>
      <c r="BJ123" s="778">
        <f>'Cost Allocation - Tier 1 (2)'!BJ112</f>
        <v>0</v>
      </c>
      <c r="BK123" s="778">
        <f>'Cost Allocation - Tier 1 (2)'!BK112</f>
        <v>0</v>
      </c>
      <c r="BL123" s="76">
        <f t="shared" si="59"/>
        <v>323854.8088808459</v>
      </c>
      <c r="BM123" s="76">
        <f t="shared" si="54"/>
        <v>-13455.182091167371</v>
      </c>
    </row>
    <row r="124" spans="1:65" x14ac:dyDescent="0.25">
      <c r="A124" s="693"/>
      <c r="B124" s="693"/>
      <c r="C124" s="693"/>
      <c r="D124" s="778"/>
      <c r="E124" s="778"/>
      <c r="F124" s="778"/>
      <c r="G124" s="778"/>
      <c r="H124" s="698"/>
      <c r="I124" s="688"/>
      <c r="J124" s="931"/>
      <c r="K124" s="931"/>
      <c r="L124" s="931"/>
      <c r="M124" s="931"/>
      <c r="N124" s="931"/>
      <c r="O124" s="931"/>
      <c r="P124" s="931"/>
      <c r="Q124" s="931"/>
      <c r="R124" s="931"/>
      <c r="S124" s="931"/>
      <c r="T124" s="931"/>
      <c r="U124" s="931"/>
      <c r="V124" s="931"/>
      <c r="W124" s="931"/>
      <c r="X124" s="931"/>
      <c r="Y124" s="931"/>
      <c r="Z124" s="931"/>
      <c r="AA124" s="931"/>
      <c r="AB124" s="931"/>
      <c r="AC124" s="931"/>
      <c r="AD124" s="931"/>
      <c r="AE124" s="931"/>
      <c r="AF124" s="931"/>
      <c r="AG124" s="931"/>
      <c r="AH124" s="931"/>
      <c r="AI124" s="931"/>
      <c r="AJ124" s="931"/>
      <c r="AK124" s="931"/>
      <c r="AL124" s="931"/>
      <c r="AM124" s="931"/>
      <c r="AN124" s="931"/>
      <c r="AO124" s="931"/>
      <c r="AP124" s="931"/>
      <c r="AQ124" s="931"/>
      <c r="AR124" s="931"/>
      <c r="AS124" s="931"/>
      <c r="AT124" s="931"/>
      <c r="AU124" s="931"/>
      <c r="AV124" s="931"/>
      <c r="AW124" s="931"/>
      <c r="AX124" s="931"/>
      <c r="AY124" s="931"/>
      <c r="AZ124" s="931"/>
      <c r="BA124" s="931"/>
      <c r="BB124" s="931"/>
      <c r="BC124" s="688"/>
      <c r="BD124" s="698"/>
      <c r="BE124" s="698"/>
      <c r="BF124" s="698"/>
      <c r="BG124" s="698"/>
      <c r="BH124" s="698"/>
      <c r="BI124" s="698"/>
      <c r="BJ124" s="698"/>
      <c r="BK124" s="698"/>
      <c r="BL124" s="76">
        <f t="shared" si="59"/>
        <v>0</v>
      </c>
      <c r="BM124" s="698"/>
    </row>
    <row r="125" spans="1:65" x14ac:dyDescent="0.25">
      <c r="A125" s="693" t="str">
        <f>'Cost Allocation - Tier 1 (2)'!A114</f>
        <v>US Senior Tax Manager</v>
      </c>
      <c r="B125" s="693" t="str">
        <f>'Cost Allocation - Tier 1 (2)'!B114</f>
        <v>US CONTRACT/ REGULATED</v>
      </c>
      <c r="C125" s="693" t="str">
        <f>'Cost Allocation - Tier 1 (2)'!C114</f>
        <v>N</v>
      </c>
      <c r="D125" s="778">
        <f>'Cost Allocation - Tier 1 (2)'!D114</f>
        <v>35615.913999999997</v>
      </c>
      <c r="E125" s="778">
        <f>'Cost Allocation - Tier 1 (2)'!E114</f>
        <v>26795</v>
      </c>
      <c r="F125" s="778">
        <f>'Cost Allocation - Tier 1 (2)'!F114</f>
        <v>0</v>
      </c>
      <c r="G125" s="778">
        <f>'Cost Allocation - Tier 1 (2)'!G114</f>
        <v>26795</v>
      </c>
      <c r="H125" s="698">
        <f>'Cost Allocation - Tier 1 (2)'!H114</f>
        <v>0</v>
      </c>
      <c r="I125" s="688">
        <f>'Cost Allocation - Tier 1 (2)'!I114</f>
        <v>26795</v>
      </c>
      <c r="J125" s="931">
        <f>'Cost Allocation - Tier 1 (2)'!J114</f>
        <v>0</v>
      </c>
      <c r="K125" s="931">
        <f>'Cost Allocation - Tier 1 (2)'!K114</f>
        <v>0</v>
      </c>
      <c r="L125" s="931">
        <f>'Cost Allocation - Tier 1 (2)'!L114</f>
        <v>0</v>
      </c>
      <c r="M125" s="931">
        <f>'Cost Allocation - Tier 1 (2)'!M114</f>
        <v>0</v>
      </c>
      <c r="N125" s="931">
        <f>'Cost Allocation - Tier 1 (2)'!N114</f>
        <v>0</v>
      </c>
      <c r="O125" s="931">
        <f>'Cost Allocation - Tier 1 (2)'!O114</f>
        <v>0</v>
      </c>
      <c r="P125" s="931">
        <f>'Cost Allocation - Tier 1 (2)'!P114</f>
        <v>0</v>
      </c>
      <c r="Q125" s="931">
        <f>'Cost Allocation - Tier 1 (2)'!Q114</f>
        <v>0</v>
      </c>
      <c r="R125" s="931">
        <f>'Cost Allocation - Tier 1 (2)'!R114</f>
        <v>0</v>
      </c>
      <c r="S125" s="931">
        <f>'Cost Allocation - Tier 1 (2)'!S114</f>
        <v>0</v>
      </c>
      <c r="T125" s="931">
        <f>'Cost Allocation - Tier 1 (2)'!T114</f>
        <v>0</v>
      </c>
      <c r="U125" s="931">
        <f>'Cost Allocation - Tier 1 (2)'!U114</f>
        <v>0</v>
      </c>
      <c r="V125" s="931">
        <f>'Cost Allocation - Tier 1 (2)'!V114</f>
        <v>0</v>
      </c>
      <c r="W125" s="931">
        <f>'Cost Allocation - Tier 1 (2)'!W114</f>
        <v>0</v>
      </c>
      <c r="X125" s="931">
        <f>'Cost Allocation - Tier 1 (2)'!X114</f>
        <v>0</v>
      </c>
      <c r="Y125" s="931">
        <f>'Cost Allocation - Tier 1 (2)'!Y114</f>
        <v>0</v>
      </c>
      <c r="Z125" s="931">
        <f>'Cost Allocation - Tier 1 (2)'!Z114</f>
        <v>0</v>
      </c>
      <c r="AA125" s="931">
        <f>'Cost Allocation - Tier 1 (2)'!AA114</f>
        <v>0</v>
      </c>
      <c r="AB125" s="931">
        <f>'Cost Allocation - Tier 1 (2)'!AB114</f>
        <v>0</v>
      </c>
      <c r="AC125" s="931">
        <f>'Cost Allocation - Tier 1 (2)'!AC114</f>
        <v>0</v>
      </c>
      <c r="AD125" s="931">
        <f>'Cost Allocation - Tier 1 (2)'!AD114</f>
        <v>0</v>
      </c>
      <c r="AE125" s="931">
        <f>'Cost Allocation - Tier 1 (2)'!AE114</f>
        <v>0</v>
      </c>
      <c r="AF125" s="931">
        <f>'Cost Allocation - Tier 1 (2)'!AF114</f>
        <v>0</v>
      </c>
      <c r="AG125" s="931">
        <f>'Cost Allocation - Tier 1 (2)'!AG114</f>
        <v>0</v>
      </c>
      <c r="AH125" s="931">
        <f>'Cost Allocation - Tier 1 (2)'!AH114</f>
        <v>0</v>
      </c>
      <c r="AI125" s="931">
        <f>'Cost Allocation - Tier 1 (2)'!AI114</f>
        <v>0</v>
      </c>
      <c r="AJ125" s="931">
        <f>'Cost Allocation - Tier 1 (2)'!AJ114</f>
        <v>0</v>
      </c>
      <c r="AK125" s="931">
        <f>'Cost Allocation - Tier 1 (2)'!AK114</f>
        <v>0</v>
      </c>
      <c r="AL125" s="931">
        <f>'Cost Allocation - Tier 1 (2)'!AL114</f>
        <v>0</v>
      </c>
      <c r="AM125" s="931">
        <f>'Cost Allocation - Tier 1 (2)'!AM114</f>
        <v>0</v>
      </c>
      <c r="AN125" s="931">
        <f>'Cost Allocation - Tier 1 (2)'!AN114</f>
        <v>0</v>
      </c>
      <c r="AO125" s="931">
        <f>'Cost Allocation - Tier 1 (2)'!AO114</f>
        <v>0</v>
      </c>
      <c r="AP125" s="931">
        <f>'Cost Allocation - Tier 1 (2)'!AP114</f>
        <v>0</v>
      </c>
      <c r="AQ125" s="931">
        <f>'Cost Allocation - Tier 1 (2)'!AQ114</f>
        <v>0</v>
      </c>
      <c r="AR125" s="931">
        <f>'Cost Allocation - Tier 1 (2)'!AR114</f>
        <v>0</v>
      </c>
      <c r="AS125" s="931">
        <f>'Cost Allocation - Tier 1 (2)'!AS114</f>
        <v>0</v>
      </c>
      <c r="AT125" s="931">
        <f>'Cost Allocation - Tier 1 (2)'!AT114</f>
        <v>0</v>
      </c>
      <c r="AU125" s="931">
        <f>'Cost Allocation - Tier 1 (2)'!AU114</f>
        <v>0</v>
      </c>
      <c r="AV125" s="931">
        <f>'Cost Allocation - Tier 1 (2)'!AV114</f>
        <v>0</v>
      </c>
      <c r="AW125" s="931">
        <f>'Cost Allocation - Tier 1 (2)'!AW114</f>
        <v>0</v>
      </c>
      <c r="AX125" s="931">
        <f>'Cost Allocation - Tier 1 (2)'!AX114</f>
        <v>0</v>
      </c>
      <c r="AY125" s="931">
        <f>'Cost Allocation - Tier 1 (2)'!AY114</f>
        <v>6871.223222083343</v>
      </c>
      <c r="AZ125" s="931">
        <f>'Cost Allocation - Tier 1 (2)'!AZ114</f>
        <v>280.55526040109538</v>
      </c>
      <c r="BA125" s="931">
        <f>'Cost Allocation - Tier 1 (2)'!BA114</f>
        <v>4307.2478811439096</v>
      </c>
      <c r="BB125" s="931">
        <f>'Cost Allocation - Tier 1 (2)'!BB114</f>
        <v>15335.973636371653</v>
      </c>
      <c r="BC125" s="688">
        <f>'Cost Allocation - Tier 1 (2)'!BC114</f>
        <v>0</v>
      </c>
      <c r="BD125" s="901">
        <v>0</v>
      </c>
      <c r="BE125" s="901">
        <v>0</v>
      </c>
      <c r="BF125" s="901">
        <v>0</v>
      </c>
      <c r="BG125" s="901">
        <v>0</v>
      </c>
      <c r="BH125" s="901">
        <v>0</v>
      </c>
      <c r="BI125" s="901">
        <v>0</v>
      </c>
      <c r="BJ125" s="901">
        <v>0</v>
      </c>
      <c r="BK125" s="698">
        <f>'Cost Allocation - Tier 1 (2)'!BK114</f>
        <v>0</v>
      </c>
      <c r="BL125" s="76">
        <f t="shared" si="59"/>
        <v>26795</v>
      </c>
      <c r="BM125" s="76">
        <f t="shared" si="54"/>
        <v>0</v>
      </c>
    </row>
    <row r="126" spans="1:65" x14ac:dyDescent="0.25">
      <c r="A126" s="1"/>
      <c r="B126" s="693"/>
      <c r="C126" s="693"/>
      <c r="D126" s="778"/>
      <c r="E126" s="778"/>
      <c r="F126" s="778"/>
      <c r="G126" s="778"/>
      <c r="H126" s="698"/>
      <c r="I126" s="688"/>
      <c r="J126" s="931"/>
      <c r="K126" s="931"/>
      <c r="L126" s="931"/>
      <c r="M126" s="931"/>
      <c r="N126" s="931"/>
      <c r="O126" s="931"/>
      <c r="P126" s="931"/>
      <c r="Q126" s="931"/>
      <c r="R126" s="931"/>
      <c r="S126" s="931"/>
      <c r="T126" s="931"/>
      <c r="U126" s="931"/>
      <c r="V126" s="931"/>
      <c r="W126" s="931"/>
      <c r="X126" s="931"/>
      <c r="Y126" s="931"/>
      <c r="Z126" s="931"/>
      <c r="AA126" s="931"/>
      <c r="AB126" s="931"/>
      <c r="AC126" s="931"/>
      <c r="AD126" s="931"/>
      <c r="AE126" s="931"/>
      <c r="AF126" s="931"/>
      <c r="AG126" s="931"/>
      <c r="AH126" s="931"/>
      <c r="AI126" s="931"/>
      <c r="AJ126" s="931"/>
      <c r="AK126" s="931"/>
      <c r="AL126" s="931"/>
      <c r="AM126" s="931"/>
      <c r="AN126" s="931"/>
      <c r="AO126" s="931"/>
      <c r="AP126" s="931"/>
      <c r="AQ126" s="931"/>
      <c r="AR126" s="931"/>
      <c r="AS126" s="931"/>
      <c r="AT126" s="931"/>
      <c r="AU126" s="931"/>
      <c r="AV126" s="931"/>
      <c r="AW126" s="931"/>
      <c r="AX126" s="931"/>
      <c r="AY126" s="931"/>
      <c r="AZ126" s="931"/>
      <c r="BA126" s="931"/>
      <c r="BB126" s="931"/>
      <c r="BC126" s="688"/>
      <c r="BD126" s="698"/>
      <c r="BE126" s="698"/>
      <c r="BF126" s="698"/>
      <c r="BG126" s="698"/>
      <c r="BH126" s="698"/>
      <c r="BI126" s="698"/>
      <c r="BJ126" s="698"/>
      <c r="BK126" s="698"/>
      <c r="BL126" s="698"/>
      <c r="BM126" s="698"/>
    </row>
    <row r="127" spans="1:65" s="855" customFormat="1" x14ac:dyDescent="0.25">
      <c r="A127" s="954" t="str">
        <f>'Cost Allocation - Tier 1 (2)'!A116</f>
        <v>Non-Corporate Cost Allocation including mark ups</v>
      </c>
      <c r="B127" s="954"/>
      <c r="C127" s="954"/>
      <c r="D127" s="955">
        <f>SUM(D116:D125)</f>
        <v>1595178.5584444446</v>
      </c>
      <c r="E127" s="955">
        <f>SUM(E116:E125)</f>
        <v>1200104.2419834821</v>
      </c>
      <c r="F127" s="955">
        <f>SUM(F116:F125)</f>
        <v>0</v>
      </c>
      <c r="G127" s="955">
        <f>SUM(G116:G125)</f>
        <v>1219197.2603403886</v>
      </c>
      <c r="H127" s="955">
        <f>SUM(H116:H125)</f>
        <v>0</v>
      </c>
      <c r="I127" s="956">
        <f>SUM(I116:I126)</f>
        <v>1205742.0782492214</v>
      </c>
      <c r="J127" s="957">
        <f>SUM(J116:J126)</f>
        <v>17655.633806209014</v>
      </c>
      <c r="K127" s="957">
        <f t="shared" ref="K127:BB127" si="60">SUM(K116:K126)</f>
        <v>4535.9138756795837</v>
      </c>
      <c r="L127" s="957">
        <f t="shared" si="60"/>
        <v>4348.3077622779874</v>
      </c>
      <c r="M127" s="957">
        <f t="shared" si="60"/>
        <v>5973.2823273082176</v>
      </c>
      <c r="N127" s="957">
        <f t="shared" si="60"/>
        <v>8199.719216828591</v>
      </c>
      <c r="O127" s="957">
        <f t="shared" si="60"/>
        <v>23486.658959741653</v>
      </c>
      <c r="P127" s="957">
        <f t="shared" si="60"/>
        <v>2976.9669417767777</v>
      </c>
      <c r="Q127" s="957">
        <f t="shared" si="60"/>
        <v>8393.6063441160859</v>
      </c>
      <c r="R127" s="957">
        <f t="shared" si="60"/>
        <v>7317.8766918074798</v>
      </c>
      <c r="S127" s="957">
        <f t="shared" si="60"/>
        <v>7411.178620913387</v>
      </c>
      <c r="T127" s="957">
        <f t="shared" si="60"/>
        <v>27593.281438213915</v>
      </c>
      <c r="U127" s="957">
        <f t="shared" si="60"/>
        <v>21791.598249768955</v>
      </c>
      <c r="V127" s="957">
        <f t="shared" si="60"/>
        <v>11541.0688254947</v>
      </c>
      <c r="W127" s="957">
        <f t="shared" si="60"/>
        <v>18915.295269885268</v>
      </c>
      <c r="X127" s="957">
        <f t="shared" si="60"/>
        <v>648.61149286037687</v>
      </c>
      <c r="Y127" s="957">
        <f t="shared" si="60"/>
        <v>458.00435678284822</v>
      </c>
      <c r="Z127" s="957">
        <f t="shared" si="60"/>
        <v>1915.3331823544543</v>
      </c>
      <c r="AA127" s="957">
        <f t="shared" si="60"/>
        <v>1681.7229345621508</v>
      </c>
      <c r="AB127" s="957">
        <f t="shared" si="60"/>
        <v>976.42048867376286</v>
      </c>
      <c r="AC127" s="957">
        <f t="shared" si="60"/>
        <v>1228.6328717743036</v>
      </c>
      <c r="AD127" s="957">
        <f t="shared" si="60"/>
        <v>8564.3608457251303</v>
      </c>
      <c r="AE127" s="957">
        <f t="shared" si="60"/>
        <v>3110.4803414322164</v>
      </c>
      <c r="AF127" s="957">
        <f t="shared" si="60"/>
        <v>25799.009485174392</v>
      </c>
      <c r="AG127" s="957">
        <f t="shared" si="60"/>
        <v>13188.869221561432</v>
      </c>
      <c r="AH127" s="957">
        <f t="shared" si="60"/>
        <v>168219.73003428555</v>
      </c>
      <c r="AI127" s="957">
        <f t="shared" si="60"/>
        <v>1662.0420294872451</v>
      </c>
      <c r="AJ127" s="957">
        <f t="shared" si="60"/>
        <v>98955.294472853857</v>
      </c>
      <c r="AK127" s="957">
        <f t="shared" si="60"/>
        <v>84396.611321500386</v>
      </c>
      <c r="AL127" s="957">
        <f t="shared" si="60"/>
        <v>0</v>
      </c>
      <c r="AM127" s="957">
        <f t="shared" si="60"/>
        <v>2543.7540649461939</v>
      </c>
      <c r="AN127" s="957">
        <f t="shared" si="60"/>
        <v>16775.067894038715</v>
      </c>
      <c r="AO127" s="957">
        <f t="shared" si="60"/>
        <v>102900.80024860879</v>
      </c>
      <c r="AP127" s="957">
        <f t="shared" si="60"/>
        <v>15459.2223513882</v>
      </c>
      <c r="AQ127" s="957">
        <f t="shared" si="60"/>
        <v>16065.231687032854</v>
      </c>
      <c r="AR127" s="957">
        <f t="shared" si="60"/>
        <v>61.022848971502199</v>
      </c>
      <c r="AS127" s="957">
        <f t="shared" si="60"/>
        <v>23879.014391008728</v>
      </c>
      <c r="AT127" s="957">
        <f t="shared" si="60"/>
        <v>19360.267425263268</v>
      </c>
      <c r="AU127" s="957">
        <f t="shared" si="60"/>
        <v>28701.111824182004</v>
      </c>
      <c r="AV127" s="957">
        <f t="shared" si="60"/>
        <v>39143.481386796942</v>
      </c>
      <c r="AW127" s="957">
        <f t="shared" si="60"/>
        <v>101460.53619037085</v>
      </c>
      <c r="AX127" s="957">
        <f t="shared" si="60"/>
        <v>1294.5296157386788</v>
      </c>
      <c r="AY127" s="957">
        <f t="shared" si="60"/>
        <v>68673.980904302691</v>
      </c>
      <c r="AZ127" s="957">
        <f t="shared" si="60"/>
        <v>2323.1320554926128</v>
      </c>
      <c r="BA127" s="957">
        <f t="shared" si="60"/>
        <v>40063.687431889011</v>
      </c>
      <c r="BB127" s="957">
        <f t="shared" si="60"/>
        <v>146091.72652014071</v>
      </c>
      <c r="BC127" s="956">
        <f>SUM(BC116:BC126)</f>
        <v>0</v>
      </c>
      <c r="BD127" s="957">
        <f t="shared" ref="BD127:BK127" si="61">SUM(BD116:BD126)</f>
        <v>0</v>
      </c>
      <c r="BE127" s="957">
        <f t="shared" si="61"/>
        <v>0</v>
      </c>
      <c r="BF127" s="957">
        <f t="shared" si="61"/>
        <v>0</v>
      </c>
      <c r="BG127" s="957">
        <f t="shared" si="61"/>
        <v>0</v>
      </c>
      <c r="BH127" s="957">
        <f t="shared" si="61"/>
        <v>0</v>
      </c>
      <c r="BI127" s="957">
        <f t="shared" si="61"/>
        <v>0</v>
      </c>
      <c r="BJ127" s="957">
        <f t="shared" si="61"/>
        <v>0</v>
      </c>
      <c r="BK127" s="957">
        <f t="shared" si="61"/>
        <v>0</v>
      </c>
      <c r="BL127" s="955">
        <f>SUM(BL116:BL126)</f>
        <v>1205742.0782492214</v>
      </c>
      <c r="BM127" s="76">
        <f t="shared" si="54"/>
        <v>-13455.182091167197</v>
      </c>
    </row>
    <row r="128" spans="1:65" x14ac:dyDescent="0.25">
      <c r="A128" s="1"/>
      <c r="B128" s="1"/>
      <c r="C128" s="1"/>
      <c r="D128" s="698"/>
      <c r="E128" s="698"/>
      <c r="F128" s="698"/>
      <c r="G128" s="698"/>
      <c r="H128" s="698"/>
      <c r="I128" s="688"/>
      <c r="J128" s="942"/>
      <c r="K128" s="942"/>
      <c r="L128" s="942"/>
      <c r="M128" s="942"/>
      <c r="N128" s="942"/>
      <c r="O128" s="942"/>
      <c r="P128" s="942"/>
      <c r="Q128" s="942"/>
      <c r="R128" s="942"/>
      <c r="S128" s="942"/>
      <c r="T128" s="942"/>
      <c r="U128" s="942"/>
      <c r="V128" s="942"/>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c r="AV128" s="942"/>
      <c r="AW128" s="942"/>
      <c r="AX128" s="942"/>
      <c r="AY128" s="942"/>
      <c r="AZ128" s="942"/>
      <c r="BA128" s="942"/>
      <c r="BB128" s="942"/>
      <c r="BC128" s="688"/>
      <c r="BD128" s="698"/>
      <c r="BE128" s="698"/>
      <c r="BF128" s="698"/>
      <c r="BG128" s="698"/>
      <c r="BH128" s="698"/>
      <c r="BI128" s="698"/>
      <c r="BJ128" s="698"/>
      <c r="BK128" s="698"/>
      <c r="BL128" s="698"/>
      <c r="BM128" s="698"/>
    </row>
    <row r="129" spans="1:65" x14ac:dyDescent="0.25">
      <c r="A129" s="693" t="str">
        <f>'Cost Allocation - Tier 1 (2)'!A118</f>
        <v>Shared Services</v>
      </c>
      <c r="B129" s="693"/>
      <c r="C129" s="693"/>
      <c r="D129" s="778"/>
      <c r="E129" s="778"/>
      <c r="F129" s="778"/>
      <c r="G129" s="778"/>
      <c r="H129" s="778"/>
      <c r="I129" s="958"/>
      <c r="J129" s="931"/>
      <c r="K129" s="931"/>
      <c r="L129" s="931"/>
      <c r="M129" s="931"/>
      <c r="N129" s="931"/>
      <c r="O129" s="931"/>
      <c r="P129" s="931"/>
      <c r="Q129" s="931"/>
      <c r="R129" s="931"/>
      <c r="S129" s="931"/>
      <c r="T129" s="931"/>
      <c r="U129" s="931"/>
      <c r="V129" s="931"/>
      <c r="W129" s="931"/>
      <c r="X129" s="931"/>
      <c r="Y129" s="931"/>
      <c r="Z129" s="931"/>
      <c r="AA129" s="931"/>
      <c r="AB129" s="931"/>
      <c r="AC129" s="931"/>
      <c r="AD129" s="931"/>
      <c r="AE129" s="931"/>
      <c r="AF129" s="931"/>
      <c r="AG129" s="931"/>
      <c r="AH129" s="931"/>
      <c r="AI129" s="931"/>
      <c r="AJ129" s="931"/>
      <c r="AK129" s="931"/>
      <c r="AL129" s="931"/>
      <c r="AM129" s="931"/>
      <c r="AN129" s="931"/>
      <c r="AO129" s="931"/>
      <c r="AP129" s="931"/>
      <c r="AQ129" s="931"/>
      <c r="AR129" s="931"/>
      <c r="AS129" s="931"/>
      <c r="AT129" s="931"/>
      <c r="AU129" s="931"/>
      <c r="AV129" s="931"/>
      <c r="AW129" s="931"/>
      <c r="AX129" s="931"/>
      <c r="AY129" s="931"/>
      <c r="AZ129" s="931"/>
      <c r="BA129" s="931"/>
      <c r="BB129" s="931"/>
      <c r="BC129" s="688"/>
      <c r="BD129" s="698"/>
      <c r="BE129" s="698"/>
      <c r="BF129" s="698"/>
      <c r="BG129" s="698"/>
      <c r="BH129" s="698"/>
      <c r="BI129" s="698"/>
      <c r="BJ129" s="698"/>
      <c r="BK129" s="698"/>
      <c r="BL129" s="698"/>
      <c r="BM129" s="698"/>
    </row>
    <row r="130" spans="1:65" x14ac:dyDescent="0.25">
      <c r="A130" s="693" t="str">
        <f>'Cost Allocation - Tier 1 (2)'!A119</f>
        <v>8025 -Finance SS</v>
      </c>
      <c r="B130" s="693" t="str">
        <f>'Cost Allocation - Tier 1 (2)'!B119</f>
        <v>CDN CONTRACT</v>
      </c>
      <c r="C130" s="693" t="str">
        <f>'Cost Allocation - Tier 1 (2)'!C119</f>
        <v>N</v>
      </c>
      <c r="D130" s="778">
        <f>'Cost Allocation - Tier 1 (2)'!D119</f>
        <v>98358</v>
      </c>
      <c r="E130" s="778">
        <f>'Cost Allocation - Tier 1 (2)'!E119</f>
        <v>73997.893469756251</v>
      </c>
      <c r="F130" s="778">
        <f>'Cost Allocation - Tier 1 (2)'!F119</f>
        <v>0</v>
      </c>
      <c r="G130" s="778">
        <f>'Cost Allocation - Tier 1 (2)'!G119</f>
        <v>73997.893469756251</v>
      </c>
      <c r="H130" s="778">
        <f>'Cost Allocation - Tier 1 (2)'!H119</f>
        <v>0</v>
      </c>
      <c r="I130" s="688">
        <f>'Cost Allocation - Tier 1 (2)'!I119</f>
        <v>73997.893469756265</v>
      </c>
      <c r="J130" s="931">
        <f>'Cost Allocation - Tier 1 (2)'!J119</f>
        <v>1902.3159882713323</v>
      </c>
      <c r="K130" s="931">
        <f>'Cost Allocation - Tier 1 (2)'!K119</f>
        <v>484.67100979957269</v>
      </c>
      <c r="L130" s="931">
        <f>'Cost Allocation - Tier 1 (2)'!L119</f>
        <v>461.85880655796791</v>
      </c>
      <c r="M130" s="931">
        <f>'Cost Allocation - Tier 1 (2)'!M119</f>
        <v>647.73126989403738</v>
      </c>
      <c r="N130" s="931">
        <f>'Cost Allocation - Tier 1 (2)'!N119</f>
        <v>877.69125778654995</v>
      </c>
      <c r="O130" s="931">
        <f>'Cost Allocation - Tier 1 (2)'!O119</f>
        <v>2553.6688945689489</v>
      </c>
      <c r="P130" s="931">
        <f>'Cost Allocation - Tier 1 (2)'!P119</f>
        <v>324.49168209961738</v>
      </c>
      <c r="Q130" s="931">
        <f>'Cost Allocation - Tier 1 (2)'!Q119</f>
        <v>917.8215434361565</v>
      </c>
      <c r="R130" s="931">
        <f>'Cost Allocation - Tier 1 (2)'!R119</f>
        <v>800.93525825069821</v>
      </c>
      <c r="S130" s="931">
        <f>'Cost Allocation - Tier 1 (2)'!S119</f>
        <v>810.53183421846461</v>
      </c>
      <c r="T130" s="931">
        <f>'Cost Allocation - Tier 1 (2)'!T119</f>
        <v>3021.7638767007661</v>
      </c>
      <c r="U130" s="931">
        <f>'Cost Allocation - Tier 1 (2)'!U119</f>
        <v>2385.1792237260638</v>
      </c>
      <c r="V130" s="931">
        <f>'Cost Allocation - Tier 1 (2)'!V119</f>
        <v>1219.1238125192997</v>
      </c>
      <c r="W130" s="931">
        <f>'Cost Allocation - Tier 1 (2)'!W119</f>
        <v>2000.4037887449065</v>
      </c>
      <c r="X130" s="931">
        <f>'Cost Allocation - Tier 1 (2)'!X119</f>
        <v>71.035673081974352</v>
      </c>
      <c r="Y130" s="931">
        <f>'Cost Allocation - Tier 1 (2)'!Y119</f>
        <v>49.894721706674652</v>
      </c>
      <c r="Z130" s="931">
        <f>'Cost Allocation - Tier 1 (2)'!Z119</f>
        <v>206.99900436870115</v>
      </c>
      <c r="AA130" s="931">
        <f>'Cost Allocation - Tier 1 (2)'!AA119</f>
        <v>181.31010364880549</v>
      </c>
      <c r="AB130" s="931">
        <f>'Cost Allocation - Tier 1 (2)'!AB119</f>
        <v>105.03445200944275</v>
      </c>
      <c r="AC130" s="931">
        <f>'Cost Allocation - Tier 1 (2)'!AC119</f>
        <v>133.7527679777161</v>
      </c>
      <c r="AD130" s="931">
        <f>'Cost Allocation - Tier 1 (2)'!AD119</f>
        <v>941.28432801980568</v>
      </c>
      <c r="AE130" s="931">
        <f>'Cost Allocation - Tier 1 (2)'!AE119</f>
        <v>340.38146305209841</v>
      </c>
      <c r="AF130" s="931">
        <f>'Cost Allocation - Tier 1 (2)'!AF119</f>
        <v>681.7055476023429</v>
      </c>
      <c r="AG130" s="931">
        <f>'Cost Allocation - Tier 1 (2)'!AG119</f>
        <v>1317.2939548909508</v>
      </c>
      <c r="AH130" s="931">
        <f>'Cost Allocation - Tier 1 (2)'!AH119</f>
        <v>18165.93879134583</v>
      </c>
      <c r="AI130" s="931">
        <f>'Cost Allocation - Tier 1 (2)'!AI119</f>
        <v>183.04885369375936</v>
      </c>
      <c r="AJ130" s="931">
        <f>'Cost Allocation - Tier 1 (2)'!AJ119</f>
        <v>3186.7155997969576</v>
      </c>
      <c r="AK130" s="931">
        <f>'Cost Allocation - Tier 1 (2)'!AK119</f>
        <v>2545.5184714361753</v>
      </c>
      <c r="AL130" s="931">
        <f>'Cost Allocation - Tier 1 (2)'!AL119</f>
        <v>0</v>
      </c>
      <c r="AM130" s="931">
        <f>'Cost Allocation - Tier 1 (2)'!AM119</f>
        <v>275.14580442909761</v>
      </c>
      <c r="AN130" s="931">
        <f>'Cost Allocation - Tier 1 (2)'!AN119</f>
        <v>346.86485094129449</v>
      </c>
      <c r="AO130" s="931">
        <f>'Cost Allocation - Tier 1 (2)'!AO119</f>
        <v>3174.981170775864</v>
      </c>
      <c r="AP130" s="931">
        <f>'Cost Allocation - Tier 1 (2)'!AP119</f>
        <v>445.41110940379644</v>
      </c>
      <c r="AQ130" s="931">
        <f>'Cost Allocation - Tier 1 (2)'!AQ119</f>
        <v>1613.5648964649254</v>
      </c>
      <c r="AR130" s="931">
        <f>'Cost Allocation - Tier 1 (2)'!AR119</f>
        <v>6.5261400583340361</v>
      </c>
      <c r="AS130" s="931">
        <f>'Cost Allocation - Tier 1 (2)'!AS119</f>
        <v>2404.5277724593079</v>
      </c>
      <c r="AT130" s="931">
        <f>'Cost Allocation - Tier 1 (2)'!AT119</f>
        <v>1935.9253212971246</v>
      </c>
      <c r="AU130" s="931">
        <f>'Cost Allocation - Tier 1 (2)'!AU119</f>
        <v>2919.0918289293363</v>
      </c>
      <c r="AV130" s="931">
        <f>'Cost Allocation - Tier 1 (2)'!AV119</f>
        <v>3949.4038957563648</v>
      </c>
      <c r="AW130" s="931">
        <f>'Cost Allocation - Tier 1 (2)'!AW119</f>
        <v>10269.904138295431</v>
      </c>
      <c r="AX130" s="931">
        <f>'Cost Allocation - Tier 1 (2)'!AX119</f>
        <v>138.44456173977264</v>
      </c>
      <c r="AY130" s="931">
        <f>'Cost Allocation - Tier 1 (2)'!AY119</f>
        <v>0</v>
      </c>
      <c r="AZ130" s="931">
        <f>'Cost Allocation - Tier 1 (2)'!AZ119</f>
        <v>0</v>
      </c>
      <c r="BA130" s="931">
        <f>'Cost Allocation - Tier 1 (2)'!BA119</f>
        <v>0</v>
      </c>
      <c r="BB130" s="931">
        <f>'Cost Allocation - Tier 1 (2)'!BB119</f>
        <v>0</v>
      </c>
      <c r="BC130" s="688">
        <f>'Cost Allocation - Tier 1 (2)'!BC119</f>
        <v>0</v>
      </c>
      <c r="BD130" s="778">
        <f>'Cost Allocation - Tier 1 (2)'!BD119</f>
        <v>0</v>
      </c>
      <c r="BE130" s="778">
        <f>'Cost Allocation - Tier 1 (2)'!BE119</f>
        <v>0</v>
      </c>
      <c r="BF130" s="778">
        <f>'Cost Allocation - Tier 1 (2)'!BF119</f>
        <v>0</v>
      </c>
      <c r="BG130" s="778">
        <f>'Cost Allocation - Tier 1 (2)'!BG119</f>
        <v>0</v>
      </c>
      <c r="BH130" s="778">
        <f>'Cost Allocation - Tier 1 (2)'!BH119</f>
        <v>0</v>
      </c>
      <c r="BI130" s="778">
        <f>'Cost Allocation - Tier 1 (2)'!BI119</f>
        <v>0</v>
      </c>
      <c r="BJ130" s="778">
        <f>'Cost Allocation - Tier 1 (2)'!BJ119</f>
        <v>0</v>
      </c>
      <c r="BK130" s="778">
        <f>'Cost Allocation - Tier 1 (2)'!BK119</f>
        <v>0</v>
      </c>
      <c r="BL130" s="76">
        <f t="shared" ref="BL130:BL133" si="62">BC130+I130+H130</f>
        <v>73997.893469756265</v>
      </c>
      <c r="BM130" s="76">
        <f t="shared" ref="BM130:BM133" si="63">BL130-G130</f>
        <v>0</v>
      </c>
    </row>
    <row r="131" spans="1:65" x14ac:dyDescent="0.25">
      <c r="A131" s="693" t="str">
        <f>'Cost Allocation - Tier 1 (2)'!A120</f>
        <v>8033 - IT Support Service</v>
      </c>
      <c r="B131" s="693" t="str">
        <f>'Cost Allocation - Tier 1 (2)'!B120</f>
        <v>ALL CONTRACT</v>
      </c>
      <c r="C131" s="693" t="str">
        <f>'Cost Allocation - Tier 1 (2)'!C120</f>
        <v>Y</v>
      </c>
      <c r="D131" s="778">
        <f>'Cost Allocation - Tier 1 (2)'!D120</f>
        <v>1052104</v>
      </c>
      <c r="E131" s="778">
        <f>'Cost Allocation - Tier 1 (2)'!E120</f>
        <v>791531.74842010241</v>
      </c>
      <c r="F131" s="778">
        <f>'Cost Allocation - Tier 1 (2)'!F120</f>
        <v>0</v>
      </c>
      <c r="G131" s="778">
        <f>'Cost Allocation - Tier 1 (2)'!G120</f>
        <v>839023.65332530858</v>
      </c>
      <c r="H131" s="778">
        <f>'Cost Allocation - Tier 1 (2)'!H120</f>
        <v>0</v>
      </c>
      <c r="I131" s="688">
        <f>'Cost Allocation - Tier 1 (2)'!I120</f>
        <v>805555.28198606428</v>
      </c>
      <c r="J131" s="931">
        <f>'Cost Allocation - Tier 1 (2)'!J120</f>
        <v>4921.3398486617698</v>
      </c>
      <c r="K131" s="931">
        <f>'Cost Allocation - Tier 1 (2)'!K120</f>
        <v>1419.3452799197123</v>
      </c>
      <c r="L131" s="931">
        <f>'Cost Allocation - Tier 1 (2)'!L120</f>
        <v>1466.4148373103094</v>
      </c>
      <c r="M131" s="931">
        <f>'Cost Allocation - Tier 1 (2)'!M120</f>
        <v>1506.8136735435226</v>
      </c>
      <c r="N131" s="931">
        <f>'Cost Allocation - Tier 1 (2)'!N120</f>
        <v>2507.0735554436296</v>
      </c>
      <c r="O131" s="931">
        <f>'Cost Allocation - Tier 1 (2)'!O120</f>
        <v>5893.65894343534</v>
      </c>
      <c r="P131" s="931">
        <f>'Cost Allocation - Tier 1 (2)'!P120</f>
        <v>718.72056560209523</v>
      </c>
      <c r="Q131" s="931">
        <f>'Cost Allocation - Tier 1 (2)'!Q120</f>
        <v>1924.7431061510918</v>
      </c>
      <c r="R131" s="931">
        <f>'Cost Allocation - Tier 1 (2)'!R120</f>
        <v>1652.1430195806165</v>
      </c>
      <c r="S131" s="931">
        <f>'Cost Allocation - Tier 1 (2)'!S120</f>
        <v>1694.6946900027622</v>
      </c>
      <c r="T131" s="931">
        <f>'Cost Allocation - Tier 1 (2)'!T120</f>
        <v>6170.2002588744554</v>
      </c>
      <c r="U131" s="931">
        <f>'Cost Allocation - Tier 1 (2)'!U120</f>
        <v>4916.0863356609052</v>
      </c>
      <c r="V131" s="931">
        <f>'Cost Allocation - Tier 1 (2)'!V120</f>
        <v>3838.9123955673504</v>
      </c>
      <c r="W131" s="931">
        <f>'Cost Allocation - Tier 1 (2)'!W120</f>
        <v>6191.5327465769324</v>
      </c>
      <c r="X131" s="931">
        <f>'Cost Allocation - Tier 1 (2)'!X120</f>
        <v>150.0231160967474</v>
      </c>
      <c r="Y131" s="931">
        <f>'Cost Allocation - Tier 1 (2)'!Y120</f>
        <v>115.91137406102837</v>
      </c>
      <c r="Z131" s="931">
        <f>'Cost Allocation - Tier 1 (2)'!Z120</f>
        <v>546.90564843286711</v>
      </c>
      <c r="AA131" s="931">
        <f>'Cost Allocation - Tier 1 (2)'!AA120</f>
        <v>496.77592407997457</v>
      </c>
      <c r="AB131" s="931">
        <f>'Cost Allocation - Tier 1 (2)'!AB120</f>
        <v>297.27238402656923</v>
      </c>
      <c r="AC131" s="931">
        <f>'Cost Allocation - Tier 1 (2)'!AC120</f>
        <v>314.46129768135836</v>
      </c>
      <c r="AD131" s="931">
        <f>'Cost Allocation - Tier 1 (2)'!AD120</f>
        <v>1856.3365100357657</v>
      </c>
      <c r="AE131" s="931">
        <f>'Cost Allocation - Tier 1 (2)'!AE120</f>
        <v>729.85312578145613</v>
      </c>
      <c r="AF131" s="931">
        <f>'Cost Allocation - Tier 1 (2)'!AF120</f>
        <v>1917.9943101050628</v>
      </c>
      <c r="AG131" s="931">
        <f>'Cost Allocation - Tier 1 (2)'!AG120</f>
        <v>6213.9922454946318</v>
      </c>
      <c r="AH131" s="931">
        <f>'Cost Allocation - Tier 1 (2)'!AH120</f>
        <v>47287.034338028243</v>
      </c>
      <c r="AI131" s="931">
        <f>'Cost Allocation - Tier 1 (2)'!AI120</f>
        <v>346.03802907281329</v>
      </c>
      <c r="AJ131" s="931">
        <f>'Cost Allocation - Tier 1 (2)'!AJ120</f>
        <v>7419.0445997814968</v>
      </c>
      <c r="AK131" s="931">
        <f>'Cost Allocation - Tier 1 (2)'!AK120</f>
        <v>6308.740279969631</v>
      </c>
      <c r="AL131" s="931">
        <f>'Cost Allocation - Tier 1 (2)'!AL120</f>
        <v>0</v>
      </c>
      <c r="AM131" s="931">
        <f>'Cost Allocation - Tier 1 (2)'!AM120</f>
        <v>717.69559596780903</v>
      </c>
      <c r="AN131" s="931">
        <f>'Cost Allocation - Tier 1 (2)'!AN120</f>
        <v>1236.6143347740333</v>
      </c>
      <c r="AO131" s="931">
        <f>'Cost Allocation - Tier 1 (2)'!AO120</f>
        <v>7699.7258432980807</v>
      </c>
      <c r="AP131" s="931">
        <f>'Cost Allocation - Tier 1 (2)'!AP120</f>
        <v>1153.3203196759987</v>
      </c>
      <c r="AQ131" s="931">
        <f>'Cost Allocation - Tier 1 (2)'!AQ120</f>
        <v>7393.091624584049</v>
      </c>
      <c r="AR131" s="931">
        <f>'Cost Allocation - Tier 1 (2)'!AR120</f>
        <v>20.010384015536395</v>
      </c>
      <c r="AS131" s="931">
        <f>'Cost Allocation - Tier 1 (2)'!AS120</f>
        <v>10861.726546124637</v>
      </c>
      <c r="AT131" s="931">
        <f>'Cost Allocation - Tier 1 (2)'!AT120</f>
        <v>9086.7479943525614</v>
      </c>
      <c r="AU131" s="931">
        <f>'Cost Allocation - Tier 1 (2)'!AU120</f>
        <v>12445.726454456209</v>
      </c>
      <c r="AV131" s="931">
        <f>'Cost Allocation - Tier 1 (2)'!AV120</f>
        <v>17653.036297277114</v>
      </c>
      <c r="AW131" s="931">
        <f>'Cost Allocation - Tier 1 (2)'!AW120</f>
        <v>45050.546362606561</v>
      </c>
      <c r="AX131" s="931">
        <f>'Cost Allocation - Tier 1 (2)'!AX120</f>
        <v>424.49730169944979</v>
      </c>
      <c r="AY131" s="931">
        <f>'Cost Allocation - Tier 1 (2)'!AY120</f>
        <v>153727.9562537974</v>
      </c>
      <c r="AZ131" s="931">
        <f>'Cost Allocation - Tier 1 (2)'!AZ120</f>
        <v>5080.698143202575</v>
      </c>
      <c r="BA131" s="931">
        <f>'Cost Allocation - Tier 1 (2)'!BA120</f>
        <v>88940.438601656671</v>
      </c>
      <c r="BB131" s="931">
        <f>'Cost Allocation - Tier 1 (2)'!BB120</f>
        <v>325241.38748959743</v>
      </c>
      <c r="BC131" s="688">
        <f>'Cost Allocation - Tier 1 (2)'!BC120</f>
        <v>0</v>
      </c>
      <c r="BD131" s="778">
        <f>'Cost Allocation - Tier 1 (2)'!BD120</f>
        <v>0</v>
      </c>
      <c r="BE131" s="778">
        <f>'Cost Allocation - Tier 1 (2)'!BE120</f>
        <v>0</v>
      </c>
      <c r="BF131" s="778">
        <f>'Cost Allocation - Tier 1 (2)'!BF120</f>
        <v>0</v>
      </c>
      <c r="BG131" s="778">
        <f>'Cost Allocation - Tier 1 (2)'!BG120</f>
        <v>0</v>
      </c>
      <c r="BH131" s="778">
        <f>'Cost Allocation - Tier 1 (2)'!BH120</f>
        <v>0</v>
      </c>
      <c r="BI131" s="778">
        <f>'Cost Allocation - Tier 1 (2)'!BI120</f>
        <v>0</v>
      </c>
      <c r="BJ131" s="778">
        <f>'Cost Allocation - Tier 1 (2)'!BJ120</f>
        <v>0</v>
      </c>
      <c r="BK131" s="778">
        <f>'Cost Allocation - Tier 1 (2)'!BK120</f>
        <v>0</v>
      </c>
      <c r="BL131" s="76">
        <f t="shared" si="62"/>
        <v>805555.28198606428</v>
      </c>
      <c r="BM131" s="76">
        <f t="shared" si="63"/>
        <v>-33468.371339244302</v>
      </c>
    </row>
    <row r="132" spans="1:65" x14ac:dyDescent="0.25">
      <c r="A132" s="693" t="str">
        <f>'Cost Allocation - Tier 1 (2)'!A121</f>
        <v>8045 - HR Shared Service</v>
      </c>
      <c r="B132" s="693" t="str">
        <f>'Cost Allocation - Tier 1 (2)'!B121</f>
        <v>HEADCOUNT IN CDN CONTRACT</v>
      </c>
      <c r="C132" s="693" t="str">
        <f>'Cost Allocation - Tier 1 (2)'!C121</f>
        <v>N</v>
      </c>
      <c r="D132" s="778">
        <f>'Cost Allocation - Tier 1 (2)'!D121</f>
        <v>62616</v>
      </c>
      <c r="E132" s="778">
        <f>'Cost Allocation - Tier 1 (2)'!E121</f>
        <v>47108.034908215472</v>
      </c>
      <c r="F132" s="778">
        <f>'Cost Allocation - Tier 1 (2)'!F121</f>
        <v>0</v>
      </c>
      <c r="G132" s="778">
        <f>'Cost Allocation - Tier 1 (2)'!G121</f>
        <v>47108.034908215472</v>
      </c>
      <c r="H132" s="778">
        <f>'Cost Allocation - Tier 1 (2)'!H121</f>
        <v>0</v>
      </c>
      <c r="I132" s="688">
        <f>'Cost Allocation - Tier 1 (2)'!I121</f>
        <v>47108.034908215486</v>
      </c>
      <c r="J132" s="931">
        <f>'Cost Allocation - Tier 1 (2)'!J121</f>
        <v>632.91364281152983</v>
      </c>
      <c r="K132" s="931">
        <f>'Cost Allocation - Tier 1 (2)'!K121</f>
        <v>158.02438114042263</v>
      </c>
      <c r="L132" s="931">
        <f>'Cost Allocation - Tier 1 (2)'!L121</f>
        <v>148.36467854218273</v>
      </c>
      <c r="M132" s="931">
        <f>'Cost Allocation - Tier 1 (2)'!M121</f>
        <v>218.79989752495291</v>
      </c>
      <c r="N132" s="931">
        <f>'Cost Allocation - Tier 1 (2)'!N121</f>
        <v>287.40007220476042</v>
      </c>
      <c r="O132" s="931">
        <f>'Cost Allocation - Tier 1 (2)'!O121</f>
        <v>584.91806184539564</v>
      </c>
      <c r="P132" s="931">
        <f>'Cost Allocation - Tier 1 (2)'!P121</f>
        <v>71.744540694059651</v>
      </c>
      <c r="Q132" s="931">
        <f>'Cost Allocation - Tier 1 (2)'!Q121</f>
        <v>193.68203498709869</v>
      </c>
      <c r="R132" s="931">
        <f>'Cost Allocation - Tier 1 (2)'!R121</f>
        <v>166.66674112245468</v>
      </c>
      <c r="S132" s="931">
        <f>'Cost Allocation - Tier 1 (2)'!S121</f>
        <v>170.60930169346574</v>
      </c>
      <c r="T132" s="931">
        <f>'Cost Allocation - Tier 1 (2)'!T121</f>
        <v>623.41333564516287</v>
      </c>
      <c r="U132" s="931">
        <f>'Cost Allocation - Tier 1 (2)'!U121</f>
        <v>495.99175153234847</v>
      </c>
      <c r="V132" s="931">
        <f>'Cost Allocation - Tier 1 (2)'!V121</f>
        <v>768.31619980616551</v>
      </c>
      <c r="W132" s="931">
        <f>'Cost Allocation - Tier 1 (2)'!W121</f>
        <v>1276.3543481999131</v>
      </c>
      <c r="X132" s="931">
        <f>'Cost Allocation - Tier 1 (2)'!X121</f>
        <v>8.2501736324679289</v>
      </c>
      <c r="Y132" s="931">
        <f>'Cost Allocation - Tier 1 (2)'!Y121</f>
        <v>5.7546415457066704</v>
      </c>
      <c r="Z132" s="931">
        <f>'Cost Allocation - Tier 1 (2)'!Z121</f>
        <v>23.622510475851065</v>
      </c>
      <c r="AA132" s="931">
        <f>'Cost Allocation - Tier 1 (2)'!AA121</f>
        <v>20.623237809076389</v>
      </c>
      <c r="AB132" s="931">
        <f>'Cost Allocation - Tier 1 (2)'!AB121</f>
        <v>11.911026562941938</v>
      </c>
      <c r="AC132" s="931">
        <f>'Cost Allocation - Tier 1 (2)'!AC121</f>
        <v>15.412207661951147</v>
      </c>
      <c r="AD132" s="931">
        <f>'Cost Allocation - Tier 1 (2)'!AD121</f>
        <v>109.82398552513847</v>
      </c>
      <c r="AE132" s="931">
        <f>'Cost Allocation - Tier 1 (2)'!AE121</f>
        <v>39.490421428683</v>
      </c>
      <c r="AF132" s="931">
        <f>'Cost Allocation - Tier 1 (2)'!AF121</f>
        <v>300.70366790240712</v>
      </c>
      <c r="AG132" s="931">
        <f>'Cost Allocation - Tier 1 (2)'!AG121</f>
        <v>2116.9872599083442</v>
      </c>
      <c r="AH132" s="931">
        <f>'Cost Allocation - Tier 1 (2)'!AH121</f>
        <v>3654.6517942234223</v>
      </c>
      <c r="AI132" s="931">
        <f>'Cost Allocation - Tier 1 (2)'!AI121</f>
        <v>21.414217129566925</v>
      </c>
      <c r="AJ132" s="931">
        <f>'Cost Allocation - Tier 1 (2)'!AJ121</f>
        <v>1157.7462169844837</v>
      </c>
      <c r="AK132" s="931">
        <f>'Cost Allocation - Tier 1 (2)'!AK121</f>
        <v>986.10024939362017</v>
      </c>
      <c r="AL132" s="931">
        <f>'Cost Allocation - Tier 1 (2)'!AL121</f>
        <v>0</v>
      </c>
      <c r="AM132" s="931">
        <f>'Cost Allocation - Tier 1 (2)'!AM121</f>
        <v>31.434671641552562</v>
      </c>
      <c r="AN132" s="931">
        <f>'Cost Allocation - Tier 1 (2)'!AN121</f>
        <v>194.78912379542891</v>
      </c>
      <c r="AO132" s="931">
        <f>'Cost Allocation - Tier 1 (2)'!AO121</f>
        <v>1202.8493584985908</v>
      </c>
      <c r="AP132" s="931">
        <f>'Cost Allocation - Tier 1 (2)'!AP121</f>
        <v>180.46840747155503</v>
      </c>
      <c r="AQ132" s="931">
        <f>'Cost Allocation - Tier 1 (2)'!AQ121</f>
        <v>2382.6171066987908</v>
      </c>
      <c r="AR132" s="931">
        <f>'Cost Allocation - Tier 1 (2)'!AR121</f>
        <v>0.73419750376698278</v>
      </c>
      <c r="AS132" s="931">
        <f>'Cost Allocation - Tier 1 (2)'!AS121</f>
        <v>3414.9432758128696</v>
      </c>
      <c r="AT132" s="931">
        <f>'Cost Allocation - Tier 1 (2)'!AT121</f>
        <v>3047.7408869967353</v>
      </c>
      <c r="AU132" s="931">
        <f>'Cost Allocation - Tier 1 (2)'!AU121</f>
        <v>3521.9543736554101</v>
      </c>
      <c r="AV132" s="931">
        <f>'Cost Allocation - Tier 1 (2)'!AV121</f>
        <v>5426.4049868218572</v>
      </c>
      <c r="AW132" s="931">
        <f>'Cost Allocation - Tier 1 (2)'!AW121</f>
        <v>13418.83276505544</v>
      </c>
      <c r="AX132" s="931">
        <f>'Cost Allocation - Tier 1 (2)'!AX121</f>
        <v>15.575156329912208</v>
      </c>
      <c r="AY132" s="931">
        <f>'Cost Allocation - Tier 1 (2)'!AY121</f>
        <v>0</v>
      </c>
      <c r="AZ132" s="931">
        <f>'Cost Allocation - Tier 1 (2)'!AZ121</f>
        <v>0</v>
      </c>
      <c r="BA132" s="931">
        <f>'Cost Allocation - Tier 1 (2)'!BA121</f>
        <v>0</v>
      </c>
      <c r="BB132" s="931">
        <f>'Cost Allocation - Tier 1 (2)'!BB121</f>
        <v>0</v>
      </c>
      <c r="BC132" s="688">
        <f>'Cost Allocation - Tier 1 (2)'!BC121</f>
        <v>0</v>
      </c>
      <c r="BD132" s="778">
        <f>'Cost Allocation - Tier 1 (2)'!BD121</f>
        <v>0</v>
      </c>
      <c r="BE132" s="778">
        <f>'Cost Allocation - Tier 1 (2)'!BE121</f>
        <v>0</v>
      </c>
      <c r="BF132" s="778">
        <f>'Cost Allocation - Tier 1 (2)'!BF121</f>
        <v>0</v>
      </c>
      <c r="BG132" s="778">
        <f>'Cost Allocation - Tier 1 (2)'!BG121</f>
        <v>0</v>
      </c>
      <c r="BH132" s="778">
        <f>'Cost Allocation - Tier 1 (2)'!BH121</f>
        <v>0</v>
      </c>
      <c r="BI132" s="778">
        <f>'Cost Allocation - Tier 1 (2)'!BI121</f>
        <v>0</v>
      </c>
      <c r="BJ132" s="778">
        <f>'Cost Allocation - Tier 1 (2)'!BJ121</f>
        <v>0</v>
      </c>
      <c r="BK132" s="778">
        <f>'Cost Allocation - Tier 1 (2)'!BK121</f>
        <v>0</v>
      </c>
      <c r="BL132" s="76">
        <f t="shared" si="62"/>
        <v>47108.034908215486</v>
      </c>
      <c r="BM132" s="76">
        <f t="shared" si="63"/>
        <v>0</v>
      </c>
    </row>
    <row r="133" spans="1:65" s="855" customFormat="1" x14ac:dyDescent="0.25">
      <c r="A133" s="954" t="str">
        <f>'Cost Allocation - Tier 1 (2)'!A122</f>
        <v>Total Shared Services including mark ups</v>
      </c>
      <c r="B133" s="954"/>
      <c r="C133" s="954"/>
      <c r="D133" s="955">
        <f t="shared" ref="D133:BB133" si="64">SUM(D130:D132)</f>
        <v>1213078</v>
      </c>
      <c r="E133" s="955">
        <f t="shared" si="64"/>
        <v>912637.67679807416</v>
      </c>
      <c r="F133" s="955">
        <f t="shared" si="64"/>
        <v>0</v>
      </c>
      <c r="G133" s="955">
        <f t="shared" si="64"/>
        <v>960129.58170328033</v>
      </c>
      <c r="H133" s="955">
        <f t="shared" si="64"/>
        <v>0</v>
      </c>
      <c r="I133" s="956">
        <f t="shared" si="64"/>
        <v>926661.21036403603</v>
      </c>
      <c r="J133" s="957">
        <f t="shared" si="64"/>
        <v>7456.5694797446322</v>
      </c>
      <c r="K133" s="957">
        <f t="shared" si="64"/>
        <v>2062.0406708597075</v>
      </c>
      <c r="L133" s="957">
        <f t="shared" si="64"/>
        <v>2076.6383224104602</v>
      </c>
      <c r="M133" s="957">
        <f t="shared" si="64"/>
        <v>2373.344840962513</v>
      </c>
      <c r="N133" s="957">
        <f t="shared" si="64"/>
        <v>3672.1648854349401</v>
      </c>
      <c r="O133" s="957">
        <f t="shared" si="64"/>
        <v>9032.2458998496841</v>
      </c>
      <c r="P133" s="957">
        <f t="shared" si="64"/>
        <v>1114.9567883957723</v>
      </c>
      <c r="Q133" s="957">
        <f t="shared" si="64"/>
        <v>3036.246684574347</v>
      </c>
      <c r="R133" s="957">
        <f t="shared" si="64"/>
        <v>2619.7450189537694</v>
      </c>
      <c r="S133" s="957">
        <f t="shared" si="64"/>
        <v>2675.8358259146926</v>
      </c>
      <c r="T133" s="957">
        <f t="shared" si="64"/>
        <v>9815.3774712203831</v>
      </c>
      <c r="U133" s="957">
        <f t="shared" si="64"/>
        <v>7797.2573109193181</v>
      </c>
      <c r="V133" s="957">
        <f t="shared" si="64"/>
        <v>5826.3524078928149</v>
      </c>
      <c r="W133" s="957">
        <f t="shared" si="64"/>
        <v>9468.2908835217531</v>
      </c>
      <c r="X133" s="957">
        <f t="shared" si="64"/>
        <v>229.30896281118967</v>
      </c>
      <c r="Y133" s="957">
        <f t="shared" si="64"/>
        <v>171.5607373134097</v>
      </c>
      <c r="Z133" s="957">
        <f t="shared" si="64"/>
        <v>777.52716327741939</v>
      </c>
      <c r="AA133" s="957">
        <f t="shared" si="64"/>
        <v>698.70926553785648</v>
      </c>
      <c r="AB133" s="957">
        <f t="shared" si="64"/>
        <v>414.2178625989539</v>
      </c>
      <c r="AC133" s="957">
        <f t="shared" si="64"/>
        <v>463.62627332102556</v>
      </c>
      <c r="AD133" s="957">
        <f t="shared" si="64"/>
        <v>2907.4448235807099</v>
      </c>
      <c r="AE133" s="957">
        <f t="shared" si="64"/>
        <v>1109.7250102622374</v>
      </c>
      <c r="AF133" s="957">
        <f t="shared" si="64"/>
        <v>2900.4035256098127</v>
      </c>
      <c r="AG133" s="957">
        <f t="shared" si="64"/>
        <v>9648.2734602939272</v>
      </c>
      <c r="AH133" s="957">
        <f t="shared" si="64"/>
        <v>69107.624923597497</v>
      </c>
      <c r="AI133" s="957">
        <f t="shared" si="64"/>
        <v>550.50109989613964</v>
      </c>
      <c r="AJ133" s="957">
        <f t="shared" si="64"/>
        <v>11763.506416562937</v>
      </c>
      <c r="AK133" s="957">
        <f t="shared" si="64"/>
        <v>9840.3590007994262</v>
      </c>
      <c r="AL133" s="957">
        <f t="shared" si="64"/>
        <v>0</v>
      </c>
      <c r="AM133" s="957">
        <f t="shared" si="64"/>
        <v>1024.2760720384592</v>
      </c>
      <c r="AN133" s="957">
        <f t="shared" si="64"/>
        <v>1778.2683095107566</v>
      </c>
      <c r="AO133" s="957">
        <f t="shared" si="64"/>
        <v>12077.556372572537</v>
      </c>
      <c r="AP133" s="957">
        <f t="shared" si="64"/>
        <v>1779.1998365513502</v>
      </c>
      <c r="AQ133" s="957">
        <f t="shared" si="64"/>
        <v>11389.273627747767</v>
      </c>
      <c r="AR133" s="957">
        <f t="shared" si="64"/>
        <v>27.270721577637413</v>
      </c>
      <c r="AS133" s="957">
        <f t="shared" si="64"/>
        <v>16681.197594396814</v>
      </c>
      <c r="AT133" s="957">
        <f t="shared" si="64"/>
        <v>14070.414202646421</v>
      </c>
      <c r="AU133" s="957">
        <f t="shared" si="64"/>
        <v>18886.772657040958</v>
      </c>
      <c r="AV133" s="957">
        <f t="shared" si="64"/>
        <v>27028.845179855336</v>
      </c>
      <c r="AW133" s="957">
        <f t="shared" si="64"/>
        <v>68739.283265957434</v>
      </c>
      <c r="AX133" s="957">
        <f t="shared" si="64"/>
        <v>578.51701976913466</v>
      </c>
      <c r="AY133" s="957">
        <f t="shared" si="64"/>
        <v>153727.9562537974</v>
      </c>
      <c r="AZ133" s="957">
        <f t="shared" si="64"/>
        <v>5080.698143202575</v>
      </c>
      <c r="BA133" s="957">
        <f t="shared" si="64"/>
        <v>88940.438601656671</v>
      </c>
      <c r="BB133" s="957">
        <f t="shared" si="64"/>
        <v>325241.38748959743</v>
      </c>
      <c r="BC133" s="956">
        <f>SUM(BC130:BC132)</f>
        <v>0</v>
      </c>
      <c r="BD133" s="955">
        <f>SUM(BD130:BD132)</f>
        <v>0</v>
      </c>
      <c r="BE133" s="955">
        <f t="shared" ref="BE133:BK133" si="65">SUM(BE130:BE132)</f>
        <v>0</v>
      </c>
      <c r="BF133" s="955">
        <f t="shared" si="65"/>
        <v>0</v>
      </c>
      <c r="BG133" s="955">
        <f t="shared" si="65"/>
        <v>0</v>
      </c>
      <c r="BH133" s="955">
        <f t="shared" si="65"/>
        <v>0</v>
      </c>
      <c r="BI133" s="955">
        <f t="shared" si="65"/>
        <v>0</v>
      </c>
      <c r="BJ133" s="955">
        <f t="shared" si="65"/>
        <v>0</v>
      </c>
      <c r="BK133" s="955">
        <f t="shared" si="65"/>
        <v>0</v>
      </c>
      <c r="BL133" s="76">
        <f t="shared" si="62"/>
        <v>926661.21036403603</v>
      </c>
      <c r="BM133" s="76">
        <f t="shared" si="63"/>
        <v>-33468.371339244302</v>
      </c>
    </row>
    <row r="134" spans="1:65" x14ac:dyDescent="0.25">
      <c r="A134" s="1"/>
      <c r="B134" s="1"/>
      <c r="C134" s="1"/>
      <c r="D134" s="698"/>
      <c r="E134" s="698"/>
      <c r="F134" s="698"/>
      <c r="G134" s="698"/>
      <c r="H134" s="698"/>
      <c r="I134" s="688"/>
      <c r="J134" s="942"/>
      <c r="K134" s="942"/>
      <c r="L134" s="942"/>
      <c r="M134" s="942"/>
      <c r="N134" s="942"/>
      <c r="O134" s="942"/>
      <c r="P134" s="942"/>
      <c r="Q134" s="942"/>
      <c r="R134" s="942"/>
      <c r="S134" s="942"/>
      <c r="T134" s="942"/>
      <c r="U134" s="942"/>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2"/>
      <c r="AX134" s="942"/>
      <c r="AY134" s="942"/>
      <c r="AZ134" s="942"/>
      <c r="BA134" s="942"/>
      <c r="BB134" s="942"/>
      <c r="BC134" s="688"/>
      <c r="BD134" s="698"/>
      <c r="BE134" s="698"/>
      <c r="BF134" s="698"/>
      <c r="BG134" s="698"/>
      <c r="BH134" s="698"/>
      <c r="BI134" s="698"/>
      <c r="BJ134" s="698"/>
      <c r="BK134" s="698"/>
      <c r="BL134" s="698"/>
      <c r="BM134" s="698"/>
    </row>
    <row r="135" spans="1:65" x14ac:dyDescent="0.25">
      <c r="A135" s="1"/>
      <c r="B135" s="1"/>
      <c r="C135" s="1"/>
      <c r="D135" s="698"/>
      <c r="E135" s="698"/>
      <c r="F135" s="698"/>
      <c r="G135" s="698"/>
      <c r="H135" s="698"/>
      <c r="I135" s="688"/>
      <c r="J135" s="942"/>
      <c r="K135" s="942"/>
      <c r="L135" s="942"/>
      <c r="M135" s="942"/>
      <c r="N135" s="942"/>
      <c r="O135" s="942"/>
      <c r="P135" s="942"/>
      <c r="Q135" s="942"/>
      <c r="R135" s="942"/>
      <c r="S135" s="942"/>
      <c r="T135" s="942"/>
      <c r="U135" s="942"/>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2"/>
      <c r="AX135" s="942"/>
      <c r="AY135" s="942"/>
      <c r="AZ135" s="942"/>
      <c r="BA135" s="942"/>
      <c r="BB135" s="942"/>
      <c r="BC135" s="688"/>
      <c r="BD135" s="698"/>
      <c r="BE135" s="698"/>
      <c r="BF135" s="698"/>
      <c r="BG135" s="698"/>
      <c r="BH135" s="698"/>
      <c r="BI135" s="698"/>
      <c r="BJ135" s="698"/>
      <c r="BK135" s="698"/>
      <c r="BL135" s="698"/>
      <c r="BM135" s="698"/>
    </row>
    <row r="136" spans="1:65" x14ac:dyDescent="0.25">
      <c r="A136" s="1"/>
      <c r="B136" s="1"/>
      <c r="C136" s="1"/>
      <c r="D136" s="698"/>
      <c r="E136" s="698"/>
      <c r="F136" s="698"/>
      <c r="G136" s="698"/>
      <c r="H136" s="698"/>
      <c r="I136" s="688"/>
      <c r="J136" s="942"/>
      <c r="K136" s="942"/>
      <c r="L136" s="942"/>
      <c r="M136" s="942"/>
      <c r="N136" s="942"/>
      <c r="O136" s="942"/>
      <c r="P136" s="942"/>
      <c r="Q136" s="942"/>
      <c r="R136" s="942"/>
      <c r="S136" s="942"/>
      <c r="T136" s="942"/>
      <c r="U136" s="942"/>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2"/>
      <c r="AX136" s="942"/>
      <c r="AY136" s="942"/>
      <c r="AZ136" s="942"/>
      <c r="BA136" s="942"/>
      <c r="BB136" s="942"/>
      <c r="BC136" s="688"/>
      <c r="BD136" s="698"/>
      <c r="BE136" s="698"/>
      <c r="BF136" s="698"/>
      <c r="BG136" s="698"/>
      <c r="BH136" s="698"/>
      <c r="BI136" s="698"/>
      <c r="BJ136" s="698"/>
      <c r="BK136" s="698"/>
      <c r="BL136" s="698"/>
      <c r="BM136" s="698"/>
    </row>
    <row r="137" spans="1:65" s="938" customFormat="1" ht="15.75" thickBot="1" x14ac:dyDescent="0.3">
      <c r="A137" s="933" t="str">
        <f>'Cost Allocation - Tier 1 (2)'!A126</f>
        <v>Total Costs Allocated including mark up</v>
      </c>
      <c r="B137" s="933"/>
      <c r="C137" s="933"/>
      <c r="D137" s="934">
        <f t="shared" ref="D137:BK137" si="66">D133+D127+D108</f>
        <v>6438973.6047999989</v>
      </c>
      <c r="E137" s="934">
        <f t="shared" si="66"/>
        <v>4844247.37044839</v>
      </c>
      <c r="F137" s="934">
        <f t="shared" si="66"/>
        <v>660944.17694854049</v>
      </c>
      <c r="G137" s="934">
        <f t="shared" si="66"/>
        <v>5035588.2101936005</v>
      </c>
      <c r="H137" s="934">
        <f t="shared" si="66"/>
        <v>28660.563647306648</v>
      </c>
      <c r="I137" s="935">
        <f t="shared" si="66"/>
        <v>3209935.382902137</v>
      </c>
      <c r="J137" s="936">
        <f t="shared" si="66"/>
        <v>31721.655833118301</v>
      </c>
      <c r="K137" s="936">
        <f t="shared" si="66"/>
        <v>8557.2229364106588</v>
      </c>
      <c r="L137" s="936">
        <f t="shared" si="66"/>
        <v>8481.4439550324405</v>
      </c>
      <c r="M137" s="936">
        <f t="shared" si="66"/>
        <v>10316.157231747555</v>
      </c>
      <c r="N137" s="936">
        <f t="shared" si="66"/>
        <v>15314.748859518957</v>
      </c>
      <c r="O137" s="936">
        <f t="shared" si="66"/>
        <v>40407.365814733785</v>
      </c>
      <c r="P137" s="936">
        <f t="shared" si="66"/>
        <v>5046.3869250909493</v>
      </c>
      <c r="Q137" s="936">
        <f t="shared" si="66"/>
        <v>13957.839079267093</v>
      </c>
      <c r="R137" s="936">
        <f t="shared" si="66"/>
        <v>12100.035212184659</v>
      </c>
      <c r="S137" s="936">
        <f t="shared" si="66"/>
        <v>12311.465743404784</v>
      </c>
      <c r="T137" s="936">
        <f t="shared" si="66"/>
        <v>45466.986730766053</v>
      </c>
      <c r="U137" s="936">
        <f t="shared" si="66"/>
        <v>36022.182906057118</v>
      </c>
      <c r="V137" s="936">
        <f t="shared" si="66"/>
        <v>22470.540909030504</v>
      </c>
      <c r="W137" s="936">
        <f t="shared" si="66"/>
        <v>36568.29817894187</v>
      </c>
      <c r="X137" s="936">
        <f t="shared" si="66"/>
        <v>1080.1971628132555</v>
      </c>
      <c r="Y137" s="936">
        <f t="shared" si="66"/>
        <v>789.05178290295657</v>
      </c>
      <c r="Z137" s="936">
        <f t="shared" si="66"/>
        <v>3463.6130095904332</v>
      </c>
      <c r="AA137" s="936">
        <f t="shared" si="66"/>
        <v>3084.8483095809015</v>
      </c>
      <c r="AB137" s="936">
        <f t="shared" si="66"/>
        <v>1814.3859777084458</v>
      </c>
      <c r="AC137" s="936">
        <f t="shared" si="66"/>
        <v>2125.9708308333916</v>
      </c>
      <c r="AD137" s="936">
        <f t="shared" si="66"/>
        <v>13934.70680594556</v>
      </c>
      <c r="AE137" s="936">
        <f t="shared" si="66"/>
        <v>5207.6090190610548</v>
      </c>
      <c r="AF137" s="936">
        <f t="shared" si="66"/>
        <v>31269.146809572885</v>
      </c>
      <c r="AG137" s="936">
        <f t="shared" si="66"/>
        <v>30827.481281387703</v>
      </c>
      <c r="AH137" s="936">
        <f t="shared" si="66"/>
        <v>302653.67539578583</v>
      </c>
      <c r="AI137" s="936">
        <f t="shared" si="66"/>
        <v>2666.7808909735286</v>
      </c>
      <c r="AJ137" s="936">
        <f t="shared" si="66"/>
        <v>120359.24454315758</v>
      </c>
      <c r="AK137" s="936">
        <f t="shared" si="66"/>
        <v>102524.19246108772</v>
      </c>
      <c r="AL137" s="936">
        <f t="shared" si="66"/>
        <v>0</v>
      </c>
      <c r="AM137" s="936">
        <f t="shared" si="66"/>
        <v>4577.2268831472784</v>
      </c>
      <c r="AN137" s="936">
        <f t="shared" si="66"/>
        <v>20260.650995618471</v>
      </c>
      <c r="AO137" s="936">
        <f t="shared" si="66"/>
        <v>125055.61792638496</v>
      </c>
      <c r="AP137" s="936">
        <f t="shared" si="66"/>
        <v>18764.302916397457</v>
      </c>
      <c r="AQ137" s="936">
        <f t="shared" si="66"/>
        <v>37033.93514414216</v>
      </c>
      <c r="AR137" s="936">
        <f t="shared" si="66"/>
        <v>117.16671206062014</v>
      </c>
      <c r="AS137" s="936">
        <f t="shared" si="66"/>
        <v>54677.237001820627</v>
      </c>
      <c r="AT137" s="936">
        <f t="shared" si="66"/>
        <v>45144.370280194074</v>
      </c>
      <c r="AU137" s="936">
        <f t="shared" si="66"/>
        <v>63956.205968138383</v>
      </c>
      <c r="AV137" s="936">
        <f t="shared" si="66"/>
        <v>89182.737655889243</v>
      </c>
      <c r="AW137" s="936">
        <f t="shared" si="66"/>
        <v>229127.74159349926</v>
      </c>
      <c r="AX137" s="936">
        <f t="shared" si="66"/>
        <v>2485.5571527319535</v>
      </c>
      <c r="AY137" s="936">
        <f t="shared" si="66"/>
        <v>423239.23548303568</v>
      </c>
      <c r="AZ137" s="936">
        <f t="shared" si="66"/>
        <v>14394.181314537314</v>
      </c>
      <c r="BA137" s="936">
        <f t="shared" si="66"/>
        <v>251227.32018263877</v>
      </c>
      <c r="BB137" s="936">
        <f t="shared" si="66"/>
        <v>910148.66109619522</v>
      </c>
      <c r="BC137" s="935">
        <f>BC133+BC127+BC108</f>
        <v>1709303.3895408027</v>
      </c>
      <c r="BD137" s="936">
        <f t="shared" si="66"/>
        <v>276368.39409517328</v>
      </c>
      <c r="BE137" s="936">
        <f t="shared" si="66"/>
        <v>256907.7569345446</v>
      </c>
      <c r="BF137" s="936">
        <f t="shared" si="66"/>
        <v>145110.6301165375</v>
      </c>
      <c r="BG137" s="936">
        <f t="shared" si="66"/>
        <v>325191.10940340924</v>
      </c>
      <c r="BH137" s="936">
        <f t="shared" si="66"/>
        <v>243491.0382989193</v>
      </c>
      <c r="BI137" s="936">
        <f t="shared" si="66"/>
        <v>159915.54756882577</v>
      </c>
      <c r="BJ137" s="936">
        <f t="shared" si="66"/>
        <v>50739.159433270739</v>
      </c>
      <c r="BK137" s="936">
        <f t="shared" si="66"/>
        <v>251579.75369012251</v>
      </c>
      <c r="BL137" s="76">
        <f t="shared" ref="BL137" si="67">BC137+I137+H137</f>
        <v>4947899.3360902462</v>
      </c>
      <c r="BM137" s="76">
        <f t="shared" ref="BM137" si="68">BL137-G137</f>
        <v>-87688.87410335429</v>
      </c>
    </row>
    <row r="138" spans="1:65" x14ac:dyDescent="0.25">
      <c r="A138" s="1"/>
      <c r="B138" s="1"/>
      <c r="C138" s="1"/>
      <c r="D138" s="698"/>
      <c r="E138" s="698"/>
      <c r="F138" s="698"/>
      <c r="G138" s="698"/>
      <c r="H138" s="888">
        <f>'Cost Allocation - Tier 1 (2)'!H127</f>
        <v>5.7924710469056924E-3</v>
      </c>
      <c r="I138" s="692">
        <f>'Cost Allocation - Tier 1 (2)'!I127</f>
        <v>0.64874710758335252</v>
      </c>
      <c r="J138" s="752"/>
      <c r="K138" s="752"/>
      <c r="L138" s="752"/>
      <c r="M138" s="752"/>
      <c r="N138" s="752"/>
      <c r="O138" s="752"/>
      <c r="P138" s="752"/>
      <c r="Q138" s="752"/>
      <c r="R138" s="752"/>
      <c r="S138" s="752"/>
      <c r="T138" s="752"/>
      <c r="U138" s="752"/>
      <c r="V138" s="752"/>
      <c r="W138" s="752"/>
      <c r="X138" s="752"/>
      <c r="Y138" s="752"/>
      <c r="Z138" s="752"/>
      <c r="AA138" s="752"/>
      <c r="AB138" s="752"/>
      <c r="AC138" s="752"/>
      <c r="AD138" s="752"/>
      <c r="AE138" s="752"/>
      <c r="AF138" s="752"/>
      <c r="AG138" s="752"/>
      <c r="AH138" s="752"/>
      <c r="AI138" s="752"/>
      <c r="AJ138" s="752"/>
      <c r="AK138" s="752"/>
      <c r="AL138" s="752"/>
      <c r="AM138" s="752"/>
      <c r="AN138" s="752"/>
      <c r="AO138" s="752"/>
      <c r="AP138" s="752"/>
      <c r="AQ138" s="752"/>
      <c r="AR138" s="752"/>
      <c r="AS138" s="752"/>
      <c r="AT138" s="752"/>
      <c r="AU138" s="752"/>
      <c r="AV138" s="752"/>
      <c r="AW138" s="752"/>
      <c r="AX138" s="752"/>
      <c r="AY138" s="752"/>
      <c r="AZ138" s="752"/>
      <c r="BA138" s="752"/>
      <c r="BB138" s="752"/>
      <c r="BC138" s="692">
        <f>'Cost Allocation - Tier 1 (2)'!BC127</f>
        <v>0.34546042136974187</v>
      </c>
      <c r="BD138" s="888"/>
      <c r="BE138" s="888"/>
      <c r="BF138" s="888"/>
      <c r="BG138" s="888"/>
      <c r="BH138" s="888"/>
      <c r="BI138" s="888"/>
      <c r="BJ138" s="888"/>
      <c r="BK138" s="888"/>
      <c r="BL138" s="888">
        <f>'Cost Allocation - Tier 1 (2)'!BL127</f>
        <v>1</v>
      </c>
      <c r="BM138" s="888">
        <f>'Cost Allocation - Tier 1 (2)'!BM127</f>
        <v>0</v>
      </c>
    </row>
    <row r="139" spans="1:65" x14ac:dyDescent="0.25">
      <c r="A139" s="1"/>
      <c r="B139" s="1"/>
      <c r="C139" s="1"/>
      <c r="D139" s="698"/>
      <c r="E139" s="698"/>
      <c r="F139" s="698"/>
      <c r="G139" s="698"/>
      <c r="H139" s="698"/>
      <c r="I139" s="688"/>
      <c r="J139" s="942"/>
      <c r="K139" s="942"/>
      <c r="L139" s="942"/>
      <c r="M139" s="942"/>
      <c r="N139" s="942"/>
      <c r="O139" s="942"/>
      <c r="P139" s="942"/>
      <c r="Q139" s="942"/>
      <c r="R139" s="942"/>
      <c r="S139" s="942"/>
      <c r="T139" s="942"/>
      <c r="U139" s="942"/>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c r="AV139" s="942"/>
      <c r="AW139" s="942"/>
      <c r="AX139" s="942"/>
      <c r="AY139" s="942"/>
      <c r="AZ139" s="942"/>
      <c r="BA139" s="942"/>
      <c r="BB139" s="942"/>
      <c r="BC139" s="688"/>
      <c r="BD139" s="698"/>
      <c r="BE139" s="698"/>
      <c r="BF139" s="698"/>
      <c r="BG139" s="698"/>
      <c r="BH139" s="698"/>
      <c r="BI139" s="698"/>
      <c r="BJ139" s="698"/>
      <c r="BK139" s="698"/>
      <c r="BL139" s="698"/>
      <c r="BM139" s="698"/>
    </row>
    <row r="140" spans="1:65" x14ac:dyDescent="0.25">
      <c r="A140" s="1" t="str">
        <f>'Cost Allocation - Tier 1 (2)'!A129</f>
        <v>Without markup</v>
      </c>
      <c r="B140" s="1"/>
      <c r="C140" s="1"/>
      <c r="D140" s="698">
        <f>D62</f>
        <v>6438973.6047999989</v>
      </c>
      <c r="E140" s="698">
        <f>E62</f>
        <v>4844247.37044839</v>
      </c>
      <c r="F140" s="698">
        <f>F21</f>
        <v>660944.17694854049</v>
      </c>
      <c r="G140" s="698">
        <f>E140</f>
        <v>4844247.37044839</v>
      </c>
      <c r="H140" s="698">
        <f>H62</f>
        <v>27548.856455010533</v>
      </c>
      <c r="I140" s="688">
        <f>I62</f>
        <v>3176132.2046179175</v>
      </c>
      <c r="J140" s="698">
        <f t="shared" ref="J140:BK140" si="69">J62</f>
        <v>31686.435988568737</v>
      </c>
      <c r="K140" s="698">
        <f t="shared" si="69"/>
        <v>8546.8428692607522</v>
      </c>
      <c r="L140" s="698">
        <f t="shared" si="69"/>
        <v>8470.5844367680056</v>
      </c>
      <c r="M140" s="698">
        <f t="shared" si="69"/>
        <v>10305.600641088527</v>
      </c>
      <c r="N140" s="698">
        <f t="shared" si="69"/>
        <v>15296.48900265585</v>
      </c>
      <c r="O140" s="698">
        <f t="shared" si="69"/>
        <v>40365.300010573796</v>
      </c>
      <c r="P140" s="698">
        <f t="shared" si="69"/>
        <v>5041.2886041228285</v>
      </c>
      <c r="Q140" s="698">
        <f t="shared" si="69"/>
        <v>13944.303422018018</v>
      </c>
      <c r="R140" s="698">
        <f t="shared" si="69"/>
        <v>12088.44819188488</v>
      </c>
      <c r="S140" s="698">
        <f t="shared" si="69"/>
        <v>12299.553699288159</v>
      </c>
      <c r="T140" s="698">
        <f t="shared" si="69"/>
        <v>45423.786717032694</v>
      </c>
      <c r="U140" s="698">
        <f t="shared" si="69"/>
        <v>35987.709437096382</v>
      </c>
      <c r="V140" s="698">
        <f t="shared" si="69"/>
        <v>22443.288080094029</v>
      </c>
      <c r="W140" s="698">
        <f t="shared" si="69"/>
        <v>36524.535773680684</v>
      </c>
      <c r="X140" s="698">
        <f t="shared" si="69"/>
        <v>1079.120190275594</v>
      </c>
      <c r="Y140" s="698">
        <f t="shared" si="69"/>
        <v>788.20626112447519</v>
      </c>
      <c r="Z140" s="698">
        <f t="shared" si="69"/>
        <v>3459.5470886382473</v>
      </c>
      <c r="AA140" s="698">
        <f t="shared" si="69"/>
        <v>3081.1370003160432</v>
      </c>
      <c r="AB140" s="698">
        <f t="shared" si="69"/>
        <v>1812.1557998743467</v>
      </c>
      <c r="AC140" s="698">
        <f t="shared" si="69"/>
        <v>2123.6726457079058</v>
      </c>
      <c r="AD140" s="698">
        <f t="shared" si="69"/>
        <v>13921.54840946506</v>
      </c>
      <c r="AE140" s="698">
        <f t="shared" si="69"/>
        <v>5202.3556123258677</v>
      </c>
      <c r="AF140" s="698">
        <f t="shared" si="69"/>
        <v>31255.446437008297</v>
      </c>
      <c r="AG140" s="698">
        <f t="shared" si="69"/>
        <v>30784.49945368306</v>
      </c>
      <c r="AH140" s="698">
        <f t="shared" si="69"/>
        <v>302307.63767774508</v>
      </c>
      <c r="AI140" s="698">
        <f t="shared" si="69"/>
        <v>2664.3484598436662</v>
      </c>
      <c r="AJ140" s="698">
        <f t="shared" si="69"/>
        <v>120307.50580991061</v>
      </c>
      <c r="AK140" s="698">
        <f t="shared" si="69"/>
        <v>102479.82141452201</v>
      </c>
      <c r="AL140" s="698">
        <f t="shared" si="69"/>
        <v>0</v>
      </c>
      <c r="AM140" s="698">
        <f t="shared" si="69"/>
        <v>4571.9006710548674</v>
      </c>
      <c r="AN140" s="698">
        <f t="shared" si="69"/>
        <v>20251.606080295409</v>
      </c>
      <c r="AO140" s="698">
        <f t="shared" si="69"/>
        <v>125001.61954606257</v>
      </c>
      <c r="AP140" s="698">
        <f t="shared" si="69"/>
        <v>18756.145746931586</v>
      </c>
      <c r="AQ140" s="698">
        <f t="shared" si="69"/>
        <v>36982.491807172592</v>
      </c>
      <c r="AR140" s="698">
        <f t="shared" si="69"/>
        <v>117.01512712759512</v>
      </c>
      <c r="AS140" s="698">
        <f t="shared" si="69"/>
        <v>54601.476803428493</v>
      </c>
      <c r="AT140" s="698">
        <f t="shared" si="69"/>
        <v>45081.394591363001</v>
      </c>
      <c r="AU140" s="698">
        <f t="shared" si="69"/>
        <v>63868.590139517539</v>
      </c>
      <c r="AV140" s="698">
        <f t="shared" si="69"/>
        <v>89059.328680737235</v>
      </c>
      <c r="AW140" s="698">
        <f t="shared" si="69"/>
        <v>228811.94100553083</v>
      </c>
      <c r="AX140" s="698">
        <f t="shared" si="69"/>
        <v>2482.3414525736025</v>
      </c>
      <c r="AY140" s="698">
        <f t="shared" si="69"/>
        <v>403422.1253013229</v>
      </c>
      <c r="AZ140" s="698">
        <f t="shared" si="69"/>
        <v>13734.802634813954</v>
      </c>
      <c r="BA140" s="698">
        <f t="shared" si="69"/>
        <v>239549.59479921655</v>
      </c>
      <c r="BB140" s="698">
        <f t="shared" si="69"/>
        <v>910148.66109619522</v>
      </c>
      <c r="BC140" s="688">
        <f>BC62</f>
        <v>1640566.3093754631</v>
      </c>
      <c r="BD140" s="698">
        <f t="shared" si="69"/>
        <v>265418.80299123481</v>
      </c>
      <c r="BE140" s="698">
        <f t="shared" si="69"/>
        <v>246729.18749619363</v>
      </c>
      <c r="BF140" s="698">
        <f t="shared" si="69"/>
        <v>139361.41241089863</v>
      </c>
      <c r="BG140" s="698">
        <f t="shared" si="69"/>
        <v>312307.1843429436</v>
      </c>
      <c r="BH140" s="698">
        <f t="shared" si="69"/>
        <v>233844.03320061401</v>
      </c>
      <c r="BI140" s="698">
        <f t="shared" si="69"/>
        <v>153579.76571224324</v>
      </c>
      <c r="BJ140" s="698">
        <f t="shared" si="69"/>
        <v>48728.896825019918</v>
      </c>
      <c r="BK140" s="698">
        <f t="shared" si="69"/>
        <v>240597.02639631496</v>
      </c>
      <c r="BL140" s="76">
        <f t="shared" ref="BL140" si="70">BC140+I140+H140</f>
        <v>4844247.370448391</v>
      </c>
      <c r="BM140" s="76">
        <f>BL140-G140</f>
        <v>0</v>
      </c>
    </row>
    <row r="141" spans="1:65" x14ac:dyDescent="0.25">
      <c r="A141" s="1" t="str">
        <f>'Cost Allocation - Tier 1 (2)'!A130</f>
        <v>Delta = markup</v>
      </c>
      <c r="B141" s="1"/>
      <c r="C141" s="1"/>
      <c r="D141" s="698">
        <f t="shared" ref="D141:BK141" si="71">D137-D140</f>
        <v>0</v>
      </c>
      <c r="E141" s="698">
        <f t="shared" si="71"/>
        <v>0</v>
      </c>
      <c r="F141" s="698">
        <f t="shared" si="71"/>
        <v>0</v>
      </c>
      <c r="G141" s="698">
        <f t="shared" si="71"/>
        <v>191340.83974521048</v>
      </c>
      <c r="H141" s="698">
        <f t="shared" si="71"/>
        <v>1111.707192296115</v>
      </c>
      <c r="I141" s="688">
        <f t="shared" si="71"/>
        <v>33803.178284219466</v>
      </c>
      <c r="J141" s="698">
        <f t="shared" si="71"/>
        <v>35.219844549563277</v>
      </c>
      <c r="K141" s="698">
        <f t="shared" si="71"/>
        <v>10.380067149906608</v>
      </c>
      <c r="L141" s="698">
        <f t="shared" si="71"/>
        <v>10.859518264434882</v>
      </c>
      <c r="M141" s="698">
        <f t="shared" si="71"/>
        <v>10.556590659027279</v>
      </c>
      <c r="N141" s="698">
        <f t="shared" si="71"/>
        <v>18.259856863107416</v>
      </c>
      <c r="O141" s="698">
        <f t="shared" si="71"/>
        <v>42.065804159989057</v>
      </c>
      <c r="P141" s="698">
        <f t="shared" si="71"/>
        <v>5.0983209681207882</v>
      </c>
      <c r="Q141" s="698">
        <f t="shared" si="71"/>
        <v>13.535657249074575</v>
      </c>
      <c r="R141" s="698">
        <f t="shared" si="71"/>
        <v>11.587020299779397</v>
      </c>
      <c r="S141" s="698">
        <f t="shared" si="71"/>
        <v>11.912044116625111</v>
      </c>
      <c r="T141" s="698">
        <f t="shared" si="71"/>
        <v>43.20001373335981</v>
      </c>
      <c r="U141" s="698">
        <f t="shared" si="71"/>
        <v>34.473468960735772</v>
      </c>
      <c r="V141" s="698">
        <f t="shared" si="71"/>
        <v>27.252828936474543</v>
      </c>
      <c r="W141" s="698">
        <f t="shared" si="71"/>
        <v>43.762405261186359</v>
      </c>
      <c r="X141" s="698">
        <f t="shared" si="71"/>
        <v>1.0769725376615042</v>
      </c>
      <c r="Y141" s="698">
        <f t="shared" si="71"/>
        <v>0.84552177848138399</v>
      </c>
      <c r="Z141" s="698">
        <f t="shared" si="71"/>
        <v>4.0659209521859339</v>
      </c>
      <c r="AA141" s="698">
        <f t="shared" si="71"/>
        <v>3.7113092648583006</v>
      </c>
      <c r="AB141" s="698">
        <f t="shared" si="71"/>
        <v>2.230177834099095</v>
      </c>
      <c r="AC141" s="698">
        <f t="shared" si="71"/>
        <v>2.2981851254858157</v>
      </c>
      <c r="AD141" s="698">
        <f t="shared" si="71"/>
        <v>13.158396480499505</v>
      </c>
      <c r="AE141" s="698">
        <f t="shared" si="71"/>
        <v>5.2534067351871272</v>
      </c>
      <c r="AF141" s="698">
        <f t="shared" si="71"/>
        <v>13.700372564588179</v>
      </c>
      <c r="AG141" s="698">
        <f t="shared" si="71"/>
        <v>42.981827704643365</v>
      </c>
      <c r="AH141" s="698">
        <f t="shared" si="71"/>
        <v>346.03771804075222</v>
      </c>
      <c r="AI141" s="698">
        <f t="shared" si="71"/>
        <v>2.4324311298623797</v>
      </c>
      <c r="AJ141" s="698">
        <f t="shared" si="71"/>
        <v>51.738733246966149</v>
      </c>
      <c r="AK141" s="698">
        <f t="shared" si="71"/>
        <v>44.37104656570591</v>
      </c>
      <c r="AL141" s="698">
        <f t="shared" si="71"/>
        <v>0</v>
      </c>
      <c r="AM141" s="698">
        <f t="shared" si="71"/>
        <v>5.3262120924109695</v>
      </c>
      <c r="AN141" s="698">
        <f t="shared" si="71"/>
        <v>9.0449153230620141</v>
      </c>
      <c r="AO141" s="698">
        <f t="shared" si="71"/>
        <v>53.998380322387675</v>
      </c>
      <c r="AP141" s="698">
        <f t="shared" si="71"/>
        <v>8.1571694658705383</v>
      </c>
      <c r="AQ141" s="698">
        <f t="shared" si="71"/>
        <v>51.443336969568918</v>
      </c>
      <c r="AR141" s="698">
        <f t="shared" si="71"/>
        <v>0.15158493302502052</v>
      </c>
      <c r="AS141" s="698">
        <f t="shared" si="71"/>
        <v>75.760198392134043</v>
      </c>
      <c r="AT141" s="698">
        <f t="shared" si="71"/>
        <v>62.975688831073057</v>
      </c>
      <c r="AU141" s="698">
        <f t="shared" si="71"/>
        <v>87.615828620844695</v>
      </c>
      <c r="AV141" s="698">
        <f t="shared" si="71"/>
        <v>123.40897515200777</v>
      </c>
      <c r="AW141" s="698">
        <f t="shared" si="71"/>
        <v>315.80058796843514</v>
      </c>
      <c r="AX141" s="698">
        <f t="shared" si="71"/>
        <v>3.2157001583509555</v>
      </c>
      <c r="AY141" s="698">
        <f t="shared" si="71"/>
        <v>19817.110181712778</v>
      </c>
      <c r="AZ141" s="698">
        <f t="shared" si="71"/>
        <v>659.37867972336062</v>
      </c>
      <c r="BA141" s="698">
        <f t="shared" si="71"/>
        <v>11677.725383422221</v>
      </c>
      <c r="BB141" s="698">
        <f t="shared" si="71"/>
        <v>0</v>
      </c>
      <c r="BC141" s="688">
        <f t="shared" si="71"/>
        <v>68737.080165339634</v>
      </c>
      <c r="BD141" s="698">
        <f t="shared" si="71"/>
        <v>10949.591103938466</v>
      </c>
      <c r="BE141" s="698">
        <f t="shared" si="71"/>
        <v>10178.569438350969</v>
      </c>
      <c r="BF141" s="698">
        <f t="shared" si="71"/>
        <v>5749.2177056388755</v>
      </c>
      <c r="BG141" s="698">
        <f t="shared" si="71"/>
        <v>12883.925060465641</v>
      </c>
      <c r="BH141" s="698">
        <f t="shared" si="71"/>
        <v>9647.0050983052934</v>
      </c>
      <c r="BI141" s="698">
        <f t="shared" si="71"/>
        <v>6335.7818565825291</v>
      </c>
      <c r="BJ141" s="698">
        <f t="shared" si="71"/>
        <v>2010.2626082508214</v>
      </c>
      <c r="BK141" s="698">
        <f t="shared" si="71"/>
        <v>10982.727293807548</v>
      </c>
      <c r="BL141" s="698">
        <f>'Cost Allocation - Tier 1 (2)'!BL130</f>
        <v>103651.96564185608</v>
      </c>
      <c r="BM141" s="76">
        <f t="shared" ref="BM141" si="72">BL141-G141</f>
        <v>-87688.874103354407</v>
      </c>
    </row>
    <row r="142" spans="1:65" x14ac:dyDescent="0.25">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row>
    <row r="143" spans="1:65" s="83" customFormat="1" x14ac:dyDescent="0.25">
      <c r="A143" s="959" t="s">
        <v>950</v>
      </c>
      <c r="B143" s="960"/>
      <c r="C143" s="960"/>
      <c r="D143" s="961">
        <f>D137-D125</f>
        <v>6403357.6907999991</v>
      </c>
      <c r="E143" s="961">
        <f>E137-E125</f>
        <v>4817452.37044839</v>
      </c>
      <c r="F143" s="961">
        <f>F137-F125</f>
        <v>660944.17694854049</v>
      </c>
      <c r="G143" s="961">
        <f>G137-G125</f>
        <v>5008793.2101936005</v>
      </c>
      <c r="H143" s="961">
        <f>H137-H125</f>
        <v>28660.563647306648</v>
      </c>
      <c r="I143" s="962">
        <f>SUM(J143:BB143)</f>
        <v>3183140.3829021375</v>
      </c>
      <c r="J143" s="961">
        <f>J137-J125</f>
        <v>31721.655833118301</v>
      </c>
      <c r="K143" s="961">
        <f t="shared" ref="K143:BK143" si="73">K137-K125</f>
        <v>8557.2229364106588</v>
      </c>
      <c r="L143" s="961">
        <f t="shared" si="73"/>
        <v>8481.4439550324405</v>
      </c>
      <c r="M143" s="961">
        <f t="shared" si="73"/>
        <v>10316.157231747555</v>
      </c>
      <c r="N143" s="961">
        <f t="shared" si="73"/>
        <v>15314.748859518957</v>
      </c>
      <c r="O143" s="961">
        <f t="shared" si="73"/>
        <v>40407.365814733785</v>
      </c>
      <c r="P143" s="961">
        <f t="shared" si="73"/>
        <v>5046.3869250909493</v>
      </c>
      <c r="Q143" s="961">
        <f t="shared" si="73"/>
        <v>13957.839079267093</v>
      </c>
      <c r="R143" s="961">
        <f t="shared" si="73"/>
        <v>12100.035212184659</v>
      </c>
      <c r="S143" s="961">
        <f t="shared" si="73"/>
        <v>12311.465743404784</v>
      </c>
      <c r="T143" s="961">
        <f t="shared" si="73"/>
        <v>45466.986730766053</v>
      </c>
      <c r="U143" s="961">
        <f t="shared" si="73"/>
        <v>36022.182906057118</v>
      </c>
      <c r="V143" s="961">
        <f t="shared" si="73"/>
        <v>22470.540909030504</v>
      </c>
      <c r="W143" s="961">
        <f t="shared" si="73"/>
        <v>36568.29817894187</v>
      </c>
      <c r="X143" s="961">
        <f t="shared" si="73"/>
        <v>1080.1971628132555</v>
      </c>
      <c r="Y143" s="961">
        <f t="shared" si="73"/>
        <v>789.05178290295657</v>
      </c>
      <c r="Z143" s="961">
        <f t="shared" si="73"/>
        <v>3463.6130095904332</v>
      </c>
      <c r="AA143" s="961">
        <f t="shared" si="73"/>
        <v>3084.8483095809015</v>
      </c>
      <c r="AB143" s="961">
        <f t="shared" si="73"/>
        <v>1814.3859777084458</v>
      </c>
      <c r="AC143" s="961">
        <f t="shared" si="73"/>
        <v>2125.9708308333916</v>
      </c>
      <c r="AD143" s="961">
        <f t="shared" si="73"/>
        <v>13934.70680594556</v>
      </c>
      <c r="AE143" s="961">
        <f t="shared" si="73"/>
        <v>5207.6090190610548</v>
      </c>
      <c r="AF143" s="961">
        <f t="shared" si="73"/>
        <v>31269.146809572885</v>
      </c>
      <c r="AG143" s="961">
        <f t="shared" si="73"/>
        <v>30827.481281387703</v>
      </c>
      <c r="AH143" s="961">
        <f t="shared" si="73"/>
        <v>302653.67539578583</v>
      </c>
      <c r="AI143" s="961">
        <f t="shared" si="73"/>
        <v>2666.7808909735286</v>
      </c>
      <c r="AJ143" s="961">
        <f t="shared" si="73"/>
        <v>120359.24454315758</v>
      </c>
      <c r="AK143" s="961">
        <f t="shared" si="73"/>
        <v>102524.19246108772</v>
      </c>
      <c r="AL143" s="961">
        <f t="shared" si="73"/>
        <v>0</v>
      </c>
      <c r="AM143" s="961">
        <f t="shared" si="73"/>
        <v>4577.2268831472784</v>
      </c>
      <c r="AN143" s="961">
        <f t="shared" si="73"/>
        <v>20260.650995618471</v>
      </c>
      <c r="AO143" s="961">
        <f t="shared" si="73"/>
        <v>125055.61792638496</v>
      </c>
      <c r="AP143" s="961">
        <f t="shared" si="73"/>
        <v>18764.302916397457</v>
      </c>
      <c r="AQ143" s="961">
        <f t="shared" si="73"/>
        <v>37033.93514414216</v>
      </c>
      <c r="AR143" s="961">
        <f t="shared" si="73"/>
        <v>117.16671206062014</v>
      </c>
      <c r="AS143" s="961">
        <f t="shared" si="73"/>
        <v>54677.237001820627</v>
      </c>
      <c r="AT143" s="961">
        <f t="shared" si="73"/>
        <v>45144.370280194074</v>
      </c>
      <c r="AU143" s="961">
        <f t="shared" si="73"/>
        <v>63956.205968138383</v>
      </c>
      <c r="AV143" s="961">
        <f t="shared" si="73"/>
        <v>89182.737655889243</v>
      </c>
      <c r="AW143" s="961">
        <f t="shared" si="73"/>
        <v>229127.74159349926</v>
      </c>
      <c r="AX143" s="961">
        <f t="shared" si="73"/>
        <v>2485.5571527319535</v>
      </c>
      <c r="AY143" s="961">
        <f t="shared" si="73"/>
        <v>416368.01226095232</v>
      </c>
      <c r="AZ143" s="961">
        <f t="shared" si="73"/>
        <v>14113.626054136219</v>
      </c>
      <c r="BA143" s="961">
        <f t="shared" si="73"/>
        <v>246920.07230149486</v>
      </c>
      <c r="BB143" s="961">
        <f t="shared" si="73"/>
        <v>894812.68745982356</v>
      </c>
      <c r="BC143" s="961">
        <f>SUM(BD143:BK143)</f>
        <v>1709303.3895408032</v>
      </c>
      <c r="BD143" s="961">
        <f t="shared" si="73"/>
        <v>276368.39409517328</v>
      </c>
      <c r="BE143" s="961">
        <f t="shared" si="73"/>
        <v>256907.7569345446</v>
      </c>
      <c r="BF143" s="961">
        <f t="shared" si="73"/>
        <v>145110.6301165375</v>
      </c>
      <c r="BG143" s="961">
        <f t="shared" si="73"/>
        <v>325191.10940340924</v>
      </c>
      <c r="BH143" s="961">
        <f t="shared" si="73"/>
        <v>243491.0382989193</v>
      </c>
      <c r="BI143" s="961">
        <f t="shared" si="73"/>
        <v>159915.54756882577</v>
      </c>
      <c r="BJ143" s="961">
        <f t="shared" si="73"/>
        <v>50739.159433270739</v>
      </c>
      <c r="BK143" s="961">
        <f t="shared" si="73"/>
        <v>251579.75369012251</v>
      </c>
    </row>
    <row r="144" spans="1:65" x14ac:dyDescent="0.25">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row>
    <row r="145" spans="10:64" x14ac:dyDescent="0.25">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row>
    <row r="146" spans="10:64" x14ac:dyDescent="0.25">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row>
    <row r="147" spans="10:64" ht="15.75" thickBot="1" x14ac:dyDescent="0.3"/>
    <row r="148" spans="10:64" x14ac:dyDescent="0.25">
      <c r="BD148" s="919" t="s">
        <v>943</v>
      </c>
      <c r="BE148" s="16"/>
      <c r="BF148" s="16"/>
      <c r="BG148" s="16"/>
      <c r="BH148" s="16"/>
      <c r="BI148" s="16"/>
      <c r="BJ148" s="16"/>
      <c r="BK148" s="209"/>
    </row>
    <row r="149" spans="10:64" x14ac:dyDescent="0.25">
      <c r="BC149" s="637"/>
      <c r="BD149" s="920">
        <f>BD137-'Cost Allocation - Tier 1 (2)'!BD126</f>
        <v>-2280.43722441711</v>
      </c>
      <c r="BE149" s="921">
        <f>BE137-'Cost Allocation - Tier 1 (2)'!BE126</f>
        <v>2780.8320934851363</v>
      </c>
      <c r="BF149" s="921">
        <f>BF137-'Cost Allocation - Tier 1 (2)'!BF126</f>
        <v>-10484.376587250154</v>
      </c>
      <c r="BG149" s="921">
        <f>BG137-'Cost Allocation - Tier 1 (2)'!BG126</f>
        <v>37631.28067779378</v>
      </c>
      <c r="BH149" s="921">
        <f>BH137-'Cost Allocation - Tier 1 (2)'!BH126</f>
        <v>18231.347678815655</v>
      </c>
      <c r="BI149" s="921">
        <f>BI137-'Cost Allocation - Tier 1 (2)'!BI126</f>
        <v>-4106.0197589640156</v>
      </c>
      <c r="BJ149" s="921">
        <f>BJ137-'Cost Allocation - Tier 1 (2)'!BJ126</f>
        <v>-41772.626879463198</v>
      </c>
      <c r="BK149" s="922">
        <f>BK137-'Cost Allocation - Tier 1 (2)'!BK126</f>
        <v>0</v>
      </c>
      <c r="BL149" s="76">
        <f>BL143-'Cost Allocation - Tier 1 (2)'!BL143</f>
        <v>0</v>
      </c>
    </row>
    <row r="150" spans="10:64" x14ac:dyDescent="0.25">
      <c r="BC150" s="241" t="s">
        <v>945</v>
      </c>
      <c r="BD150" s="963">
        <f>'Cost Allocation - Tier 1 (2)'!BD126</f>
        <v>278648.83131959039</v>
      </c>
      <c r="BE150" s="74">
        <f>'Cost Allocation - Tier 1 (2)'!BE126</f>
        <v>254126.92484105946</v>
      </c>
      <c r="BF150" s="74">
        <f>'Cost Allocation - Tier 1 (2)'!BF126</f>
        <v>155595.00670378766</v>
      </c>
      <c r="BG150" s="74">
        <f>'Cost Allocation - Tier 1 (2)'!BG126</f>
        <v>287559.82872561546</v>
      </c>
      <c r="BH150" s="74">
        <f>'Cost Allocation - Tier 1 (2)'!BH126</f>
        <v>225259.69062010365</v>
      </c>
      <c r="BI150" s="74">
        <f>'Cost Allocation - Tier 1 (2)'!BI126</f>
        <v>164021.56732778979</v>
      </c>
      <c r="BJ150" s="74">
        <f>'Cost Allocation - Tier 1 (2)'!BJ126</f>
        <v>92511.786312733937</v>
      </c>
      <c r="BK150" s="624">
        <f>'Cost Allocation - Tier 1 (2)'!BK126</f>
        <v>251579.75369012251</v>
      </c>
      <c r="BL150" s="76">
        <f>SUM(BD150:BK150)</f>
        <v>1709303.3895408027</v>
      </c>
    </row>
    <row r="151" spans="10:64" x14ac:dyDescent="0.25">
      <c r="BC151" s="241" t="s">
        <v>121</v>
      </c>
      <c r="BD151" s="925">
        <f>BD149+BD150</f>
        <v>276368.39409517328</v>
      </c>
      <c r="BE151" s="695">
        <f t="shared" ref="BE151:BK151" si="74">BE149+BE150</f>
        <v>256907.7569345446</v>
      </c>
      <c r="BF151" s="695">
        <f t="shared" si="74"/>
        <v>145110.6301165375</v>
      </c>
      <c r="BG151" s="695">
        <f t="shared" si="74"/>
        <v>325191.10940340924</v>
      </c>
      <c r="BH151" s="695">
        <f t="shared" si="74"/>
        <v>243491.0382989193</v>
      </c>
      <c r="BI151" s="695">
        <f t="shared" si="74"/>
        <v>159915.54756882577</v>
      </c>
      <c r="BJ151" s="695">
        <f t="shared" si="74"/>
        <v>50739.159433270739</v>
      </c>
      <c r="BK151" s="800">
        <f t="shared" si="74"/>
        <v>251579.75369012251</v>
      </c>
      <c r="BL151" s="76">
        <f>SUM(BD151:BK151)</f>
        <v>1709303.3895408032</v>
      </c>
    </row>
    <row r="152" spans="10:64" ht="15.75" thickBot="1" x14ac:dyDescent="0.3">
      <c r="BC152" s="241" t="s">
        <v>118</v>
      </c>
      <c r="BD152" s="926">
        <f>BD151-BD137</f>
        <v>0</v>
      </c>
      <c r="BE152" s="239">
        <f t="shared" ref="BE152:BK152" si="75">BE151-BE137</f>
        <v>0</v>
      </c>
      <c r="BF152" s="239">
        <f t="shared" si="75"/>
        <v>0</v>
      </c>
      <c r="BG152" s="239">
        <f t="shared" si="75"/>
        <v>0</v>
      </c>
      <c r="BH152" s="239">
        <f t="shared" si="75"/>
        <v>0</v>
      </c>
      <c r="BI152" s="239">
        <f t="shared" si="75"/>
        <v>0</v>
      </c>
      <c r="BJ152" s="239">
        <f t="shared" si="75"/>
        <v>0</v>
      </c>
      <c r="BK152" s="927">
        <f t="shared" si="75"/>
        <v>0</v>
      </c>
      <c r="BL152" s="76"/>
    </row>
    <row r="153" spans="10:64" x14ac:dyDescent="0.25">
      <c r="BC153" s="241" t="s">
        <v>128</v>
      </c>
      <c r="BD153" s="771">
        <f>BD149/BD150</f>
        <v>-8.1839109592446516E-3</v>
      </c>
      <c r="BE153" s="771">
        <f t="shared" ref="BE153:BK153" si="76">BE149/BE150</f>
        <v>1.0942689741452518E-2</v>
      </c>
      <c r="BF153" s="771">
        <f t="shared" si="76"/>
        <v>-6.7382474600934175E-2</v>
      </c>
      <c r="BG153" s="771">
        <f t="shared" si="76"/>
        <v>0.13086417822880569</v>
      </c>
      <c r="BH153" s="771">
        <f t="shared" si="76"/>
        <v>8.0934798536869565E-2</v>
      </c>
      <c r="BI153" s="771">
        <f t="shared" si="76"/>
        <v>-2.5033413750755826E-2</v>
      </c>
      <c r="BJ153" s="771">
        <f t="shared" si="76"/>
        <v>-0.45153843141944972</v>
      </c>
      <c r="BK153" s="771">
        <f t="shared" si="76"/>
        <v>0</v>
      </c>
    </row>
    <row r="155" spans="10:64" x14ac:dyDescent="0.25">
      <c r="BD155" s="89">
        <f>BD149/($BC$143-$BK$143)</f>
        <v>-1.5643824167578379E-3</v>
      </c>
      <c r="BE155" s="89">
        <f t="shared" ref="BE155:BK155" si="77">BE149/($BC$143-$BK$143)</f>
        <v>1.9076538413005373E-3</v>
      </c>
      <c r="BF155" s="89">
        <f t="shared" si="77"/>
        <v>-7.1922937444392947E-3</v>
      </c>
      <c r="BG155" s="89">
        <f t="shared" si="77"/>
        <v>2.5815099482717367E-2</v>
      </c>
      <c r="BH155" s="89">
        <f t="shared" si="77"/>
        <v>1.2506724340911457E-2</v>
      </c>
      <c r="BI155" s="89">
        <f t="shared" si="77"/>
        <v>-2.8167340214442465E-3</v>
      </c>
      <c r="BJ155" s="89">
        <f t="shared" si="77"/>
        <v>-2.8656067482287915E-2</v>
      </c>
      <c r="BK155" s="89">
        <f t="shared" si="77"/>
        <v>0</v>
      </c>
    </row>
    <row r="156" spans="10:64" x14ac:dyDescent="0.25">
      <c r="BD156" s="929">
        <v>-1.6141358737525036E-3</v>
      </c>
      <c r="BE156" s="929">
        <v>2.072232403331653E-3</v>
      </c>
      <c r="BF156" s="929">
        <v>-7.5253543179601839E-3</v>
      </c>
      <c r="BG156" s="929">
        <v>2.5442965588794525E-2</v>
      </c>
      <c r="BH156" s="929">
        <v>1.2743317416230748E-2</v>
      </c>
      <c r="BI156" s="929">
        <v>-2.7591213729237091E-3</v>
      </c>
      <c r="BJ156" s="929">
        <v>-2.8326570510387103E-2</v>
      </c>
      <c r="BK156" s="929">
        <v>0</v>
      </c>
    </row>
    <row r="157" spans="10:64" x14ac:dyDescent="0.25">
      <c r="BD157" s="771">
        <f>BD155-BD156</f>
        <v>4.9753456994665671E-5</v>
      </c>
      <c r="BE157" s="771">
        <f t="shared" ref="BE157:BK157" si="78">BE155-BE156</f>
        <v>-1.6457856203111573E-4</v>
      </c>
      <c r="BF157" s="771">
        <f t="shared" si="78"/>
        <v>3.3306057352088924E-4</v>
      </c>
      <c r="BG157" s="771">
        <f t="shared" si="78"/>
        <v>3.7213389392284218E-4</v>
      </c>
      <c r="BH157" s="771">
        <f t="shared" si="78"/>
        <v>-2.3659307531929095E-4</v>
      </c>
      <c r="BI157" s="771">
        <f t="shared" si="78"/>
        <v>-5.7612648520537473E-5</v>
      </c>
      <c r="BJ157" s="771">
        <f t="shared" si="78"/>
        <v>-3.2949697190081187E-4</v>
      </c>
      <c r="BK157" s="771">
        <f t="shared" si="78"/>
        <v>0</v>
      </c>
      <c r="BL157" s="177" t="s">
        <v>947</v>
      </c>
    </row>
    <row r="159" spans="10:64" x14ac:dyDescent="0.25">
      <c r="BK159" s="177" t="s">
        <v>951</v>
      </c>
    </row>
  </sheetData>
  <pageMargins left="0.7" right="0.7" top="0.75" bottom="0.75" header="0.3" footer="0.3"/>
  <pageSetup scale="6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44C84-4071-42BC-A471-FAEAC9FC5DC0}">
  <dimension ref="A1:H11"/>
  <sheetViews>
    <sheetView showGridLines="0" workbookViewId="0">
      <selection activeCell="R23" sqref="R23"/>
    </sheetView>
  </sheetViews>
  <sheetFormatPr defaultRowHeight="15" x14ac:dyDescent="0.25"/>
  <cols>
    <col min="1" max="1" width="34.42578125" bestFit="1" customWidth="1"/>
    <col min="2" max="2" width="1.7109375" customWidth="1"/>
    <col min="3" max="3" width="8.5703125" customWidth="1"/>
    <col min="4" max="4" width="34" bestFit="1" customWidth="1"/>
    <col min="5" max="5" width="1.140625" customWidth="1"/>
    <col min="6" max="6" width="11.5703125" bestFit="1" customWidth="1"/>
    <col min="7" max="7" width="1.140625" customWidth="1"/>
    <col min="8" max="8" width="11.140625" customWidth="1"/>
  </cols>
  <sheetData>
    <row r="1" spans="1:8" ht="23.25" x14ac:dyDescent="0.35">
      <c r="A1" s="1371" t="s">
        <v>1166</v>
      </c>
      <c r="B1" s="177"/>
      <c r="C1" s="1372">
        <v>6954.6</v>
      </c>
      <c r="D1" s="177"/>
      <c r="E1" s="177"/>
      <c r="F1" s="177"/>
      <c r="G1" s="177"/>
      <c r="H1" s="80"/>
    </row>
    <row r="2" spans="1:8" x14ac:dyDescent="0.25">
      <c r="A2" s="177"/>
      <c r="B2" s="177"/>
      <c r="C2" s="177"/>
      <c r="D2" s="177"/>
      <c r="E2" s="177"/>
      <c r="F2" s="73"/>
      <c r="G2" s="177"/>
      <c r="H2" s="80"/>
    </row>
    <row r="3" spans="1:8" ht="15.75" thickBot="1" x14ac:dyDescent="0.3">
      <c r="A3" s="1373" t="s">
        <v>1167</v>
      </c>
      <c r="B3" s="177"/>
      <c r="C3" s="177"/>
      <c r="D3" s="177"/>
      <c r="E3" s="177"/>
      <c r="F3" s="1373" t="s">
        <v>1168</v>
      </c>
      <c r="G3" s="177"/>
      <c r="H3" s="1373" t="s">
        <v>1169</v>
      </c>
    </row>
    <row r="4" spans="1:8" x14ac:dyDescent="0.25">
      <c r="A4" s="177" t="s">
        <v>1170</v>
      </c>
      <c r="B4" s="177"/>
      <c r="C4" s="177"/>
      <c r="D4" s="177" t="s">
        <v>1175</v>
      </c>
      <c r="E4" s="177"/>
      <c r="F4" s="73">
        <v>50865.149999999994</v>
      </c>
      <c r="G4" s="177"/>
      <c r="H4" s="77">
        <f>$C$1/F4</f>
        <v>0.13672622610962518</v>
      </c>
    </row>
    <row r="5" spans="1:8" x14ac:dyDescent="0.25">
      <c r="A5" s="177" t="s">
        <v>1171</v>
      </c>
      <c r="B5" s="177"/>
      <c r="C5" s="177"/>
      <c r="D5" s="177" t="s">
        <v>123</v>
      </c>
      <c r="E5" s="177"/>
      <c r="F5" s="73">
        <v>31865.599999999999</v>
      </c>
      <c r="G5" s="177"/>
      <c r="H5" s="77">
        <f t="shared" ref="H5:H7" si="0">$C$1/F5</f>
        <v>0.21824789114279977</v>
      </c>
    </row>
    <row r="6" spans="1:8" x14ac:dyDescent="0.25">
      <c r="A6" s="177" t="s">
        <v>1172</v>
      </c>
      <c r="B6" s="177"/>
      <c r="C6" s="177"/>
      <c r="D6" s="177" t="s">
        <v>1176</v>
      </c>
      <c r="E6" s="177"/>
      <c r="F6" s="73">
        <v>6954.6</v>
      </c>
      <c r="G6" s="177"/>
      <c r="H6" s="77">
        <f t="shared" si="0"/>
        <v>1</v>
      </c>
    </row>
    <row r="7" spans="1:8" x14ac:dyDescent="0.25">
      <c r="A7" s="177" t="s">
        <v>182</v>
      </c>
      <c r="B7" s="177"/>
      <c r="C7" s="177"/>
      <c r="D7" s="177" t="s">
        <v>182</v>
      </c>
      <c r="E7" s="177"/>
      <c r="F7" s="73">
        <v>297998.51000000007</v>
      </c>
      <c r="G7" s="177"/>
      <c r="H7" s="77">
        <f t="shared" si="0"/>
        <v>2.3337700581120353E-2</v>
      </c>
    </row>
    <row r="8" spans="1:8" x14ac:dyDescent="0.25">
      <c r="A8" s="177"/>
      <c r="B8" s="177"/>
      <c r="C8" s="177"/>
      <c r="D8" s="177"/>
      <c r="E8" s="177"/>
      <c r="F8" s="73"/>
      <c r="G8" s="177"/>
      <c r="H8" s="44"/>
    </row>
    <row r="9" spans="1:8" ht="15.75" thickBot="1" x14ac:dyDescent="0.3">
      <c r="A9" s="1373" t="str">
        <f>+A1 &amp;" Water/Sewer Split"</f>
        <v>WSCK Water/Sewer Split</v>
      </c>
      <c r="B9" s="44"/>
      <c r="C9" s="44"/>
      <c r="D9" s="44"/>
      <c r="E9" s="44"/>
      <c r="F9" s="73"/>
      <c r="G9" s="44"/>
      <c r="H9" s="44"/>
    </row>
    <row r="10" spans="1:8" x14ac:dyDescent="0.25">
      <c r="A10" s="177" t="s">
        <v>1173</v>
      </c>
      <c r="B10" s="177"/>
      <c r="C10" s="177"/>
      <c r="D10" s="177" t="s">
        <v>1177</v>
      </c>
      <c r="E10" s="177"/>
      <c r="F10" s="73">
        <f>+C1</f>
        <v>6954.6</v>
      </c>
      <c r="G10" s="177"/>
      <c r="H10" s="77">
        <f>F10/$C$1</f>
        <v>1</v>
      </c>
    </row>
    <row r="11" spans="1:8" x14ac:dyDescent="0.25">
      <c r="A11" s="177" t="s">
        <v>1174</v>
      </c>
      <c r="B11" s="177"/>
      <c r="C11" s="177"/>
      <c r="D11" s="177" t="s">
        <v>1177</v>
      </c>
      <c r="E11" s="177"/>
      <c r="F11" s="73">
        <v>0</v>
      </c>
      <c r="G11" s="177"/>
      <c r="H11" s="77">
        <f>F11/$C$1</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99"/>
  <sheetViews>
    <sheetView zoomScale="75" zoomScaleNormal="75" workbookViewId="0">
      <pane xSplit="4" ySplit="7" topLeftCell="E26" activePane="bottomRight" state="frozen"/>
      <selection activeCell="E28" sqref="E28"/>
      <selection pane="topRight" activeCell="E28" sqref="E28"/>
      <selection pane="bottomLeft" activeCell="E28" sqref="E28"/>
      <selection pane="bottomRight" activeCell="E28" sqref="E28"/>
    </sheetView>
  </sheetViews>
  <sheetFormatPr defaultRowHeight="15" x14ac:dyDescent="0.25"/>
  <cols>
    <col min="1" max="1" width="9.42578125" bestFit="1" customWidth="1"/>
    <col min="2" max="2" width="57.28515625" bestFit="1" customWidth="1"/>
    <col min="3" max="3" width="19" style="280" bestFit="1" customWidth="1"/>
    <col min="4" max="4" width="1.5703125" style="280" customWidth="1"/>
    <col min="5" max="16" width="14.85546875" style="204" bestFit="1" customWidth="1"/>
    <col min="17" max="17" width="20.7109375" style="1" bestFit="1" customWidth="1"/>
    <col min="19" max="19" width="14.42578125" bestFit="1" customWidth="1"/>
    <col min="20" max="20" width="10.42578125" bestFit="1" customWidth="1"/>
  </cols>
  <sheetData>
    <row r="1" spans="1:20" x14ac:dyDescent="0.25">
      <c r="A1" s="1" t="s">
        <v>379</v>
      </c>
    </row>
    <row r="2" spans="1:20" s="177" customFormat="1" x14ac:dyDescent="0.25">
      <c r="A2" s="1"/>
      <c r="C2" s="280"/>
      <c r="D2" s="280"/>
      <c r="E2" s="204"/>
      <c r="F2" s="204"/>
      <c r="G2" s="204"/>
      <c r="H2" s="204"/>
      <c r="I2" s="204"/>
      <c r="J2" s="204"/>
      <c r="K2" s="204"/>
      <c r="L2" s="204"/>
      <c r="M2" s="204"/>
      <c r="N2" s="204"/>
      <c r="O2" s="204"/>
      <c r="P2" s="204"/>
      <c r="Q2" s="1"/>
    </row>
    <row r="3" spans="1:20" s="177" customFormat="1" x14ac:dyDescent="0.25">
      <c r="A3" s="1"/>
      <c r="B3" s="177" t="s">
        <v>380</v>
      </c>
      <c r="C3" s="291">
        <f>AVERAGE(E3:G3)</f>
        <v>1.3441999999999998</v>
      </c>
      <c r="D3" s="280"/>
      <c r="E3" s="291">
        <v>1.3087</v>
      </c>
      <c r="F3" s="291">
        <v>1.3286</v>
      </c>
      <c r="G3" s="291">
        <v>1.3953</v>
      </c>
      <c r="H3" s="291">
        <v>1.4057999999999999</v>
      </c>
      <c r="I3" s="291"/>
      <c r="J3" s="291"/>
      <c r="K3" s="291"/>
      <c r="L3" s="291"/>
      <c r="M3" s="291"/>
      <c r="N3" s="291"/>
      <c r="O3" s="291"/>
      <c r="P3" s="291"/>
      <c r="Q3" s="1"/>
    </row>
    <row r="4" spans="1:20" s="177" customFormat="1" x14ac:dyDescent="0.25">
      <c r="A4" s="1"/>
      <c r="C4" s="280"/>
      <c r="D4" s="280"/>
      <c r="E4" s="290">
        <v>1.3</v>
      </c>
      <c r="F4" s="290">
        <v>1.3</v>
      </c>
      <c r="G4" s="290">
        <v>1.3</v>
      </c>
      <c r="H4" s="290">
        <v>1.3</v>
      </c>
      <c r="I4" s="290">
        <v>1.3</v>
      </c>
      <c r="J4" s="290">
        <v>1.3</v>
      </c>
      <c r="K4" s="290">
        <v>1.3</v>
      </c>
      <c r="L4" s="290">
        <v>1.3</v>
      </c>
      <c r="M4" s="290">
        <v>1.3</v>
      </c>
      <c r="N4" s="290">
        <v>1.3</v>
      </c>
      <c r="O4" s="290">
        <v>1.3</v>
      </c>
      <c r="P4" s="290">
        <v>1.3</v>
      </c>
      <c r="Q4" s="1"/>
    </row>
    <row r="5" spans="1:20" x14ac:dyDescent="0.25">
      <c r="A5" s="177"/>
      <c r="C5" s="282" t="s">
        <v>377</v>
      </c>
      <c r="D5" s="287"/>
      <c r="E5" s="283">
        <v>43831</v>
      </c>
      <c r="F5" s="283">
        <v>43862</v>
      </c>
      <c r="G5" s="283">
        <v>43891</v>
      </c>
      <c r="H5" s="283">
        <v>43922</v>
      </c>
      <c r="I5" s="283">
        <v>43952</v>
      </c>
      <c r="J5" s="283">
        <v>43983</v>
      </c>
      <c r="K5" s="283">
        <v>44013</v>
      </c>
      <c r="L5" s="283">
        <v>44044</v>
      </c>
      <c r="M5" s="283">
        <v>44075</v>
      </c>
      <c r="N5" s="283">
        <v>44105</v>
      </c>
      <c r="O5" s="283">
        <v>44136</v>
      </c>
      <c r="P5" s="283">
        <v>44166</v>
      </c>
      <c r="Q5" s="35" t="s">
        <v>378</v>
      </c>
    </row>
    <row r="6" spans="1:20" x14ac:dyDescent="0.25">
      <c r="A6" s="177"/>
      <c r="B6" s="1" t="s">
        <v>359</v>
      </c>
    </row>
    <row r="7" spans="1:20" s="1" customFormat="1" x14ac:dyDescent="0.25">
      <c r="A7" s="35"/>
      <c r="B7" s="1" t="s">
        <v>167</v>
      </c>
      <c r="D7" s="280"/>
    </row>
    <row r="8" spans="1:20" x14ac:dyDescent="0.25">
      <c r="A8" s="177" t="s">
        <v>265</v>
      </c>
      <c r="B8" s="179" t="s">
        <v>345</v>
      </c>
      <c r="C8" s="289">
        <f>SUM(E8:G8)</f>
        <v>-4233512.1715614507</v>
      </c>
      <c r="E8" s="289">
        <f>-SUM(E9:E22)</f>
        <v>-1386745.2151038169</v>
      </c>
      <c r="F8" s="289">
        <f t="shared" ref="F8:P8" si="0">-SUM(F9:F22)</f>
        <v>-1400437.2608538168</v>
      </c>
      <c r="G8" s="289">
        <f t="shared" si="0"/>
        <v>-1446329.695603817</v>
      </c>
      <c r="H8" s="289">
        <f t="shared" si="0"/>
        <v>-1453554.1418538166</v>
      </c>
      <c r="I8" s="289">
        <f t="shared" si="0"/>
        <v>-486303.99535381683</v>
      </c>
      <c r="J8" s="289">
        <f t="shared" si="0"/>
        <v>-486303.99535381683</v>
      </c>
      <c r="K8" s="289">
        <f t="shared" si="0"/>
        <v>-486303.99535381683</v>
      </c>
      <c r="L8" s="289">
        <f t="shared" si="0"/>
        <v>-486303.99535381683</v>
      </c>
      <c r="M8" s="289">
        <f t="shared" si="0"/>
        <v>-486303.99535381683</v>
      </c>
      <c r="N8" s="289">
        <f t="shared" si="0"/>
        <v>-486303.99535381683</v>
      </c>
      <c r="O8" s="289">
        <f t="shared" si="0"/>
        <v>-486303.99535381683</v>
      </c>
      <c r="P8" s="289">
        <f t="shared" si="0"/>
        <v>-486303.99535381683</v>
      </c>
      <c r="Q8" s="284">
        <f>SUM(E8:P8)</f>
        <v>-9577498.2762458008</v>
      </c>
    </row>
    <row r="9" spans="1:20" x14ac:dyDescent="0.25">
      <c r="A9" s="177" t="s">
        <v>375</v>
      </c>
      <c r="B9" s="179" t="s">
        <v>346</v>
      </c>
      <c r="C9" s="280">
        <f t="shared" ref="C9:C22" si="1">SUM(E9:G9)</f>
        <v>332078.34870703804</v>
      </c>
      <c r="E9" s="279">
        <v>110692.78290234601</v>
      </c>
      <c r="F9" s="279">
        <v>110692.78290234601</v>
      </c>
      <c r="G9" s="279">
        <v>110692.78290234601</v>
      </c>
      <c r="H9" s="279">
        <v>110692.78290234601</v>
      </c>
      <c r="I9" s="279">
        <v>110692.78290234601</v>
      </c>
      <c r="J9" s="279">
        <v>110692.78290234601</v>
      </c>
      <c r="K9" s="279">
        <v>110692.78290234601</v>
      </c>
      <c r="L9" s="279">
        <v>110692.78290234601</v>
      </c>
      <c r="M9" s="279">
        <v>110692.78290234601</v>
      </c>
      <c r="N9" s="279">
        <v>110692.78290234601</v>
      </c>
      <c r="O9" s="279">
        <v>110692.78290234601</v>
      </c>
      <c r="P9" s="279">
        <v>110692.78290234601</v>
      </c>
      <c r="Q9" s="284">
        <f t="shared" ref="Q9:Q22" si="2">SUM(E9:P9)</f>
        <v>1328313.3948281521</v>
      </c>
    </row>
    <row r="10" spans="1:20" x14ac:dyDescent="0.25">
      <c r="A10" s="177" t="s">
        <v>16</v>
      </c>
      <c r="B10" s="179" t="s">
        <v>347</v>
      </c>
      <c r="C10" s="280">
        <f t="shared" si="1"/>
        <v>4939.560035518899</v>
      </c>
      <c r="E10" s="279">
        <v>1646.5200118396331</v>
      </c>
      <c r="F10" s="279">
        <v>1646.5200118396331</v>
      </c>
      <c r="G10" s="279">
        <v>1646.5200118396331</v>
      </c>
      <c r="H10" s="279">
        <v>1646.5200118396331</v>
      </c>
      <c r="I10" s="279">
        <v>1646.5200118396331</v>
      </c>
      <c r="J10" s="279">
        <v>1646.5200118396331</v>
      </c>
      <c r="K10" s="279">
        <v>1646.5200118396331</v>
      </c>
      <c r="L10" s="279">
        <v>1646.5200118396331</v>
      </c>
      <c r="M10" s="279">
        <v>1646.5200118396331</v>
      </c>
      <c r="N10" s="279">
        <v>1646.5200118396331</v>
      </c>
      <c r="O10" s="279">
        <v>1646.5200118396331</v>
      </c>
      <c r="P10" s="279">
        <v>1646.5200118396331</v>
      </c>
      <c r="Q10" s="284">
        <f t="shared" si="2"/>
        <v>19758.240142075592</v>
      </c>
    </row>
    <row r="11" spans="1:20" x14ac:dyDescent="0.25">
      <c r="A11" s="177" t="s">
        <v>12</v>
      </c>
      <c r="B11" s="179" t="s">
        <v>348</v>
      </c>
      <c r="C11" s="286">
        <f t="shared" si="1"/>
        <v>378120.44999999995</v>
      </c>
      <c r="E11" s="286">
        <v>126040.15</v>
      </c>
      <c r="F11" s="286">
        <v>126040.15</v>
      </c>
      <c r="G11" s="286">
        <v>126040.15</v>
      </c>
      <c r="H11" s="286">
        <v>126040.15</v>
      </c>
      <c r="I11" s="286">
        <v>126040.15</v>
      </c>
      <c r="J11" s="286">
        <v>126040.15</v>
      </c>
      <c r="K11" s="286">
        <v>126040.15</v>
      </c>
      <c r="L11" s="286">
        <v>126040.15</v>
      </c>
      <c r="M11" s="286">
        <v>126040.15</v>
      </c>
      <c r="N11" s="286">
        <v>126040.15</v>
      </c>
      <c r="O11" s="286">
        <v>126040.15</v>
      </c>
      <c r="P11" s="286">
        <v>126040.15</v>
      </c>
      <c r="Q11" s="299">
        <f t="shared" si="2"/>
        <v>1512481.7999999998</v>
      </c>
      <c r="S11" s="286">
        <v>1510549</v>
      </c>
      <c r="T11" s="221">
        <f>Q11-S11</f>
        <v>1932.7999999998137</v>
      </c>
    </row>
    <row r="12" spans="1:20" x14ac:dyDescent="0.25">
      <c r="A12" s="177" t="s">
        <v>8</v>
      </c>
      <c r="B12" s="179" t="s">
        <v>349</v>
      </c>
      <c r="C12" s="286">
        <f t="shared" si="1"/>
        <v>380258.4</v>
      </c>
      <c r="E12" s="286">
        <v>126752.8</v>
      </c>
      <c r="F12" s="286">
        <v>126752.8</v>
      </c>
      <c r="G12" s="286">
        <v>126752.8</v>
      </c>
      <c r="H12" s="286">
        <v>126752.8</v>
      </c>
      <c r="I12" s="286">
        <v>126752.8</v>
      </c>
      <c r="J12" s="286">
        <v>126752.8</v>
      </c>
      <c r="K12" s="286">
        <v>126752.8</v>
      </c>
      <c r="L12" s="286">
        <v>126752.8</v>
      </c>
      <c r="M12" s="286">
        <v>126752.8</v>
      </c>
      <c r="N12" s="286">
        <v>126752.8</v>
      </c>
      <c r="O12" s="286">
        <v>126752.8</v>
      </c>
      <c r="P12" s="286">
        <v>126752.8</v>
      </c>
      <c r="Q12" s="284">
        <f t="shared" si="2"/>
        <v>1521033.6000000003</v>
      </c>
    </row>
    <row r="13" spans="1:20" x14ac:dyDescent="0.25">
      <c r="A13" s="177" t="s">
        <v>165</v>
      </c>
      <c r="B13" s="179" t="s">
        <v>350</v>
      </c>
      <c r="C13" s="280">
        <f t="shared" si="1"/>
        <v>41643.408396022947</v>
      </c>
      <c r="E13" s="279">
        <v>13881.136132007648</v>
      </c>
      <c r="F13" s="279">
        <v>13881.136132007648</v>
      </c>
      <c r="G13" s="279">
        <v>13881.136132007648</v>
      </c>
      <c r="H13" s="279">
        <v>13881.136132007648</v>
      </c>
      <c r="I13" s="279">
        <v>13881.136132007648</v>
      </c>
      <c r="J13" s="279">
        <v>13881.136132007648</v>
      </c>
      <c r="K13" s="279">
        <v>13881.136132007648</v>
      </c>
      <c r="L13" s="279">
        <v>13881.136132007648</v>
      </c>
      <c r="M13" s="279">
        <v>13881.136132007648</v>
      </c>
      <c r="N13" s="279">
        <v>13881.136132007648</v>
      </c>
      <c r="O13" s="279">
        <v>13881.136132007648</v>
      </c>
      <c r="P13" s="279">
        <v>13881.136132007648</v>
      </c>
      <c r="Q13" s="284">
        <f t="shared" si="2"/>
        <v>166573.63358409179</v>
      </c>
    </row>
    <row r="14" spans="1:20" x14ac:dyDescent="0.25">
      <c r="A14" s="177" t="s">
        <v>164</v>
      </c>
      <c r="B14" s="179" t="s">
        <v>351</v>
      </c>
      <c r="C14" s="280">
        <f t="shared" si="1"/>
        <v>25291.673761138638</v>
      </c>
      <c r="E14" s="279">
        <v>8430.557920379546</v>
      </c>
      <c r="F14" s="279">
        <v>8430.557920379546</v>
      </c>
      <c r="G14" s="279">
        <v>8430.557920379546</v>
      </c>
      <c r="H14" s="279">
        <v>8430.557920379546</v>
      </c>
      <c r="I14" s="279">
        <v>8430.557920379546</v>
      </c>
      <c r="J14" s="279">
        <v>8430.557920379546</v>
      </c>
      <c r="K14" s="279">
        <v>8430.557920379546</v>
      </c>
      <c r="L14" s="279">
        <v>8430.557920379546</v>
      </c>
      <c r="M14" s="279">
        <v>8430.557920379546</v>
      </c>
      <c r="N14" s="279">
        <v>8430.557920379546</v>
      </c>
      <c r="O14" s="279">
        <v>8430.557920379546</v>
      </c>
      <c r="P14" s="279">
        <v>8430.557920379546</v>
      </c>
      <c r="Q14" s="284">
        <f t="shared" si="2"/>
        <v>101166.69504455458</v>
      </c>
    </row>
    <row r="15" spans="1:20" x14ac:dyDescent="0.25">
      <c r="A15" s="177" t="s">
        <v>18</v>
      </c>
      <c r="B15" s="179" t="s">
        <v>352</v>
      </c>
      <c r="C15" s="280">
        <f t="shared" si="1"/>
        <v>296580.14516173198</v>
      </c>
      <c r="E15" s="279">
        <v>98860.048387243995</v>
      </c>
      <c r="F15" s="279">
        <v>98860.048387243995</v>
      </c>
      <c r="G15" s="279">
        <v>98860.048387243995</v>
      </c>
      <c r="H15" s="279">
        <v>98860.048387243995</v>
      </c>
      <c r="I15" s="279">
        <v>98860.048387243995</v>
      </c>
      <c r="J15" s="279">
        <v>98860.048387243995</v>
      </c>
      <c r="K15" s="279">
        <v>98860.048387243995</v>
      </c>
      <c r="L15" s="279">
        <v>98860.048387243995</v>
      </c>
      <c r="M15" s="279">
        <v>98860.048387243995</v>
      </c>
      <c r="N15" s="279">
        <v>98860.048387243995</v>
      </c>
      <c r="O15" s="279">
        <v>98860.048387243995</v>
      </c>
      <c r="P15" s="279">
        <v>98860.048387243995</v>
      </c>
      <c r="Q15" s="284">
        <f t="shared" si="2"/>
        <v>1186320.5806469279</v>
      </c>
    </row>
    <row r="16" spans="1:20" x14ac:dyDescent="0.25">
      <c r="A16" s="177" t="s">
        <v>387</v>
      </c>
      <c r="B16" s="179" t="s">
        <v>353</v>
      </c>
      <c r="C16" s="288">
        <f t="shared" si="1"/>
        <v>-1164539.5913579999</v>
      </c>
      <c r="E16" s="288">
        <f>E35*E$3</f>
        <v>-377928.12657100003</v>
      </c>
      <c r="F16" s="288">
        <f t="shared" ref="F16:P16" si="3">F35*F$3</f>
        <v>-383674.875038</v>
      </c>
      <c r="G16" s="288">
        <f t="shared" si="3"/>
        <v>-402936.58974900004</v>
      </c>
      <c r="H16" s="288">
        <f t="shared" si="3"/>
        <v>-405968.79371400003</v>
      </c>
      <c r="I16" s="288">
        <f t="shared" si="3"/>
        <v>0</v>
      </c>
      <c r="J16" s="288">
        <f t="shared" si="3"/>
        <v>0</v>
      </c>
      <c r="K16" s="288">
        <f t="shared" si="3"/>
        <v>0</v>
      </c>
      <c r="L16" s="288">
        <f t="shared" si="3"/>
        <v>0</v>
      </c>
      <c r="M16" s="288">
        <f t="shared" si="3"/>
        <v>0</v>
      </c>
      <c r="N16" s="288">
        <f t="shared" si="3"/>
        <v>0</v>
      </c>
      <c r="O16" s="288">
        <f t="shared" si="3"/>
        <v>0</v>
      </c>
      <c r="P16" s="288">
        <f t="shared" si="3"/>
        <v>0</v>
      </c>
      <c r="Q16" s="284">
        <f t="shared" si="2"/>
        <v>-1570508.3850719999</v>
      </c>
    </row>
    <row r="17" spans="1:17" x14ac:dyDescent="0.25">
      <c r="A17" s="177" t="s">
        <v>334</v>
      </c>
      <c r="B17" s="179" t="s">
        <v>354</v>
      </c>
      <c r="C17" s="288">
        <f t="shared" si="1"/>
        <v>525303.61455000006</v>
      </c>
      <c r="E17" s="288">
        <f t="shared" ref="E17:P22" si="4">E36*E$3</f>
        <v>170476.82397500001</v>
      </c>
      <c r="F17" s="288">
        <f t="shared" si="4"/>
        <v>173069.08254999999</v>
      </c>
      <c r="G17" s="288">
        <f t="shared" si="4"/>
        <v>181757.708025</v>
      </c>
      <c r="H17" s="288">
        <f t="shared" si="4"/>
        <v>183125.48264999999</v>
      </c>
      <c r="I17" s="288">
        <f>I36*I$3</f>
        <v>0</v>
      </c>
      <c r="J17" s="288">
        <f t="shared" si="4"/>
        <v>0</v>
      </c>
      <c r="K17" s="288">
        <f t="shared" si="4"/>
        <v>0</v>
      </c>
      <c r="L17" s="288">
        <f t="shared" si="4"/>
        <v>0</v>
      </c>
      <c r="M17" s="288">
        <f t="shared" si="4"/>
        <v>0</v>
      </c>
      <c r="N17" s="288">
        <f t="shared" si="4"/>
        <v>0</v>
      </c>
      <c r="O17" s="288">
        <f t="shared" si="4"/>
        <v>0</v>
      </c>
      <c r="P17" s="288">
        <f t="shared" si="4"/>
        <v>0</v>
      </c>
      <c r="Q17" s="284">
        <f t="shared" si="2"/>
        <v>708429.09720000008</v>
      </c>
    </row>
    <row r="18" spans="1:17" x14ac:dyDescent="0.25">
      <c r="A18" s="177" t="s">
        <v>388</v>
      </c>
      <c r="B18" s="179" t="s">
        <v>355</v>
      </c>
      <c r="C18" s="288">
        <f t="shared" si="1"/>
        <v>2292361.7144999998</v>
      </c>
      <c r="E18" s="288">
        <f t="shared" si="4"/>
        <v>743940.33025</v>
      </c>
      <c r="F18" s="288">
        <f t="shared" si="4"/>
        <v>755252.63450000004</v>
      </c>
      <c r="G18" s="288">
        <f t="shared" si="4"/>
        <v>793168.74974999996</v>
      </c>
      <c r="H18" s="288">
        <f t="shared" si="4"/>
        <v>799137.55349999992</v>
      </c>
      <c r="I18" s="288">
        <f t="shared" si="4"/>
        <v>0</v>
      </c>
      <c r="J18" s="288">
        <f t="shared" si="4"/>
        <v>0</v>
      </c>
      <c r="K18" s="288">
        <f t="shared" si="4"/>
        <v>0</v>
      </c>
      <c r="L18" s="288">
        <f t="shared" si="4"/>
        <v>0</v>
      </c>
      <c r="M18" s="288">
        <f t="shared" si="4"/>
        <v>0</v>
      </c>
      <c r="N18" s="288">
        <f t="shared" si="4"/>
        <v>0</v>
      </c>
      <c r="O18" s="288">
        <f t="shared" si="4"/>
        <v>0</v>
      </c>
      <c r="P18" s="288">
        <f t="shared" si="4"/>
        <v>0</v>
      </c>
      <c r="Q18" s="284">
        <f t="shared" si="2"/>
        <v>3091499.2679999997</v>
      </c>
    </row>
    <row r="19" spans="1:17" x14ac:dyDescent="0.25">
      <c r="A19" s="177" t="s">
        <v>385</v>
      </c>
      <c r="B19" s="179" t="s">
        <v>356</v>
      </c>
      <c r="C19" s="288">
        <f>SUM(E19:G19)</f>
        <v>663366.85357799998</v>
      </c>
      <c r="E19" s="288">
        <f t="shared" si="4"/>
        <v>215282.49796099999</v>
      </c>
      <c r="F19" s="288">
        <f t="shared" si="4"/>
        <v>218556.06845799999</v>
      </c>
      <c r="G19" s="288">
        <f t="shared" si="4"/>
        <v>229528.287159</v>
      </c>
      <c r="H19" s="288">
        <f t="shared" si="4"/>
        <v>231255.54797399999</v>
      </c>
      <c r="I19" s="288">
        <f t="shared" si="4"/>
        <v>0</v>
      </c>
      <c r="J19" s="288">
        <f t="shared" si="4"/>
        <v>0</v>
      </c>
      <c r="K19" s="288">
        <f t="shared" si="4"/>
        <v>0</v>
      </c>
      <c r="L19" s="288">
        <f t="shared" si="4"/>
        <v>0</v>
      </c>
      <c r="M19" s="288">
        <f t="shared" si="4"/>
        <v>0</v>
      </c>
      <c r="N19" s="288">
        <f t="shared" si="4"/>
        <v>0</v>
      </c>
      <c r="O19" s="288">
        <f t="shared" si="4"/>
        <v>0</v>
      </c>
      <c r="P19" s="288">
        <f t="shared" si="4"/>
        <v>0</v>
      </c>
      <c r="Q19" s="284">
        <f t="shared" si="2"/>
        <v>894622.40155199997</v>
      </c>
    </row>
    <row r="20" spans="1:17" x14ac:dyDescent="0.25">
      <c r="A20" s="177" t="s">
        <v>386</v>
      </c>
      <c r="B20" s="179" t="s">
        <v>357</v>
      </c>
      <c r="C20" s="288">
        <f t="shared" si="1"/>
        <v>391369.03205399995</v>
      </c>
      <c r="E20" s="288">
        <f t="shared" si="4"/>
        <v>127011.02322299998</v>
      </c>
      <c r="F20" s="288">
        <f t="shared" si="4"/>
        <v>128942.34389399999</v>
      </c>
      <c r="G20" s="288">
        <f t="shared" si="4"/>
        <v>135415.66493699999</v>
      </c>
      <c r="H20" s="288">
        <f t="shared" si="4"/>
        <v>136434.70348199998</v>
      </c>
      <c r="I20" s="288">
        <f t="shared" si="4"/>
        <v>0</v>
      </c>
      <c r="J20" s="288">
        <f t="shared" si="4"/>
        <v>0</v>
      </c>
      <c r="K20" s="288">
        <f t="shared" si="4"/>
        <v>0</v>
      </c>
      <c r="L20" s="288">
        <f t="shared" si="4"/>
        <v>0</v>
      </c>
      <c r="M20" s="288">
        <f t="shared" si="4"/>
        <v>0</v>
      </c>
      <c r="N20" s="288">
        <f t="shared" si="4"/>
        <v>0</v>
      </c>
      <c r="O20" s="288">
        <f t="shared" si="4"/>
        <v>0</v>
      </c>
      <c r="P20" s="288">
        <f t="shared" si="4"/>
        <v>0</v>
      </c>
      <c r="Q20" s="284">
        <f t="shared" si="2"/>
        <v>527803.73553599999</v>
      </c>
    </row>
    <row r="21" spans="1:17" x14ac:dyDescent="0.25">
      <c r="A21" s="177" t="s">
        <v>384</v>
      </c>
      <c r="B21" s="179" t="s">
        <v>358</v>
      </c>
      <c r="C21" s="288">
        <f t="shared" si="1"/>
        <v>20889.634193999998</v>
      </c>
      <c r="E21" s="288">
        <f t="shared" si="4"/>
        <v>6779.3146529999995</v>
      </c>
      <c r="F21" s="288">
        <f t="shared" si="4"/>
        <v>6882.4004339999992</v>
      </c>
      <c r="G21" s="288">
        <f t="shared" si="4"/>
        <v>7227.9191069999997</v>
      </c>
      <c r="H21" s="288">
        <f t="shared" si="4"/>
        <v>7282.3111019999988</v>
      </c>
      <c r="I21" s="288">
        <f t="shared" si="4"/>
        <v>0</v>
      </c>
      <c r="J21" s="288">
        <f t="shared" si="4"/>
        <v>0</v>
      </c>
      <c r="K21" s="288">
        <f t="shared" si="4"/>
        <v>0</v>
      </c>
      <c r="L21" s="288">
        <f t="shared" si="4"/>
        <v>0</v>
      </c>
      <c r="M21" s="288">
        <f t="shared" si="4"/>
        <v>0</v>
      </c>
      <c r="N21" s="288">
        <f t="shared" si="4"/>
        <v>0</v>
      </c>
      <c r="O21" s="288">
        <f t="shared" si="4"/>
        <v>0</v>
      </c>
      <c r="P21" s="288">
        <f t="shared" si="4"/>
        <v>0</v>
      </c>
      <c r="Q21" s="284">
        <f t="shared" si="2"/>
        <v>28171.945295999998</v>
      </c>
    </row>
    <row r="22" spans="1:17" s="69" customFormat="1" x14ac:dyDescent="0.25">
      <c r="A22" s="69" t="s">
        <v>376</v>
      </c>
      <c r="B22" s="69" t="s">
        <v>376</v>
      </c>
      <c r="C22" s="288">
        <f t="shared" si="1"/>
        <v>45848.927981999994</v>
      </c>
      <c r="D22" s="280"/>
      <c r="E22" s="288">
        <f t="shared" si="4"/>
        <v>14879.356259</v>
      </c>
      <c r="F22" s="288">
        <f t="shared" si="4"/>
        <v>15105.610702</v>
      </c>
      <c r="G22" s="288">
        <f t="shared" si="4"/>
        <v>15863.961020999999</v>
      </c>
      <c r="H22" s="288">
        <f t="shared" si="4"/>
        <v>15983.341505999999</v>
      </c>
      <c r="I22" s="288">
        <f t="shared" si="4"/>
        <v>0</v>
      </c>
      <c r="J22" s="288">
        <f t="shared" si="4"/>
        <v>0</v>
      </c>
      <c r="K22" s="288">
        <f t="shared" si="4"/>
        <v>0</v>
      </c>
      <c r="L22" s="288">
        <f t="shared" si="4"/>
        <v>0</v>
      </c>
      <c r="M22" s="288">
        <f t="shared" si="4"/>
        <v>0</v>
      </c>
      <c r="N22" s="288">
        <f t="shared" si="4"/>
        <v>0</v>
      </c>
      <c r="O22" s="288">
        <f t="shared" si="4"/>
        <v>0</v>
      </c>
      <c r="P22" s="288">
        <f t="shared" si="4"/>
        <v>0</v>
      </c>
      <c r="Q22" s="284">
        <f t="shared" si="2"/>
        <v>61832.269487999991</v>
      </c>
    </row>
    <row r="23" spans="1:17" ht="15.75" thickBot="1" x14ac:dyDescent="0.3">
      <c r="C23" s="281">
        <f>SUM(C8:C22)</f>
        <v>-8.0035533756017685E-10</v>
      </c>
      <c r="E23" s="281">
        <f t="shared" ref="E23:Q23" si="5">SUM(E8:E22)</f>
        <v>0</v>
      </c>
      <c r="F23" s="281">
        <f t="shared" si="5"/>
        <v>1.5825207810848951E-10</v>
      </c>
      <c r="G23" s="281">
        <f t="shared" si="5"/>
        <v>-2.5283952709287405E-10</v>
      </c>
      <c r="H23" s="281">
        <f t="shared" si="5"/>
        <v>8.1854523159563541E-11</v>
      </c>
      <c r="I23" s="281">
        <f t="shared" si="5"/>
        <v>-1.4551915228366852E-11</v>
      </c>
      <c r="J23" s="281">
        <f t="shared" si="5"/>
        <v>-1.4551915228366852E-11</v>
      </c>
      <c r="K23" s="281">
        <f t="shared" si="5"/>
        <v>-1.4551915228366852E-11</v>
      </c>
      <c r="L23" s="281">
        <f t="shared" si="5"/>
        <v>-1.4551915228366852E-11</v>
      </c>
      <c r="M23" s="281">
        <f t="shared" si="5"/>
        <v>-1.4551915228366852E-11</v>
      </c>
      <c r="N23" s="281">
        <f t="shared" si="5"/>
        <v>-1.4551915228366852E-11</v>
      </c>
      <c r="O23" s="281">
        <f t="shared" si="5"/>
        <v>-1.4551915228366852E-11</v>
      </c>
      <c r="P23" s="281">
        <f t="shared" si="5"/>
        <v>-1.4551915228366852E-11</v>
      </c>
      <c r="Q23" s="281">
        <f t="shared" si="5"/>
        <v>5.0204107537865639E-10</v>
      </c>
    </row>
    <row r="25" spans="1:17" x14ac:dyDescent="0.25">
      <c r="B25" s="1" t="s">
        <v>359</v>
      </c>
    </row>
    <row r="26" spans="1:17" x14ac:dyDescent="0.25">
      <c r="B26" s="1" t="s">
        <v>166</v>
      </c>
      <c r="Q26" s="284"/>
    </row>
    <row r="27" spans="1:17" x14ac:dyDescent="0.25">
      <c r="A27" s="177" t="s">
        <v>265</v>
      </c>
      <c r="B27" t="s">
        <v>360</v>
      </c>
      <c r="C27" s="289">
        <f>SUM(E27:G27)</f>
        <v>-3186366.9761538464</v>
      </c>
      <c r="E27" s="289">
        <f>-SUM(E28:E41)</f>
        <v>-1062122.3253846155</v>
      </c>
      <c r="F27" s="289">
        <f t="shared" ref="F27:P27" si="6">-SUM(F28:F41)</f>
        <v>-1062122.3253846155</v>
      </c>
      <c r="G27" s="289">
        <f t="shared" si="6"/>
        <v>-1062122.3253846155</v>
      </c>
      <c r="H27" s="289">
        <f t="shared" si="6"/>
        <v>-1062122.3253846155</v>
      </c>
      <c r="I27" s="289">
        <f t="shared" si="6"/>
        <v>-1062122.3253846155</v>
      </c>
      <c r="J27" s="289">
        <f t="shared" si="6"/>
        <v>-1062122.3253846155</v>
      </c>
      <c r="K27" s="289">
        <f t="shared" si="6"/>
        <v>-1062122.3253846155</v>
      </c>
      <c r="L27" s="289">
        <f t="shared" si="6"/>
        <v>-1062122.3253846155</v>
      </c>
      <c r="M27" s="289">
        <f t="shared" si="6"/>
        <v>-1062122.3253846155</v>
      </c>
      <c r="N27" s="289">
        <f t="shared" si="6"/>
        <v>-1062122.3253846155</v>
      </c>
      <c r="O27" s="289">
        <f t="shared" si="6"/>
        <v>-1062122.3253846155</v>
      </c>
      <c r="P27" s="289">
        <f t="shared" si="6"/>
        <v>-1062122.3253846155</v>
      </c>
      <c r="Q27" s="284">
        <f t="shared" ref="Q27:Q41" si="7">SUM(E27:P27)</f>
        <v>-12745467.904615382</v>
      </c>
    </row>
    <row r="28" spans="1:17" x14ac:dyDescent="0.25">
      <c r="A28" s="177" t="s">
        <v>375</v>
      </c>
      <c r="B28" t="s">
        <v>361</v>
      </c>
      <c r="C28" s="280">
        <f t="shared" ref="C28:C41" si="8">SUM(E28:G28)</f>
        <v>255444.63</v>
      </c>
      <c r="E28" s="204">
        <v>85148.21</v>
      </c>
      <c r="F28" s="204">
        <v>85148.21</v>
      </c>
      <c r="G28" s="204">
        <v>85148.21</v>
      </c>
      <c r="H28" s="204">
        <v>85148.21</v>
      </c>
      <c r="I28" s="204">
        <v>85148.21</v>
      </c>
      <c r="J28" s="204">
        <v>85148.21</v>
      </c>
      <c r="K28" s="204">
        <v>85148.21</v>
      </c>
      <c r="L28" s="204">
        <v>85148.21</v>
      </c>
      <c r="M28" s="204">
        <v>85148.21</v>
      </c>
      <c r="N28" s="204">
        <v>85148.21</v>
      </c>
      <c r="O28" s="204">
        <v>85148.21</v>
      </c>
      <c r="P28" s="204">
        <v>85148.21</v>
      </c>
      <c r="Q28" s="284">
        <f t="shared" si="7"/>
        <v>1021778.5199999999</v>
      </c>
    </row>
    <row r="29" spans="1:17" x14ac:dyDescent="0.25">
      <c r="A29" s="177" t="s">
        <v>16</v>
      </c>
      <c r="B29" t="s">
        <v>362</v>
      </c>
      <c r="C29" s="280">
        <f t="shared" si="8"/>
        <v>3799.6499999999996</v>
      </c>
      <c r="E29" s="204">
        <v>1266.55</v>
      </c>
      <c r="F29" s="204">
        <v>1266.55</v>
      </c>
      <c r="G29" s="204">
        <v>1266.55</v>
      </c>
      <c r="H29" s="204">
        <v>1266.55</v>
      </c>
      <c r="I29" s="204">
        <v>1266.55</v>
      </c>
      <c r="J29" s="204">
        <v>1266.55</v>
      </c>
      <c r="K29" s="204">
        <v>1266.55</v>
      </c>
      <c r="L29" s="204">
        <v>1266.55</v>
      </c>
      <c r="M29" s="204">
        <v>1266.55</v>
      </c>
      <c r="N29" s="204">
        <v>1266.55</v>
      </c>
      <c r="O29" s="204">
        <v>1266.55</v>
      </c>
      <c r="P29" s="204">
        <v>1266.55</v>
      </c>
      <c r="Q29" s="284">
        <f t="shared" si="7"/>
        <v>15198.599999999997</v>
      </c>
    </row>
    <row r="30" spans="1:17" x14ac:dyDescent="0.25">
      <c r="A30" s="177" t="s">
        <v>12</v>
      </c>
      <c r="B30" t="s">
        <v>363</v>
      </c>
      <c r="C30" s="286">
        <f t="shared" si="8"/>
        <v>290861.88461538462</v>
      </c>
      <c r="E30" s="286">
        <f>E11/E$4</f>
        <v>96953.961538461532</v>
      </c>
      <c r="F30" s="286">
        <f t="shared" ref="F30:P30" si="9">F11/F$4</f>
        <v>96953.961538461532</v>
      </c>
      <c r="G30" s="286">
        <f t="shared" si="9"/>
        <v>96953.961538461532</v>
      </c>
      <c r="H30" s="286">
        <f t="shared" si="9"/>
        <v>96953.961538461532</v>
      </c>
      <c r="I30" s="286">
        <f t="shared" si="9"/>
        <v>96953.961538461532</v>
      </c>
      <c r="J30" s="286">
        <f t="shared" si="9"/>
        <v>96953.961538461532</v>
      </c>
      <c r="K30" s="286">
        <f t="shared" si="9"/>
        <v>96953.961538461532</v>
      </c>
      <c r="L30" s="286">
        <f t="shared" si="9"/>
        <v>96953.961538461532</v>
      </c>
      <c r="M30" s="286">
        <f t="shared" si="9"/>
        <v>96953.961538461532</v>
      </c>
      <c r="N30" s="286">
        <f t="shared" si="9"/>
        <v>96953.961538461532</v>
      </c>
      <c r="O30" s="286">
        <f t="shared" si="9"/>
        <v>96953.961538461532</v>
      </c>
      <c r="P30" s="286">
        <f t="shared" si="9"/>
        <v>96953.961538461532</v>
      </c>
      <c r="Q30" s="284">
        <f t="shared" si="7"/>
        <v>1163447.5384615383</v>
      </c>
    </row>
    <row r="31" spans="1:17" x14ac:dyDescent="0.25">
      <c r="A31" s="177" t="s">
        <v>8</v>
      </c>
      <c r="B31" t="s">
        <v>364</v>
      </c>
      <c r="C31" s="286">
        <f t="shared" si="8"/>
        <v>292506.4615384615</v>
      </c>
      <c r="E31" s="286">
        <f>E12/E$4</f>
        <v>97502.153846153844</v>
      </c>
      <c r="F31" s="286">
        <f t="shared" ref="F31:P31" si="10">F12/F$4</f>
        <v>97502.153846153844</v>
      </c>
      <c r="G31" s="286">
        <f t="shared" si="10"/>
        <v>97502.153846153844</v>
      </c>
      <c r="H31" s="286">
        <f t="shared" si="10"/>
        <v>97502.153846153844</v>
      </c>
      <c r="I31" s="286">
        <f t="shared" si="10"/>
        <v>97502.153846153844</v>
      </c>
      <c r="J31" s="286">
        <f t="shared" si="10"/>
        <v>97502.153846153844</v>
      </c>
      <c r="K31" s="286">
        <f t="shared" si="10"/>
        <v>97502.153846153844</v>
      </c>
      <c r="L31" s="286">
        <f t="shared" si="10"/>
        <v>97502.153846153844</v>
      </c>
      <c r="M31" s="286">
        <f t="shared" si="10"/>
        <v>97502.153846153844</v>
      </c>
      <c r="N31" s="286">
        <f t="shared" si="10"/>
        <v>97502.153846153844</v>
      </c>
      <c r="O31" s="286">
        <f t="shared" si="10"/>
        <v>97502.153846153844</v>
      </c>
      <c r="P31" s="286">
        <f t="shared" si="10"/>
        <v>97502.153846153844</v>
      </c>
      <c r="Q31" s="284">
        <f t="shared" si="7"/>
        <v>1170025.8461538462</v>
      </c>
    </row>
    <row r="32" spans="1:17" x14ac:dyDescent="0.25">
      <c r="A32" s="177" t="s">
        <v>165</v>
      </c>
      <c r="B32" t="s">
        <v>365</v>
      </c>
      <c r="C32" s="280">
        <f t="shared" si="8"/>
        <v>32033.370000000003</v>
      </c>
      <c r="E32" s="204">
        <v>10677.79</v>
      </c>
      <c r="F32" s="204">
        <v>10677.79</v>
      </c>
      <c r="G32" s="204">
        <v>10677.79</v>
      </c>
      <c r="H32" s="204">
        <v>10677.79</v>
      </c>
      <c r="I32" s="204">
        <v>10677.79</v>
      </c>
      <c r="J32" s="204">
        <v>10677.79</v>
      </c>
      <c r="K32" s="204">
        <v>10677.79</v>
      </c>
      <c r="L32" s="204">
        <v>10677.79</v>
      </c>
      <c r="M32" s="204">
        <v>10677.79</v>
      </c>
      <c r="N32" s="204">
        <v>10677.79</v>
      </c>
      <c r="O32" s="204">
        <v>10677.79</v>
      </c>
      <c r="P32" s="204">
        <v>10677.79</v>
      </c>
      <c r="Q32" s="284">
        <f t="shared" si="7"/>
        <v>128133.48000000004</v>
      </c>
    </row>
    <row r="33" spans="1:17" x14ac:dyDescent="0.25">
      <c r="A33" s="177" t="s">
        <v>164</v>
      </c>
      <c r="B33" t="s">
        <v>366</v>
      </c>
      <c r="C33" s="280">
        <f t="shared" si="8"/>
        <v>19455.12</v>
      </c>
      <c r="E33" s="204">
        <v>6485.04</v>
      </c>
      <c r="F33" s="204">
        <v>6485.04</v>
      </c>
      <c r="G33" s="204">
        <v>6485.04</v>
      </c>
      <c r="H33" s="204">
        <v>6485.04</v>
      </c>
      <c r="I33" s="204">
        <v>6485.04</v>
      </c>
      <c r="J33" s="204">
        <v>6485.04</v>
      </c>
      <c r="K33" s="204">
        <v>6485.04</v>
      </c>
      <c r="L33" s="204">
        <v>6485.04</v>
      </c>
      <c r="M33" s="204">
        <v>6485.04</v>
      </c>
      <c r="N33" s="204">
        <v>6485.04</v>
      </c>
      <c r="O33" s="204">
        <v>6485.04</v>
      </c>
      <c r="P33" s="204">
        <v>6485.04</v>
      </c>
      <c r="Q33" s="284">
        <f t="shared" si="7"/>
        <v>77820.479999999996</v>
      </c>
    </row>
    <row r="34" spans="1:17" x14ac:dyDescent="0.25">
      <c r="A34" s="177" t="s">
        <v>18</v>
      </c>
      <c r="B34" t="s">
        <v>367</v>
      </c>
      <c r="C34" s="280">
        <f t="shared" si="8"/>
        <v>228138.36</v>
      </c>
      <c r="E34" s="204">
        <v>76046.12</v>
      </c>
      <c r="F34" s="204">
        <v>76046.12</v>
      </c>
      <c r="G34" s="204">
        <v>76046.12</v>
      </c>
      <c r="H34" s="204">
        <v>76046.12</v>
      </c>
      <c r="I34" s="204">
        <v>76046.12</v>
      </c>
      <c r="J34" s="204">
        <v>76046.12</v>
      </c>
      <c r="K34" s="204">
        <v>76046.12</v>
      </c>
      <c r="L34" s="204">
        <v>76046.12</v>
      </c>
      <c r="M34" s="204">
        <v>76046.12</v>
      </c>
      <c r="N34" s="204">
        <v>76046.12</v>
      </c>
      <c r="O34" s="204">
        <v>76046.12</v>
      </c>
      <c r="P34" s="204">
        <v>76046.12</v>
      </c>
      <c r="Q34" s="284">
        <f t="shared" si="7"/>
        <v>912553.44</v>
      </c>
    </row>
    <row r="35" spans="1:17" x14ac:dyDescent="0.25">
      <c r="A35" s="177" t="s">
        <v>387</v>
      </c>
      <c r="B35" t="s">
        <v>368</v>
      </c>
      <c r="C35" s="288">
        <f t="shared" si="8"/>
        <v>-866343.99</v>
      </c>
      <c r="E35" s="288">
        <v>-288781.33</v>
      </c>
      <c r="F35" s="288">
        <v>-288781.33</v>
      </c>
      <c r="G35" s="288">
        <v>-288781.33</v>
      </c>
      <c r="H35" s="288">
        <v>-288781.33</v>
      </c>
      <c r="I35" s="288">
        <v>-288781.33</v>
      </c>
      <c r="J35" s="288">
        <v>-288781.33</v>
      </c>
      <c r="K35" s="288">
        <v>-288781.33</v>
      </c>
      <c r="L35" s="288">
        <v>-288781.33</v>
      </c>
      <c r="M35" s="288">
        <v>-288781.33</v>
      </c>
      <c r="N35" s="288">
        <v>-288781.33</v>
      </c>
      <c r="O35" s="288">
        <v>-288781.33</v>
      </c>
      <c r="P35" s="288">
        <v>-288781.33</v>
      </c>
      <c r="Q35" s="284">
        <f t="shared" si="7"/>
        <v>-3465375.9600000004</v>
      </c>
    </row>
    <row r="36" spans="1:17" x14ac:dyDescent="0.25">
      <c r="A36" s="177" t="s">
        <v>334</v>
      </c>
      <c r="B36" t="s">
        <v>369</v>
      </c>
      <c r="C36" s="288">
        <f t="shared" si="8"/>
        <v>390792.75</v>
      </c>
      <c r="E36" s="288">
        <v>130264.25</v>
      </c>
      <c r="F36" s="288">
        <v>130264.25</v>
      </c>
      <c r="G36" s="288">
        <v>130264.25</v>
      </c>
      <c r="H36" s="288">
        <v>130264.25</v>
      </c>
      <c r="I36" s="288">
        <v>130264.25</v>
      </c>
      <c r="J36" s="288">
        <v>130264.25</v>
      </c>
      <c r="K36" s="288">
        <v>130264.25</v>
      </c>
      <c r="L36" s="288">
        <v>130264.25</v>
      </c>
      <c r="M36" s="288">
        <v>130264.25</v>
      </c>
      <c r="N36" s="288">
        <v>130264.25</v>
      </c>
      <c r="O36" s="288">
        <v>130264.25</v>
      </c>
      <c r="P36" s="288">
        <v>130264.25</v>
      </c>
      <c r="Q36" s="284">
        <f t="shared" si="7"/>
        <v>1563171</v>
      </c>
    </row>
    <row r="37" spans="1:17" x14ac:dyDescent="0.25">
      <c r="A37" s="177" t="s">
        <v>388</v>
      </c>
      <c r="B37" t="s">
        <v>370</v>
      </c>
      <c r="C37" s="288">
        <f t="shared" si="8"/>
        <v>1705372.5</v>
      </c>
      <c r="E37" s="288">
        <v>568457.5</v>
      </c>
      <c r="F37" s="288">
        <v>568457.5</v>
      </c>
      <c r="G37" s="288">
        <v>568457.5</v>
      </c>
      <c r="H37" s="288">
        <v>568457.5</v>
      </c>
      <c r="I37" s="288">
        <v>568457.5</v>
      </c>
      <c r="J37" s="288">
        <v>568457.5</v>
      </c>
      <c r="K37" s="288">
        <v>568457.5</v>
      </c>
      <c r="L37" s="288">
        <v>568457.5</v>
      </c>
      <c r="M37" s="288">
        <v>568457.5</v>
      </c>
      <c r="N37" s="288">
        <v>568457.5</v>
      </c>
      <c r="O37" s="288">
        <v>568457.5</v>
      </c>
      <c r="P37" s="288">
        <v>568457.5</v>
      </c>
      <c r="Q37" s="284">
        <f t="shared" si="7"/>
        <v>6821490</v>
      </c>
    </row>
    <row r="38" spans="1:17" x14ac:dyDescent="0.25">
      <c r="A38" s="177" t="s">
        <v>385</v>
      </c>
      <c r="B38" t="s">
        <v>371</v>
      </c>
      <c r="C38" s="288">
        <f t="shared" si="8"/>
        <v>493503.08999999997</v>
      </c>
      <c r="E38" s="288">
        <v>164501.03</v>
      </c>
      <c r="F38" s="288">
        <v>164501.03</v>
      </c>
      <c r="G38" s="288">
        <v>164501.03</v>
      </c>
      <c r="H38" s="288">
        <v>164501.03</v>
      </c>
      <c r="I38" s="288">
        <v>164501.03</v>
      </c>
      <c r="J38" s="288">
        <v>164501.03</v>
      </c>
      <c r="K38" s="288">
        <v>164501.03</v>
      </c>
      <c r="L38" s="288">
        <v>164501.03</v>
      </c>
      <c r="M38" s="288">
        <v>164501.03</v>
      </c>
      <c r="N38" s="288">
        <v>164501.03</v>
      </c>
      <c r="O38" s="288">
        <v>164501.03</v>
      </c>
      <c r="P38" s="288">
        <v>164501.03</v>
      </c>
      <c r="Q38" s="284">
        <f t="shared" si="7"/>
        <v>1974012.36</v>
      </c>
    </row>
    <row r="39" spans="1:17" x14ac:dyDescent="0.25">
      <c r="A39" s="177" t="s">
        <v>386</v>
      </c>
      <c r="B39" t="s">
        <v>372</v>
      </c>
      <c r="C39" s="288">
        <f>SUM(E39:G39)</f>
        <v>291153.87</v>
      </c>
      <c r="E39" s="288">
        <v>97051.29</v>
      </c>
      <c r="F39" s="288">
        <v>97051.29</v>
      </c>
      <c r="G39" s="288">
        <v>97051.29</v>
      </c>
      <c r="H39" s="288">
        <v>97051.29</v>
      </c>
      <c r="I39" s="288">
        <v>97051.29</v>
      </c>
      <c r="J39" s="288">
        <v>97051.29</v>
      </c>
      <c r="K39" s="288">
        <v>97051.29</v>
      </c>
      <c r="L39" s="288">
        <v>97051.29</v>
      </c>
      <c r="M39" s="288">
        <v>97051.29</v>
      </c>
      <c r="N39" s="288">
        <v>97051.29</v>
      </c>
      <c r="O39" s="288">
        <v>97051.29</v>
      </c>
      <c r="P39" s="288">
        <v>97051.29</v>
      </c>
      <c r="Q39" s="284">
        <f t="shared" si="7"/>
        <v>1164615.4800000002</v>
      </c>
    </row>
    <row r="40" spans="1:17" x14ac:dyDescent="0.25">
      <c r="A40" s="177" t="s">
        <v>384</v>
      </c>
      <c r="B40" t="s">
        <v>373</v>
      </c>
      <c r="C40" s="288">
        <f t="shared" si="8"/>
        <v>15540.57</v>
      </c>
      <c r="E40" s="288">
        <v>5180.1899999999996</v>
      </c>
      <c r="F40" s="288">
        <v>5180.1899999999996</v>
      </c>
      <c r="G40" s="288">
        <v>5180.1899999999996</v>
      </c>
      <c r="H40" s="288">
        <v>5180.1899999999996</v>
      </c>
      <c r="I40" s="288">
        <v>5180.1899999999996</v>
      </c>
      <c r="J40" s="288">
        <v>5180.1899999999996</v>
      </c>
      <c r="K40" s="288">
        <v>5180.1899999999996</v>
      </c>
      <c r="L40" s="288">
        <v>5180.1899999999996</v>
      </c>
      <c r="M40" s="288">
        <v>5180.1899999999996</v>
      </c>
      <c r="N40" s="288">
        <v>5180.1899999999996</v>
      </c>
      <c r="O40" s="288">
        <v>5180.1899999999996</v>
      </c>
      <c r="P40" s="288">
        <v>5180.1899999999996</v>
      </c>
      <c r="Q40" s="284">
        <f t="shared" si="7"/>
        <v>62162.280000000006</v>
      </c>
    </row>
    <row r="41" spans="1:17" x14ac:dyDescent="0.25">
      <c r="A41" s="69" t="s">
        <v>376</v>
      </c>
      <c r="B41" s="69" t="s">
        <v>376</v>
      </c>
      <c r="C41" s="288">
        <f t="shared" si="8"/>
        <v>34108.71</v>
      </c>
      <c r="E41" s="288">
        <v>11369.57</v>
      </c>
      <c r="F41" s="288">
        <v>11369.57</v>
      </c>
      <c r="G41" s="288">
        <v>11369.57</v>
      </c>
      <c r="H41" s="288">
        <v>11369.57</v>
      </c>
      <c r="I41" s="288">
        <v>11369.57</v>
      </c>
      <c r="J41" s="288">
        <v>11369.57</v>
      </c>
      <c r="K41" s="288">
        <v>11369.57</v>
      </c>
      <c r="L41" s="288">
        <v>11369.57</v>
      </c>
      <c r="M41" s="288">
        <v>11369.57</v>
      </c>
      <c r="N41" s="288">
        <v>11369.57</v>
      </c>
      <c r="O41" s="288">
        <v>11369.57</v>
      </c>
      <c r="P41" s="288">
        <v>11369.57</v>
      </c>
      <c r="Q41" s="284">
        <f t="shared" si="7"/>
        <v>136434.84000000003</v>
      </c>
    </row>
    <row r="42" spans="1:17" ht="15.75" thickBot="1" x14ac:dyDescent="0.3">
      <c r="C42" s="281">
        <f>SUM(C27:C41)</f>
        <v>-2.6193447411060333E-10</v>
      </c>
      <c r="E42" s="281">
        <f t="shared" ref="E42:Q42" si="11">SUM(E27:E41)</f>
        <v>-8.3673512563109398E-11</v>
      </c>
      <c r="F42" s="281">
        <f t="shared" si="11"/>
        <v>-8.3673512563109398E-11</v>
      </c>
      <c r="G42" s="281">
        <f t="shared" si="11"/>
        <v>-8.3673512563109398E-11</v>
      </c>
      <c r="H42" s="281">
        <f t="shared" si="11"/>
        <v>-8.3673512563109398E-11</v>
      </c>
      <c r="I42" s="281">
        <f t="shared" si="11"/>
        <v>-8.3673512563109398E-11</v>
      </c>
      <c r="J42" s="281">
        <f t="shared" si="11"/>
        <v>-8.3673512563109398E-11</v>
      </c>
      <c r="K42" s="281">
        <f t="shared" si="11"/>
        <v>-8.3673512563109398E-11</v>
      </c>
      <c r="L42" s="281">
        <f t="shared" si="11"/>
        <v>-8.3673512563109398E-11</v>
      </c>
      <c r="M42" s="281">
        <f t="shared" si="11"/>
        <v>-8.3673512563109398E-11</v>
      </c>
      <c r="N42" s="281">
        <f t="shared" si="11"/>
        <v>-8.3673512563109398E-11</v>
      </c>
      <c r="O42" s="281">
        <f t="shared" si="11"/>
        <v>-8.3673512563109398E-11</v>
      </c>
      <c r="P42" s="281">
        <f t="shared" si="11"/>
        <v>-8.3673512563109398E-11</v>
      </c>
      <c r="Q42" s="281">
        <f t="shared" si="11"/>
        <v>1.3096723705530167E-9</v>
      </c>
    </row>
    <row r="44" spans="1:17" x14ac:dyDescent="0.25">
      <c r="B44" s="1" t="s">
        <v>374</v>
      </c>
    </row>
    <row r="45" spans="1:17" x14ac:dyDescent="0.25">
      <c r="B45" s="1" t="s">
        <v>167</v>
      </c>
    </row>
    <row r="46" spans="1:17" x14ac:dyDescent="0.25">
      <c r="A46" s="177" t="s">
        <v>265</v>
      </c>
      <c r="B46" t="s">
        <v>360</v>
      </c>
      <c r="C46" s="289">
        <f t="shared" ref="C46:C60" si="12">SUM(E46:G46)</f>
        <v>-144031.04007599998</v>
      </c>
      <c r="E46" s="289">
        <f>-SUM(E47:E60)</f>
        <v>-46829.394461999997</v>
      </c>
      <c r="F46" s="289">
        <f t="shared" ref="F46:P46" si="13">-SUM(F47:F60)</f>
        <v>-47491.393036000001</v>
      </c>
      <c r="G46" s="289">
        <f t="shared" si="13"/>
        <v>-49710.252578</v>
      </c>
      <c r="H46" s="289">
        <f t="shared" si="13"/>
        <v>-50059.548307999998</v>
      </c>
      <c r="I46" s="289">
        <f t="shared" si="13"/>
        <v>-3293.84</v>
      </c>
      <c r="J46" s="289">
        <f t="shared" si="13"/>
        <v>-3293.84</v>
      </c>
      <c r="K46" s="289">
        <f t="shared" si="13"/>
        <v>-3293.84</v>
      </c>
      <c r="L46" s="289">
        <f t="shared" si="13"/>
        <v>-3293.84</v>
      </c>
      <c r="M46" s="289">
        <f t="shared" si="13"/>
        <v>-3293.84</v>
      </c>
      <c r="N46" s="289">
        <f t="shared" si="13"/>
        <v>-3293.84</v>
      </c>
      <c r="O46" s="289">
        <f t="shared" si="13"/>
        <v>-3293.84</v>
      </c>
      <c r="P46" s="289">
        <f t="shared" si="13"/>
        <v>-3293.84</v>
      </c>
      <c r="Q46" s="284">
        <f t="shared" ref="Q46:Q60" si="14">SUM(E46:P46)</f>
        <v>-220441.30838399995</v>
      </c>
    </row>
    <row r="47" spans="1:17" x14ac:dyDescent="0.25">
      <c r="A47" s="177" t="s">
        <v>375</v>
      </c>
      <c r="B47" t="s">
        <v>361</v>
      </c>
      <c r="C47" s="280">
        <f t="shared" si="12"/>
        <v>1927.23</v>
      </c>
      <c r="E47" s="204">
        <v>642.41</v>
      </c>
      <c r="F47" s="204">
        <v>642.41</v>
      </c>
      <c r="G47" s="204">
        <v>642.41</v>
      </c>
      <c r="H47" s="204">
        <v>642.41</v>
      </c>
      <c r="I47" s="204">
        <v>642.41</v>
      </c>
      <c r="J47" s="204">
        <v>642.41</v>
      </c>
      <c r="K47" s="204">
        <v>642.41</v>
      </c>
      <c r="L47" s="204">
        <v>642.41</v>
      </c>
      <c r="M47" s="204">
        <v>642.41</v>
      </c>
      <c r="N47" s="204">
        <v>642.41</v>
      </c>
      <c r="O47" s="204">
        <v>642.41</v>
      </c>
      <c r="P47" s="204">
        <v>642.41</v>
      </c>
      <c r="Q47" s="284">
        <f t="shared" si="14"/>
        <v>7708.9199999999992</v>
      </c>
    </row>
    <row r="48" spans="1:17" x14ac:dyDescent="0.25">
      <c r="A48" s="177" t="s">
        <v>16</v>
      </c>
      <c r="B48" t="s">
        <v>362</v>
      </c>
      <c r="C48" s="280">
        <f t="shared" si="12"/>
        <v>31.589999999999996</v>
      </c>
      <c r="E48" s="204">
        <v>10.53</v>
      </c>
      <c r="F48" s="204">
        <v>10.53</v>
      </c>
      <c r="G48" s="204">
        <v>10.53</v>
      </c>
      <c r="H48" s="204">
        <v>10.53</v>
      </c>
      <c r="I48" s="204">
        <v>10.53</v>
      </c>
      <c r="J48" s="204">
        <v>10.53</v>
      </c>
      <c r="K48" s="204">
        <v>10.53</v>
      </c>
      <c r="L48" s="204">
        <v>10.53</v>
      </c>
      <c r="M48" s="204">
        <v>10.53</v>
      </c>
      <c r="N48" s="204">
        <v>10.53</v>
      </c>
      <c r="O48" s="204">
        <v>10.53</v>
      </c>
      <c r="P48" s="204">
        <v>10.53</v>
      </c>
      <c r="Q48" s="284">
        <f t="shared" si="14"/>
        <v>126.36</v>
      </c>
    </row>
    <row r="49" spans="1:17" x14ac:dyDescent="0.25">
      <c r="A49" s="177" t="s">
        <v>12</v>
      </c>
      <c r="B49" t="s">
        <v>363</v>
      </c>
      <c r="C49" s="286">
        <f t="shared" si="12"/>
        <v>2451.96</v>
      </c>
      <c r="E49" s="286">
        <v>817.32</v>
      </c>
      <c r="F49" s="286">
        <v>817.32</v>
      </c>
      <c r="G49" s="286">
        <v>817.32</v>
      </c>
      <c r="H49" s="286">
        <v>817.32</v>
      </c>
      <c r="I49" s="286">
        <v>817.32</v>
      </c>
      <c r="J49" s="286">
        <v>817.32</v>
      </c>
      <c r="K49" s="286">
        <v>817.32</v>
      </c>
      <c r="L49" s="286">
        <v>817.32</v>
      </c>
      <c r="M49" s="286">
        <v>817.32</v>
      </c>
      <c r="N49" s="286">
        <v>817.32</v>
      </c>
      <c r="O49" s="286">
        <v>817.32</v>
      </c>
      <c r="P49" s="286">
        <v>817.32</v>
      </c>
      <c r="Q49" s="284">
        <f t="shared" si="14"/>
        <v>9807.8399999999983</v>
      </c>
    </row>
    <row r="50" spans="1:17" x14ac:dyDescent="0.25">
      <c r="A50" s="177" t="s">
        <v>8</v>
      </c>
      <c r="B50" t="s">
        <v>364</v>
      </c>
      <c r="C50" s="286">
        <f t="shared" si="12"/>
        <v>2365.62</v>
      </c>
      <c r="E50" s="286">
        <v>788.54</v>
      </c>
      <c r="F50" s="286">
        <v>788.54</v>
      </c>
      <c r="G50" s="286">
        <v>788.54</v>
      </c>
      <c r="H50" s="286">
        <v>788.54</v>
      </c>
      <c r="I50" s="286">
        <v>788.54</v>
      </c>
      <c r="J50" s="286">
        <v>788.54</v>
      </c>
      <c r="K50" s="286">
        <v>788.54</v>
      </c>
      <c r="L50" s="286">
        <v>788.54</v>
      </c>
      <c r="M50" s="286">
        <v>788.54</v>
      </c>
      <c r="N50" s="286">
        <v>788.54</v>
      </c>
      <c r="O50" s="286">
        <v>788.54</v>
      </c>
      <c r="P50" s="286">
        <v>788.54</v>
      </c>
      <c r="Q50" s="284">
        <f t="shared" si="14"/>
        <v>9462.48</v>
      </c>
    </row>
    <row r="51" spans="1:17" x14ac:dyDescent="0.25">
      <c r="A51" s="177" t="s">
        <v>165</v>
      </c>
      <c r="B51" t="s">
        <v>365</v>
      </c>
      <c r="C51" s="280">
        <f t="shared" si="12"/>
        <v>244.44</v>
      </c>
      <c r="E51" s="204">
        <v>81.48</v>
      </c>
      <c r="F51" s="204">
        <v>81.48</v>
      </c>
      <c r="G51" s="204">
        <v>81.48</v>
      </c>
      <c r="H51" s="204">
        <v>81.48</v>
      </c>
      <c r="I51" s="204">
        <v>81.48</v>
      </c>
      <c r="J51" s="204">
        <v>81.48</v>
      </c>
      <c r="K51" s="204">
        <v>81.48</v>
      </c>
      <c r="L51" s="204">
        <v>81.48</v>
      </c>
      <c r="M51" s="204">
        <v>81.48</v>
      </c>
      <c r="N51" s="204">
        <v>81.48</v>
      </c>
      <c r="O51" s="204">
        <v>81.48</v>
      </c>
      <c r="P51" s="204">
        <v>81.48</v>
      </c>
      <c r="Q51" s="284">
        <f t="shared" si="14"/>
        <v>977.7600000000001</v>
      </c>
    </row>
    <row r="52" spans="1:17" x14ac:dyDescent="0.25">
      <c r="A52" s="177" t="s">
        <v>164</v>
      </c>
      <c r="B52" t="s">
        <v>366</v>
      </c>
      <c r="C52" s="280">
        <f t="shared" si="12"/>
        <v>150.78</v>
      </c>
      <c r="E52" s="204">
        <v>50.26</v>
      </c>
      <c r="F52" s="204">
        <v>50.26</v>
      </c>
      <c r="G52" s="204">
        <v>50.26</v>
      </c>
      <c r="H52" s="204">
        <v>50.26</v>
      </c>
      <c r="I52" s="204">
        <v>50.26</v>
      </c>
      <c r="J52" s="204">
        <v>50.26</v>
      </c>
      <c r="K52" s="204">
        <v>50.26</v>
      </c>
      <c r="L52" s="204">
        <v>50.26</v>
      </c>
      <c r="M52" s="204">
        <v>50.26</v>
      </c>
      <c r="N52" s="204">
        <v>50.26</v>
      </c>
      <c r="O52" s="204">
        <v>50.26</v>
      </c>
      <c r="P52" s="204">
        <v>50.26</v>
      </c>
      <c r="Q52" s="284">
        <f t="shared" si="14"/>
        <v>603.12</v>
      </c>
    </row>
    <row r="53" spans="1:17" x14ac:dyDescent="0.25">
      <c r="A53" s="177" t="s">
        <v>18</v>
      </c>
      <c r="B53" t="s">
        <v>367</v>
      </c>
      <c r="C53" s="280">
        <f t="shared" si="12"/>
        <v>2709.8999999999996</v>
      </c>
      <c r="E53" s="204">
        <v>903.3</v>
      </c>
      <c r="F53" s="204">
        <v>903.3</v>
      </c>
      <c r="G53" s="204">
        <v>903.3</v>
      </c>
      <c r="H53" s="204">
        <v>903.3</v>
      </c>
      <c r="I53" s="204">
        <v>903.3</v>
      </c>
      <c r="J53" s="204">
        <v>903.3</v>
      </c>
      <c r="K53" s="204">
        <v>903.3</v>
      </c>
      <c r="L53" s="204">
        <v>903.3</v>
      </c>
      <c r="M53" s="204">
        <v>903.3</v>
      </c>
      <c r="N53" s="204">
        <v>903.3</v>
      </c>
      <c r="O53" s="204">
        <v>903.3</v>
      </c>
      <c r="P53" s="204">
        <v>903.3</v>
      </c>
      <c r="Q53" s="284">
        <f t="shared" si="14"/>
        <v>10839.599999999999</v>
      </c>
    </row>
    <row r="54" spans="1:17" x14ac:dyDescent="0.25">
      <c r="A54" s="177" t="s">
        <v>387</v>
      </c>
      <c r="B54" t="s">
        <v>368</v>
      </c>
      <c r="C54" s="288">
        <f t="shared" si="12"/>
        <v>-4411.3417920000002</v>
      </c>
      <c r="E54" s="288">
        <f>E73*E$3</f>
        <v>-1431.613104</v>
      </c>
      <c r="F54" s="288">
        <f t="shared" ref="F54:P54" si="15">F73*F$3</f>
        <v>-1453.382112</v>
      </c>
      <c r="G54" s="288">
        <f t="shared" si="15"/>
        <v>-1526.3465760000001</v>
      </c>
      <c r="H54" s="288">
        <f t="shared" si="15"/>
        <v>-1537.8327360000001</v>
      </c>
      <c r="I54" s="288">
        <f t="shared" si="15"/>
        <v>0</v>
      </c>
      <c r="J54" s="288">
        <f t="shared" si="15"/>
        <v>0</v>
      </c>
      <c r="K54" s="288">
        <f t="shared" si="15"/>
        <v>0</v>
      </c>
      <c r="L54" s="288">
        <f t="shared" si="15"/>
        <v>0</v>
      </c>
      <c r="M54" s="288">
        <f t="shared" si="15"/>
        <v>0</v>
      </c>
      <c r="N54" s="288">
        <f t="shared" si="15"/>
        <v>0</v>
      </c>
      <c r="O54" s="288">
        <f t="shared" si="15"/>
        <v>0</v>
      </c>
      <c r="P54" s="288">
        <f t="shared" si="15"/>
        <v>0</v>
      </c>
      <c r="Q54" s="284">
        <f t="shared" si="14"/>
        <v>-5949.1745280000005</v>
      </c>
    </row>
    <row r="55" spans="1:17" x14ac:dyDescent="0.25">
      <c r="A55" s="177" t="s">
        <v>334</v>
      </c>
      <c r="B55" t="s">
        <v>369</v>
      </c>
      <c r="C55" s="288">
        <f t="shared" si="12"/>
        <v>17166.576569999997</v>
      </c>
      <c r="E55" s="288">
        <f t="shared" ref="E55:P60" si="16">E74*E$3</f>
        <v>5571.0704649999998</v>
      </c>
      <c r="F55" s="288">
        <f t="shared" si="16"/>
        <v>5655.78377</v>
      </c>
      <c r="G55" s="288">
        <f t="shared" si="16"/>
        <v>5939.7223349999995</v>
      </c>
      <c r="H55" s="288">
        <f t="shared" si="16"/>
        <v>5984.4203099999995</v>
      </c>
      <c r="I55" s="288">
        <f t="shared" si="16"/>
        <v>0</v>
      </c>
      <c r="J55" s="288">
        <f t="shared" si="16"/>
        <v>0</v>
      </c>
      <c r="K55" s="288">
        <f t="shared" si="16"/>
        <v>0</v>
      </c>
      <c r="L55" s="288">
        <f t="shared" si="16"/>
        <v>0</v>
      </c>
      <c r="M55" s="288">
        <f t="shared" si="16"/>
        <v>0</v>
      </c>
      <c r="N55" s="288">
        <f t="shared" si="16"/>
        <v>0</v>
      </c>
      <c r="O55" s="288">
        <f t="shared" si="16"/>
        <v>0</v>
      </c>
      <c r="P55" s="288">
        <f t="shared" si="16"/>
        <v>0</v>
      </c>
      <c r="Q55" s="284">
        <f t="shared" si="14"/>
        <v>23150.996879999999</v>
      </c>
    </row>
    <row r="56" spans="1:17" x14ac:dyDescent="0.25">
      <c r="A56" s="177" t="s">
        <v>388</v>
      </c>
      <c r="B56" t="s">
        <v>370</v>
      </c>
      <c r="C56" s="288">
        <f t="shared" si="12"/>
        <v>86719.046700000006</v>
      </c>
      <c r="E56" s="288">
        <f t="shared" si="16"/>
        <v>28142.939149999998</v>
      </c>
      <c r="F56" s="288">
        <f t="shared" si="16"/>
        <v>28570.878700000001</v>
      </c>
      <c r="G56" s="288">
        <f t="shared" si="16"/>
        <v>30005.22885</v>
      </c>
      <c r="H56" s="288">
        <f t="shared" si="16"/>
        <v>30231.026099999999</v>
      </c>
      <c r="I56" s="288">
        <f t="shared" si="16"/>
        <v>0</v>
      </c>
      <c r="J56" s="288">
        <f t="shared" si="16"/>
        <v>0</v>
      </c>
      <c r="K56" s="288">
        <f t="shared" si="16"/>
        <v>0</v>
      </c>
      <c r="L56" s="288">
        <f t="shared" si="16"/>
        <v>0</v>
      </c>
      <c r="M56" s="288">
        <f t="shared" si="16"/>
        <v>0</v>
      </c>
      <c r="N56" s="288">
        <f t="shared" si="16"/>
        <v>0</v>
      </c>
      <c r="O56" s="288">
        <f t="shared" si="16"/>
        <v>0</v>
      </c>
      <c r="P56" s="288">
        <f t="shared" si="16"/>
        <v>0</v>
      </c>
      <c r="Q56" s="284">
        <f t="shared" si="14"/>
        <v>116950.07280000001</v>
      </c>
    </row>
    <row r="57" spans="1:17" x14ac:dyDescent="0.25">
      <c r="A57" s="177" t="s">
        <v>385</v>
      </c>
      <c r="B57" t="s">
        <v>371</v>
      </c>
      <c r="C57" s="288">
        <f t="shared" si="12"/>
        <v>20188.123097999996</v>
      </c>
      <c r="E57" s="288">
        <f t="shared" si="16"/>
        <v>6551.6532009999992</v>
      </c>
      <c r="F57" s="288">
        <f t="shared" si="16"/>
        <v>6651.2771779999994</v>
      </c>
      <c r="G57" s="288">
        <f t="shared" si="16"/>
        <v>6985.1927189999997</v>
      </c>
      <c r="H57" s="288">
        <f t="shared" si="16"/>
        <v>7037.7581339999988</v>
      </c>
      <c r="I57" s="288">
        <f t="shared" si="16"/>
        <v>0</v>
      </c>
      <c r="J57" s="288">
        <f t="shared" si="16"/>
        <v>0</v>
      </c>
      <c r="K57" s="288">
        <f t="shared" si="16"/>
        <v>0</v>
      </c>
      <c r="L57" s="288">
        <f t="shared" si="16"/>
        <v>0</v>
      </c>
      <c r="M57" s="288">
        <f t="shared" si="16"/>
        <v>0</v>
      </c>
      <c r="N57" s="288">
        <f t="shared" si="16"/>
        <v>0</v>
      </c>
      <c r="O57" s="288">
        <f t="shared" si="16"/>
        <v>0</v>
      </c>
      <c r="P57" s="288">
        <f t="shared" si="16"/>
        <v>0</v>
      </c>
      <c r="Q57" s="284">
        <f t="shared" si="14"/>
        <v>27225.881231999996</v>
      </c>
    </row>
    <row r="58" spans="1:17" x14ac:dyDescent="0.25">
      <c r="A58" s="177" t="s">
        <v>386</v>
      </c>
      <c r="B58" t="s">
        <v>372</v>
      </c>
      <c r="C58" s="288">
        <f t="shared" si="12"/>
        <v>11828.906232000001</v>
      </c>
      <c r="E58" s="288">
        <f t="shared" si="16"/>
        <v>3838.8358840000001</v>
      </c>
      <c r="F58" s="288">
        <f t="shared" si="16"/>
        <v>3897.2089520000004</v>
      </c>
      <c r="G58" s="288">
        <f t="shared" si="16"/>
        <v>4092.8613960000002</v>
      </c>
      <c r="H58" s="288">
        <f t="shared" si="16"/>
        <v>4123.6612560000003</v>
      </c>
      <c r="I58" s="288">
        <f t="shared" si="16"/>
        <v>0</v>
      </c>
      <c r="J58" s="288">
        <f t="shared" si="16"/>
        <v>0</v>
      </c>
      <c r="K58" s="288">
        <f t="shared" si="16"/>
        <v>0</v>
      </c>
      <c r="L58" s="288">
        <f t="shared" si="16"/>
        <v>0</v>
      </c>
      <c r="M58" s="288">
        <f t="shared" si="16"/>
        <v>0</v>
      </c>
      <c r="N58" s="288">
        <f t="shared" si="16"/>
        <v>0</v>
      </c>
      <c r="O58" s="288">
        <f t="shared" si="16"/>
        <v>0</v>
      </c>
      <c r="P58" s="288">
        <f t="shared" si="16"/>
        <v>0</v>
      </c>
      <c r="Q58" s="284">
        <f t="shared" si="14"/>
        <v>15952.567488000001</v>
      </c>
    </row>
    <row r="59" spans="1:17" x14ac:dyDescent="0.25">
      <c r="A59" s="177" t="s">
        <v>384</v>
      </c>
      <c r="B59" t="s">
        <v>373</v>
      </c>
      <c r="C59" s="288">
        <f t="shared" si="12"/>
        <v>620.05257599999993</v>
      </c>
      <c r="E59" s="288">
        <f t="shared" si="16"/>
        <v>201.22571199999999</v>
      </c>
      <c r="F59" s="288">
        <f t="shared" si="16"/>
        <v>204.28553599999998</v>
      </c>
      <c r="G59" s="288">
        <f t="shared" si="16"/>
        <v>214.54132799999999</v>
      </c>
      <c r="H59" s="288">
        <f t="shared" si="16"/>
        <v>216.15580799999998</v>
      </c>
      <c r="I59" s="288">
        <f t="shared" si="16"/>
        <v>0</v>
      </c>
      <c r="J59" s="288">
        <f t="shared" si="16"/>
        <v>0</v>
      </c>
      <c r="K59" s="288">
        <f t="shared" si="16"/>
        <v>0</v>
      </c>
      <c r="L59" s="288">
        <f t="shared" si="16"/>
        <v>0</v>
      </c>
      <c r="M59" s="288">
        <f t="shared" si="16"/>
        <v>0</v>
      </c>
      <c r="N59" s="288">
        <f t="shared" si="16"/>
        <v>0</v>
      </c>
      <c r="O59" s="288">
        <f t="shared" si="16"/>
        <v>0</v>
      </c>
      <c r="P59" s="288">
        <f t="shared" si="16"/>
        <v>0</v>
      </c>
      <c r="Q59" s="284">
        <f t="shared" si="14"/>
        <v>836.20838399999991</v>
      </c>
    </row>
    <row r="60" spans="1:17" x14ac:dyDescent="0.25">
      <c r="A60" s="69" t="s">
        <v>376</v>
      </c>
      <c r="B60" t="s">
        <v>376</v>
      </c>
      <c r="C60" s="288">
        <f t="shared" si="12"/>
        <v>2038.1566920000002</v>
      </c>
      <c r="E60" s="288">
        <f t="shared" si="16"/>
        <v>661.44315400000005</v>
      </c>
      <c r="F60" s="288">
        <f t="shared" si="16"/>
        <v>671.50101200000006</v>
      </c>
      <c r="G60" s="288">
        <f t="shared" si="16"/>
        <v>705.21252600000003</v>
      </c>
      <c r="H60" s="288">
        <f t="shared" si="16"/>
        <v>710.51943600000004</v>
      </c>
      <c r="I60" s="288">
        <f t="shared" si="16"/>
        <v>0</v>
      </c>
      <c r="J60" s="288">
        <f t="shared" si="16"/>
        <v>0</v>
      </c>
      <c r="K60" s="288">
        <f t="shared" si="16"/>
        <v>0</v>
      </c>
      <c r="L60" s="288">
        <f t="shared" si="16"/>
        <v>0</v>
      </c>
      <c r="M60" s="288">
        <f t="shared" si="16"/>
        <v>0</v>
      </c>
      <c r="N60" s="288">
        <f t="shared" si="16"/>
        <v>0</v>
      </c>
      <c r="O60" s="288">
        <f t="shared" si="16"/>
        <v>0</v>
      </c>
      <c r="P60" s="288">
        <f t="shared" si="16"/>
        <v>0</v>
      </c>
      <c r="Q60" s="284">
        <f t="shared" si="14"/>
        <v>2748.6761280000001</v>
      </c>
    </row>
    <row r="61" spans="1:17" ht="15.75" thickBot="1" x14ac:dyDescent="0.3">
      <c r="C61" s="281">
        <f>SUM(C46:C60)</f>
        <v>3.0695446184836328E-11</v>
      </c>
      <c r="E61" s="285">
        <f>SUM(E46:E60)</f>
        <v>5.4569682106375694E-12</v>
      </c>
      <c r="F61" s="285">
        <f t="shared" ref="F61:Q61" si="17">SUM(F46:F60)</f>
        <v>1.3187673175707459E-11</v>
      </c>
      <c r="G61" s="285">
        <f t="shared" si="17"/>
        <v>5.9117155615240335E-12</v>
      </c>
      <c r="H61" s="285">
        <f t="shared" si="17"/>
        <v>1.6370904631912708E-11</v>
      </c>
      <c r="I61" s="285">
        <f t="shared" si="17"/>
        <v>0</v>
      </c>
      <c r="J61" s="285">
        <f t="shared" si="17"/>
        <v>0</v>
      </c>
      <c r="K61" s="285">
        <f t="shared" si="17"/>
        <v>0</v>
      </c>
      <c r="L61" s="285">
        <f t="shared" si="17"/>
        <v>0</v>
      </c>
      <c r="M61" s="285">
        <f t="shared" si="17"/>
        <v>0</v>
      </c>
      <c r="N61" s="285">
        <f t="shared" si="17"/>
        <v>0</v>
      </c>
      <c r="O61" s="285">
        <f t="shared" si="17"/>
        <v>0</v>
      </c>
      <c r="P61" s="285">
        <f t="shared" si="17"/>
        <v>0</v>
      </c>
      <c r="Q61" s="285">
        <f t="shared" si="17"/>
        <v>6.5028871176764369E-11</v>
      </c>
    </row>
    <row r="63" spans="1:17" x14ac:dyDescent="0.25">
      <c r="B63" s="1" t="s">
        <v>374</v>
      </c>
    </row>
    <row r="64" spans="1:17" x14ac:dyDescent="0.25">
      <c r="B64" s="1" t="s">
        <v>166</v>
      </c>
      <c r="Q64" s="284"/>
    </row>
    <row r="65" spans="1:17" x14ac:dyDescent="0.25">
      <c r="A65" s="177" t="s">
        <v>265</v>
      </c>
      <c r="B65" t="s">
        <v>360</v>
      </c>
      <c r="C65" s="289">
        <f t="shared" ref="C65:C79" si="18">SUM(E65:G65)</f>
        <v>-107399.79000000001</v>
      </c>
      <c r="E65" s="289">
        <f>-SUM(E66:E79)</f>
        <v>-35799.93</v>
      </c>
      <c r="F65" s="289">
        <f t="shared" ref="F65:P65" si="19">-SUM(F66:F79)</f>
        <v>-35799.93</v>
      </c>
      <c r="G65" s="289">
        <f t="shared" si="19"/>
        <v>-35799.93</v>
      </c>
      <c r="H65" s="289">
        <f t="shared" si="19"/>
        <v>-35799.93</v>
      </c>
      <c r="I65" s="289">
        <f t="shared" si="19"/>
        <v>-35799.93</v>
      </c>
      <c r="J65" s="289">
        <f t="shared" si="19"/>
        <v>-35799.93</v>
      </c>
      <c r="K65" s="289">
        <f t="shared" si="19"/>
        <v>-35799.93</v>
      </c>
      <c r="L65" s="289">
        <f t="shared" si="19"/>
        <v>-35799.93</v>
      </c>
      <c r="M65" s="289">
        <f t="shared" si="19"/>
        <v>-35799.93</v>
      </c>
      <c r="N65" s="289">
        <f t="shared" si="19"/>
        <v>-35799.93</v>
      </c>
      <c r="O65" s="289">
        <f t="shared" si="19"/>
        <v>-35799.93</v>
      </c>
      <c r="P65" s="289">
        <f t="shared" si="19"/>
        <v>-35799.93</v>
      </c>
      <c r="Q65" s="284">
        <f t="shared" ref="Q65:Q79" si="20">SUM(E65:P65)</f>
        <v>-429599.16</v>
      </c>
    </row>
    <row r="66" spans="1:17" x14ac:dyDescent="0.25">
      <c r="A66" s="177" t="s">
        <v>375</v>
      </c>
      <c r="B66" t="s">
        <v>361</v>
      </c>
      <c r="C66" s="280">
        <f t="shared" si="18"/>
        <v>1482.48</v>
      </c>
      <c r="E66" s="204">
        <v>494.16</v>
      </c>
      <c r="F66" s="204">
        <v>494.16</v>
      </c>
      <c r="G66" s="204">
        <v>494.16</v>
      </c>
      <c r="H66" s="204">
        <v>494.16</v>
      </c>
      <c r="I66" s="204">
        <v>494.16</v>
      </c>
      <c r="J66" s="204">
        <v>494.16</v>
      </c>
      <c r="K66" s="204">
        <v>494.16</v>
      </c>
      <c r="L66" s="204">
        <v>494.16</v>
      </c>
      <c r="M66" s="204">
        <v>494.16</v>
      </c>
      <c r="N66" s="204">
        <v>494.16</v>
      </c>
      <c r="O66" s="204">
        <v>494.16</v>
      </c>
      <c r="P66" s="204">
        <v>494.16</v>
      </c>
      <c r="Q66" s="284">
        <f t="shared" si="20"/>
        <v>5929.9199999999992</v>
      </c>
    </row>
    <row r="67" spans="1:17" x14ac:dyDescent="0.25">
      <c r="A67" s="177" t="s">
        <v>16</v>
      </c>
      <c r="B67" t="s">
        <v>362</v>
      </c>
      <c r="C67" s="280">
        <f t="shared" si="18"/>
        <v>24.299999999999997</v>
      </c>
      <c r="E67" s="204">
        <v>8.1</v>
      </c>
      <c r="F67" s="204">
        <v>8.1</v>
      </c>
      <c r="G67" s="204">
        <v>8.1</v>
      </c>
      <c r="H67" s="204">
        <v>8.1</v>
      </c>
      <c r="I67" s="204">
        <v>8.1</v>
      </c>
      <c r="J67" s="204">
        <v>8.1</v>
      </c>
      <c r="K67" s="204">
        <v>8.1</v>
      </c>
      <c r="L67" s="204">
        <v>8.1</v>
      </c>
      <c r="M67" s="204">
        <v>8.1</v>
      </c>
      <c r="N67" s="204">
        <v>8.1</v>
      </c>
      <c r="O67" s="204">
        <v>8.1</v>
      </c>
      <c r="P67" s="204">
        <v>8.1</v>
      </c>
      <c r="Q67" s="284">
        <f t="shared" si="20"/>
        <v>97.199999999999974</v>
      </c>
    </row>
    <row r="68" spans="1:17" x14ac:dyDescent="0.25">
      <c r="A68" s="177" t="s">
        <v>12</v>
      </c>
      <c r="B68" t="s">
        <v>363</v>
      </c>
      <c r="C68" s="286">
        <f t="shared" si="18"/>
        <v>2037.9299999999998</v>
      </c>
      <c r="E68" s="286">
        <v>679.31</v>
      </c>
      <c r="F68" s="286">
        <v>679.31</v>
      </c>
      <c r="G68" s="286">
        <v>679.31</v>
      </c>
      <c r="H68" s="286">
        <v>679.31</v>
      </c>
      <c r="I68" s="286">
        <v>679.31</v>
      </c>
      <c r="J68" s="286">
        <v>679.31</v>
      </c>
      <c r="K68" s="286">
        <v>679.31</v>
      </c>
      <c r="L68" s="286">
        <v>679.31</v>
      </c>
      <c r="M68" s="286">
        <v>679.31</v>
      </c>
      <c r="N68" s="286">
        <v>679.31</v>
      </c>
      <c r="O68" s="286">
        <v>679.31</v>
      </c>
      <c r="P68" s="286">
        <v>679.31</v>
      </c>
      <c r="Q68" s="284">
        <f t="shared" si="20"/>
        <v>8151.7199999999975</v>
      </c>
    </row>
    <row r="69" spans="1:17" x14ac:dyDescent="0.25">
      <c r="A69" s="177" t="s">
        <v>8</v>
      </c>
      <c r="B69" t="s">
        <v>364</v>
      </c>
      <c r="C69" s="286">
        <f t="shared" si="18"/>
        <v>1667.73</v>
      </c>
      <c r="E69" s="286">
        <v>555.91</v>
      </c>
      <c r="F69" s="286">
        <v>555.91</v>
      </c>
      <c r="G69" s="286">
        <v>555.91</v>
      </c>
      <c r="H69" s="286">
        <v>555.91</v>
      </c>
      <c r="I69" s="286">
        <v>555.91</v>
      </c>
      <c r="J69" s="286">
        <v>555.91</v>
      </c>
      <c r="K69" s="286">
        <v>555.91</v>
      </c>
      <c r="L69" s="286">
        <v>555.91</v>
      </c>
      <c r="M69" s="286">
        <v>555.91</v>
      </c>
      <c r="N69" s="286">
        <v>555.91</v>
      </c>
      <c r="O69" s="286">
        <v>555.91</v>
      </c>
      <c r="P69" s="286">
        <v>555.91</v>
      </c>
      <c r="Q69" s="284">
        <f t="shared" si="20"/>
        <v>6670.9199999999992</v>
      </c>
    </row>
    <row r="70" spans="1:17" x14ac:dyDescent="0.25">
      <c r="A70" s="177" t="s">
        <v>165</v>
      </c>
      <c r="B70" t="s">
        <v>365</v>
      </c>
      <c r="C70" s="280">
        <f t="shared" si="18"/>
        <v>188.04</v>
      </c>
      <c r="E70" s="204">
        <v>62.68</v>
      </c>
      <c r="F70" s="204">
        <v>62.68</v>
      </c>
      <c r="G70" s="204">
        <v>62.68</v>
      </c>
      <c r="H70" s="204">
        <v>62.68</v>
      </c>
      <c r="I70" s="204">
        <v>62.68</v>
      </c>
      <c r="J70" s="204">
        <v>62.68</v>
      </c>
      <c r="K70" s="204">
        <v>62.68</v>
      </c>
      <c r="L70" s="204">
        <v>62.68</v>
      </c>
      <c r="M70" s="204">
        <v>62.68</v>
      </c>
      <c r="N70" s="204">
        <v>62.68</v>
      </c>
      <c r="O70" s="204">
        <v>62.68</v>
      </c>
      <c r="P70" s="204">
        <v>62.68</v>
      </c>
      <c r="Q70" s="284">
        <f t="shared" si="20"/>
        <v>752.15999999999985</v>
      </c>
    </row>
    <row r="71" spans="1:17" x14ac:dyDescent="0.25">
      <c r="A71" s="177" t="s">
        <v>164</v>
      </c>
      <c r="B71" t="s">
        <v>366</v>
      </c>
      <c r="C71" s="280">
        <f t="shared" si="18"/>
        <v>115.97999999999999</v>
      </c>
      <c r="E71" s="204">
        <v>38.659999999999997</v>
      </c>
      <c r="F71" s="204">
        <v>38.659999999999997</v>
      </c>
      <c r="G71" s="204">
        <v>38.659999999999997</v>
      </c>
      <c r="H71" s="204">
        <v>38.659999999999997</v>
      </c>
      <c r="I71" s="204">
        <v>38.659999999999997</v>
      </c>
      <c r="J71" s="204">
        <v>38.659999999999997</v>
      </c>
      <c r="K71" s="204">
        <v>38.659999999999997</v>
      </c>
      <c r="L71" s="204">
        <v>38.659999999999997</v>
      </c>
      <c r="M71" s="204">
        <v>38.659999999999997</v>
      </c>
      <c r="N71" s="204">
        <v>38.659999999999997</v>
      </c>
      <c r="O71" s="204">
        <v>38.659999999999997</v>
      </c>
      <c r="P71" s="204">
        <v>38.659999999999997</v>
      </c>
      <c r="Q71" s="284">
        <f t="shared" si="20"/>
        <v>463.91999999999985</v>
      </c>
    </row>
    <row r="72" spans="1:17" x14ac:dyDescent="0.25">
      <c r="A72" s="177" t="s">
        <v>18</v>
      </c>
      <c r="B72" t="s">
        <v>367</v>
      </c>
      <c r="C72" s="280">
        <f t="shared" si="18"/>
        <v>2084.5500000000002</v>
      </c>
      <c r="E72" s="204">
        <v>694.85</v>
      </c>
      <c r="F72" s="204">
        <v>694.85</v>
      </c>
      <c r="G72" s="204">
        <v>694.85</v>
      </c>
      <c r="H72" s="204">
        <v>694.85</v>
      </c>
      <c r="I72" s="204">
        <v>694.85</v>
      </c>
      <c r="J72" s="204">
        <v>694.85</v>
      </c>
      <c r="K72" s="204">
        <v>694.85</v>
      </c>
      <c r="L72" s="204">
        <v>694.85</v>
      </c>
      <c r="M72" s="204">
        <v>694.85</v>
      </c>
      <c r="N72" s="204">
        <v>694.85</v>
      </c>
      <c r="O72" s="204">
        <v>694.85</v>
      </c>
      <c r="P72" s="204">
        <v>694.85</v>
      </c>
      <c r="Q72" s="284">
        <f t="shared" si="20"/>
        <v>8338.2000000000025</v>
      </c>
    </row>
    <row r="73" spans="1:17" x14ac:dyDescent="0.25">
      <c r="A73" s="177" t="s">
        <v>387</v>
      </c>
      <c r="B73" t="s">
        <v>368</v>
      </c>
      <c r="C73" s="288">
        <f t="shared" si="18"/>
        <v>-3281.76</v>
      </c>
      <c r="E73" s="288">
        <v>-1093.92</v>
      </c>
      <c r="F73" s="288">
        <v>-1093.92</v>
      </c>
      <c r="G73" s="288">
        <v>-1093.92</v>
      </c>
      <c r="H73" s="288">
        <v>-1093.92</v>
      </c>
      <c r="I73" s="288">
        <v>-1093.92</v>
      </c>
      <c r="J73" s="288">
        <v>-1093.92</v>
      </c>
      <c r="K73" s="288">
        <v>-1093.92</v>
      </c>
      <c r="L73" s="288">
        <v>-1093.92</v>
      </c>
      <c r="M73" s="288">
        <v>-1093.92</v>
      </c>
      <c r="N73" s="288">
        <v>-1093.92</v>
      </c>
      <c r="O73" s="288">
        <v>-1093.92</v>
      </c>
      <c r="P73" s="288">
        <v>-1093.92</v>
      </c>
      <c r="Q73" s="284">
        <f t="shared" si="20"/>
        <v>-13127.04</v>
      </c>
    </row>
    <row r="74" spans="1:17" x14ac:dyDescent="0.25">
      <c r="A74" s="177" t="s">
        <v>334</v>
      </c>
      <c r="B74" t="s">
        <v>369</v>
      </c>
      <c r="C74" s="288">
        <f t="shared" si="18"/>
        <v>12770.849999999999</v>
      </c>
      <c r="E74" s="288">
        <v>4256.95</v>
      </c>
      <c r="F74" s="288">
        <v>4256.95</v>
      </c>
      <c r="G74" s="288">
        <v>4256.95</v>
      </c>
      <c r="H74" s="288">
        <v>4256.95</v>
      </c>
      <c r="I74" s="288">
        <v>4256.95</v>
      </c>
      <c r="J74" s="288">
        <v>4256.95</v>
      </c>
      <c r="K74" s="288">
        <v>4256.95</v>
      </c>
      <c r="L74" s="288">
        <v>4256.95</v>
      </c>
      <c r="M74" s="288">
        <v>4256.95</v>
      </c>
      <c r="N74" s="288">
        <v>4256.95</v>
      </c>
      <c r="O74" s="288">
        <v>4256.95</v>
      </c>
      <c r="P74" s="288">
        <v>4256.95</v>
      </c>
      <c r="Q74" s="284">
        <f t="shared" si="20"/>
        <v>51083.399999999987</v>
      </c>
    </row>
    <row r="75" spans="1:17" x14ac:dyDescent="0.25">
      <c r="A75" s="177" t="s">
        <v>388</v>
      </c>
      <c r="B75" t="s">
        <v>370</v>
      </c>
      <c r="C75" s="288">
        <f t="shared" si="18"/>
        <v>64513.5</v>
      </c>
      <c r="E75" s="288">
        <v>21504.5</v>
      </c>
      <c r="F75" s="288">
        <v>21504.5</v>
      </c>
      <c r="G75" s="288">
        <v>21504.5</v>
      </c>
      <c r="H75" s="288">
        <v>21504.5</v>
      </c>
      <c r="I75" s="288">
        <v>21504.5</v>
      </c>
      <c r="J75" s="288">
        <v>21504.5</v>
      </c>
      <c r="K75" s="288">
        <v>21504.5</v>
      </c>
      <c r="L75" s="288">
        <v>21504.5</v>
      </c>
      <c r="M75" s="288">
        <v>21504.5</v>
      </c>
      <c r="N75" s="288">
        <v>21504.5</v>
      </c>
      <c r="O75" s="288">
        <v>21504.5</v>
      </c>
      <c r="P75" s="288">
        <v>21504.5</v>
      </c>
      <c r="Q75" s="284">
        <f t="shared" si="20"/>
        <v>258054</v>
      </c>
    </row>
    <row r="76" spans="1:17" x14ac:dyDescent="0.25">
      <c r="A76" s="177" t="s">
        <v>385</v>
      </c>
      <c r="B76" t="s">
        <v>371</v>
      </c>
      <c r="C76" s="288">
        <f t="shared" si="18"/>
        <v>15018.689999999999</v>
      </c>
      <c r="E76" s="288">
        <v>5006.2299999999996</v>
      </c>
      <c r="F76" s="288">
        <v>5006.2299999999996</v>
      </c>
      <c r="G76" s="288">
        <v>5006.2299999999996</v>
      </c>
      <c r="H76" s="288">
        <v>5006.2299999999996</v>
      </c>
      <c r="I76" s="288">
        <v>5006.2299999999996</v>
      </c>
      <c r="J76" s="288">
        <v>5006.2299999999996</v>
      </c>
      <c r="K76" s="288">
        <v>5006.2299999999996</v>
      </c>
      <c r="L76" s="288">
        <v>5006.2299999999996</v>
      </c>
      <c r="M76" s="288">
        <v>5006.2299999999996</v>
      </c>
      <c r="N76" s="288">
        <v>5006.2299999999996</v>
      </c>
      <c r="O76" s="288">
        <v>5006.2299999999996</v>
      </c>
      <c r="P76" s="288">
        <v>5006.2299999999996</v>
      </c>
      <c r="Q76" s="284">
        <f t="shared" si="20"/>
        <v>60074.75999999998</v>
      </c>
    </row>
    <row r="77" spans="1:17" x14ac:dyDescent="0.25">
      <c r="A77" s="177" t="s">
        <v>386</v>
      </c>
      <c r="B77" t="s">
        <v>372</v>
      </c>
      <c r="C77" s="288">
        <f t="shared" si="18"/>
        <v>8799.9600000000009</v>
      </c>
      <c r="E77" s="288">
        <v>2933.32</v>
      </c>
      <c r="F77" s="288">
        <v>2933.32</v>
      </c>
      <c r="G77" s="288">
        <v>2933.32</v>
      </c>
      <c r="H77" s="288">
        <v>2933.32</v>
      </c>
      <c r="I77" s="288">
        <v>2933.32</v>
      </c>
      <c r="J77" s="288">
        <v>2933.32</v>
      </c>
      <c r="K77" s="288">
        <v>2933.32</v>
      </c>
      <c r="L77" s="288">
        <v>2933.32</v>
      </c>
      <c r="M77" s="288">
        <v>2933.32</v>
      </c>
      <c r="N77" s="288">
        <v>2933.32</v>
      </c>
      <c r="O77" s="288">
        <v>2933.32</v>
      </c>
      <c r="P77" s="288">
        <v>2933.32</v>
      </c>
      <c r="Q77" s="284">
        <f t="shared" si="20"/>
        <v>35199.840000000004</v>
      </c>
    </row>
    <row r="78" spans="1:17" x14ac:dyDescent="0.25">
      <c r="A78" s="177" t="s">
        <v>384</v>
      </c>
      <c r="B78" t="s">
        <v>373</v>
      </c>
      <c r="C78" s="288">
        <f t="shared" si="18"/>
        <v>461.28</v>
      </c>
      <c r="E78" s="288">
        <v>153.76</v>
      </c>
      <c r="F78" s="288">
        <v>153.76</v>
      </c>
      <c r="G78" s="288">
        <v>153.76</v>
      </c>
      <c r="H78" s="288">
        <v>153.76</v>
      </c>
      <c r="I78" s="288">
        <v>153.76</v>
      </c>
      <c r="J78" s="288">
        <v>153.76</v>
      </c>
      <c r="K78" s="288">
        <v>153.76</v>
      </c>
      <c r="L78" s="288">
        <v>153.76</v>
      </c>
      <c r="M78" s="288">
        <v>153.76</v>
      </c>
      <c r="N78" s="288">
        <v>153.76</v>
      </c>
      <c r="O78" s="288">
        <v>153.76</v>
      </c>
      <c r="P78" s="288">
        <v>153.76</v>
      </c>
      <c r="Q78" s="284">
        <f t="shared" si="20"/>
        <v>1845.12</v>
      </c>
    </row>
    <row r="79" spans="1:17" x14ac:dyDescent="0.25">
      <c r="A79" s="69" t="s">
        <v>376</v>
      </c>
      <c r="B79" t="s">
        <v>2</v>
      </c>
      <c r="C79" s="288">
        <f t="shared" si="18"/>
        <v>1516.26</v>
      </c>
      <c r="E79" s="288">
        <v>505.42</v>
      </c>
      <c r="F79" s="288">
        <v>505.42</v>
      </c>
      <c r="G79" s="288">
        <v>505.42</v>
      </c>
      <c r="H79" s="288">
        <v>505.42</v>
      </c>
      <c r="I79" s="288">
        <v>505.42</v>
      </c>
      <c r="J79" s="288">
        <v>505.42</v>
      </c>
      <c r="K79" s="288">
        <v>505.42</v>
      </c>
      <c r="L79" s="288">
        <v>505.42</v>
      </c>
      <c r="M79" s="288">
        <v>505.42</v>
      </c>
      <c r="N79" s="288">
        <v>505.42</v>
      </c>
      <c r="O79" s="288">
        <v>505.42</v>
      </c>
      <c r="P79" s="288">
        <v>505.42</v>
      </c>
      <c r="Q79" s="284">
        <f t="shared" si="20"/>
        <v>6065.04</v>
      </c>
    </row>
    <row r="80" spans="1:17" ht="15.75" thickBot="1" x14ac:dyDescent="0.3">
      <c r="C80" s="281">
        <f>SUM(C65:C79)</f>
        <v>-3.1832314562052488E-11</v>
      </c>
      <c r="E80" s="281">
        <f t="shared" ref="E80:Q80" si="21">SUM(E65:E79)</f>
        <v>7.4464878707658499E-12</v>
      </c>
      <c r="F80" s="281">
        <f t="shared" si="21"/>
        <v>7.4464878707658499E-12</v>
      </c>
      <c r="G80" s="281">
        <f t="shared" si="21"/>
        <v>7.4464878707658499E-12</v>
      </c>
      <c r="H80" s="281">
        <f t="shared" si="21"/>
        <v>7.4464878707658499E-12</v>
      </c>
      <c r="I80" s="281">
        <f t="shared" si="21"/>
        <v>7.4464878707658499E-12</v>
      </c>
      <c r="J80" s="281">
        <f t="shared" si="21"/>
        <v>7.4464878707658499E-12</v>
      </c>
      <c r="K80" s="281">
        <f>SUM(K65:K79)</f>
        <v>7.4464878707658499E-12</v>
      </c>
      <c r="L80" s="281">
        <f t="shared" si="21"/>
        <v>7.4464878707658499E-12</v>
      </c>
      <c r="M80" s="281">
        <f t="shared" si="21"/>
        <v>7.4464878707658499E-12</v>
      </c>
      <c r="N80" s="281">
        <f t="shared" si="21"/>
        <v>7.4464878707658499E-12</v>
      </c>
      <c r="O80" s="281">
        <f t="shared" si="21"/>
        <v>7.4464878707658499E-12</v>
      </c>
      <c r="P80" s="281">
        <f t="shared" si="21"/>
        <v>7.4464878707658499E-12</v>
      </c>
      <c r="Q80" s="281">
        <f t="shared" si="21"/>
        <v>-8.3673512563109398E-11</v>
      </c>
    </row>
    <row r="83" spans="1:17" x14ac:dyDescent="0.25">
      <c r="B83" s="1" t="s">
        <v>381</v>
      </c>
    </row>
    <row r="84" spans="1:17" x14ac:dyDescent="0.25">
      <c r="A84" s="177" t="s">
        <v>265</v>
      </c>
      <c r="B84" t="s">
        <v>345</v>
      </c>
      <c r="C84" s="289">
        <f t="shared" ref="C84:C98" si="22">SUM(E84:G84)</f>
        <v>-4377543.2116374504</v>
      </c>
      <c r="E84" s="289">
        <f>+E8+E46</f>
        <v>-1433574.6095658168</v>
      </c>
      <c r="F84" s="289">
        <f t="shared" ref="F84:P84" si="23">+F8+F46</f>
        <v>-1447928.6538898167</v>
      </c>
      <c r="G84" s="289">
        <f t="shared" si="23"/>
        <v>-1496039.9481818171</v>
      </c>
      <c r="H84" s="289">
        <f t="shared" si="23"/>
        <v>-1503613.6901618165</v>
      </c>
      <c r="I84" s="289">
        <f t="shared" si="23"/>
        <v>-489597.83535381686</v>
      </c>
      <c r="J84" s="289">
        <f t="shared" si="23"/>
        <v>-489597.83535381686</v>
      </c>
      <c r="K84" s="289">
        <f t="shared" si="23"/>
        <v>-489597.83535381686</v>
      </c>
      <c r="L84" s="289">
        <f t="shared" si="23"/>
        <v>-489597.83535381686</v>
      </c>
      <c r="M84" s="289">
        <f t="shared" si="23"/>
        <v>-489597.83535381686</v>
      </c>
      <c r="N84" s="289">
        <f t="shared" si="23"/>
        <v>-489597.83535381686</v>
      </c>
      <c r="O84" s="289">
        <f t="shared" si="23"/>
        <v>-489597.83535381686</v>
      </c>
      <c r="P84" s="289">
        <f t="shared" si="23"/>
        <v>-489597.83535381686</v>
      </c>
      <c r="Q84" s="284">
        <f>SUM(E84:P84)</f>
        <v>-9797939.5846298039</v>
      </c>
    </row>
    <row r="85" spans="1:17" x14ac:dyDescent="0.25">
      <c r="A85" s="177" t="s">
        <v>375</v>
      </c>
      <c r="B85" t="s">
        <v>346</v>
      </c>
      <c r="C85" s="280">
        <f t="shared" si="22"/>
        <v>334005.57870703802</v>
      </c>
      <c r="E85" s="204">
        <f t="shared" ref="E85:P85" si="24">+E9+E47</f>
        <v>111335.19290234601</v>
      </c>
      <c r="F85" s="204">
        <f t="shared" si="24"/>
        <v>111335.19290234601</v>
      </c>
      <c r="G85" s="204">
        <f t="shared" si="24"/>
        <v>111335.19290234601</v>
      </c>
      <c r="H85" s="204">
        <f t="shared" si="24"/>
        <v>111335.19290234601</v>
      </c>
      <c r="I85" s="204">
        <f t="shared" si="24"/>
        <v>111335.19290234601</v>
      </c>
      <c r="J85" s="204">
        <f t="shared" si="24"/>
        <v>111335.19290234601</v>
      </c>
      <c r="K85" s="204">
        <f t="shared" si="24"/>
        <v>111335.19290234601</v>
      </c>
      <c r="L85" s="204">
        <f t="shared" si="24"/>
        <v>111335.19290234601</v>
      </c>
      <c r="M85" s="204">
        <f t="shared" si="24"/>
        <v>111335.19290234601</v>
      </c>
      <c r="N85" s="204">
        <f t="shared" si="24"/>
        <v>111335.19290234601</v>
      </c>
      <c r="O85" s="204">
        <f t="shared" si="24"/>
        <v>111335.19290234601</v>
      </c>
      <c r="P85" s="204">
        <f t="shared" si="24"/>
        <v>111335.19290234601</v>
      </c>
      <c r="Q85" s="284">
        <f t="shared" ref="Q85:Q98" si="25">SUM(E85:P85)</f>
        <v>1336022.3148281518</v>
      </c>
    </row>
    <row r="86" spans="1:17" x14ac:dyDescent="0.25">
      <c r="A86" s="177" t="s">
        <v>16</v>
      </c>
      <c r="B86" t="s">
        <v>347</v>
      </c>
      <c r="C86" s="280">
        <f t="shared" si="22"/>
        <v>4971.1500355188991</v>
      </c>
      <c r="E86" s="204">
        <f t="shared" ref="E86:P86" si="26">+E10+E48</f>
        <v>1657.050011839633</v>
      </c>
      <c r="F86" s="204">
        <f t="shared" si="26"/>
        <v>1657.050011839633</v>
      </c>
      <c r="G86" s="204">
        <f t="shared" si="26"/>
        <v>1657.050011839633</v>
      </c>
      <c r="H86" s="204">
        <f t="shared" si="26"/>
        <v>1657.050011839633</v>
      </c>
      <c r="I86" s="204">
        <f t="shared" si="26"/>
        <v>1657.050011839633</v>
      </c>
      <c r="J86" s="204">
        <f t="shared" si="26"/>
        <v>1657.050011839633</v>
      </c>
      <c r="K86" s="204">
        <f t="shared" si="26"/>
        <v>1657.050011839633</v>
      </c>
      <c r="L86" s="204">
        <f t="shared" si="26"/>
        <v>1657.050011839633</v>
      </c>
      <c r="M86" s="204">
        <f t="shared" si="26"/>
        <v>1657.050011839633</v>
      </c>
      <c r="N86" s="204">
        <f t="shared" si="26"/>
        <v>1657.050011839633</v>
      </c>
      <c r="O86" s="204">
        <f t="shared" si="26"/>
        <v>1657.050011839633</v>
      </c>
      <c r="P86" s="204">
        <f t="shared" si="26"/>
        <v>1657.050011839633</v>
      </c>
      <c r="Q86" s="284">
        <f t="shared" si="25"/>
        <v>19884.600142075604</v>
      </c>
    </row>
    <row r="87" spans="1:17" x14ac:dyDescent="0.25">
      <c r="A87" s="177" t="s">
        <v>12</v>
      </c>
      <c r="B87" t="s">
        <v>348</v>
      </c>
      <c r="C87" s="286">
        <f t="shared" si="22"/>
        <v>380572.41000000003</v>
      </c>
      <c r="E87" s="286">
        <f t="shared" ref="E87:P87" si="27">+E11+E49</f>
        <v>126857.47</v>
      </c>
      <c r="F87" s="286">
        <f t="shared" si="27"/>
        <v>126857.47</v>
      </c>
      <c r="G87" s="286">
        <f t="shared" si="27"/>
        <v>126857.47</v>
      </c>
      <c r="H87" s="286">
        <f t="shared" si="27"/>
        <v>126857.47</v>
      </c>
      <c r="I87" s="286">
        <f t="shared" si="27"/>
        <v>126857.47</v>
      </c>
      <c r="J87" s="286">
        <f t="shared" si="27"/>
        <v>126857.47</v>
      </c>
      <c r="K87" s="286">
        <f t="shared" si="27"/>
        <v>126857.47</v>
      </c>
      <c r="L87" s="286">
        <f t="shared" si="27"/>
        <v>126857.47</v>
      </c>
      <c r="M87" s="286">
        <f t="shared" si="27"/>
        <v>126857.47</v>
      </c>
      <c r="N87" s="286">
        <f t="shared" si="27"/>
        <v>126857.47</v>
      </c>
      <c r="O87" s="286">
        <f t="shared" si="27"/>
        <v>126857.47</v>
      </c>
      <c r="P87" s="286">
        <f t="shared" si="27"/>
        <v>126857.47</v>
      </c>
      <c r="Q87" s="284">
        <f t="shared" si="25"/>
        <v>1522289.64</v>
      </c>
    </row>
    <row r="88" spans="1:17" x14ac:dyDescent="0.25">
      <c r="A88" s="177" t="s">
        <v>8</v>
      </c>
      <c r="B88" t="s">
        <v>349</v>
      </c>
      <c r="C88" s="286">
        <f t="shared" si="22"/>
        <v>382624.02</v>
      </c>
      <c r="E88" s="286">
        <f t="shared" ref="E88:P88" si="28">+E12+E50</f>
        <v>127541.34</v>
      </c>
      <c r="F88" s="286">
        <f t="shared" si="28"/>
        <v>127541.34</v>
      </c>
      <c r="G88" s="286">
        <f t="shared" si="28"/>
        <v>127541.34</v>
      </c>
      <c r="H88" s="286">
        <f t="shared" si="28"/>
        <v>127541.34</v>
      </c>
      <c r="I88" s="286">
        <f t="shared" si="28"/>
        <v>127541.34</v>
      </c>
      <c r="J88" s="286">
        <f t="shared" si="28"/>
        <v>127541.34</v>
      </c>
      <c r="K88" s="286">
        <f t="shared" si="28"/>
        <v>127541.34</v>
      </c>
      <c r="L88" s="286">
        <f t="shared" si="28"/>
        <v>127541.34</v>
      </c>
      <c r="M88" s="286">
        <f t="shared" si="28"/>
        <v>127541.34</v>
      </c>
      <c r="N88" s="286">
        <f t="shared" si="28"/>
        <v>127541.34</v>
      </c>
      <c r="O88" s="286">
        <f t="shared" si="28"/>
        <v>127541.34</v>
      </c>
      <c r="P88" s="286">
        <f t="shared" si="28"/>
        <v>127541.34</v>
      </c>
      <c r="Q88" s="284">
        <f t="shared" si="25"/>
        <v>1530496.08</v>
      </c>
    </row>
    <row r="89" spans="1:17" x14ac:dyDescent="0.25">
      <c r="A89" s="177" t="s">
        <v>165</v>
      </c>
      <c r="B89" t="s">
        <v>350</v>
      </c>
      <c r="C89" s="280">
        <f t="shared" si="22"/>
        <v>41887.848396022942</v>
      </c>
      <c r="E89" s="204">
        <f t="shared" ref="E89:P89" si="29">+E13+E51</f>
        <v>13962.616132007648</v>
      </c>
      <c r="F89" s="204">
        <f t="shared" si="29"/>
        <v>13962.616132007648</v>
      </c>
      <c r="G89" s="204">
        <f t="shared" si="29"/>
        <v>13962.616132007648</v>
      </c>
      <c r="H89" s="204">
        <f t="shared" si="29"/>
        <v>13962.616132007648</v>
      </c>
      <c r="I89" s="204">
        <f t="shared" si="29"/>
        <v>13962.616132007648</v>
      </c>
      <c r="J89" s="204">
        <f t="shared" si="29"/>
        <v>13962.616132007648</v>
      </c>
      <c r="K89" s="204">
        <f t="shared" si="29"/>
        <v>13962.616132007648</v>
      </c>
      <c r="L89" s="204">
        <f t="shared" si="29"/>
        <v>13962.616132007648</v>
      </c>
      <c r="M89" s="204">
        <f t="shared" si="29"/>
        <v>13962.616132007648</v>
      </c>
      <c r="N89" s="204">
        <f t="shared" si="29"/>
        <v>13962.616132007648</v>
      </c>
      <c r="O89" s="204">
        <f t="shared" si="29"/>
        <v>13962.616132007648</v>
      </c>
      <c r="P89" s="204">
        <f t="shared" si="29"/>
        <v>13962.616132007648</v>
      </c>
      <c r="Q89" s="284">
        <f t="shared" si="25"/>
        <v>167551.39358409177</v>
      </c>
    </row>
    <row r="90" spans="1:17" x14ac:dyDescent="0.25">
      <c r="A90" s="177" t="s">
        <v>164</v>
      </c>
      <c r="B90" t="s">
        <v>351</v>
      </c>
      <c r="C90" s="280">
        <f t="shared" si="22"/>
        <v>25442.45376113864</v>
      </c>
      <c r="E90" s="204">
        <f t="shared" ref="E90:P90" si="30">+E14+E52</f>
        <v>8480.8179203795462</v>
      </c>
      <c r="F90" s="204">
        <f t="shared" si="30"/>
        <v>8480.8179203795462</v>
      </c>
      <c r="G90" s="204">
        <f t="shared" si="30"/>
        <v>8480.8179203795462</v>
      </c>
      <c r="H90" s="204">
        <f t="shared" si="30"/>
        <v>8480.8179203795462</v>
      </c>
      <c r="I90" s="204">
        <f t="shared" si="30"/>
        <v>8480.8179203795462</v>
      </c>
      <c r="J90" s="204">
        <f t="shared" si="30"/>
        <v>8480.8179203795462</v>
      </c>
      <c r="K90" s="204">
        <f t="shared" si="30"/>
        <v>8480.8179203795462</v>
      </c>
      <c r="L90" s="204">
        <f t="shared" si="30"/>
        <v>8480.8179203795462</v>
      </c>
      <c r="M90" s="204">
        <f t="shared" si="30"/>
        <v>8480.8179203795462</v>
      </c>
      <c r="N90" s="204">
        <f t="shared" si="30"/>
        <v>8480.8179203795462</v>
      </c>
      <c r="O90" s="204">
        <f t="shared" si="30"/>
        <v>8480.8179203795462</v>
      </c>
      <c r="P90" s="204">
        <f t="shared" si="30"/>
        <v>8480.8179203795462</v>
      </c>
      <c r="Q90" s="284">
        <f t="shared" si="25"/>
        <v>101769.81504455455</v>
      </c>
    </row>
    <row r="91" spans="1:17" x14ac:dyDescent="0.25">
      <c r="A91" s="177" t="s">
        <v>18</v>
      </c>
      <c r="B91" t="s">
        <v>352</v>
      </c>
      <c r="C91" s="280">
        <f t="shared" si="22"/>
        <v>299290.04516173201</v>
      </c>
      <c r="E91" s="204">
        <f t="shared" ref="E91:P91" si="31">+E15+E53</f>
        <v>99763.348387243997</v>
      </c>
      <c r="F91" s="204">
        <f t="shared" si="31"/>
        <v>99763.348387243997</v>
      </c>
      <c r="G91" s="204">
        <f t="shared" si="31"/>
        <v>99763.348387243997</v>
      </c>
      <c r="H91" s="204">
        <f t="shared" si="31"/>
        <v>99763.348387243997</v>
      </c>
      <c r="I91" s="204">
        <f t="shared" si="31"/>
        <v>99763.348387243997</v>
      </c>
      <c r="J91" s="204">
        <f t="shared" si="31"/>
        <v>99763.348387243997</v>
      </c>
      <c r="K91" s="204">
        <f t="shared" si="31"/>
        <v>99763.348387243997</v>
      </c>
      <c r="L91" s="204">
        <f t="shared" si="31"/>
        <v>99763.348387243997</v>
      </c>
      <c r="M91" s="204">
        <f t="shared" si="31"/>
        <v>99763.348387243997</v>
      </c>
      <c r="N91" s="204">
        <f t="shared" si="31"/>
        <v>99763.348387243997</v>
      </c>
      <c r="O91" s="204">
        <f t="shared" si="31"/>
        <v>99763.348387243997</v>
      </c>
      <c r="P91" s="204">
        <f t="shared" si="31"/>
        <v>99763.348387243997</v>
      </c>
      <c r="Q91" s="284">
        <f t="shared" si="25"/>
        <v>1197160.180646928</v>
      </c>
    </row>
    <row r="92" spans="1:17" x14ac:dyDescent="0.25">
      <c r="A92" s="177" t="s">
        <v>387</v>
      </c>
      <c r="B92" t="s">
        <v>353</v>
      </c>
      <c r="C92" s="288">
        <f t="shared" si="22"/>
        <v>-1168950.9331499999</v>
      </c>
      <c r="E92" s="288">
        <f t="shared" ref="E92:P92" si="32">+E16+E54</f>
        <v>-379359.73967500002</v>
      </c>
      <c r="F92" s="288">
        <f t="shared" si="32"/>
        <v>-385128.25715000002</v>
      </c>
      <c r="G92" s="288">
        <f t="shared" si="32"/>
        <v>-404462.93632500002</v>
      </c>
      <c r="H92" s="288">
        <f t="shared" si="32"/>
        <v>-407506.62645000004</v>
      </c>
      <c r="I92" s="288">
        <f t="shared" si="32"/>
        <v>0</v>
      </c>
      <c r="J92" s="288">
        <f t="shared" si="32"/>
        <v>0</v>
      </c>
      <c r="K92" s="288">
        <f t="shared" si="32"/>
        <v>0</v>
      </c>
      <c r="L92" s="288">
        <f t="shared" si="32"/>
        <v>0</v>
      </c>
      <c r="M92" s="288">
        <f t="shared" si="32"/>
        <v>0</v>
      </c>
      <c r="N92" s="288">
        <f t="shared" si="32"/>
        <v>0</v>
      </c>
      <c r="O92" s="288">
        <f t="shared" si="32"/>
        <v>0</v>
      </c>
      <c r="P92" s="288">
        <f t="shared" si="32"/>
        <v>0</v>
      </c>
      <c r="Q92" s="284">
        <f t="shared" si="25"/>
        <v>-1576457.5596</v>
      </c>
    </row>
    <row r="93" spans="1:17" x14ac:dyDescent="0.25">
      <c r="A93" s="177" t="s">
        <v>334</v>
      </c>
      <c r="B93" t="s">
        <v>354</v>
      </c>
      <c r="C93" s="288">
        <f t="shared" si="22"/>
        <v>542470.19111999997</v>
      </c>
      <c r="E93" s="288">
        <f t="shared" ref="E93:P93" si="33">+E17+E55</f>
        <v>176047.89444</v>
      </c>
      <c r="F93" s="288">
        <f t="shared" si="33"/>
        <v>178724.86632</v>
      </c>
      <c r="G93" s="288">
        <f t="shared" si="33"/>
        <v>187697.43036</v>
      </c>
      <c r="H93" s="288">
        <f t="shared" si="33"/>
        <v>189109.90295999998</v>
      </c>
      <c r="I93" s="288">
        <f t="shared" si="33"/>
        <v>0</v>
      </c>
      <c r="J93" s="288">
        <f t="shared" si="33"/>
        <v>0</v>
      </c>
      <c r="K93" s="288">
        <f t="shared" si="33"/>
        <v>0</v>
      </c>
      <c r="L93" s="288">
        <f t="shared" si="33"/>
        <v>0</v>
      </c>
      <c r="M93" s="288">
        <f t="shared" si="33"/>
        <v>0</v>
      </c>
      <c r="N93" s="288">
        <f t="shared" si="33"/>
        <v>0</v>
      </c>
      <c r="O93" s="288">
        <f t="shared" si="33"/>
        <v>0</v>
      </c>
      <c r="P93" s="288">
        <f t="shared" si="33"/>
        <v>0</v>
      </c>
      <c r="Q93" s="284">
        <f t="shared" si="25"/>
        <v>731580.09407999995</v>
      </c>
    </row>
    <row r="94" spans="1:17" x14ac:dyDescent="0.25">
      <c r="A94" s="177" t="s">
        <v>388</v>
      </c>
      <c r="B94" t="s">
        <v>355</v>
      </c>
      <c r="C94" s="288">
        <f t="shared" si="22"/>
        <v>2379080.7612000001</v>
      </c>
      <c r="E94" s="288">
        <f t="shared" ref="E94:P94" si="34">+E18+E56</f>
        <v>772083.26939999999</v>
      </c>
      <c r="F94" s="288">
        <f t="shared" si="34"/>
        <v>783823.51320000004</v>
      </c>
      <c r="G94" s="288">
        <f t="shared" si="34"/>
        <v>823173.97859999991</v>
      </c>
      <c r="H94" s="288">
        <f t="shared" si="34"/>
        <v>829368.57959999994</v>
      </c>
      <c r="I94" s="288">
        <f t="shared" si="34"/>
        <v>0</v>
      </c>
      <c r="J94" s="288">
        <f t="shared" si="34"/>
        <v>0</v>
      </c>
      <c r="K94" s="288">
        <f t="shared" si="34"/>
        <v>0</v>
      </c>
      <c r="L94" s="288">
        <f t="shared" si="34"/>
        <v>0</v>
      </c>
      <c r="M94" s="288">
        <f t="shared" si="34"/>
        <v>0</v>
      </c>
      <c r="N94" s="288">
        <f t="shared" si="34"/>
        <v>0</v>
      </c>
      <c r="O94" s="288">
        <f t="shared" si="34"/>
        <v>0</v>
      </c>
      <c r="P94" s="288">
        <f t="shared" si="34"/>
        <v>0</v>
      </c>
      <c r="Q94" s="284">
        <f t="shared" si="25"/>
        <v>3208449.3407999999</v>
      </c>
    </row>
    <row r="95" spans="1:17" x14ac:dyDescent="0.25">
      <c r="A95" s="177" t="s">
        <v>385</v>
      </c>
      <c r="B95" t="s">
        <v>356</v>
      </c>
      <c r="C95" s="288">
        <f t="shared" si="22"/>
        <v>683554.97667599993</v>
      </c>
      <c r="E95" s="288">
        <f t="shared" ref="E95:P95" si="35">+E19+E57</f>
        <v>221834.15116199999</v>
      </c>
      <c r="F95" s="288">
        <f t="shared" si="35"/>
        <v>225207.34563599998</v>
      </c>
      <c r="G95" s="288">
        <f t="shared" si="35"/>
        <v>236513.47987800001</v>
      </c>
      <c r="H95" s="288">
        <f t="shared" si="35"/>
        <v>238293.30610799999</v>
      </c>
      <c r="I95" s="288">
        <f t="shared" si="35"/>
        <v>0</v>
      </c>
      <c r="J95" s="288">
        <f t="shared" si="35"/>
        <v>0</v>
      </c>
      <c r="K95" s="288">
        <f t="shared" si="35"/>
        <v>0</v>
      </c>
      <c r="L95" s="288">
        <f t="shared" si="35"/>
        <v>0</v>
      </c>
      <c r="M95" s="288">
        <f t="shared" si="35"/>
        <v>0</v>
      </c>
      <c r="N95" s="288">
        <f t="shared" si="35"/>
        <v>0</v>
      </c>
      <c r="O95" s="288">
        <f t="shared" si="35"/>
        <v>0</v>
      </c>
      <c r="P95" s="288">
        <f t="shared" si="35"/>
        <v>0</v>
      </c>
      <c r="Q95" s="284">
        <f t="shared" si="25"/>
        <v>921848.28278399992</v>
      </c>
    </row>
    <row r="96" spans="1:17" x14ac:dyDescent="0.25">
      <c r="A96" s="177" t="s">
        <v>386</v>
      </c>
      <c r="B96" t="s">
        <v>357</v>
      </c>
      <c r="C96" s="288">
        <f t="shared" si="22"/>
        <v>403197.93828599993</v>
      </c>
      <c r="E96" s="288">
        <f t="shared" ref="E96:P96" si="36">+E20+E58</f>
        <v>130849.85910699998</v>
      </c>
      <c r="F96" s="288">
        <f t="shared" si="36"/>
        <v>132839.55284599998</v>
      </c>
      <c r="G96" s="288">
        <f t="shared" si="36"/>
        <v>139508.52633299999</v>
      </c>
      <c r="H96" s="288">
        <f t="shared" si="36"/>
        <v>140558.36473799997</v>
      </c>
      <c r="I96" s="288">
        <f t="shared" si="36"/>
        <v>0</v>
      </c>
      <c r="J96" s="288">
        <f t="shared" si="36"/>
        <v>0</v>
      </c>
      <c r="K96" s="288">
        <f t="shared" si="36"/>
        <v>0</v>
      </c>
      <c r="L96" s="288">
        <f t="shared" si="36"/>
        <v>0</v>
      </c>
      <c r="M96" s="288">
        <f t="shared" si="36"/>
        <v>0</v>
      </c>
      <c r="N96" s="288">
        <f t="shared" si="36"/>
        <v>0</v>
      </c>
      <c r="O96" s="288">
        <f t="shared" si="36"/>
        <v>0</v>
      </c>
      <c r="P96" s="288">
        <f t="shared" si="36"/>
        <v>0</v>
      </c>
      <c r="Q96" s="284">
        <f t="shared" si="25"/>
        <v>543756.30302399991</v>
      </c>
    </row>
    <row r="97" spans="1:17" x14ac:dyDescent="0.25">
      <c r="A97" s="177" t="s">
        <v>384</v>
      </c>
      <c r="B97" t="s">
        <v>358</v>
      </c>
      <c r="C97" s="288">
        <f t="shared" si="22"/>
        <v>21509.68677</v>
      </c>
      <c r="E97" s="288">
        <f t="shared" ref="E97:P97" si="37">+E21+E59</f>
        <v>6980.5403649999998</v>
      </c>
      <c r="F97" s="288">
        <f t="shared" si="37"/>
        <v>7086.6859699999995</v>
      </c>
      <c r="G97" s="288">
        <f t="shared" si="37"/>
        <v>7442.460435</v>
      </c>
      <c r="H97" s="288">
        <f t="shared" si="37"/>
        <v>7498.4669099999992</v>
      </c>
      <c r="I97" s="288">
        <f t="shared" si="37"/>
        <v>0</v>
      </c>
      <c r="J97" s="288">
        <f t="shared" si="37"/>
        <v>0</v>
      </c>
      <c r="K97" s="288">
        <f t="shared" si="37"/>
        <v>0</v>
      </c>
      <c r="L97" s="288">
        <f t="shared" si="37"/>
        <v>0</v>
      </c>
      <c r="M97" s="288">
        <f t="shared" si="37"/>
        <v>0</v>
      </c>
      <c r="N97" s="288">
        <f t="shared" si="37"/>
        <v>0</v>
      </c>
      <c r="O97" s="288">
        <f t="shared" si="37"/>
        <v>0</v>
      </c>
      <c r="P97" s="288">
        <f t="shared" si="37"/>
        <v>0</v>
      </c>
      <c r="Q97" s="284">
        <f t="shared" si="25"/>
        <v>29008.153679999999</v>
      </c>
    </row>
    <row r="98" spans="1:17" x14ac:dyDescent="0.25">
      <c r="A98" s="69" t="s">
        <v>376</v>
      </c>
      <c r="B98" t="s">
        <v>376</v>
      </c>
      <c r="C98" s="288">
        <f t="shared" si="22"/>
        <v>47887.084673999998</v>
      </c>
      <c r="E98" s="288">
        <f t="shared" ref="E98:P98" si="38">+E22+E60</f>
        <v>15540.799413000001</v>
      </c>
      <c r="F98" s="288">
        <f t="shared" si="38"/>
        <v>15777.111714000001</v>
      </c>
      <c r="G98" s="288">
        <f t="shared" si="38"/>
        <v>16569.173546999999</v>
      </c>
      <c r="H98" s="288">
        <f t="shared" si="38"/>
        <v>16693.860941999999</v>
      </c>
      <c r="I98" s="288">
        <f t="shared" si="38"/>
        <v>0</v>
      </c>
      <c r="J98" s="288">
        <f t="shared" si="38"/>
        <v>0</v>
      </c>
      <c r="K98" s="288">
        <f t="shared" si="38"/>
        <v>0</v>
      </c>
      <c r="L98" s="288">
        <f t="shared" si="38"/>
        <v>0</v>
      </c>
      <c r="M98" s="288">
        <f t="shared" si="38"/>
        <v>0</v>
      </c>
      <c r="N98" s="288">
        <f t="shared" si="38"/>
        <v>0</v>
      </c>
      <c r="O98" s="288">
        <f t="shared" si="38"/>
        <v>0</v>
      </c>
      <c r="P98" s="288">
        <f t="shared" si="38"/>
        <v>0</v>
      </c>
      <c r="Q98" s="284">
        <f t="shared" si="25"/>
        <v>64580.945615999997</v>
      </c>
    </row>
    <row r="99" spans="1:17" ht="15.75" thickBot="1" x14ac:dyDescent="0.3">
      <c r="C99" s="281">
        <f>SUM(C84:C98)</f>
        <v>-1.8917489796876907E-10</v>
      </c>
      <c r="E99" s="281">
        <f>SUM(E84:E98)</f>
        <v>1.0913936421275139E-10</v>
      </c>
      <c r="F99" s="281">
        <f t="shared" ref="F99:P99" si="39">SUM(F84:F98)</f>
        <v>2.1282176021486521E-10</v>
      </c>
      <c r="G99" s="281">
        <f t="shared" si="39"/>
        <v>-8.7311491370201111E-11</v>
      </c>
      <c r="H99" s="281">
        <f t="shared" si="39"/>
        <v>2.1464074961841106E-10</v>
      </c>
      <c r="I99" s="281">
        <f t="shared" si="39"/>
        <v>1.4551915228366852E-11</v>
      </c>
      <c r="J99" s="281">
        <f t="shared" si="39"/>
        <v>1.4551915228366852E-11</v>
      </c>
      <c r="K99" s="281">
        <f t="shared" si="39"/>
        <v>1.4551915228366852E-11</v>
      </c>
      <c r="L99" s="281">
        <f t="shared" si="39"/>
        <v>1.4551915228366852E-11</v>
      </c>
      <c r="M99" s="281">
        <f t="shared" si="39"/>
        <v>1.4551915228366852E-11</v>
      </c>
      <c r="N99" s="281">
        <f t="shared" si="39"/>
        <v>1.4551915228366852E-11</v>
      </c>
      <c r="O99" s="281">
        <f t="shared" si="39"/>
        <v>1.4551915228366852E-11</v>
      </c>
      <c r="P99" s="281">
        <f t="shared" si="39"/>
        <v>1.4551915228366852E-11</v>
      </c>
      <c r="Q99" s="281">
        <f>SUM(Q84:Q98)</f>
        <v>-2.8812792152166367E-9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J133"/>
  <sheetViews>
    <sheetView showGridLines="0" zoomScale="85" zoomScaleNormal="85" zoomScaleSheetLayoutView="85" workbookViewId="0">
      <selection activeCell="E28" sqref="E28"/>
    </sheetView>
  </sheetViews>
  <sheetFormatPr defaultColWidth="9.140625" defaultRowHeight="15" outlineLevelRow="1" outlineLevelCol="1" x14ac:dyDescent="0.25"/>
  <cols>
    <col min="1" max="1" width="15.140625" style="1" customWidth="1"/>
    <col min="2" max="2" width="15" style="177" customWidth="1"/>
    <col min="3" max="3" width="10.85546875" style="177" customWidth="1"/>
    <col min="4" max="4" width="18.140625" style="3" customWidth="1"/>
    <col min="5" max="5" width="17.85546875" style="204" customWidth="1"/>
    <col min="6" max="6" width="16.85546875" style="204" customWidth="1"/>
    <col min="7" max="7" width="15.42578125" style="177" bestFit="1" customWidth="1"/>
    <col min="8" max="8" width="4.140625" style="177" customWidth="1"/>
    <col min="9" max="9" width="4.28515625" style="177" customWidth="1"/>
    <col min="10" max="10" width="15.140625" style="1" customWidth="1"/>
    <col min="11" max="11" width="15" style="177" customWidth="1"/>
    <col min="12" max="12" width="10.85546875" style="177" customWidth="1"/>
    <col min="13" max="13" width="18.140625" style="3" customWidth="1"/>
    <col min="14" max="14" width="17.85546875" style="204" customWidth="1"/>
    <col min="15" max="15" width="16.85546875" style="204" customWidth="1"/>
    <col min="16" max="16" width="8.5703125" style="177" bestFit="1" customWidth="1"/>
    <col min="17" max="17" width="3.85546875" style="177" customWidth="1"/>
    <col min="18" max="18" width="4.28515625" style="177" hidden="1" customWidth="1" outlineLevel="1"/>
    <col min="19" max="19" width="15.140625" style="1" hidden="1" customWidth="1" outlineLevel="1"/>
    <col min="20" max="20" width="15" style="177" hidden="1" customWidth="1" outlineLevel="1"/>
    <col min="21" max="21" width="10.85546875" style="177" hidden="1" customWidth="1" outlineLevel="1"/>
    <col min="22" max="22" width="18.140625" style="3" hidden="1" customWidth="1" outlineLevel="1"/>
    <col min="23" max="23" width="17.85546875" style="204" hidden="1" customWidth="1" outlineLevel="1"/>
    <col min="24" max="24" width="16.85546875" style="204" hidden="1" customWidth="1" outlineLevel="1"/>
    <col min="25" max="25" width="7.85546875" style="177" hidden="1" customWidth="1" outlineLevel="1"/>
    <col min="26" max="26" width="10.7109375" style="177" hidden="1" customWidth="1" outlineLevel="1"/>
    <col min="27" max="27" width="4.28515625" style="177" customWidth="1" collapsed="1"/>
    <col min="28" max="28" width="15.140625" style="1" customWidth="1"/>
    <col min="29" max="29" width="15" style="177" customWidth="1"/>
    <col min="30" max="30" width="10.85546875" style="177" customWidth="1"/>
    <col min="31" max="31" width="18.140625" style="3" customWidth="1"/>
    <col min="32" max="32" width="17.85546875" style="204" customWidth="1"/>
    <col min="33" max="33" width="16.85546875" style="204" customWidth="1"/>
    <col min="34" max="34" width="6.28515625" style="177" customWidth="1"/>
    <col min="35" max="36" width="9.42578125" style="177" customWidth="1"/>
    <col min="37" max="16384" width="9.140625" style="177"/>
  </cols>
  <sheetData>
    <row r="1" spans="1:34" ht="15.75" thickBot="1" x14ac:dyDescent="0.3">
      <c r="E1" s="297"/>
      <c r="G1" s="204"/>
      <c r="N1" s="3"/>
      <c r="W1" s="3"/>
      <c r="AF1" s="3"/>
    </row>
    <row r="2" spans="1:34" ht="18.75" x14ac:dyDescent="0.3">
      <c r="A2" s="205"/>
      <c r="B2" s="16"/>
      <c r="C2" s="16"/>
      <c r="D2" s="17"/>
      <c r="E2" s="206"/>
      <c r="F2" s="206"/>
      <c r="G2" s="207"/>
      <c r="I2" s="18"/>
      <c r="J2" s="208"/>
      <c r="K2" s="16"/>
      <c r="L2" s="16"/>
      <c r="M2" s="17"/>
      <c r="N2" s="206"/>
      <c r="O2" s="206"/>
      <c r="P2" s="209"/>
      <c r="R2" s="251"/>
      <c r="S2" s="252"/>
      <c r="T2" s="253"/>
      <c r="U2" s="253"/>
      <c r="V2" s="254"/>
      <c r="W2" s="255"/>
      <c r="X2" s="255"/>
      <c r="Y2" s="256"/>
      <c r="AA2" s="382"/>
      <c r="AB2" s="383"/>
      <c r="AC2" s="384"/>
      <c r="AD2" s="384"/>
      <c r="AE2" s="385"/>
      <c r="AF2" s="386"/>
      <c r="AG2" s="386"/>
      <c r="AH2" s="387"/>
    </row>
    <row r="3" spans="1:34" ht="18.75" x14ac:dyDescent="0.3">
      <c r="A3" s="211" t="s">
        <v>340</v>
      </c>
      <c r="E3" s="212" t="s">
        <v>339</v>
      </c>
      <c r="F3" s="213">
        <f>'2020 Assumptions'!$B$4</f>
        <v>1.3442000000000001</v>
      </c>
      <c r="G3" s="214"/>
      <c r="I3" s="12"/>
      <c r="J3" s="210" t="s">
        <v>341</v>
      </c>
      <c r="P3" s="214"/>
      <c r="R3" s="257"/>
      <c r="S3" s="258" t="s">
        <v>430</v>
      </c>
      <c r="T3" s="259"/>
      <c r="U3" s="259"/>
      <c r="V3" s="260"/>
      <c r="W3" s="261"/>
      <c r="X3" s="262"/>
      <c r="Y3" s="263"/>
      <c r="AA3" s="388"/>
      <c r="AB3" s="389" t="s">
        <v>342</v>
      </c>
      <c r="AC3" s="361"/>
      <c r="AD3" s="361"/>
      <c r="AE3" s="362"/>
      <c r="AF3" s="390"/>
      <c r="AG3" s="391"/>
      <c r="AH3" s="392"/>
    </row>
    <row r="4" spans="1:34" x14ac:dyDescent="0.25">
      <c r="A4" s="215"/>
      <c r="G4" s="214"/>
      <c r="I4" s="12"/>
      <c r="P4" s="214"/>
      <c r="R4" s="257"/>
      <c r="S4" s="264"/>
      <c r="T4" s="259"/>
      <c r="U4" s="259"/>
      <c r="V4" s="260"/>
      <c r="W4" s="265"/>
      <c r="X4" s="265"/>
      <c r="Y4" s="263"/>
      <c r="AA4" s="388"/>
      <c r="AB4" s="393"/>
      <c r="AC4" s="361"/>
      <c r="AD4" s="361"/>
      <c r="AE4" s="362"/>
      <c r="AF4" s="374"/>
      <c r="AG4" s="374"/>
      <c r="AH4" s="392"/>
    </row>
    <row r="5" spans="1:34" x14ac:dyDescent="0.25">
      <c r="A5" s="216" t="s">
        <v>329</v>
      </c>
      <c r="B5" s="217" t="s">
        <v>337</v>
      </c>
      <c r="G5" s="222"/>
      <c r="I5" s="12"/>
      <c r="J5" s="35" t="str">
        <f>A5</f>
        <v>(#1 entry)</v>
      </c>
      <c r="K5" s="217" t="str">
        <f>B5</f>
        <v>Corporate Allocation - Corporate Cost</v>
      </c>
      <c r="P5" s="214"/>
      <c r="R5" s="257"/>
      <c r="S5" s="266" t="str">
        <f>A5</f>
        <v>(#1 entry)</v>
      </c>
      <c r="T5" s="267" t="str">
        <f>B5</f>
        <v>Corporate Allocation - Corporate Cost</v>
      </c>
      <c r="U5" s="259"/>
      <c r="V5" s="260"/>
      <c r="W5" s="265"/>
      <c r="X5" s="265"/>
      <c r="Y5" s="263"/>
      <c r="AA5" s="388"/>
      <c r="AB5" s="394" t="str">
        <f>A5</f>
        <v>(#1 entry)</v>
      </c>
      <c r="AC5" s="395" t="str">
        <f>B5</f>
        <v>Corporate Allocation - Corporate Cost</v>
      </c>
      <c r="AD5" s="361"/>
      <c r="AE5" s="362"/>
      <c r="AF5" s="374"/>
      <c r="AG5" s="374"/>
      <c r="AH5" s="392"/>
    </row>
    <row r="6" spans="1:34" x14ac:dyDescent="0.25">
      <c r="A6" s="216"/>
      <c r="B6" s="3"/>
      <c r="E6" s="218" t="s">
        <v>330</v>
      </c>
      <c r="F6" s="218" t="s">
        <v>330</v>
      </c>
      <c r="G6" s="222"/>
      <c r="I6" s="12"/>
      <c r="J6" s="35"/>
      <c r="K6" s="3"/>
      <c r="N6" s="218" t="s">
        <v>330</v>
      </c>
      <c r="O6" s="218" t="s">
        <v>330</v>
      </c>
      <c r="P6" s="214"/>
      <c r="R6" s="257"/>
      <c r="S6" s="266"/>
      <c r="T6" s="260"/>
      <c r="U6" s="259"/>
      <c r="V6" s="260"/>
      <c r="W6" s="268" t="s">
        <v>330</v>
      </c>
      <c r="X6" s="268" t="s">
        <v>330</v>
      </c>
      <c r="Y6" s="263"/>
      <c r="AA6" s="388"/>
      <c r="AB6" s="394"/>
      <c r="AC6" s="362"/>
      <c r="AD6" s="361"/>
      <c r="AE6" s="362"/>
      <c r="AF6" s="396" t="s">
        <v>330</v>
      </c>
      <c r="AG6" s="396" t="s">
        <v>330</v>
      </c>
      <c r="AH6" s="392"/>
    </row>
    <row r="7" spans="1:34" s="3" customFormat="1" x14ac:dyDescent="0.25">
      <c r="A7" s="216"/>
      <c r="C7" s="3" t="s">
        <v>331</v>
      </c>
      <c r="D7" s="3" t="s">
        <v>64</v>
      </c>
      <c r="E7" s="3" t="s">
        <v>166</v>
      </c>
      <c r="F7" s="218" t="s">
        <v>167</v>
      </c>
      <c r="G7" s="225"/>
      <c r="I7" s="220"/>
      <c r="J7" s="35"/>
      <c r="L7" s="3" t="s">
        <v>331</v>
      </c>
      <c r="M7" s="3" t="s">
        <v>64</v>
      </c>
      <c r="N7" s="3" t="s">
        <v>166</v>
      </c>
      <c r="O7" s="218" t="s">
        <v>167</v>
      </c>
      <c r="P7" s="219"/>
      <c r="R7" s="269"/>
      <c r="S7" s="266"/>
      <c r="T7" s="260"/>
      <c r="U7" s="260" t="s">
        <v>331</v>
      </c>
      <c r="V7" s="260" t="s">
        <v>64</v>
      </c>
      <c r="W7" s="260" t="s">
        <v>166</v>
      </c>
      <c r="X7" s="268" t="s">
        <v>167</v>
      </c>
      <c r="Y7" s="270"/>
      <c r="AA7" s="397"/>
      <c r="AB7" s="394"/>
      <c r="AC7" s="362"/>
      <c r="AD7" s="362" t="s">
        <v>331</v>
      </c>
      <c r="AE7" s="362" t="s">
        <v>64</v>
      </c>
      <c r="AF7" s="362" t="s">
        <v>166</v>
      </c>
      <c r="AG7" s="396" t="s">
        <v>167</v>
      </c>
      <c r="AH7" s="398"/>
    </row>
    <row r="8" spans="1:34" x14ac:dyDescent="0.25">
      <c r="A8" s="215"/>
      <c r="B8" s="3"/>
      <c r="C8" s="3">
        <v>70002</v>
      </c>
      <c r="D8" s="3" t="s">
        <v>265</v>
      </c>
      <c r="E8" s="357">
        <f ca="1">ROUND(SUMIF('Allocation Summary'!$B$27:$B$42,D8,'Allocation Summary'!$C$27:$C$42)+'Allocation Summary'!C42,0)</f>
        <v>-2001364</v>
      </c>
      <c r="F8" s="204">
        <f ca="1">ROUND(SUMIF('Allocation Summary'!$B$27:$B$45,D8,'Allocation Summary'!$M$27:$M$45)+'Allocation Summary'!M42,0)</f>
        <v>-2690234</v>
      </c>
      <c r="G8" s="227"/>
      <c r="I8" s="12"/>
      <c r="K8" s="3"/>
      <c r="L8" s="3">
        <v>70002</v>
      </c>
      <c r="M8" s="3" t="s">
        <v>265</v>
      </c>
      <c r="N8" s="204">
        <f>-SUMIF('CAM Budget'!$A$27:$A$41,M8,'CAM Budget'!$C$27:$C$41)</f>
        <v>3186366.9761538464</v>
      </c>
      <c r="O8" s="204">
        <f>-SUMIF('CAM Budget'!$A$8:$A$22,M8,'CAM Budget'!$C$8:$C$22)</f>
        <v>4233512.1715614507</v>
      </c>
      <c r="P8" s="293"/>
      <c r="R8" s="257"/>
      <c r="S8" s="264"/>
      <c r="T8" s="260"/>
      <c r="U8" s="260">
        <v>70002</v>
      </c>
      <c r="V8" s="260" t="s">
        <v>265</v>
      </c>
      <c r="W8" s="265"/>
      <c r="X8" s="265"/>
      <c r="Y8" s="263"/>
      <c r="AA8" s="388"/>
      <c r="AB8" s="393"/>
      <c r="AC8" s="362"/>
      <c r="AD8" s="362">
        <v>70002</v>
      </c>
      <c r="AE8" s="362" t="s">
        <v>265</v>
      </c>
      <c r="AF8" s="374">
        <f t="shared" ref="AF8:AF22" ca="1" si="0">E8+N8+W8</f>
        <v>1185002.9761538464</v>
      </c>
      <c r="AG8" s="374">
        <f t="shared" ref="AG8:AG22" ca="1" si="1">F8+O8+X8</f>
        <v>1543278.1715614507</v>
      </c>
      <c r="AH8" s="392"/>
    </row>
    <row r="9" spans="1:34" x14ac:dyDescent="0.25">
      <c r="A9" s="215"/>
      <c r="B9" s="3"/>
      <c r="C9" s="3">
        <v>22564</v>
      </c>
      <c r="D9" s="3" t="s">
        <v>387</v>
      </c>
      <c r="E9" s="357">
        <f ca="1">ROUND(SUMIF('Allocation Summary'!$B$27:$B$42,D9,'Allocation Summary'!$C$27:$C$42),0)</f>
        <v>-296391</v>
      </c>
      <c r="F9" s="204">
        <f ca="1">ROUND(SUMIF('Allocation Summary'!$B$27:$B$45,D9,'Allocation Summary'!$M$27:$M$45),0)</f>
        <v>-398409</v>
      </c>
      <c r="G9" s="227"/>
      <c r="I9" s="12"/>
      <c r="K9" s="3"/>
      <c r="L9" s="3">
        <v>22564</v>
      </c>
      <c r="M9" s="3" t="s">
        <v>387</v>
      </c>
      <c r="N9" s="204">
        <f>-SUMIF('CAM Budget'!$A$27:$A$41,M9,'CAM Budget'!$C$27:$C$41)</f>
        <v>866343.99</v>
      </c>
      <c r="O9" s="204">
        <f>-SUMIF('CAM Budget'!$A$8:$A$22,M9,'CAM Budget'!$C$8:$C$22)</f>
        <v>1164539.5913579999</v>
      </c>
      <c r="P9" s="293"/>
      <c r="R9" s="257"/>
      <c r="S9" s="264"/>
      <c r="T9" s="260"/>
      <c r="U9" s="260">
        <v>22564</v>
      </c>
      <c r="V9" s="260" t="s">
        <v>387</v>
      </c>
      <c r="W9" s="265"/>
      <c r="X9" s="265"/>
      <c r="Y9" s="263"/>
      <c r="AA9" s="388"/>
      <c r="AB9" s="393"/>
      <c r="AC9" s="362"/>
      <c r="AD9" s="362">
        <v>22564</v>
      </c>
      <c r="AE9" s="362" t="s">
        <v>387</v>
      </c>
      <c r="AF9" s="374">
        <f t="shared" ca="1" si="0"/>
        <v>569952.99</v>
      </c>
      <c r="AG9" s="374">
        <f t="shared" ca="1" si="1"/>
        <v>766130.59135799995</v>
      </c>
      <c r="AH9" s="392"/>
    </row>
    <row r="10" spans="1:34" x14ac:dyDescent="0.25">
      <c r="A10" s="215"/>
      <c r="B10" s="3"/>
      <c r="C10" s="3">
        <v>22524</v>
      </c>
      <c r="D10" s="3" t="s">
        <v>376</v>
      </c>
      <c r="E10" s="357">
        <f ca="1">ROUND(SUMIF('Allocation Summary'!$B$27:$B$42,D10,'Allocation Summary'!$C$27:$C$42),0)</f>
        <v>26850</v>
      </c>
      <c r="F10" s="204">
        <f ca="1">ROUND(SUMIF('Allocation Summary'!$B$27:$B$45,D10,'Allocation Summary'!$M$27:$M$45),0)</f>
        <v>36092</v>
      </c>
      <c r="G10" s="222"/>
      <c r="I10" s="12"/>
      <c r="K10" s="3"/>
      <c r="L10" s="3">
        <v>22524</v>
      </c>
      <c r="M10" s="3" t="s">
        <v>376</v>
      </c>
      <c r="N10" s="204">
        <f>-SUMIF('CAM Budget'!$A$27:$A$41,M10,'CAM Budget'!$C$27:$C$41)</f>
        <v>-34108.71</v>
      </c>
      <c r="O10" s="204">
        <f>-SUMIF('CAM Budget'!$A$8:$A$22,M10,'CAM Budget'!$C$8:$C$22)</f>
        <v>-45848.927981999994</v>
      </c>
      <c r="P10" s="293"/>
      <c r="R10" s="257"/>
      <c r="S10" s="264"/>
      <c r="T10" s="260"/>
      <c r="U10" s="260">
        <v>22524</v>
      </c>
      <c r="V10" s="260" t="s">
        <v>376</v>
      </c>
      <c r="W10" s="265"/>
      <c r="X10" s="265"/>
      <c r="Y10" s="263"/>
      <c r="AA10" s="388"/>
      <c r="AB10" s="393"/>
      <c r="AC10" s="362"/>
      <c r="AD10" s="362">
        <v>22524</v>
      </c>
      <c r="AE10" s="362" t="s">
        <v>376</v>
      </c>
      <c r="AF10" s="374">
        <f t="shared" ca="1" si="0"/>
        <v>-7258.7099999999991</v>
      </c>
      <c r="AG10" s="374">
        <f t="shared" ca="1" si="1"/>
        <v>-9756.9279819999938</v>
      </c>
      <c r="AH10" s="392"/>
    </row>
    <row r="11" spans="1:34" x14ac:dyDescent="0.25">
      <c r="A11" s="215"/>
      <c r="B11" s="3"/>
      <c r="C11" s="3">
        <v>22521</v>
      </c>
      <c r="D11" s="3" t="s">
        <v>12</v>
      </c>
      <c r="E11" s="357">
        <f ca="1">ROUND(SUMIF('Allocation Summary'!$B$27:$B$42,D11,'Allocation Summary'!$C$27:$C$42),0)</f>
        <v>84480</v>
      </c>
      <c r="F11" s="204">
        <f ca="1">ROUND(SUMIF('Allocation Summary'!$B$27:$B$45,D11,'Allocation Summary'!$M$27:$M$45),0)</f>
        <v>113559</v>
      </c>
      <c r="G11" s="222" t="s">
        <v>333</v>
      </c>
      <c r="I11" s="12"/>
      <c r="K11" s="3"/>
      <c r="L11" s="3">
        <v>22521</v>
      </c>
      <c r="M11" s="3" t="s">
        <v>12</v>
      </c>
      <c r="N11" s="204">
        <f>-SUMIF('CAM Budget'!$A$27:$A$41,M11,'CAM Budget'!$C$27:$C$41)</f>
        <v>-290861.88461538462</v>
      </c>
      <c r="O11" s="204">
        <f>-SUMIF('CAM Budget'!$A$8:$A$22,M11,'CAM Budget'!$C$8:$C$22)</f>
        <v>-378120.44999999995</v>
      </c>
      <c r="P11" s="293"/>
      <c r="R11" s="257"/>
      <c r="S11" s="264"/>
      <c r="T11" s="260"/>
      <c r="U11" s="260">
        <v>22521</v>
      </c>
      <c r="V11" s="260" t="s">
        <v>12</v>
      </c>
      <c r="W11" s="265"/>
      <c r="X11" s="265"/>
      <c r="Y11" s="263"/>
      <c r="AA11" s="388"/>
      <c r="AB11" s="393"/>
      <c r="AC11" s="362"/>
      <c r="AD11" s="362">
        <v>22521</v>
      </c>
      <c r="AE11" s="362" t="s">
        <v>12</v>
      </c>
      <c r="AF11" s="374">
        <f t="shared" ca="1" si="0"/>
        <v>-206381.88461538462</v>
      </c>
      <c r="AG11" s="374">
        <f t="shared" ca="1" si="1"/>
        <v>-264561.44999999995</v>
      </c>
      <c r="AH11" s="392"/>
    </row>
    <row r="12" spans="1:34" x14ac:dyDescent="0.25">
      <c r="A12" s="215"/>
      <c r="B12" s="3"/>
      <c r="C12" s="3">
        <v>22522</v>
      </c>
      <c r="D12" s="3" t="s">
        <v>8</v>
      </c>
      <c r="E12" s="357">
        <f ca="1">ROUND(SUMIF('Allocation Summary'!$B$27:$B$42,D12,'Allocation Summary'!$C$27:$C$42),0)</f>
        <v>73091</v>
      </c>
      <c r="F12" s="204">
        <f ca="1">ROUND(SUMIF('Allocation Summary'!$B$27:$B$45,D12,'Allocation Summary'!$M$27:$M$45),0)</f>
        <v>98248</v>
      </c>
      <c r="G12" s="222" t="s">
        <v>333</v>
      </c>
      <c r="I12" s="12"/>
      <c r="K12" s="3"/>
      <c r="L12" s="3">
        <v>22522</v>
      </c>
      <c r="M12" s="3" t="s">
        <v>8</v>
      </c>
      <c r="N12" s="204">
        <f>-SUMIF('CAM Budget'!$A$27:$A$41,M12,'CAM Budget'!$C$27:$C$41)</f>
        <v>-292506.4615384615</v>
      </c>
      <c r="O12" s="204">
        <f>-SUMIF('CAM Budget'!$A$8:$A$22,M12,'CAM Budget'!$C$8:$C$22)</f>
        <v>-380258.4</v>
      </c>
      <c r="P12" s="293"/>
      <c r="R12" s="257"/>
      <c r="S12" s="264"/>
      <c r="T12" s="260"/>
      <c r="U12" s="260">
        <v>22522</v>
      </c>
      <c r="V12" s="260" t="s">
        <v>8</v>
      </c>
      <c r="W12" s="265"/>
      <c r="X12" s="265"/>
      <c r="Y12" s="263"/>
      <c r="AA12" s="388"/>
      <c r="AB12" s="393"/>
      <c r="AC12" s="362"/>
      <c r="AD12" s="362">
        <v>22522</v>
      </c>
      <c r="AE12" s="362" t="s">
        <v>8</v>
      </c>
      <c r="AF12" s="374">
        <f t="shared" ca="1" si="0"/>
        <v>-219415.4615384615</v>
      </c>
      <c r="AG12" s="374">
        <f t="shared" ca="1" si="1"/>
        <v>-282010.40000000002</v>
      </c>
      <c r="AH12" s="392"/>
    </row>
    <row r="13" spans="1:34" x14ac:dyDescent="0.25">
      <c r="A13" s="215"/>
      <c r="B13" s="3"/>
      <c r="C13" s="3">
        <v>22532</v>
      </c>
      <c r="D13" s="3" t="s">
        <v>164</v>
      </c>
      <c r="E13" s="357">
        <f ca="1">ROUND(SUMIF('Allocation Summary'!$B$27:$B$42,D13,'Allocation Summary'!$C$27:$C$42),0)</f>
        <v>5473</v>
      </c>
      <c r="F13" s="204">
        <f ca="1">ROUND(SUMIF('Allocation Summary'!$B$27:$B$45,D13,'Allocation Summary'!$M$27:$M$45),0)</f>
        <v>7357</v>
      </c>
      <c r="G13" s="222" t="s">
        <v>333</v>
      </c>
      <c r="I13" s="12"/>
      <c r="K13" s="3"/>
      <c r="L13" s="3">
        <v>22532</v>
      </c>
      <c r="M13" s="3" t="s">
        <v>164</v>
      </c>
      <c r="N13" s="204">
        <f>-SUMIF('CAM Budget'!$A$27:$A$41,M13,'CAM Budget'!$C$27:$C$41)</f>
        <v>-19455.12</v>
      </c>
      <c r="O13" s="204">
        <f>-SUMIF('CAM Budget'!$A$8:$A$22,M13,'CAM Budget'!$C$8:$C$22)</f>
        <v>-25291.673761138638</v>
      </c>
      <c r="P13" s="293"/>
      <c r="R13" s="257"/>
      <c r="S13" s="264"/>
      <c r="T13" s="260"/>
      <c r="U13" s="260">
        <v>22532</v>
      </c>
      <c r="V13" s="260" t="s">
        <v>164</v>
      </c>
      <c r="W13" s="265"/>
      <c r="X13" s="265"/>
      <c r="Y13" s="263"/>
      <c r="AA13" s="388"/>
      <c r="AB13" s="393"/>
      <c r="AC13" s="362"/>
      <c r="AD13" s="362">
        <v>22532</v>
      </c>
      <c r="AE13" s="362" t="s">
        <v>164</v>
      </c>
      <c r="AF13" s="374">
        <f t="shared" ca="1" si="0"/>
        <v>-13982.119999999999</v>
      </c>
      <c r="AG13" s="374">
        <f t="shared" ca="1" si="1"/>
        <v>-17934.673761138638</v>
      </c>
      <c r="AH13" s="392"/>
    </row>
    <row r="14" spans="1:34" x14ac:dyDescent="0.25">
      <c r="A14" s="215"/>
      <c r="B14" s="3"/>
      <c r="C14" s="3">
        <v>22541</v>
      </c>
      <c r="D14" s="3" t="s">
        <v>165</v>
      </c>
      <c r="E14" s="357">
        <f ca="1">ROUND(SUMIF('Allocation Summary'!$B$27:$B$42,D14,'Allocation Summary'!$C$27:$C$42),0)</f>
        <v>8864</v>
      </c>
      <c r="F14" s="204">
        <f ca="1">ROUND(SUMIF('Allocation Summary'!$B$27:$B$45,D14,'Allocation Summary'!$M$27:$M$45),0)</f>
        <v>11915</v>
      </c>
      <c r="G14" s="222" t="s">
        <v>333</v>
      </c>
      <c r="I14" s="12"/>
      <c r="K14" s="3"/>
      <c r="L14" s="3">
        <v>22541</v>
      </c>
      <c r="M14" s="3" t="s">
        <v>165</v>
      </c>
      <c r="N14" s="204">
        <f>-SUMIF('CAM Budget'!$A$27:$A$41,M14,'CAM Budget'!$C$27:$C$41)</f>
        <v>-32033.370000000003</v>
      </c>
      <c r="O14" s="204">
        <f>-SUMIF('CAM Budget'!$A$8:$A$22,M14,'CAM Budget'!$C$8:$C$22)</f>
        <v>-41643.408396022947</v>
      </c>
      <c r="P14" s="293"/>
      <c r="R14" s="257"/>
      <c r="S14" s="264"/>
      <c r="T14" s="260"/>
      <c r="U14" s="260">
        <v>22541</v>
      </c>
      <c r="V14" s="260" t="s">
        <v>165</v>
      </c>
      <c r="W14" s="265"/>
      <c r="X14" s="265"/>
      <c r="Y14" s="263"/>
      <c r="AA14" s="388"/>
      <c r="AB14" s="393"/>
      <c r="AC14" s="362"/>
      <c r="AD14" s="362">
        <v>22541</v>
      </c>
      <c r="AE14" s="362" t="s">
        <v>165</v>
      </c>
      <c r="AF14" s="374">
        <f t="shared" ca="1" si="0"/>
        <v>-23169.370000000003</v>
      </c>
      <c r="AG14" s="374">
        <f t="shared" ca="1" si="1"/>
        <v>-29728.408396022947</v>
      </c>
      <c r="AH14" s="392"/>
    </row>
    <row r="15" spans="1:34" x14ac:dyDescent="0.25">
      <c r="A15" s="215"/>
      <c r="B15" s="3"/>
      <c r="C15" s="3">
        <v>22527</v>
      </c>
      <c r="D15" s="3" t="s">
        <v>375</v>
      </c>
      <c r="E15" s="357">
        <f ca="1">ROUND(SUMIF('Allocation Summary'!$B$27:$B$42,D15,'Allocation Summary'!$C$27:$C$42),0)</f>
        <v>68438</v>
      </c>
      <c r="F15" s="204">
        <f ca="1">ROUND(SUMIF('Allocation Summary'!$B$27:$B$45,D15,'Allocation Summary'!$M$27:$M$45),0)</f>
        <v>91995</v>
      </c>
      <c r="G15" s="222" t="s">
        <v>333</v>
      </c>
      <c r="I15" s="12"/>
      <c r="K15" s="3"/>
      <c r="L15" s="3">
        <v>22527</v>
      </c>
      <c r="M15" s="3" t="s">
        <v>375</v>
      </c>
      <c r="N15" s="204">
        <f>-SUMIF('CAM Budget'!$A$27:$A$41,M15,'CAM Budget'!$C$27:$C$41)</f>
        <v>-255444.63</v>
      </c>
      <c r="O15" s="204">
        <f>-SUMIF('CAM Budget'!$A$8:$A$22,M15,'CAM Budget'!$C$8:$C$22)</f>
        <v>-332078.34870703804</v>
      </c>
      <c r="P15" s="293"/>
      <c r="R15" s="257"/>
      <c r="S15" s="264"/>
      <c r="T15" s="260"/>
      <c r="U15" s="260">
        <v>22527</v>
      </c>
      <c r="V15" s="260" t="s">
        <v>375</v>
      </c>
      <c r="W15" s="265"/>
      <c r="X15" s="265"/>
      <c r="Y15" s="263"/>
      <c r="AA15" s="388"/>
      <c r="AB15" s="393"/>
      <c r="AC15" s="362"/>
      <c r="AD15" s="362">
        <v>22527</v>
      </c>
      <c r="AE15" s="362" t="s">
        <v>375</v>
      </c>
      <c r="AF15" s="374">
        <f t="shared" ca="1" si="0"/>
        <v>-187006.63</v>
      </c>
      <c r="AG15" s="374">
        <f t="shared" ca="1" si="1"/>
        <v>-240083.34870703804</v>
      </c>
      <c r="AH15" s="392"/>
    </row>
    <row r="16" spans="1:34" x14ac:dyDescent="0.25">
      <c r="A16" s="215"/>
      <c r="B16" s="3"/>
      <c r="C16" s="3">
        <v>22539</v>
      </c>
      <c r="D16" s="3" t="s">
        <v>18</v>
      </c>
      <c r="E16" s="357">
        <f ca="1">ROUND(SUMIF('Allocation Summary'!$B$27:$B$42,D16,'Allocation Summary'!$C$27:$C$42),0)</f>
        <v>64736</v>
      </c>
      <c r="F16" s="204">
        <f ca="1">ROUND(SUMIF('Allocation Summary'!$B$27:$B$45,D16,'Allocation Summary'!$M$27:$M$45),0)</f>
        <v>87019</v>
      </c>
      <c r="G16" s="222" t="s">
        <v>333</v>
      </c>
      <c r="I16" s="12"/>
      <c r="K16" s="3"/>
      <c r="L16" s="3">
        <v>22539</v>
      </c>
      <c r="M16" s="3" t="s">
        <v>18</v>
      </c>
      <c r="N16" s="204">
        <f>-SUMIF('CAM Budget'!$A$27:$A$41,M16,'CAM Budget'!$C$27:$C$41)</f>
        <v>-228138.36</v>
      </c>
      <c r="O16" s="204">
        <f>-SUMIF('CAM Budget'!$A$8:$A$22,M16,'CAM Budget'!$C$8:$C$22)</f>
        <v>-296580.14516173198</v>
      </c>
      <c r="P16" s="293"/>
      <c r="R16" s="257"/>
      <c r="S16" s="264"/>
      <c r="T16" s="260"/>
      <c r="U16" s="260">
        <v>22539</v>
      </c>
      <c r="V16" s="260" t="s">
        <v>18</v>
      </c>
      <c r="W16" s="265"/>
      <c r="X16" s="265"/>
      <c r="Y16" s="263"/>
      <c r="AA16" s="388"/>
      <c r="AB16" s="393"/>
      <c r="AC16" s="362"/>
      <c r="AD16" s="362">
        <v>22539</v>
      </c>
      <c r="AE16" s="362" t="s">
        <v>18</v>
      </c>
      <c r="AF16" s="374">
        <f t="shared" ca="1" si="0"/>
        <v>-163402.35999999999</v>
      </c>
      <c r="AG16" s="374">
        <f t="shared" ca="1" si="1"/>
        <v>-209561.14516173198</v>
      </c>
      <c r="AH16" s="392"/>
    </row>
    <row r="17" spans="1:34" x14ac:dyDescent="0.25">
      <c r="A17" s="215"/>
      <c r="B17" s="3"/>
      <c r="C17" s="3">
        <v>22546</v>
      </c>
      <c r="D17" s="3" t="s">
        <v>16</v>
      </c>
      <c r="E17" s="357">
        <f ca="1">ROUND(SUMIF('Allocation Summary'!$B$27:$B$42,D17,'Allocation Summary'!$C$27:$C$42),0)</f>
        <v>1127</v>
      </c>
      <c r="F17" s="204">
        <f ca="1">ROUND(SUMIF('Allocation Summary'!$B$27:$B$45,D17,'Allocation Summary'!$M$27:$M$45),0)</f>
        <v>1514</v>
      </c>
      <c r="G17" s="222" t="s">
        <v>333</v>
      </c>
      <c r="I17" s="12"/>
      <c r="K17" s="3"/>
      <c r="L17" s="3">
        <v>22546</v>
      </c>
      <c r="M17" s="3" t="s">
        <v>16</v>
      </c>
      <c r="N17" s="204">
        <f>-SUMIF('CAM Budget'!$A$27:$A$41,M17,'CAM Budget'!$C$27:$C$41)</f>
        <v>-3799.6499999999996</v>
      </c>
      <c r="O17" s="204">
        <f>-SUMIF('CAM Budget'!$A$8:$A$22,M17,'CAM Budget'!$C$8:$C$22)</f>
        <v>-4939.560035518899</v>
      </c>
      <c r="P17" s="293"/>
      <c r="R17" s="257"/>
      <c r="S17" s="264"/>
      <c r="T17" s="260"/>
      <c r="U17" s="260">
        <v>22546</v>
      </c>
      <c r="V17" s="260" t="s">
        <v>16</v>
      </c>
      <c r="W17" s="265"/>
      <c r="X17" s="265"/>
      <c r="Y17" s="263"/>
      <c r="AA17" s="388"/>
      <c r="AB17" s="393"/>
      <c r="AC17" s="362"/>
      <c r="AD17" s="362">
        <v>22546</v>
      </c>
      <c r="AE17" s="362" t="s">
        <v>16</v>
      </c>
      <c r="AF17" s="374">
        <f t="shared" ca="1" si="0"/>
        <v>-2672.6499999999996</v>
      </c>
      <c r="AG17" s="374">
        <f t="shared" ca="1" si="1"/>
        <v>-3425.560035518899</v>
      </c>
      <c r="AH17" s="392"/>
    </row>
    <row r="18" spans="1:34" x14ac:dyDescent="0.25">
      <c r="A18" s="215"/>
      <c r="B18" s="3"/>
      <c r="C18" s="3">
        <v>22554</v>
      </c>
      <c r="D18" s="3" t="s">
        <v>385</v>
      </c>
      <c r="E18" s="357">
        <f ca="1">ROUND(SUMIF('Allocation Summary'!$B$27:$B$42,D18,'Allocation Summary'!$C$27:$C$42),0)</f>
        <v>206364</v>
      </c>
      <c r="F18" s="204">
        <f ca="1">ROUND(SUMIF('Allocation Summary'!$B$27:$B$45,D18,'Allocation Summary'!$M$27:$M$45),0)</f>
        <v>277394</v>
      </c>
      <c r="G18" s="222" t="s">
        <v>333</v>
      </c>
      <c r="I18" s="12"/>
      <c r="K18" s="3"/>
      <c r="L18" s="3">
        <v>22554</v>
      </c>
      <c r="M18" s="3" t="s">
        <v>385</v>
      </c>
      <c r="N18" s="204">
        <f>-SUMIF('CAM Budget'!$A$27:$A$41,M18,'CAM Budget'!$C$27:$C$41)</f>
        <v>-493503.08999999997</v>
      </c>
      <c r="O18" s="204">
        <f>-SUMIF('CAM Budget'!$A$8:$A$22,M18,'CAM Budget'!$C$8:$C$22)</f>
        <v>-663366.85357799998</v>
      </c>
      <c r="P18" s="293"/>
      <c r="R18" s="257"/>
      <c r="S18" s="264"/>
      <c r="T18" s="260"/>
      <c r="U18" s="260">
        <v>22554</v>
      </c>
      <c r="V18" s="260" t="s">
        <v>385</v>
      </c>
      <c r="W18" s="265"/>
      <c r="X18" s="265"/>
      <c r="Y18" s="263"/>
      <c r="AA18" s="388"/>
      <c r="AB18" s="393"/>
      <c r="AC18" s="362"/>
      <c r="AD18" s="362">
        <v>22554</v>
      </c>
      <c r="AE18" s="362" t="s">
        <v>385</v>
      </c>
      <c r="AF18" s="374">
        <f t="shared" ca="1" si="0"/>
        <v>-287139.08999999997</v>
      </c>
      <c r="AG18" s="374">
        <f t="shared" ca="1" si="1"/>
        <v>-385972.85357799998</v>
      </c>
      <c r="AH18" s="392"/>
    </row>
    <row r="19" spans="1:34" x14ac:dyDescent="0.25">
      <c r="A19" s="215"/>
      <c r="B19" s="3"/>
      <c r="C19" s="3">
        <v>22572</v>
      </c>
      <c r="D19" s="3" t="s">
        <v>384</v>
      </c>
      <c r="E19" s="357">
        <f ca="1">ROUND(SUMIF('Allocation Summary'!$B$27:$B$42,D19,'Allocation Summary'!$C$27:$C$42),0)</f>
        <v>6652</v>
      </c>
      <c r="F19" s="204">
        <f ca="1">ROUND(SUMIF('Allocation Summary'!$B$27:$B$45,D19,'Allocation Summary'!$M$27:$M$45),0)</f>
        <v>8942</v>
      </c>
      <c r="G19" s="222" t="s">
        <v>333</v>
      </c>
      <c r="I19" s="12"/>
      <c r="K19" s="3"/>
      <c r="L19" s="3">
        <v>22572</v>
      </c>
      <c r="M19" s="3" t="s">
        <v>384</v>
      </c>
      <c r="N19" s="204">
        <f>-SUMIF('CAM Budget'!$A$27:$A$41,M19,'CAM Budget'!$C$27:$C$41)</f>
        <v>-15540.57</v>
      </c>
      <c r="O19" s="204">
        <f>-SUMIF('CAM Budget'!$A$8:$A$22,M19,'CAM Budget'!$C$8:$C$22)</f>
        <v>-20889.634193999998</v>
      </c>
      <c r="P19" s="293"/>
      <c r="R19" s="257"/>
      <c r="S19" s="264"/>
      <c r="T19" s="260"/>
      <c r="U19" s="260">
        <v>22572</v>
      </c>
      <c r="V19" s="260" t="s">
        <v>384</v>
      </c>
      <c r="W19" s="265"/>
      <c r="X19" s="265"/>
      <c r="Y19" s="263"/>
      <c r="AA19" s="388"/>
      <c r="AB19" s="393"/>
      <c r="AC19" s="362"/>
      <c r="AD19" s="362">
        <v>22572</v>
      </c>
      <c r="AE19" s="362" t="s">
        <v>384</v>
      </c>
      <c r="AF19" s="374">
        <f t="shared" ca="1" si="0"/>
        <v>-8888.57</v>
      </c>
      <c r="AG19" s="374">
        <f t="shared" ca="1" si="1"/>
        <v>-11947.634193999998</v>
      </c>
      <c r="AH19" s="392"/>
    </row>
    <row r="20" spans="1:34" x14ac:dyDescent="0.25">
      <c r="A20" s="215"/>
      <c r="B20" s="3"/>
      <c r="C20" s="3">
        <v>22569</v>
      </c>
      <c r="D20" s="3" t="s">
        <v>386</v>
      </c>
      <c r="E20" s="357">
        <f ca="1">ROUND(SUMIF('Allocation Summary'!$B$27:$B$42,D20,'Allocation Summary'!$C$27:$C$42),0)</f>
        <v>123446</v>
      </c>
      <c r="F20" s="204">
        <f ca="1">ROUND(SUMIF('Allocation Summary'!$B$27:$B$45,D20,'Allocation Summary'!$M$27:$M$45),0)</f>
        <v>165936</v>
      </c>
      <c r="G20" s="222"/>
      <c r="I20" s="12"/>
      <c r="K20" s="3"/>
      <c r="L20" s="3">
        <v>22569</v>
      </c>
      <c r="M20" s="3" t="s">
        <v>386</v>
      </c>
      <c r="N20" s="204">
        <f>-SUMIF('CAM Budget'!$A$27:$A$41,M20,'CAM Budget'!$C$27:$C$41)</f>
        <v>-291153.87</v>
      </c>
      <c r="O20" s="204">
        <f>-SUMIF('CAM Budget'!$A$8:$A$22,M20,'CAM Budget'!$C$8:$C$22)</f>
        <v>-391369.03205399995</v>
      </c>
      <c r="P20" s="293"/>
      <c r="R20" s="257"/>
      <c r="S20" s="264"/>
      <c r="T20" s="260"/>
      <c r="U20" s="260">
        <v>22569</v>
      </c>
      <c r="V20" s="260" t="s">
        <v>386</v>
      </c>
      <c r="W20" s="265"/>
      <c r="X20" s="265"/>
      <c r="Y20" s="263"/>
      <c r="AA20" s="388"/>
      <c r="AB20" s="393"/>
      <c r="AC20" s="362"/>
      <c r="AD20" s="362">
        <v>22569</v>
      </c>
      <c r="AE20" s="362" t="s">
        <v>386</v>
      </c>
      <c r="AF20" s="374">
        <f t="shared" ca="1" si="0"/>
        <v>-167707.87</v>
      </c>
      <c r="AG20" s="374">
        <f t="shared" ca="1" si="1"/>
        <v>-225433.03205399995</v>
      </c>
      <c r="AH20" s="392"/>
    </row>
    <row r="21" spans="1:34" x14ac:dyDescent="0.25">
      <c r="A21" s="215"/>
      <c r="B21" s="3"/>
      <c r="C21" s="3">
        <v>22563</v>
      </c>
      <c r="D21" s="3" t="s">
        <v>388</v>
      </c>
      <c r="E21" s="357">
        <f ca="1">ROUND(SUMIF('Allocation Summary'!$B$27:$B$42,D21,'Allocation Summary'!$C$27:$C$42),0)</f>
        <v>1383859</v>
      </c>
      <c r="F21" s="204">
        <f ca="1">ROUND(SUMIF('Allocation Summary'!$B$27:$B$45,D21,'Allocation Summary'!$M$27:$M$45),0)</f>
        <v>1860183</v>
      </c>
      <c r="G21" s="222"/>
      <c r="I21" s="12"/>
      <c r="K21" s="3"/>
      <c r="L21" s="3">
        <v>22563</v>
      </c>
      <c r="M21" s="3" t="s">
        <v>388</v>
      </c>
      <c r="N21" s="204">
        <f>-SUMIF('CAM Budget'!$A$27:$A$41,M21,'CAM Budget'!$C$27:$C$41)</f>
        <v>-1705372.5</v>
      </c>
      <c r="O21" s="204">
        <f>-SUMIF('CAM Budget'!$A$8:$A$22,M21,'CAM Budget'!$C$8:$C$22)</f>
        <v>-2292361.7144999998</v>
      </c>
      <c r="P21" s="293"/>
      <c r="R21" s="257"/>
      <c r="S21" s="264"/>
      <c r="T21" s="260"/>
      <c r="U21" s="260">
        <v>22563</v>
      </c>
      <c r="V21" s="260" t="s">
        <v>388</v>
      </c>
      <c r="W21" s="265"/>
      <c r="X21" s="265"/>
      <c r="Y21" s="263"/>
      <c r="AA21" s="388"/>
      <c r="AB21" s="393"/>
      <c r="AC21" s="362"/>
      <c r="AD21" s="362">
        <v>22563</v>
      </c>
      <c r="AE21" s="362" t="s">
        <v>388</v>
      </c>
      <c r="AF21" s="374">
        <f t="shared" ca="1" si="0"/>
        <v>-321513.5</v>
      </c>
      <c r="AG21" s="374">
        <f t="shared" ca="1" si="1"/>
        <v>-432178.71449999977</v>
      </c>
      <c r="AH21" s="392"/>
    </row>
    <row r="22" spans="1:34" x14ac:dyDescent="0.25">
      <c r="A22" s="215"/>
      <c r="B22" s="3"/>
      <c r="C22" s="3">
        <v>22530</v>
      </c>
      <c r="D22" s="3" t="s">
        <v>334</v>
      </c>
      <c r="E22" s="357">
        <f ca="1">ROUND(SUMIF('Allocation Summary'!$B$27:$B$42,D22,'Allocation Summary'!$C$27:$C$42),0)</f>
        <v>244375</v>
      </c>
      <c r="F22" s="204">
        <f ca="1">ROUND(SUMIF('Allocation Summary'!$B$27:$B$45,D22,'Allocation Summary'!$M$27:$M$45),0)</f>
        <v>328489</v>
      </c>
      <c r="G22" s="222"/>
      <c r="I22" s="12"/>
      <c r="K22" s="3"/>
      <c r="L22" s="3">
        <v>22530</v>
      </c>
      <c r="M22" s="3" t="s">
        <v>334</v>
      </c>
      <c r="N22" s="204">
        <f>-SUMIF('CAM Budget'!$A$27:$A$41,M22,'CAM Budget'!$C$27:$C$41)</f>
        <v>-390792.75</v>
      </c>
      <c r="O22" s="204">
        <f>-SUMIF('CAM Budget'!$A$8:$A$22,M22,'CAM Budget'!$C$8:$C$22)</f>
        <v>-525303.61455000006</v>
      </c>
      <c r="P22" s="293"/>
      <c r="R22" s="257"/>
      <c r="S22" s="264"/>
      <c r="T22" s="260"/>
      <c r="U22" s="260">
        <v>22530</v>
      </c>
      <c r="V22" s="260" t="s">
        <v>334</v>
      </c>
      <c r="W22" s="265"/>
      <c r="X22" s="265"/>
      <c r="Y22" s="263"/>
      <c r="AA22" s="388"/>
      <c r="AB22" s="393"/>
      <c r="AC22" s="362"/>
      <c r="AD22" s="362">
        <v>22530</v>
      </c>
      <c r="AE22" s="362" t="s">
        <v>334</v>
      </c>
      <c r="AF22" s="374">
        <f t="shared" ca="1" si="0"/>
        <v>-146417.75</v>
      </c>
      <c r="AG22" s="374">
        <f t="shared" ca="1" si="1"/>
        <v>-196814.61455000006</v>
      </c>
      <c r="AH22" s="392"/>
    </row>
    <row r="23" spans="1:34" x14ac:dyDescent="0.25">
      <c r="A23" s="215"/>
      <c r="B23" s="223" t="s">
        <v>343</v>
      </c>
      <c r="G23" s="214"/>
      <c r="I23" s="12"/>
      <c r="K23" s="223" t="s">
        <v>343</v>
      </c>
      <c r="P23" s="214"/>
      <c r="R23" s="257"/>
      <c r="S23" s="264"/>
      <c r="T23" s="271" t="s">
        <v>343</v>
      </c>
      <c r="U23" s="259"/>
      <c r="V23" s="260"/>
      <c r="W23" s="265"/>
      <c r="X23" s="265"/>
      <c r="Y23" s="263"/>
      <c r="AA23" s="388"/>
      <c r="AB23" s="393"/>
      <c r="AC23" s="399" t="s">
        <v>335</v>
      </c>
      <c r="AD23" s="361"/>
      <c r="AE23" s="362"/>
      <c r="AF23" s="374"/>
      <c r="AG23" s="374"/>
      <c r="AH23" s="392"/>
    </row>
    <row r="24" spans="1:34" x14ac:dyDescent="0.25">
      <c r="A24" s="215"/>
      <c r="E24" s="224">
        <f ca="1">SUM(E8:E22)</f>
        <v>0</v>
      </c>
      <c r="F24" s="224">
        <f ca="1">SUM(F8:F22)</f>
        <v>0</v>
      </c>
      <c r="G24" s="214"/>
      <c r="I24" s="12"/>
      <c r="N24" s="224">
        <f>SUM(N8:N22)</f>
        <v>4.6566128730773926E-10</v>
      </c>
      <c r="O24" s="224">
        <f>SUM(O8:O22)</f>
        <v>-9.3132257461547852E-10</v>
      </c>
      <c r="P24" s="214"/>
      <c r="R24" s="257"/>
      <c r="S24" s="264"/>
      <c r="T24" s="259"/>
      <c r="U24" s="259"/>
      <c r="V24" s="260"/>
      <c r="W24" s="272">
        <f>SUM(W8:W22)</f>
        <v>0</v>
      </c>
      <c r="X24" s="272">
        <f>SUM(X8:X22)</f>
        <v>0</v>
      </c>
      <c r="Y24" s="263"/>
      <c r="AA24" s="388"/>
      <c r="AB24" s="393"/>
      <c r="AC24" s="361"/>
      <c r="AD24" s="361"/>
      <c r="AE24" s="362"/>
      <c r="AF24" s="400">
        <f ca="1">SUM(AF8:AF22)</f>
        <v>0</v>
      </c>
      <c r="AG24" s="400">
        <f ca="1">SUM(AG8:AG22)</f>
        <v>0</v>
      </c>
      <c r="AH24" s="392"/>
    </row>
    <row r="25" spans="1:34" x14ac:dyDescent="0.25">
      <c r="A25" s="215"/>
      <c r="E25" s="224"/>
      <c r="F25" s="224"/>
      <c r="G25" s="214"/>
      <c r="I25" s="12"/>
      <c r="N25" s="224"/>
      <c r="O25" s="224"/>
      <c r="P25" s="214"/>
      <c r="R25" s="257"/>
      <c r="S25" s="264"/>
      <c r="T25" s="259"/>
      <c r="U25" s="259"/>
      <c r="V25" s="260"/>
      <c r="W25" s="272"/>
      <c r="X25" s="272"/>
      <c r="Y25" s="263"/>
      <c r="AA25" s="388"/>
      <c r="AB25" s="393"/>
      <c r="AC25" s="361"/>
      <c r="AD25" s="361"/>
      <c r="AE25" s="362"/>
      <c r="AF25" s="400"/>
      <c r="AG25" s="400"/>
      <c r="AH25" s="392"/>
    </row>
    <row r="26" spans="1:34" x14ac:dyDescent="0.25">
      <c r="A26" s="215"/>
      <c r="E26" s="224"/>
      <c r="F26" s="224"/>
      <c r="G26" s="214"/>
      <c r="I26" s="12"/>
      <c r="N26" s="224"/>
      <c r="O26" s="224"/>
      <c r="P26" s="214"/>
      <c r="R26" s="257"/>
      <c r="S26" s="264"/>
      <c r="T26" s="259"/>
      <c r="U26" s="259"/>
      <c r="V26" s="260"/>
      <c r="W26" s="272"/>
      <c r="X26" s="272"/>
      <c r="Y26" s="263"/>
      <c r="AA26" s="388"/>
      <c r="AB26" s="393"/>
      <c r="AC26" s="361"/>
      <c r="AD26" s="361"/>
      <c r="AE26" s="362"/>
      <c r="AF26" s="400"/>
      <c r="AG26" s="400"/>
      <c r="AH26" s="392"/>
    </row>
    <row r="27" spans="1:34" s="69" customFormat="1" x14ac:dyDescent="0.25">
      <c r="A27" s="331" t="s">
        <v>332</v>
      </c>
      <c r="B27" s="332" t="s">
        <v>404</v>
      </c>
      <c r="D27" s="27"/>
      <c r="E27" s="280"/>
      <c r="F27" s="280"/>
      <c r="G27" s="333"/>
      <c r="I27" s="21"/>
      <c r="J27" s="334" t="str">
        <f>A27</f>
        <v>(#2 entry)</v>
      </c>
      <c r="K27" s="332" t="str">
        <f>B27</f>
        <v>Corporate Allocation - Regional Cost</v>
      </c>
      <c r="M27" s="27"/>
      <c r="N27" s="280"/>
      <c r="O27" s="280"/>
      <c r="P27" s="335"/>
      <c r="R27" s="257"/>
      <c r="S27" s="266" t="str">
        <f>A27</f>
        <v>(#2 entry)</v>
      </c>
      <c r="T27" s="267" t="str">
        <f>B27</f>
        <v>Corporate Allocation - Regional Cost</v>
      </c>
      <c r="U27" s="259"/>
      <c r="V27" s="260"/>
      <c r="W27" s="265"/>
      <c r="X27" s="265"/>
      <c r="Y27" s="263"/>
      <c r="AA27" s="388"/>
      <c r="AB27" s="394" t="str">
        <f>A27</f>
        <v>(#2 entry)</v>
      </c>
      <c r="AC27" s="395" t="str">
        <f>B27</f>
        <v>Corporate Allocation - Regional Cost</v>
      </c>
      <c r="AD27" s="361"/>
      <c r="AE27" s="362"/>
      <c r="AF27" s="374"/>
      <c r="AG27" s="374"/>
      <c r="AH27" s="392"/>
    </row>
    <row r="28" spans="1:34" s="69" customFormat="1" x14ac:dyDescent="0.25">
      <c r="A28" s="331"/>
      <c r="B28" s="27"/>
      <c r="D28" s="27"/>
      <c r="E28" s="336" t="s">
        <v>330</v>
      </c>
      <c r="F28" s="336" t="s">
        <v>330</v>
      </c>
      <c r="G28" s="333"/>
      <c r="I28" s="21"/>
      <c r="J28" s="334"/>
      <c r="K28" s="27"/>
      <c r="M28" s="27"/>
      <c r="N28" s="336" t="s">
        <v>330</v>
      </c>
      <c r="O28" s="336" t="s">
        <v>330</v>
      </c>
      <c r="P28" s="335"/>
      <c r="R28" s="257"/>
      <c r="S28" s="266"/>
      <c r="T28" s="260"/>
      <c r="U28" s="259"/>
      <c r="V28" s="260"/>
      <c r="W28" s="268" t="s">
        <v>330</v>
      </c>
      <c r="X28" s="268" t="s">
        <v>330</v>
      </c>
      <c r="Y28" s="263"/>
      <c r="AA28" s="388"/>
      <c r="AB28" s="394"/>
      <c r="AC28" s="362"/>
      <c r="AD28" s="361"/>
      <c r="AE28" s="362"/>
      <c r="AF28" s="396" t="s">
        <v>330</v>
      </c>
      <c r="AG28" s="396" t="s">
        <v>330</v>
      </c>
      <c r="AH28" s="392"/>
    </row>
    <row r="29" spans="1:34" s="27" customFormat="1" x14ac:dyDescent="0.25">
      <c r="A29" s="331"/>
      <c r="C29" s="27" t="s">
        <v>331</v>
      </c>
      <c r="D29" s="27" t="s">
        <v>64</v>
      </c>
      <c r="E29" s="27" t="s">
        <v>166</v>
      </c>
      <c r="F29" s="336" t="s">
        <v>167</v>
      </c>
      <c r="G29" s="337"/>
      <c r="I29" s="338"/>
      <c r="J29" s="334"/>
      <c r="L29" s="27" t="s">
        <v>331</v>
      </c>
      <c r="M29" s="27" t="s">
        <v>64</v>
      </c>
      <c r="N29" s="27" t="s">
        <v>166</v>
      </c>
      <c r="O29" s="336" t="s">
        <v>167</v>
      </c>
      <c r="P29" s="339"/>
      <c r="R29" s="269"/>
      <c r="S29" s="266"/>
      <c r="T29" s="260"/>
      <c r="U29" s="260" t="s">
        <v>331</v>
      </c>
      <c r="V29" s="260" t="s">
        <v>64</v>
      </c>
      <c r="W29" s="260" t="s">
        <v>166</v>
      </c>
      <c r="X29" s="268" t="s">
        <v>167</v>
      </c>
      <c r="Y29" s="270"/>
      <c r="AA29" s="397"/>
      <c r="AB29" s="394"/>
      <c r="AC29" s="362"/>
      <c r="AD29" s="362" t="s">
        <v>331</v>
      </c>
      <c r="AE29" s="362" t="s">
        <v>64</v>
      </c>
      <c r="AF29" s="362" t="s">
        <v>166</v>
      </c>
      <c r="AG29" s="396" t="s">
        <v>167</v>
      </c>
      <c r="AH29" s="398"/>
    </row>
    <row r="30" spans="1:34" s="69" customFormat="1" x14ac:dyDescent="0.25">
      <c r="A30" s="340"/>
      <c r="B30" s="27"/>
      <c r="C30" s="27">
        <v>70005</v>
      </c>
      <c r="D30" s="27" t="s">
        <v>265</v>
      </c>
      <c r="E30" s="358">
        <f ca="1">ROUND(SUMIF('Allocation Summary'!$B$27:$B$42,D30,'Allocation Summary'!$D$27:$D$42)+'Allocation Summary'!D42,0)+1</f>
        <v>89733</v>
      </c>
      <c r="F30" s="280">
        <f ca="1">ROUND(SUMIF('Allocation Summary'!$B$27:$B$45,D30,'Allocation Summary'!$N$27:$N$45)+'Allocation Summary'!N42,0)+2</f>
        <v>120620</v>
      </c>
      <c r="G30" s="342"/>
      <c r="I30" s="21"/>
      <c r="J30" s="343"/>
      <c r="K30" s="27"/>
      <c r="L30" s="27">
        <v>70005</v>
      </c>
      <c r="M30" s="27" t="s">
        <v>265</v>
      </c>
      <c r="N30" s="295"/>
      <c r="O30" s="295"/>
      <c r="P30" s="344"/>
      <c r="R30" s="257"/>
      <c r="S30" s="264"/>
      <c r="T30" s="260"/>
      <c r="U30" s="260">
        <v>70005</v>
      </c>
      <c r="V30" s="260" t="s">
        <v>265</v>
      </c>
      <c r="W30" s="265"/>
      <c r="X30" s="265"/>
      <c r="Y30" s="263"/>
      <c r="AA30" s="388"/>
      <c r="AB30" s="393"/>
      <c r="AC30" s="362"/>
      <c r="AD30" s="362">
        <v>70005</v>
      </c>
      <c r="AE30" s="362" t="s">
        <v>265</v>
      </c>
      <c r="AF30" s="374">
        <f t="shared" ref="AF30:AF44" ca="1" si="2">E30+N30+W30</f>
        <v>89733</v>
      </c>
      <c r="AG30" s="374">
        <f t="shared" ref="AG30:AG44" ca="1" si="3">F30+O30+X30</f>
        <v>120620</v>
      </c>
      <c r="AH30" s="392"/>
    </row>
    <row r="31" spans="1:34" s="69" customFormat="1" x14ac:dyDescent="0.25">
      <c r="A31" s="340"/>
      <c r="B31" s="27"/>
      <c r="C31" s="27">
        <v>22564</v>
      </c>
      <c r="D31" s="27" t="s">
        <v>387</v>
      </c>
      <c r="E31" s="358">
        <f ca="1">ROUND(SUMIF('Allocation Summary'!$B$27:$B$42,D31,'Allocation Summary'!$D$27:$D$42),0)</f>
        <v>-235738</v>
      </c>
      <c r="F31" s="280">
        <f ca="1">ROUND(SUMIF('Allocation Summary'!$B$27:$B$45,D31,'Allocation Summary'!$N$27:$N$45),0)</f>
        <v>-316879</v>
      </c>
      <c r="G31" s="342"/>
      <c r="I31" s="21"/>
      <c r="J31" s="343"/>
      <c r="K31" s="27"/>
      <c r="L31" s="27">
        <v>22564</v>
      </c>
      <c r="M31" s="27" t="s">
        <v>387</v>
      </c>
      <c r="N31" s="295"/>
      <c r="O31" s="295"/>
      <c r="P31" s="344"/>
      <c r="R31" s="257"/>
      <c r="S31" s="264"/>
      <c r="T31" s="260"/>
      <c r="U31" s="260">
        <v>22564</v>
      </c>
      <c r="V31" s="260" t="s">
        <v>387</v>
      </c>
      <c r="W31" s="265"/>
      <c r="X31" s="265"/>
      <c r="Y31" s="263"/>
      <c r="AA31" s="388"/>
      <c r="AB31" s="393"/>
      <c r="AC31" s="362"/>
      <c r="AD31" s="362">
        <v>22564</v>
      </c>
      <c r="AE31" s="362" t="s">
        <v>387</v>
      </c>
      <c r="AF31" s="374">
        <f t="shared" ca="1" si="2"/>
        <v>-235738</v>
      </c>
      <c r="AG31" s="374">
        <f t="shared" ca="1" si="3"/>
        <v>-316879</v>
      </c>
      <c r="AH31" s="392"/>
    </row>
    <row r="32" spans="1:34" s="69" customFormat="1" x14ac:dyDescent="0.25">
      <c r="A32" s="340"/>
      <c r="B32" s="27"/>
      <c r="C32" s="27">
        <v>22524</v>
      </c>
      <c r="D32" s="27" t="s">
        <v>376</v>
      </c>
      <c r="E32" s="358">
        <f ca="1">ROUND(SUMIF('Allocation Summary'!$B$27:$B$42,D32,'Allocation Summary'!$D$27:$D$42),0)</f>
        <v>0</v>
      </c>
      <c r="F32" s="280">
        <f ca="1">ROUND(SUMIF('Allocation Summary'!$B$27:$B$45,D32,'Allocation Summary'!$N$27:$N$45),0)</f>
        <v>0</v>
      </c>
      <c r="G32" s="333"/>
      <c r="I32" s="21"/>
      <c r="J32" s="343"/>
      <c r="K32" s="27"/>
      <c r="L32" s="27">
        <v>22524</v>
      </c>
      <c r="M32" s="27" t="s">
        <v>376</v>
      </c>
      <c r="N32" s="295"/>
      <c r="O32" s="295"/>
      <c r="P32" s="344"/>
      <c r="R32" s="257"/>
      <c r="S32" s="264"/>
      <c r="T32" s="260"/>
      <c r="U32" s="260">
        <v>22524</v>
      </c>
      <c r="V32" s="260" t="s">
        <v>376</v>
      </c>
      <c r="W32" s="265"/>
      <c r="X32" s="265"/>
      <c r="Y32" s="263"/>
      <c r="AA32" s="388"/>
      <c r="AB32" s="393"/>
      <c r="AC32" s="362"/>
      <c r="AD32" s="362">
        <v>22524</v>
      </c>
      <c r="AE32" s="362" t="s">
        <v>376</v>
      </c>
      <c r="AF32" s="374">
        <f t="shared" ca="1" si="2"/>
        <v>0</v>
      </c>
      <c r="AG32" s="374">
        <f t="shared" ca="1" si="3"/>
        <v>0</v>
      </c>
      <c r="AH32" s="392"/>
    </row>
    <row r="33" spans="1:34" s="69" customFormat="1" x14ac:dyDescent="0.25">
      <c r="A33" s="340"/>
      <c r="B33" s="27"/>
      <c r="C33" s="27">
        <v>22521</v>
      </c>
      <c r="D33" s="27" t="s">
        <v>12</v>
      </c>
      <c r="E33" s="358">
        <f ca="1">ROUND(SUMIF('Allocation Summary'!$B$27:$B$42,D33,'Allocation Summary'!$D$27:$D$42),0)</f>
        <v>9748</v>
      </c>
      <c r="F33" s="280">
        <f ca="1">ROUND(SUMIF('Allocation Summary'!$B$27:$B$45,D33,'Allocation Summary'!$N$27:$N$45),0)</f>
        <v>13103</v>
      </c>
      <c r="G33" s="222" t="s">
        <v>431</v>
      </c>
      <c r="I33" s="21"/>
      <c r="J33" s="343"/>
      <c r="K33" s="27"/>
      <c r="L33" s="27">
        <v>22521</v>
      </c>
      <c r="M33" s="27" t="s">
        <v>12</v>
      </c>
      <c r="N33" s="295"/>
      <c r="O33" s="295"/>
      <c r="P33" s="344"/>
      <c r="R33" s="257"/>
      <c r="S33" s="264"/>
      <c r="T33" s="260"/>
      <c r="U33" s="260">
        <v>22521</v>
      </c>
      <c r="V33" s="260" t="s">
        <v>12</v>
      </c>
      <c r="W33" s="265"/>
      <c r="X33" s="265"/>
      <c r="Y33" s="263"/>
      <c r="AA33" s="388"/>
      <c r="AB33" s="393"/>
      <c r="AC33" s="362"/>
      <c r="AD33" s="362">
        <v>22521</v>
      </c>
      <c r="AE33" s="362" t="s">
        <v>12</v>
      </c>
      <c r="AF33" s="374">
        <f t="shared" ca="1" si="2"/>
        <v>9748</v>
      </c>
      <c r="AG33" s="374">
        <f t="shared" ca="1" si="3"/>
        <v>13103</v>
      </c>
      <c r="AH33" s="392"/>
    </row>
    <row r="34" spans="1:34" s="69" customFormat="1" x14ac:dyDescent="0.25">
      <c r="A34" s="340"/>
      <c r="B34" s="27"/>
      <c r="C34" s="27">
        <v>22522</v>
      </c>
      <c r="D34" s="27" t="s">
        <v>8</v>
      </c>
      <c r="E34" s="358">
        <f ca="1">ROUND(SUMIF('Allocation Summary'!$B$27:$B$42,D34,'Allocation Summary'!$D$27:$D$42),0)</f>
        <v>10536</v>
      </c>
      <c r="F34" s="280">
        <f ca="1">ROUND(SUMIF('Allocation Summary'!$B$27:$B$45,D34,'Allocation Summary'!$N$27:$N$45),0)</f>
        <v>14162</v>
      </c>
      <c r="G34" s="222" t="s">
        <v>431</v>
      </c>
      <c r="I34" s="21"/>
      <c r="J34" s="343"/>
      <c r="K34" s="27"/>
      <c r="L34" s="27">
        <v>22522</v>
      </c>
      <c r="M34" s="27" t="s">
        <v>8</v>
      </c>
      <c r="N34" s="295"/>
      <c r="O34" s="295"/>
      <c r="P34" s="344"/>
      <c r="R34" s="257"/>
      <c r="S34" s="264"/>
      <c r="T34" s="260"/>
      <c r="U34" s="260">
        <v>22522</v>
      </c>
      <c r="V34" s="260" t="s">
        <v>8</v>
      </c>
      <c r="W34" s="265"/>
      <c r="X34" s="265"/>
      <c r="Y34" s="263"/>
      <c r="AA34" s="388"/>
      <c r="AB34" s="393"/>
      <c r="AC34" s="362"/>
      <c r="AD34" s="362">
        <v>22522</v>
      </c>
      <c r="AE34" s="362" t="s">
        <v>8</v>
      </c>
      <c r="AF34" s="374">
        <f t="shared" ca="1" si="2"/>
        <v>10536</v>
      </c>
      <c r="AG34" s="374">
        <f t="shared" ca="1" si="3"/>
        <v>14162</v>
      </c>
      <c r="AH34" s="392"/>
    </row>
    <row r="35" spans="1:34" s="69" customFormat="1" x14ac:dyDescent="0.25">
      <c r="A35" s="340"/>
      <c r="B35" s="27"/>
      <c r="C35" s="27">
        <v>22532</v>
      </c>
      <c r="D35" s="27" t="s">
        <v>164</v>
      </c>
      <c r="E35" s="358">
        <f ca="1">ROUND(SUMIF('Allocation Summary'!$B$27:$B$42,D35,'Allocation Summary'!$D$27:$D$42),0)</f>
        <v>579</v>
      </c>
      <c r="F35" s="280">
        <f ca="1">ROUND(SUMIF('Allocation Summary'!$B$27:$B$45,D35,'Allocation Summary'!$N$27:$N$45),0)</f>
        <v>778</v>
      </c>
      <c r="G35" s="222" t="s">
        <v>431</v>
      </c>
      <c r="I35" s="21"/>
      <c r="J35" s="343"/>
      <c r="K35" s="27"/>
      <c r="L35" s="27">
        <v>22532</v>
      </c>
      <c r="M35" s="27" t="s">
        <v>164</v>
      </c>
      <c r="N35" s="295"/>
      <c r="O35" s="295"/>
      <c r="P35" s="344"/>
      <c r="R35" s="257"/>
      <c r="S35" s="264"/>
      <c r="T35" s="260"/>
      <c r="U35" s="260">
        <v>22532</v>
      </c>
      <c r="V35" s="260" t="s">
        <v>164</v>
      </c>
      <c r="W35" s="265"/>
      <c r="X35" s="265"/>
      <c r="Y35" s="263"/>
      <c r="AA35" s="388"/>
      <c r="AB35" s="393"/>
      <c r="AC35" s="362"/>
      <c r="AD35" s="362">
        <v>22532</v>
      </c>
      <c r="AE35" s="362" t="s">
        <v>164</v>
      </c>
      <c r="AF35" s="374">
        <f t="shared" ca="1" si="2"/>
        <v>579</v>
      </c>
      <c r="AG35" s="374">
        <f t="shared" ca="1" si="3"/>
        <v>778</v>
      </c>
      <c r="AH35" s="392"/>
    </row>
    <row r="36" spans="1:34" s="69" customFormat="1" x14ac:dyDescent="0.25">
      <c r="A36" s="340"/>
      <c r="B36" s="27"/>
      <c r="C36" s="27">
        <v>22541</v>
      </c>
      <c r="D36" s="27" t="s">
        <v>165</v>
      </c>
      <c r="E36" s="358">
        <f ca="1">ROUND(SUMIF('Allocation Summary'!$B$27:$B$42,D36,'Allocation Summary'!$D$27:$D$42),0)</f>
        <v>939</v>
      </c>
      <c r="F36" s="280">
        <f ca="1">ROUND(SUMIF('Allocation Summary'!$B$27:$B$45,D36,'Allocation Summary'!$N$27:$N$45),0)</f>
        <v>1262</v>
      </c>
      <c r="G36" s="222" t="s">
        <v>431</v>
      </c>
      <c r="I36" s="21"/>
      <c r="J36" s="343"/>
      <c r="K36" s="27"/>
      <c r="L36" s="27">
        <v>22541</v>
      </c>
      <c r="M36" s="27" t="s">
        <v>165</v>
      </c>
      <c r="N36" s="295"/>
      <c r="O36" s="295"/>
      <c r="P36" s="344"/>
      <c r="R36" s="257"/>
      <c r="S36" s="264"/>
      <c r="T36" s="260"/>
      <c r="U36" s="260">
        <v>22541</v>
      </c>
      <c r="V36" s="260" t="s">
        <v>165</v>
      </c>
      <c r="W36" s="265"/>
      <c r="X36" s="265"/>
      <c r="Y36" s="263"/>
      <c r="AA36" s="388"/>
      <c r="AB36" s="393"/>
      <c r="AC36" s="362"/>
      <c r="AD36" s="362">
        <v>22541</v>
      </c>
      <c r="AE36" s="362" t="s">
        <v>165</v>
      </c>
      <c r="AF36" s="374">
        <f t="shared" ca="1" si="2"/>
        <v>939</v>
      </c>
      <c r="AG36" s="374">
        <f t="shared" ca="1" si="3"/>
        <v>1262</v>
      </c>
      <c r="AH36" s="392"/>
    </row>
    <row r="37" spans="1:34" s="69" customFormat="1" x14ac:dyDescent="0.25">
      <c r="A37" s="340"/>
      <c r="B37" s="27"/>
      <c r="C37" s="27">
        <v>22527</v>
      </c>
      <c r="D37" s="27" t="s">
        <v>375</v>
      </c>
      <c r="E37" s="358">
        <f ca="1">ROUND(SUMIF('Allocation Summary'!$B$27:$B$42,D37,'Allocation Summary'!$D$27:$D$42),0)</f>
        <v>7708</v>
      </c>
      <c r="F37" s="280">
        <f ca="1">ROUND(SUMIF('Allocation Summary'!$B$27:$B$45,D37,'Allocation Summary'!$N$27:$N$45),0)</f>
        <v>10361</v>
      </c>
      <c r="G37" s="222" t="s">
        <v>431</v>
      </c>
      <c r="I37" s="21"/>
      <c r="J37" s="343"/>
      <c r="K37" s="27"/>
      <c r="L37" s="27">
        <v>22527</v>
      </c>
      <c r="M37" s="27" t="s">
        <v>375</v>
      </c>
      <c r="N37" s="295"/>
      <c r="O37" s="295"/>
      <c r="P37" s="344"/>
      <c r="R37" s="257"/>
      <c r="S37" s="264"/>
      <c r="T37" s="260"/>
      <c r="U37" s="260">
        <v>22527</v>
      </c>
      <c r="V37" s="260" t="s">
        <v>375</v>
      </c>
      <c r="W37" s="265"/>
      <c r="X37" s="265"/>
      <c r="Y37" s="263"/>
      <c r="AA37" s="388"/>
      <c r="AB37" s="393"/>
      <c r="AC37" s="362"/>
      <c r="AD37" s="362">
        <v>22527</v>
      </c>
      <c r="AE37" s="362" t="s">
        <v>375</v>
      </c>
      <c r="AF37" s="374">
        <f t="shared" ca="1" si="2"/>
        <v>7708</v>
      </c>
      <c r="AG37" s="374">
        <f t="shared" ca="1" si="3"/>
        <v>10361</v>
      </c>
      <c r="AH37" s="392"/>
    </row>
    <row r="38" spans="1:34" s="69" customFormat="1" x14ac:dyDescent="0.25">
      <c r="A38" s="340"/>
      <c r="B38" s="27"/>
      <c r="C38" s="27">
        <v>22539</v>
      </c>
      <c r="D38" s="27" t="s">
        <v>18</v>
      </c>
      <c r="E38" s="358">
        <f ca="1">ROUND(SUMIF('Allocation Summary'!$B$27:$B$42,D38,'Allocation Summary'!$D$27:$D$42),0)</f>
        <v>14670</v>
      </c>
      <c r="F38" s="280">
        <f ca="1">ROUND(SUMIF('Allocation Summary'!$B$27:$B$45,D38,'Allocation Summary'!$N$27:$N$45),0)</f>
        <v>19720</v>
      </c>
      <c r="G38" s="222" t="s">
        <v>431</v>
      </c>
      <c r="I38" s="21"/>
      <c r="J38" s="343"/>
      <c r="K38" s="27"/>
      <c r="L38" s="27">
        <v>22539</v>
      </c>
      <c r="M38" s="27" t="s">
        <v>18</v>
      </c>
      <c r="N38" s="295"/>
      <c r="O38" s="295"/>
      <c r="P38" s="344"/>
      <c r="R38" s="257"/>
      <c r="S38" s="264"/>
      <c r="T38" s="260"/>
      <c r="U38" s="260">
        <v>22539</v>
      </c>
      <c r="V38" s="260" t="s">
        <v>18</v>
      </c>
      <c r="W38" s="265"/>
      <c r="X38" s="265"/>
      <c r="Y38" s="263"/>
      <c r="AA38" s="388"/>
      <c r="AB38" s="393"/>
      <c r="AC38" s="362"/>
      <c r="AD38" s="362">
        <v>22539</v>
      </c>
      <c r="AE38" s="362" t="s">
        <v>18</v>
      </c>
      <c r="AF38" s="374">
        <f t="shared" ca="1" si="2"/>
        <v>14670</v>
      </c>
      <c r="AG38" s="374">
        <f t="shared" ca="1" si="3"/>
        <v>19720</v>
      </c>
      <c r="AH38" s="392"/>
    </row>
    <row r="39" spans="1:34" s="69" customFormat="1" x14ac:dyDescent="0.25">
      <c r="A39" s="340"/>
      <c r="B39" s="27"/>
      <c r="C39" s="27">
        <v>22546</v>
      </c>
      <c r="D39" s="27" t="s">
        <v>16</v>
      </c>
      <c r="E39" s="358">
        <f ca="1">ROUND(SUMIF('Allocation Summary'!$B$27:$B$42,D39,'Allocation Summary'!$D$27:$D$42),0)</f>
        <v>126</v>
      </c>
      <c r="F39" s="280">
        <f ca="1">ROUND(SUMIF('Allocation Summary'!$B$27:$B$45,D39,'Allocation Summary'!$N$27:$N$45),0)</f>
        <v>170</v>
      </c>
      <c r="G39" s="222" t="s">
        <v>431</v>
      </c>
      <c r="I39" s="21"/>
      <c r="J39" s="343"/>
      <c r="K39" s="27"/>
      <c r="L39" s="27">
        <v>22546</v>
      </c>
      <c r="M39" s="27" t="s">
        <v>16</v>
      </c>
      <c r="N39" s="295"/>
      <c r="O39" s="295"/>
      <c r="P39" s="344"/>
      <c r="R39" s="257"/>
      <c r="S39" s="264"/>
      <c r="T39" s="260"/>
      <c r="U39" s="260">
        <v>22546</v>
      </c>
      <c r="V39" s="260" t="s">
        <v>16</v>
      </c>
      <c r="W39" s="265"/>
      <c r="X39" s="265"/>
      <c r="Y39" s="263"/>
      <c r="AA39" s="388"/>
      <c r="AB39" s="393"/>
      <c r="AC39" s="362"/>
      <c r="AD39" s="362">
        <v>22546</v>
      </c>
      <c r="AE39" s="362" t="s">
        <v>16</v>
      </c>
      <c r="AF39" s="374">
        <f t="shared" ca="1" si="2"/>
        <v>126</v>
      </c>
      <c r="AG39" s="374">
        <f t="shared" ca="1" si="3"/>
        <v>170</v>
      </c>
      <c r="AH39" s="392"/>
    </row>
    <row r="40" spans="1:34" s="69" customFormat="1" x14ac:dyDescent="0.25">
      <c r="A40" s="340"/>
      <c r="B40" s="27"/>
      <c r="C40" s="27">
        <v>22554</v>
      </c>
      <c r="D40" s="27" t="s">
        <v>385</v>
      </c>
      <c r="E40" s="358">
        <f ca="1">ROUND(SUMIF('Allocation Summary'!$B$27:$B$42,D40,'Allocation Summary'!$D$27:$D$42),0)</f>
        <v>41297</v>
      </c>
      <c r="F40" s="280">
        <f ca="1">ROUND(SUMIF('Allocation Summary'!$B$27:$B$45,D40,'Allocation Summary'!$N$27:$N$45),0)</f>
        <v>55511</v>
      </c>
      <c r="G40" s="222" t="s">
        <v>431</v>
      </c>
      <c r="I40" s="21"/>
      <c r="J40" s="343"/>
      <c r="K40" s="27"/>
      <c r="L40" s="27">
        <v>22554</v>
      </c>
      <c r="M40" s="27" t="s">
        <v>385</v>
      </c>
      <c r="N40" s="295"/>
      <c r="O40" s="295"/>
      <c r="P40" s="344"/>
      <c r="R40" s="257"/>
      <c r="S40" s="264"/>
      <c r="T40" s="260"/>
      <c r="U40" s="260">
        <v>22554</v>
      </c>
      <c r="V40" s="260" t="s">
        <v>385</v>
      </c>
      <c r="W40" s="265"/>
      <c r="X40" s="265"/>
      <c r="Y40" s="263"/>
      <c r="AA40" s="388"/>
      <c r="AB40" s="393"/>
      <c r="AC40" s="362"/>
      <c r="AD40" s="362">
        <v>22554</v>
      </c>
      <c r="AE40" s="362" t="s">
        <v>385</v>
      </c>
      <c r="AF40" s="374">
        <f t="shared" ca="1" si="2"/>
        <v>41297</v>
      </c>
      <c r="AG40" s="374">
        <f t="shared" ca="1" si="3"/>
        <v>55511</v>
      </c>
      <c r="AH40" s="392"/>
    </row>
    <row r="41" spans="1:34" s="69" customFormat="1" x14ac:dyDescent="0.25">
      <c r="A41" s="340"/>
      <c r="B41" s="27"/>
      <c r="C41" s="27">
        <v>22572</v>
      </c>
      <c r="D41" s="27" t="s">
        <v>384</v>
      </c>
      <c r="E41" s="358">
        <f ca="1">ROUND(SUMIF('Allocation Summary'!$B$27:$B$42,D41,'Allocation Summary'!$D$27:$D$42),0)</f>
        <v>1352</v>
      </c>
      <c r="F41" s="280">
        <f ca="1">ROUND(SUMIF('Allocation Summary'!$B$27:$B$45,D41,'Allocation Summary'!$N$27:$N$45),0)</f>
        <v>1817</v>
      </c>
      <c r="G41" s="222" t="s">
        <v>431</v>
      </c>
      <c r="I41" s="21"/>
      <c r="J41" s="343"/>
      <c r="K41" s="27"/>
      <c r="L41" s="27">
        <v>22572</v>
      </c>
      <c r="M41" s="27" t="s">
        <v>384</v>
      </c>
      <c r="N41" s="295"/>
      <c r="O41" s="295"/>
      <c r="P41" s="344"/>
      <c r="R41" s="257"/>
      <c r="S41" s="264"/>
      <c r="T41" s="260"/>
      <c r="U41" s="260">
        <v>22572</v>
      </c>
      <c r="V41" s="260" t="s">
        <v>384</v>
      </c>
      <c r="W41" s="265"/>
      <c r="X41" s="265"/>
      <c r="Y41" s="263"/>
      <c r="AA41" s="388"/>
      <c r="AB41" s="393"/>
      <c r="AC41" s="362"/>
      <c r="AD41" s="362">
        <v>22572</v>
      </c>
      <c r="AE41" s="362" t="s">
        <v>384</v>
      </c>
      <c r="AF41" s="374">
        <f t="shared" ca="1" si="2"/>
        <v>1352</v>
      </c>
      <c r="AG41" s="374">
        <f t="shared" ca="1" si="3"/>
        <v>1817</v>
      </c>
      <c r="AH41" s="392"/>
    </row>
    <row r="42" spans="1:34" s="69" customFormat="1" x14ac:dyDescent="0.25">
      <c r="A42" s="340"/>
      <c r="B42" s="27"/>
      <c r="C42" s="27">
        <v>22569</v>
      </c>
      <c r="D42" s="27" t="s">
        <v>386</v>
      </c>
      <c r="E42" s="358">
        <f ca="1">ROUND(SUMIF('Allocation Summary'!$B$27:$B$42,D42,'Allocation Summary'!$D$27:$D$42),0)</f>
        <v>24832</v>
      </c>
      <c r="F42" s="280">
        <f ca="1">ROUND(SUMIF('Allocation Summary'!$B$27:$B$45,D42,'Allocation Summary'!$N$27:$N$45),0)</f>
        <v>33379</v>
      </c>
      <c r="G42" s="333"/>
      <c r="I42" s="21"/>
      <c r="J42" s="343"/>
      <c r="K42" s="27"/>
      <c r="L42" s="27">
        <v>22569</v>
      </c>
      <c r="M42" s="27" t="s">
        <v>386</v>
      </c>
      <c r="N42" s="295"/>
      <c r="O42" s="295"/>
      <c r="P42" s="344"/>
      <c r="R42" s="257"/>
      <c r="S42" s="264"/>
      <c r="T42" s="260"/>
      <c r="U42" s="260">
        <v>22569</v>
      </c>
      <c r="V42" s="260" t="s">
        <v>386</v>
      </c>
      <c r="W42" s="265"/>
      <c r="X42" s="265"/>
      <c r="Y42" s="263"/>
      <c r="AA42" s="388"/>
      <c r="AB42" s="393"/>
      <c r="AC42" s="362"/>
      <c r="AD42" s="362">
        <v>22569</v>
      </c>
      <c r="AE42" s="362" t="s">
        <v>386</v>
      </c>
      <c r="AF42" s="374">
        <f t="shared" ca="1" si="2"/>
        <v>24832</v>
      </c>
      <c r="AG42" s="374">
        <f t="shared" ca="1" si="3"/>
        <v>33379</v>
      </c>
      <c r="AH42" s="392"/>
    </row>
    <row r="43" spans="1:34" s="69" customFormat="1" x14ac:dyDescent="0.25">
      <c r="A43" s="340"/>
      <c r="B43" s="27"/>
      <c r="C43" s="27">
        <v>22563</v>
      </c>
      <c r="D43" s="27" t="s">
        <v>388</v>
      </c>
      <c r="E43" s="358">
        <f ca="1">ROUND(SUMIF('Allocation Summary'!$B$27:$B$42,D43,'Allocation Summary'!$D$27:$D$42),0)</f>
        <v>0</v>
      </c>
      <c r="F43" s="280">
        <f ca="1">ROUND(SUMIF('Allocation Summary'!$B$27:$B$45,D43,'Allocation Summary'!$N$27:$N$45),0)</f>
        <v>0</v>
      </c>
      <c r="G43" s="333"/>
      <c r="I43" s="21"/>
      <c r="J43" s="343"/>
      <c r="K43" s="27"/>
      <c r="L43" s="27">
        <v>22563</v>
      </c>
      <c r="M43" s="27" t="s">
        <v>388</v>
      </c>
      <c r="N43" s="295"/>
      <c r="O43" s="295"/>
      <c r="P43" s="344"/>
      <c r="R43" s="257"/>
      <c r="S43" s="264"/>
      <c r="T43" s="260"/>
      <c r="U43" s="260">
        <v>22563</v>
      </c>
      <c r="V43" s="260" t="s">
        <v>388</v>
      </c>
      <c r="W43" s="265"/>
      <c r="X43" s="265"/>
      <c r="Y43" s="263"/>
      <c r="AA43" s="388"/>
      <c r="AB43" s="393"/>
      <c r="AC43" s="362"/>
      <c r="AD43" s="362">
        <v>22563</v>
      </c>
      <c r="AE43" s="362" t="s">
        <v>388</v>
      </c>
      <c r="AF43" s="374">
        <f t="shared" ca="1" si="2"/>
        <v>0</v>
      </c>
      <c r="AG43" s="374">
        <f t="shared" ca="1" si="3"/>
        <v>0</v>
      </c>
      <c r="AH43" s="392"/>
    </row>
    <row r="44" spans="1:34" s="69" customFormat="1" x14ac:dyDescent="0.25">
      <c r="A44" s="340"/>
      <c r="B44" s="27"/>
      <c r="C44" s="27">
        <v>22530</v>
      </c>
      <c r="D44" s="27" t="s">
        <v>334</v>
      </c>
      <c r="E44" s="358">
        <f ca="1">ROUND(SUMIF('Allocation Summary'!$B$27:$B$42,D44,'Allocation Summary'!$D$27:$D$42),0)</f>
        <v>34218</v>
      </c>
      <c r="F44" s="280">
        <f ca="1">ROUND(SUMIF('Allocation Summary'!$B$27:$B$45,D44,'Allocation Summary'!$N$27:$N$45),0)</f>
        <v>45996</v>
      </c>
      <c r="G44" s="333"/>
      <c r="I44" s="21"/>
      <c r="J44" s="343"/>
      <c r="K44" s="27"/>
      <c r="L44" s="27">
        <v>22530</v>
      </c>
      <c r="M44" s="27" t="s">
        <v>334</v>
      </c>
      <c r="N44" s="295"/>
      <c r="O44" s="295"/>
      <c r="P44" s="344"/>
      <c r="R44" s="257"/>
      <c r="S44" s="264"/>
      <c r="T44" s="260"/>
      <c r="U44" s="260">
        <v>22530</v>
      </c>
      <c r="V44" s="260" t="s">
        <v>334</v>
      </c>
      <c r="W44" s="265"/>
      <c r="X44" s="265"/>
      <c r="Y44" s="263"/>
      <c r="AA44" s="388"/>
      <c r="AB44" s="393"/>
      <c r="AC44" s="362"/>
      <c r="AD44" s="362">
        <v>22530</v>
      </c>
      <c r="AE44" s="362" t="s">
        <v>334</v>
      </c>
      <c r="AF44" s="374">
        <f t="shared" ca="1" si="2"/>
        <v>34218</v>
      </c>
      <c r="AG44" s="374">
        <f t="shared" ca="1" si="3"/>
        <v>45996</v>
      </c>
      <c r="AH44" s="392"/>
    </row>
    <row r="45" spans="1:34" x14ac:dyDescent="0.25">
      <c r="A45" s="215"/>
      <c r="B45" s="223" t="s">
        <v>415</v>
      </c>
      <c r="E45" s="357"/>
      <c r="G45" s="214"/>
      <c r="I45" s="12"/>
      <c r="K45" s="223" t="s">
        <v>415</v>
      </c>
      <c r="P45" s="214"/>
      <c r="R45" s="257"/>
      <c r="S45" s="264"/>
      <c r="T45" s="271" t="s">
        <v>415</v>
      </c>
      <c r="U45" s="259"/>
      <c r="V45" s="260"/>
      <c r="W45" s="265"/>
      <c r="X45" s="265"/>
      <c r="Y45" s="263"/>
      <c r="AA45" s="388"/>
      <c r="AB45" s="393"/>
      <c r="AC45" s="399" t="s">
        <v>416</v>
      </c>
      <c r="AD45" s="361"/>
      <c r="AE45" s="362"/>
      <c r="AF45" s="374"/>
      <c r="AG45" s="374"/>
      <c r="AH45" s="392"/>
    </row>
    <row r="46" spans="1:34" x14ac:dyDescent="0.25">
      <c r="A46" s="215"/>
      <c r="B46" s="223"/>
      <c r="E46" s="224">
        <f ca="1">SUM(E30:E45)</f>
        <v>0</v>
      </c>
      <c r="F46" s="224">
        <f ca="1">SUM(F30:F45)</f>
        <v>0</v>
      </c>
      <c r="G46" s="214"/>
      <c r="I46" s="12"/>
      <c r="K46" s="223"/>
      <c r="N46" s="224">
        <f>SUM(N30:N45)</f>
        <v>0</v>
      </c>
      <c r="O46" s="224">
        <f>SUM(O30:O45)</f>
        <v>0</v>
      </c>
      <c r="P46" s="214"/>
      <c r="R46" s="257"/>
      <c r="S46" s="264"/>
      <c r="T46" s="271"/>
      <c r="U46" s="259"/>
      <c r="V46" s="260"/>
      <c r="W46" s="272">
        <f>SUM(W30:W45)</f>
        <v>0</v>
      </c>
      <c r="X46" s="272">
        <f>SUM(X30:X45)</f>
        <v>0</v>
      </c>
      <c r="Y46" s="263"/>
      <c r="AA46" s="388"/>
      <c r="AB46" s="393"/>
      <c r="AC46" s="399"/>
      <c r="AD46" s="361"/>
      <c r="AE46" s="362"/>
      <c r="AF46" s="400">
        <f ca="1">SUM(AF30:AF45)</f>
        <v>0</v>
      </c>
      <c r="AG46" s="400">
        <f ca="1">SUM(AG30:AG45)</f>
        <v>0</v>
      </c>
      <c r="AH46" s="392"/>
    </row>
    <row r="47" spans="1:34" s="69" customFormat="1" x14ac:dyDescent="0.25">
      <c r="A47" s="340"/>
      <c r="D47" s="27"/>
      <c r="E47" s="358"/>
      <c r="F47" s="345"/>
      <c r="G47" s="335"/>
      <c r="I47" s="21"/>
      <c r="J47" s="343"/>
      <c r="M47" s="27"/>
      <c r="N47" s="345"/>
      <c r="O47" s="345"/>
      <c r="P47" s="335"/>
      <c r="R47" s="257"/>
      <c r="S47" s="264"/>
      <c r="T47" s="259"/>
      <c r="U47" s="259"/>
      <c r="V47" s="260"/>
      <c r="W47" s="272"/>
      <c r="X47" s="272"/>
      <c r="Y47" s="263"/>
      <c r="AA47" s="388"/>
      <c r="AB47" s="393"/>
      <c r="AC47" s="361"/>
      <c r="AD47" s="361"/>
      <c r="AE47" s="362"/>
      <c r="AF47" s="400"/>
      <c r="AG47" s="400"/>
      <c r="AH47" s="392"/>
    </row>
    <row r="48" spans="1:34" s="69" customFormat="1" x14ac:dyDescent="0.25">
      <c r="A48" s="340"/>
      <c r="D48" s="27"/>
      <c r="E48" s="358"/>
      <c r="F48" s="345"/>
      <c r="G48" s="335"/>
      <c r="I48" s="21"/>
      <c r="J48" s="343"/>
      <c r="M48" s="27"/>
      <c r="N48" s="345"/>
      <c r="O48" s="345"/>
      <c r="P48" s="335"/>
      <c r="R48" s="257"/>
      <c r="S48" s="264"/>
      <c r="T48" s="259"/>
      <c r="U48" s="259"/>
      <c r="V48" s="260"/>
      <c r="W48" s="272"/>
      <c r="X48" s="272"/>
      <c r="Y48" s="263"/>
      <c r="AA48" s="388"/>
      <c r="AB48" s="393"/>
      <c r="AC48" s="361"/>
      <c r="AD48" s="361"/>
      <c r="AE48" s="362"/>
      <c r="AF48" s="400"/>
      <c r="AG48" s="400"/>
      <c r="AH48" s="392"/>
    </row>
    <row r="49" spans="1:34" s="69" customFormat="1" x14ac:dyDescent="0.25">
      <c r="A49" s="331" t="s">
        <v>406</v>
      </c>
      <c r="B49" s="332" t="s">
        <v>405</v>
      </c>
      <c r="D49" s="27"/>
      <c r="E49" s="358"/>
      <c r="F49" s="280"/>
      <c r="G49" s="333"/>
      <c r="I49" s="21"/>
      <c r="J49" s="334" t="str">
        <f>A49</f>
        <v>(#3 entry)</v>
      </c>
      <c r="K49" s="332" t="str">
        <f>B49</f>
        <v>Corporate Allocation - Shared Services</v>
      </c>
      <c r="M49" s="27"/>
      <c r="N49" s="280"/>
      <c r="O49" s="280"/>
      <c r="P49" s="335"/>
      <c r="R49" s="257"/>
      <c r="S49" s="266" t="str">
        <f>A49</f>
        <v>(#3 entry)</v>
      </c>
      <c r="T49" s="267" t="str">
        <f>B49</f>
        <v>Corporate Allocation - Shared Services</v>
      </c>
      <c r="U49" s="259"/>
      <c r="V49" s="260"/>
      <c r="W49" s="265"/>
      <c r="X49" s="265"/>
      <c r="Y49" s="263"/>
      <c r="AA49" s="388"/>
      <c r="AB49" s="394" t="str">
        <f>A49</f>
        <v>(#3 entry)</v>
      </c>
      <c r="AC49" s="395" t="str">
        <f>B49</f>
        <v>Corporate Allocation - Shared Services</v>
      </c>
      <c r="AD49" s="361"/>
      <c r="AE49" s="362"/>
      <c r="AF49" s="374"/>
      <c r="AG49" s="374"/>
      <c r="AH49" s="392"/>
    </row>
    <row r="50" spans="1:34" s="69" customFormat="1" x14ac:dyDescent="0.25">
      <c r="A50" s="331"/>
      <c r="B50" s="27"/>
      <c r="D50" s="27"/>
      <c r="E50" s="359" t="s">
        <v>330</v>
      </c>
      <c r="F50" s="336" t="s">
        <v>330</v>
      </c>
      <c r="G50" s="333"/>
      <c r="I50" s="21"/>
      <c r="J50" s="334"/>
      <c r="K50" s="27"/>
      <c r="M50" s="27"/>
      <c r="N50" s="336" t="s">
        <v>330</v>
      </c>
      <c r="O50" s="336" t="s">
        <v>330</v>
      </c>
      <c r="P50" s="335"/>
      <c r="R50" s="257"/>
      <c r="S50" s="266"/>
      <c r="T50" s="260"/>
      <c r="U50" s="259"/>
      <c r="V50" s="260"/>
      <c r="W50" s="268" t="s">
        <v>330</v>
      </c>
      <c r="X50" s="268" t="s">
        <v>330</v>
      </c>
      <c r="Y50" s="263"/>
      <c r="AA50" s="388"/>
      <c r="AB50" s="394"/>
      <c r="AC50" s="362"/>
      <c r="AD50" s="361"/>
      <c r="AE50" s="362"/>
      <c r="AF50" s="396" t="s">
        <v>330</v>
      </c>
      <c r="AG50" s="396" t="s">
        <v>330</v>
      </c>
      <c r="AH50" s="392"/>
    </row>
    <row r="51" spans="1:34" s="27" customFormat="1" x14ac:dyDescent="0.25">
      <c r="A51" s="331"/>
      <c r="C51" s="27" t="s">
        <v>331</v>
      </c>
      <c r="D51" s="27" t="s">
        <v>64</v>
      </c>
      <c r="E51" s="360" t="s">
        <v>166</v>
      </c>
      <c r="F51" s="336" t="s">
        <v>167</v>
      </c>
      <c r="G51" s="337"/>
      <c r="I51" s="338"/>
      <c r="J51" s="334"/>
      <c r="L51" s="27" t="s">
        <v>331</v>
      </c>
      <c r="M51" s="27" t="s">
        <v>64</v>
      </c>
      <c r="N51" s="27" t="s">
        <v>166</v>
      </c>
      <c r="O51" s="336" t="s">
        <v>167</v>
      </c>
      <c r="P51" s="339"/>
      <c r="R51" s="269"/>
      <c r="S51" s="266"/>
      <c r="T51" s="260"/>
      <c r="U51" s="260" t="s">
        <v>331</v>
      </c>
      <c r="V51" s="260" t="s">
        <v>64</v>
      </c>
      <c r="W51" s="260" t="s">
        <v>166</v>
      </c>
      <c r="X51" s="268" t="s">
        <v>167</v>
      </c>
      <c r="Y51" s="270"/>
      <c r="AA51" s="397"/>
      <c r="AB51" s="394"/>
      <c r="AC51" s="362"/>
      <c r="AD51" s="362" t="s">
        <v>331</v>
      </c>
      <c r="AE51" s="362" t="s">
        <v>64</v>
      </c>
      <c r="AF51" s="362" t="s">
        <v>166</v>
      </c>
      <c r="AG51" s="396" t="s">
        <v>167</v>
      </c>
      <c r="AH51" s="398"/>
    </row>
    <row r="52" spans="1:34" s="69" customFormat="1" x14ac:dyDescent="0.25">
      <c r="A52" s="340"/>
      <c r="B52" s="27"/>
      <c r="C52" s="27">
        <v>70006</v>
      </c>
      <c r="D52" s="27" t="s">
        <v>265</v>
      </c>
      <c r="E52" s="358">
        <f ca="1">ROUND(SUMIF('Allocation Summary'!$B$27:$B$42,D52,'Allocation Summary'!$E$27:$E$42)+'Allocation Summary'!E42,0)-2</f>
        <v>-888989</v>
      </c>
      <c r="F52" s="280">
        <f ca="1">ROUND(SUMIF('Allocation Summary'!$B$27:$B$45,D52,'Allocation Summary'!$O$27:$O$45)+'Allocation Summary'!O42,0)-1</f>
        <v>-1194977</v>
      </c>
      <c r="G52" s="342"/>
      <c r="I52" s="21"/>
      <c r="J52" s="343"/>
      <c r="K52" s="27"/>
      <c r="L52" s="27">
        <v>70006</v>
      </c>
      <c r="M52" s="27" t="s">
        <v>265</v>
      </c>
      <c r="N52" s="295"/>
      <c r="O52" s="295"/>
      <c r="P52" s="344"/>
      <c r="R52" s="257"/>
      <c r="S52" s="264"/>
      <c r="T52" s="260"/>
      <c r="U52" s="260">
        <v>70006</v>
      </c>
      <c r="V52" s="260" t="s">
        <v>265</v>
      </c>
      <c r="W52" s="265"/>
      <c r="X52" s="265"/>
      <c r="Y52" s="263"/>
      <c r="AA52" s="388"/>
      <c r="AB52" s="393"/>
      <c r="AC52" s="362"/>
      <c r="AD52" s="362">
        <v>70006</v>
      </c>
      <c r="AE52" s="362" t="s">
        <v>265</v>
      </c>
      <c r="AF52" s="374">
        <f t="shared" ref="AF52:AF66" ca="1" si="4">E52+N52+W52</f>
        <v>-888989</v>
      </c>
      <c r="AG52" s="374">
        <f t="shared" ref="AG52:AG66" ca="1" si="5">F52+O52+X52</f>
        <v>-1194977</v>
      </c>
      <c r="AH52" s="392"/>
    </row>
    <row r="53" spans="1:34" s="69" customFormat="1" x14ac:dyDescent="0.25">
      <c r="A53" s="340"/>
      <c r="B53" s="27"/>
      <c r="C53" s="27">
        <v>22564</v>
      </c>
      <c r="D53" s="27" t="s">
        <v>387</v>
      </c>
      <c r="E53" s="358">
        <f>ROUND(SUMIF('Allocation Summary'!$B$27:$B$42,D53,'Allocation Summary'!$E$27:$E$42),0)</f>
        <v>0</v>
      </c>
      <c r="F53" s="280">
        <f>ROUND(SUMIF('Allocation Summary'!$B$27:$B$45,D53,'Allocation Summary'!$O$27:$O$45),0)</f>
        <v>0</v>
      </c>
      <c r="G53" s="342"/>
      <c r="I53" s="21"/>
      <c r="J53" s="343"/>
      <c r="K53" s="27"/>
      <c r="L53" s="27">
        <v>22564</v>
      </c>
      <c r="M53" s="27" t="s">
        <v>387</v>
      </c>
      <c r="N53" s="295"/>
      <c r="O53" s="295"/>
      <c r="P53" s="344"/>
      <c r="R53" s="257"/>
      <c r="S53" s="264"/>
      <c r="T53" s="260"/>
      <c r="U53" s="260">
        <v>22564</v>
      </c>
      <c r="V53" s="260" t="s">
        <v>387</v>
      </c>
      <c r="W53" s="265"/>
      <c r="X53" s="265"/>
      <c r="Y53" s="263"/>
      <c r="AA53" s="388"/>
      <c r="AB53" s="393"/>
      <c r="AC53" s="362"/>
      <c r="AD53" s="362">
        <v>22564</v>
      </c>
      <c r="AE53" s="362" t="s">
        <v>387</v>
      </c>
      <c r="AF53" s="374">
        <f t="shared" si="4"/>
        <v>0</v>
      </c>
      <c r="AG53" s="374">
        <f t="shared" si="5"/>
        <v>0</v>
      </c>
      <c r="AH53" s="392"/>
    </row>
    <row r="54" spans="1:34" s="69" customFormat="1" x14ac:dyDescent="0.25">
      <c r="A54" s="340"/>
      <c r="B54" s="27"/>
      <c r="C54" s="27">
        <v>22524</v>
      </c>
      <c r="D54" s="27" t="s">
        <v>376</v>
      </c>
      <c r="E54" s="358">
        <f ca="1">ROUND(SUMIF('Allocation Summary'!$B$27:$B$42,D54,'Allocation Summary'!$E$27:$E$42),0)</f>
        <v>0</v>
      </c>
      <c r="F54" s="280">
        <f ca="1">ROUND(SUMIF('Allocation Summary'!$B$27:$B$45,D54,'Allocation Summary'!$O$27:$O$45),0)</f>
        <v>0</v>
      </c>
      <c r="G54" s="333"/>
      <c r="I54" s="21"/>
      <c r="J54" s="343"/>
      <c r="K54" s="27"/>
      <c r="L54" s="27">
        <v>22524</v>
      </c>
      <c r="M54" s="27" t="s">
        <v>376</v>
      </c>
      <c r="N54" s="295"/>
      <c r="O54" s="295"/>
      <c r="P54" s="344"/>
      <c r="R54" s="257"/>
      <c r="S54" s="264"/>
      <c r="T54" s="260"/>
      <c r="U54" s="260">
        <v>22524</v>
      </c>
      <c r="V54" s="260" t="s">
        <v>376</v>
      </c>
      <c r="W54" s="265"/>
      <c r="X54" s="265"/>
      <c r="Y54" s="263"/>
      <c r="AA54" s="388"/>
      <c r="AB54" s="393"/>
      <c r="AC54" s="362"/>
      <c r="AD54" s="362">
        <v>22524</v>
      </c>
      <c r="AE54" s="362" t="s">
        <v>376</v>
      </c>
      <c r="AF54" s="374">
        <f t="shared" ca="1" si="4"/>
        <v>0</v>
      </c>
      <c r="AG54" s="374">
        <f t="shared" ca="1" si="5"/>
        <v>0</v>
      </c>
      <c r="AH54" s="392"/>
    </row>
    <row r="55" spans="1:34" s="69" customFormat="1" x14ac:dyDescent="0.25">
      <c r="A55" s="340"/>
      <c r="B55" s="27"/>
      <c r="C55" s="27">
        <v>22521</v>
      </c>
      <c r="D55" s="27" t="s">
        <v>12</v>
      </c>
      <c r="E55" s="358">
        <f ca="1">ROUND(SUMIF('Allocation Summary'!$B$27:$B$42,D55,'Allocation Summary'!$E$27:$E$42),0)</f>
        <v>160981</v>
      </c>
      <c r="F55" s="280">
        <f ca="1">ROUND(SUMIF('Allocation Summary'!$B$27:$B$45,D55,'Allocation Summary'!$O$27:$O$45),0)</f>
        <v>216390</v>
      </c>
      <c r="G55" s="222" t="s">
        <v>432</v>
      </c>
      <c r="I55" s="21"/>
      <c r="J55" s="343"/>
      <c r="K55" s="27"/>
      <c r="L55" s="27">
        <v>22521</v>
      </c>
      <c r="M55" s="27" t="s">
        <v>12</v>
      </c>
      <c r="N55" s="295"/>
      <c r="O55" s="295"/>
      <c r="P55" s="344"/>
      <c r="R55" s="257"/>
      <c r="S55" s="264"/>
      <c r="T55" s="260"/>
      <c r="U55" s="260">
        <v>22521</v>
      </c>
      <c r="V55" s="260" t="s">
        <v>12</v>
      </c>
      <c r="W55" s="265"/>
      <c r="X55" s="265"/>
      <c r="Y55" s="263"/>
      <c r="AA55" s="388"/>
      <c r="AB55" s="393"/>
      <c r="AC55" s="362"/>
      <c r="AD55" s="362">
        <v>22521</v>
      </c>
      <c r="AE55" s="362" t="s">
        <v>12</v>
      </c>
      <c r="AF55" s="374">
        <f t="shared" ca="1" si="4"/>
        <v>160981</v>
      </c>
      <c r="AG55" s="374">
        <f t="shared" ca="1" si="5"/>
        <v>216390</v>
      </c>
      <c r="AH55" s="392"/>
    </row>
    <row r="56" spans="1:34" s="69" customFormat="1" x14ac:dyDescent="0.25">
      <c r="A56" s="340"/>
      <c r="B56" s="27"/>
      <c r="C56" s="27">
        <v>22522</v>
      </c>
      <c r="D56" s="27" t="s">
        <v>8</v>
      </c>
      <c r="E56" s="358">
        <f ca="1">ROUND(SUMIF('Allocation Summary'!$B$27:$B$42,D56,'Allocation Summary'!$E$27:$E$42),0)</f>
        <v>178279</v>
      </c>
      <c r="F56" s="280">
        <f ca="1">ROUND(SUMIF('Allocation Summary'!$B$27:$B$45,D56,'Allocation Summary'!$O$27:$O$45),0)</f>
        <v>239642</v>
      </c>
      <c r="G56" s="222" t="s">
        <v>432</v>
      </c>
      <c r="I56" s="21"/>
      <c r="J56" s="343"/>
      <c r="K56" s="27"/>
      <c r="L56" s="27">
        <v>22522</v>
      </c>
      <c r="M56" s="27" t="s">
        <v>8</v>
      </c>
      <c r="N56" s="295"/>
      <c r="O56" s="295"/>
      <c r="P56" s="344"/>
      <c r="R56" s="257"/>
      <c r="S56" s="264"/>
      <c r="T56" s="260"/>
      <c r="U56" s="260">
        <v>22522</v>
      </c>
      <c r="V56" s="260" t="s">
        <v>8</v>
      </c>
      <c r="W56" s="265"/>
      <c r="X56" s="265"/>
      <c r="Y56" s="263"/>
      <c r="AA56" s="388"/>
      <c r="AB56" s="393"/>
      <c r="AC56" s="362"/>
      <c r="AD56" s="362">
        <v>22522</v>
      </c>
      <c r="AE56" s="362" t="s">
        <v>8</v>
      </c>
      <c r="AF56" s="374">
        <f ca="1">E56+N56+W56</f>
        <v>178279</v>
      </c>
      <c r="AG56" s="374">
        <f t="shared" ca="1" si="5"/>
        <v>239642</v>
      </c>
      <c r="AH56" s="392"/>
    </row>
    <row r="57" spans="1:34" s="69" customFormat="1" x14ac:dyDescent="0.25">
      <c r="A57" s="340"/>
      <c r="B57" s="27"/>
      <c r="C57" s="27">
        <v>22532</v>
      </c>
      <c r="D57" s="27" t="s">
        <v>164</v>
      </c>
      <c r="E57" s="358">
        <f ca="1">ROUND(SUMIF('Allocation Summary'!$B$27:$B$42,D57,'Allocation Summary'!$E$27:$E$42),0)</f>
        <v>11180</v>
      </c>
      <c r="F57" s="280">
        <f ca="1">ROUND(SUMIF('Allocation Summary'!$B$27:$B$45,D57,'Allocation Summary'!$O$27:$O$45),0)</f>
        <v>15028</v>
      </c>
      <c r="G57" s="222" t="s">
        <v>432</v>
      </c>
      <c r="I57" s="21"/>
      <c r="J57" s="343"/>
      <c r="K57" s="27"/>
      <c r="L57" s="27">
        <v>22532</v>
      </c>
      <c r="M57" s="27" t="s">
        <v>164</v>
      </c>
      <c r="N57" s="295"/>
      <c r="O57" s="295"/>
      <c r="P57" s="344"/>
      <c r="R57" s="257"/>
      <c r="S57" s="264"/>
      <c r="T57" s="260"/>
      <c r="U57" s="260">
        <v>22532</v>
      </c>
      <c r="V57" s="260" t="s">
        <v>164</v>
      </c>
      <c r="W57" s="265"/>
      <c r="X57" s="265"/>
      <c r="Y57" s="263"/>
      <c r="AA57" s="388"/>
      <c r="AB57" s="393"/>
      <c r="AC57" s="362"/>
      <c r="AD57" s="362">
        <v>22532</v>
      </c>
      <c r="AE57" s="362" t="s">
        <v>164</v>
      </c>
      <c r="AF57" s="374">
        <f t="shared" ca="1" si="4"/>
        <v>11180</v>
      </c>
      <c r="AG57" s="374">
        <f t="shared" ca="1" si="5"/>
        <v>15028</v>
      </c>
      <c r="AH57" s="392"/>
    </row>
    <row r="58" spans="1:34" s="69" customFormat="1" x14ac:dyDescent="0.25">
      <c r="A58" s="340"/>
      <c r="B58" s="27"/>
      <c r="C58" s="27">
        <v>22541</v>
      </c>
      <c r="D58" s="27" t="s">
        <v>165</v>
      </c>
      <c r="E58" s="358">
        <f ca="1">ROUND(SUMIF('Allocation Summary'!$B$27:$B$42,D58,'Allocation Summary'!$E$27:$E$42),0)</f>
        <v>18623</v>
      </c>
      <c r="F58" s="280">
        <f ca="1">ROUND(SUMIF('Allocation Summary'!$B$27:$B$45,D58,'Allocation Summary'!$O$27:$O$45),0)</f>
        <v>25033</v>
      </c>
      <c r="G58" s="222" t="s">
        <v>432</v>
      </c>
      <c r="I58" s="21"/>
      <c r="J58" s="343"/>
      <c r="K58" s="27"/>
      <c r="L58" s="27">
        <v>22541</v>
      </c>
      <c r="M58" s="27" t="s">
        <v>165</v>
      </c>
      <c r="N58" s="295"/>
      <c r="O58" s="295"/>
      <c r="P58" s="344"/>
      <c r="R58" s="257"/>
      <c r="S58" s="264"/>
      <c r="T58" s="260"/>
      <c r="U58" s="260">
        <v>22541</v>
      </c>
      <c r="V58" s="260" t="s">
        <v>165</v>
      </c>
      <c r="W58" s="265"/>
      <c r="X58" s="265"/>
      <c r="Y58" s="263"/>
      <c r="AA58" s="388"/>
      <c r="AB58" s="393"/>
      <c r="AC58" s="362"/>
      <c r="AD58" s="362">
        <v>22541</v>
      </c>
      <c r="AE58" s="362" t="s">
        <v>165</v>
      </c>
      <c r="AF58" s="374">
        <f t="shared" ca="1" si="4"/>
        <v>18623</v>
      </c>
      <c r="AG58" s="374">
        <f t="shared" ca="1" si="5"/>
        <v>25033</v>
      </c>
      <c r="AH58" s="392"/>
    </row>
    <row r="59" spans="1:34" s="69" customFormat="1" x14ac:dyDescent="0.25">
      <c r="A59" s="340"/>
      <c r="B59" s="27"/>
      <c r="C59" s="27">
        <v>22527</v>
      </c>
      <c r="D59" s="27" t="s">
        <v>375</v>
      </c>
      <c r="E59" s="358">
        <f ca="1">ROUND(SUMIF('Allocation Summary'!$B$27:$B$42,D59,'Allocation Summary'!$E$27:$E$42),0)</f>
        <v>151920</v>
      </c>
      <c r="F59" s="280">
        <f ca="1">ROUND(SUMIF('Allocation Summary'!$B$27:$B$45,D59,'Allocation Summary'!$O$27:$O$45),0)</f>
        <v>204211</v>
      </c>
      <c r="G59" s="222" t="s">
        <v>432</v>
      </c>
      <c r="I59" s="21"/>
      <c r="J59" s="343"/>
      <c r="K59" s="27"/>
      <c r="L59" s="27">
        <v>22527</v>
      </c>
      <c r="M59" s="27" t="s">
        <v>375</v>
      </c>
      <c r="N59" s="295"/>
      <c r="O59" s="295"/>
      <c r="P59" s="344"/>
      <c r="R59" s="257"/>
      <c r="S59" s="264"/>
      <c r="T59" s="260"/>
      <c r="U59" s="260">
        <v>22527</v>
      </c>
      <c r="V59" s="260" t="s">
        <v>375</v>
      </c>
      <c r="W59" s="265"/>
      <c r="X59" s="265"/>
      <c r="Y59" s="263"/>
      <c r="AA59" s="388"/>
      <c r="AB59" s="393"/>
      <c r="AC59" s="362"/>
      <c r="AD59" s="362">
        <v>22527</v>
      </c>
      <c r="AE59" s="362" t="s">
        <v>375</v>
      </c>
      <c r="AF59" s="374">
        <f t="shared" ca="1" si="4"/>
        <v>151920</v>
      </c>
      <c r="AG59" s="374">
        <f t="shared" ca="1" si="5"/>
        <v>204211</v>
      </c>
      <c r="AH59" s="392"/>
    </row>
    <row r="60" spans="1:34" s="69" customFormat="1" x14ac:dyDescent="0.25">
      <c r="A60" s="340"/>
      <c r="B60" s="27"/>
      <c r="C60" s="27">
        <v>22539</v>
      </c>
      <c r="D60" s="27" t="s">
        <v>18</v>
      </c>
      <c r="E60" s="358">
        <f ca="1">ROUND(SUMIF('Allocation Summary'!$B$27:$B$42,D60,'Allocation Summary'!$E$27:$E$42),0)</f>
        <v>118317</v>
      </c>
      <c r="F60" s="280">
        <f ca="1">ROUND(SUMIF('Allocation Summary'!$B$27:$B$45,D60,'Allocation Summary'!$O$27:$O$45),0)</f>
        <v>159041</v>
      </c>
      <c r="G60" s="222" t="s">
        <v>432</v>
      </c>
      <c r="I60" s="21"/>
      <c r="J60" s="343"/>
      <c r="K60" s="27"/>
      <c r="L60" s="27">
        <v>22539</v>
      </c>
      <c r="M60" s="27" t="s">
        <v>18</v>
      </c>
      <c r="N60" s="295"/>
      <c r="O60" s="295"/>
      <c r="P60" s="344"/>
      <c r="R60" s="257"/>
      <c r="S60" s="264"/>
      <c r="T60" s="260"/>
      <c r="U60" s="260">
        <v>22539</v>
      </c>
      <c r="V60" s="260" t="s">
        <v>18</v>
      </c>
      <c r="W60" s="265"/>
      <c r="X60" s="265"/>
      <c r="Y60" s="263"/>
      <c r="AA60" s="388"/>
      <c r="AB60" s="393"/>
      <c r="AC60" s="362"/>
      <c r="AD60" s="362">
        <v>22539</v>
      </c>
      <c r="AE60" s="362" t="s">
        <v>18</v>
      </c>
      <c r="AF60" s="374">
        <f t="shared" ca="1" si="4"/>
        <v>118317</v>
      </c>
      <c r="AG60" s="374">
        <f t="shared" ca="1" si="5"/>
        <v>159041</v>
      </c>
      <c r="AH60" s="392"/>
    </row>
    <row r="61" spans="1:34" s="69" customFormat="1" x14ac:dyDescent="0.25">
      <c r="A61" s="340"/>
      <c r="B61" s="27"/>
      <c r="C61" s="27">
        <v>22546</v>
      </c>
      <c r="D61" s="27" t="s">
        <v>16</v>
      </c>
      <c r="E61" s="358">
        <f ca="1">ROUND(SUMIF('Allocation Summary'!$B$27:$B$42,D61,'Allocation Summary'!$E$27:$E$42),0)</f>
        <v>2101</v>
      </c>
      <c r="F61" s="280">
        <f ca="1">ROUND(SUMIF('Allocation Summary'!$B$27:$B$45,D61,'Allocation Summary'!$O$27:$O$45),0)</f>
        <v>2824</v>
      </c>
      <c r="G61" s="222" t="s">
        <v>432</v>
      </c>
      <c r="I61" s="21"/>
      <c r="J61" s="343"/>
      <c r="K61" s="27"/>
      <c r="L61" s="27">
        <v>22546</v>
      </c>
      <c r="M61" s="27" t="s">
        <v>16</v>
      </c>
      <c r="N61" s="295"/>
      <c r="O61" s="295"/>
      <c r="P61" s="344"/>
      <c r="R61" s="257"/>
      <c r="S61" s="264"/>
      <c r="T61" s="260"/>
      <c r="U61" s="260">
        <v>22546</v>
      </c>
      <c r="V61" s="260" t="s">
        <v>16</v>
      </c>
      <c r="W61" s="265"/>
      <c r="X61" s="265"/>
      <c r="Y61" s="263"/>
      <c r="AA61" s="388"/>
      <c r="AB61" s="393"/>
      <c r="AC61" s="362"/>
      <c r="AD61" s="362">
        <v>22546</v>
      </c>
      <c r="AE61" s="362" t="s">
        <v>16</v>
      </c>
      <c r="AF61" s="374">
        <f t="shared" ca="1" si="4"/>
        <v>2101</v>
      </c>
      <c r="AG61" s="374">
        <f t="shared" ca="1" si="5"/>
        <v>2824</v>
      </c>
      <c r="AH61" s="392"/>
    </row>
    <row r="62" spans="1:34" s="69" customFormat="1" x14ac:dyDescent="0.25">
      <c r="A62" s="340"/>
      <c r="B62" s="27"/>
      <c r="C62" s="27">
        <v>22554</v>
      </c>
      <c r="D62" s="27" t="s">
        <v>385</v>
      </c>
      <c r="E62" s="358">
        <f ca="1">ROUND(SUMIF('Allocation Summary'!$B$27:$B$42,D62,'Allocation Summary'!$E$27:$E$42),0)</f>
        <v>154574</v>
      </c>
      <c r="F62" s="280">
        <f ca="1">ROUND(SUMIF('Allocation Summary'!$B$27:$B$45,D62,'Allocation Summary'!$O$27:$O$45),0)</f>
        <v>207779</v>
      </c>
      <c r="G62" s="222" t="s">
        <v>432</v>
      </c>
      <c r="I62" s="21"/>
      <c r="J62" s="343"/>
      <c r="K62" s="27"/>
      <c r="L62" s="27">
        <v>22554</v>
      </c>
      <c r="M62" s="27" t="s">
        <v>385</v>
      </c>
      <c r="N62" s="295"/>
      <c r="O62" s="295"/>
      <c r="P62" s="344"/>
      <c r="R62" s="257"/>
      <c r="S62" s="264"/>
      <c r="T62" s="260"/>
      <c r="U62" s="260">
        <v>22554</v>
      </c>
      <c r="V62" s="260" t="s">
        <v>385</v>
      </c>
      <c r="W62" s="265"/>
      <c r="X62" s="265"/>
      <c r="Y62" s="263"/>
      <c r="AA62" s="388"/>
      <c r="AB62" s="393"/>
      <c r="AC62" s="362"/>
      <c r="AD62" s="362">
        <v>22554</v>
      </c>
      <c r="AE62" s="362" t="s">
        <v>385</v>
      </c>
      <c r="AF62" s="374">
        <f t="shared" ca="1" si="4"/>
        <v>154574</v>
      </c>
      <c r="AG62" s="374">
        <f t="shared" ca="1" si="5"/>
        <v>207779</v>
      </c>
      <c r="AH62" s="392"/>
    </row>
    <row r="63" spans="1:34" s="69" customFormat="1" x14ac:dyDescent="0.25">
      <c r="A63" s="340"/>
      <c r="B63" s="27"/>
      <c r="C63" s="27">
        <v>22572</v>
      </c>
      <c r="D63" s="27" t="s">
        <v>384</v>
      </c>
      <c r="E63" s="358">
        <f ca="1">ROUND(SUMIF('Allocation Summary'!$B$27:$B$42,D63,'Allocation Summary'!$E$27:$E$42),0)</f>
        <v>4663</v>
      </c>
      <c r="F63" s="280">
        <f ca="1">ROUND(SUMIF('Allocation Summary'!$B$27:$B$45,D63,'Allocation Summary'!$O$27:$O$45),0)</f>
        <v>6268</v>
      </c>
      <c r="G63" s="222" t="s">
        <v>432</v>
      </c>
      <c r="I63" s="21"/>
      <c r="J63" s="343"/>
      <c r="K63" s="27"/>
      <c r="L63" s="27">
        <v>22572</v>
      </c>
      <c r="M63" s="27" t="s">
        <v>384</v>
      </c>
      <c r="N63" s="295"/>
      <c r="O63" s="295"/>
      <c r="P63" s="344"/>
      <c r="R63" s="257"/>
      <c r="S63" s="264"/>
      <c r="T63" s="260"/>
      <c r="U63" s="260">
        <v>22572</v>
      </c>
      <c r="V63" s="260" t="s">
        <v>384</v>
      </c>
      <c r="W63" s="265"/>
      <c r="X63" s="265"/>
      <c r="Y63" s="263"/>
      <c r="AA63" s="388"/>
      <c r="AB63" s="393"/>
      <c r="AC63" s="362"/>
      <c r="AD63" s="362">
        <v>22572</v>
      </c>
      <c r="AE63" s="362" t="s">
        <v>384</v>
      </c>
      <c r="AF63" s="374">
        <f t="shared" ca="1" si="4"/>
        <v>4663</v>
      </c>
      <c r="AG63" s="374">
        <f t="shared" ca="1" si="5"/>
        <v>6268</v>
      </c>
      <c r="AH63" s="392"/>
    </row>
    <row r="64" spans="1:34" s="69" customFormat="1" x14ac:dyDescent="0.25">
      <c r="A64" s="340"/>
      <c r="B64" s="27"/>
      <c r="C64" s="27">
        <v>22569</v>
      </c>
      <c r="D64" s="27" t="s">
        <v>386</v>
      </c>
      <c r="E64" s="358">
        <f ca="1">ROUND(SUMIF('Allocation Summary'!$B$27:$B$42,D64,'Allocation Summary'!$E$27:$E$42),0)</f>
        <v>88351</v>
      </c>
      <c r="F64" s="280">
        <f ca="1">ROUND(SUMIF('Allocation Summary'!$B$27:$B$45,D64,'Allocation Summary'!$O$27:$O$45),0)</f>
        <v>118761</v>
      </c>
      <c r="G64" s="333"/>
      <c r="I64" s="21"/>
      <c r="J64" s="343"/>
      <c r="K64" s="27"/>
      <c r="L64" s="27">
        <v>22569</v>
      </c>
      <c r="M64" s="27" t="s">
        <v>386</v>
      </c>
      <c r="N64" s="295"/>
      <c r="O64" s="295"/>
      <c r="P64" s="344"/>
      <c r="R64" s="257"/>
      <c r="S64" s="264"/>
      <c r="T64" s="260"/>
      <c r="U64" s="260">
        <v>22569</v>
      </c>
      <c r="V64" s="260" t="s">
        <v>386</v>
      </c>
      <c r="W64" s="265"/>
      <c r="X64" s="265"/>
      <c r="Y64" s="263"/>
      <c r="AA64" s="388"/>
      <c r="AB64" s="393"/>
      <c r="AC64" s="362"/>
      <c r="AD64" s="362">
        <v>22569</v>
      </c>
      <c r="AE64" s="362" t="s">
        <v>386</v>
      </c>
      <c r="AF64" s="374">
        <f t="shared" ca="1" si="4"/>
        <v>88351</v>
      </c>
      <c r="AG64" s="374">
        <f t="shared" ca="1" si="5"/>
        <v>118761</v>
      </c>
      <c r="AH64" s="392"/>
    </row>
    <row r="65" spans="1:34" s="69" customFormat="1" x14ac:dyDescent="0.25">
      <c r="A65" s="340"/>
      <c r="B65" s="27"/>
      <c r="C65" s="27">
        <v>22563</v>
      </c>
      <c r="D65" s="27" t="s">
        <v>388</v>
      </c>
      <c r="E65" s="358">
        <f ca="1">ROUND(SUMIF('Allocation Summary'!$B$27:$B$42,D65,'Allocation Summary'!$E$27:$E$42),0)</f>
        <v>0</v>
      </c>
      <c r="F65" s="280">
        <f ca="1">ROUND(SUMIF('Allocation Summary'!$B$27:$B$45,D65,'Allocation Summary'!$O$27:$O$45),0)</f>
        <v>0</v>
      </c>
      <c r="G65" s="333"/>
      <c r="I65" s="21"/>
      <c r="J65" s="343"/>
      <c r="K65" s="27"/>
      <c r="L65" s="27">
        <v>22563</v>
      </c>
      <c r="M65" s="27" t="s">
        <v>388</v>
      </c>
      <c r="N65" s="295"/>
      <c r="O65" s="295"/>
      <c r="P65" s="344"/>
      <c r="R65" s="257"/>
      <c r="S65" s="264"/>
      <c r="T65" s="260"/>
      <c r="U65" s="260">
        <v>22563</v>
      </c>
      <c r="V65" s="260" t="s">
        <v>388</v>
      </c>
      <c r="W65" s="265"/>
      <c r="X65" s="265"/>
      <c r="Y65" s="263"/>
      <c r="AA65" s="388"/>
      <c r="AB65" s="393"/>
      <c r="AC65" s="362"/>
      <c r="AD65" s="362">
        <v>22563</v>
      </c>
      <c r="AE65" s="362" t="s">
        <v>388</v>
      </c>
      <c r="AF65" s="374">
        <f t="shared" ca="1" si="4"/>
        <v>0</v>
      </c>
      <c r="AG65" s="374">
        <f t="shared" ca="1" si="5"/>
        <v>0</v>
      </c>
      <c r="AH65" s="392"/>
    </row>
    <row r="66" spans="1:34" s="69" customFormat="1" x14ac:dyDescent="0.25">
      <c r="A66" s="340"/>
      <c r="B66" s="27"/>
      <c r="C66" s="27">
        <v>22530</v>
      </c>
      <c r="D66" s="27" t="s">
        <v>334</v>
      </c>
      <c r="E66" s="341">
        <f ca="1">ROUND(SUMIF('Allocation Summary'!$B$27:$B$42,D66,'Allocation Summary'!$E$27:$E$42),0)</f>
        <v>0</v>
      </c>
      <c r="F66" s="280">
        <f ca="1">ROUND(SUMIF('Allocation Summary'!$B$27:$B$45,D66,'Allocation Summary'!$O$27:$O$45),0)</f>
        <v>0</v>
      </c>
      <c r="G66" s="333"/>
      <c r="I66" s="21"/>
      <c r="J66" s="343"/>
      <c r="K66" s="27"/>
      <c r="L66" s="27">
        <v>22530</v>
      </c>
      <c r="M66" s="27" t="s">
        <v>334</v>
      </c>
      <c r="N66" s="295"/>
      <c r="O66" s="295"/>
      <c r="P66" s="344"/>
      <c r="R66" s="257"/>
      <c r="S66" s="264"/>
      <c r="T66" s="260"/>
      <c r="U66" s="260">
        <v>22530</v>
      </c>
      <c r="V66" s="260" t="s">
        <v>334</v>
      </c>
      <c r="W66" s="265"/>
      <c r="X66" s="265"/>
      <c r="Y66" s="263"/>
      <c r="AA66" s="388"/>
      <c r="AB66" s="393"/>
      <c r="AC66" s="362"/>
      <c r="AD66" s="362">
        <v>22530</v>
      </c>
      <c r="AE66" s="362" t="s">
        <v>334</v>
      </c>
      <c r="AF66" s="374">
        <f t="shared" ca="1" si="4"/>
        <v>0</v>
      </c>
      <c r="AG66" s="374">
        <f t="shared" ca="1" si="5"/>
        <v>0</v>
      </c>
      <c r="AH66" s="392"/>
    </row>
    <row r="67" spans="1:34" x14ac:dyDescent="0.25">
      <c r="A67" s="215"/>
      <c r="B67" s="223" t="s">
        <v>417</v>
      </c>
      <c r="G67" s="214"/>
      <c r="I67" s="12"/>
      <c r="K67" s="223" t="s">
        <v>417</v>
      </c>
      <c r="P67" s="214"/>
      <c r="R67" s="257"/>
      <c r="S67" s="264"/>
      <c r="T67" s="271" t="s">
        <v>417</v>
      </c>
      <c r="U67" s="259"/>
      <c r="V67" s="260"/>
      <c r="W67" s="265"/>
      <c r="X67" s="265"/>
      <c r="Y67" s="263"/>
      <c r="AA67" s="388"/>
      <c r="AB67" s="393"/>
      <c r="AC67" s="399" t="s">
        <v>418</v>
      </c>
      <c r="AD67" s="361"/>
      <c r="AE67" s="362"/>
      <c r="AF67" s="374"/>
      <c r="AG67" s="374"/>
      <c r="AH67" s="392"/>
    </row>
    <row r="68" spans="1:34" x14ac:dyDescent="0.25">
      <c r="A68" s="215"/>
      <c r="B68" s="223"/>
      <c r="E68" s="224">
        <f ca="1">SUM(E52:E67)</f>
        <v>0</v>
      </c>
      <c r="F68" s="224">
        <f ca="1">SUM(F52:F67)</f>
        <v>0</v>
      </c>
      <c r="G68" s="214"/>
      <c r="I68" s="12"/>
      <c r="K68" s="223"/>
      <c r="N68" s="224">
        <f>SUM(N52:N67)</f>
        <v>0</v>
      </c>
      <c r="O68" s="224">
        <f>SUM(O52:O67)</f>
        <v>0</v>
      </c>
      <c r="P68" s="214"/>
      <c r="R68" s="257"/>
      <c r="S68" s="264"/>
      <c r="T68" s="271"/>
      <c r="U68" s="259"/>
      <c r="V68" s="260"/>
      <c r="W68" s="272">
        <f>SUM(W52:W67)</f>
        <v>0</v>
      </c>
      <c r="X68" s="272">
        <f>SUM(X52:X67)</f>
        <v>0</v>
      </c>
      <c r="Y68" s="263"/>
      <c r="AA68" s="388"/>
      <c r="AB68" s="393"/>
      <c r="AC68" s="399"/>
      <c r="AD68" s="361"/>
      <c r="AE68" s="362"/>
      <c r="AF68" s="400">
        <f ca="1">SUM(AF52:AF67)</f>
        <v>0</v>
      </c>
      <c r="AG68" s="400">
        <f ca="1">SUM(AG52:AG67)</f>
        <v>0</v>
      </c>
      <c r="AH68" s="392"/>
    </row>
    <row r="69" spans="1:34" x14ac:dyDescent="0.25">
      <c r="A69" s="215"/>
      <c r="B69" s="3"/>
      <c r="C69" s="3"/>
      <c r="E69" s="296"/>
      <c r="G69" s="222"/>
      <c r="I69" s="12"/>
      <c r="K69" s="3"/>
      <c r="L69" s="3"/>
      <c r="P69" s="293"/>
      <c r="R69" s="257"/>
      <c r="S69" s="264"/>
      <c r="T69" s="260"/>
      <c r="U69" s="260"/>
      <c r="V69" s="260"/>
      <c r="W69" s="265"/>
      <c r="X69" s="265"/>
      <c r="Y69" s="263"/>
      <c r="AA69" s="388"/>
      <c r="AB69" s="393"/>
      <c r="AC69" s="362"/>
      <c r="AD69" s="362"/>
      <c r="AE69" s="362"/>
      <c r="AF69" s="374"/>
      <c r="AG69" s="374"/>
      <c r="AH69" s="392"/>
    </row>
    <row r="70" spans="1:34" x14ac:dyDescent="0.25">
      <c r="A70" s="215"/>
      <c r="E70" s="224"/>
      <c r="F70" s="224"/>
      <c r="G70" s="214"/>
      <c r="I70" s="12"/>
      <c r="N70" s="224"/>
      <c r="O70" s="224"/>
      <c r="P70" s="214"/>
      <c r="R70" s="257"/>
      <c r="S70" s="264"/>
      <c r="T70" s="259"/>
      <c r="U70" s="259"/>
      <c r="V70" s="260"/>
      <c r="W70" s="272"/>
      <c r="X70" s="272"/>
      <c r="Y70" s="263"/>
      <c r="AA70" s="388"/>
      <c r="AB70" s="393"/>
      <c r="AC70" s="361"/>
      <c r="AD70" s="361"/>
      <c r="AE70" s="362"/>
      <c r="AF70" s="400"/>
      <c r="AG70" s="400"/>
      <c r="AH70" s="392"/>
    </row>
    <row r="71" spans="1:34" x14ac:dyDescent="0.25">
      <c r="A71" s="216" t="s">
        <v>407</v>
      </c>
      <c r="B71" s="217" t="s">
        <v>338</v>
      </c>
      <c r="G71" s="214"/>
      <c r="I71" s="12"/>
      <c r="J71" s="35" t="str">
        <f>A71</f>
        <v>(#4 entry)</v>
      </c>
      <c r="K71" s="217" t="str">
        <f>B71</f>
        <v>Corporate Allocation - Markup only</v>
      </c>
      <c r="P71" s="214"/>
      <c r="R71" s="257"/>
      <c r="S71" s="266" t="str">
        <f>A71</f>
        <v>(#4 entry)</v>
      </c>
      <c r="T71" s="267" t="str">
        <f>B71</f>
        <v>Corporate Allocation - Markup only</v>
      </c>
      <c r="U71" s="259"/>
      <c r="V71" s="260"/>
      <c r="W71" s="265"/>
      <c r="X71" s="265"/>
      <c r="Y71" s="263"/>
      <c r="AA71" s="388"/>
      <c r="AB71" s="394" t="str">
        <f>A71</f>
        <v>(#4 entry)</v>
      </c>
      <c r="AC71" s="395" t="str">
        <f>B71</f>
        <v>Corporate Allocation - Markup only</v>
      </c>
      <c r="AD71" s="361"/>
      <c r="AE71" s="362"/>
      <c r="AF71" s="374"/>
      <c r="AG71" s="374"/>
      <c r="AH71" s="392"/>
    </row>
    <row r="72" spans="1:34" x14ac:dyDescent="0.25">
      <c r="A72" s="216"/>
      <c r="B72" s="3"/>
      <c r="E72" s="218" t="s">
        <v>330</v>
      </c>
      <c r="F72" s="218" t="s">
        <v>330</v>
      </c>
      <c r="G72" s="214"/>
      <c r="I72" s="12"/>
      <c r="J72" s="35"/>
      <c r="K72" s="3"/>
      <c r="N72" s="218" t="s">
        <v>330</v>
      </c>
      <c r="O72" s="218" t="s">
        <v>330</v>
      </c>
      <c r="P72" s="214"/>
      <c r="R72" s="257"/>
      <c r="S72" s="266"/>
      <c r="T72" s="260"/>
      <c r="U72" s="259"/>
      <c r="V72" s="260"/>
      <c r="W72" s="268" t="s">
        <v>330</v>
      </c>
      <c r="X72" s="268" t="s">
        <v>330</v>
      </c>
      <c r="Y72" s="263"/>
      <c r="AA72" s="388"/>
      <c r="AB72" s="394"/>
      <c r="AC72" s="362"/>
      <c r="AD72" s="361"/>
      <c r="AE72" s="362"/>
      <c r="AF72" s="396" t="s">
        <v>330</v>
      </c>
      <c r="AG72" s="396" t="s">
        <v>330</v>
      </c>
      <c r="AH72" s="392"/>
    </row>
    <row r="73" spans="1:34" x14ac:dyDescent="0.25">
      <c r="A73" s="216"/>
      <c r="B73" s="3"/>
      <c r="C73" s="3" t="s">
        <v>331</v>
      </c>
      <c r="D73" s="3" t="s">
        <v>64</v>
      </c>
      <c r="E73" s="3" t="s">
        <v>166</v>
      </c>
      <c r="F73" s="218" t="s">
        <v>167</v>
      </c>
      <c r="G73" s="214"/>
      <c r="I73" s="12"/>
      <c r="J73" s="35"/>
      <c r="K73" s="3"/>
      <c r="L73" s="3" t="s">
        <v>331</v>
      </c>
      <c r="M73" s="3" t="s">
        <v>64</v>
      </c>
      <c r="N73" s="3" t="s">
        <v>166</v>
      </c>
      <c r="O73" s="218" t="s">
        <v>167</v>
      </c>
      <c r="P73" s="214"/>
      <c r="R73" s="257"/>
      <c r="S73" s="266"/>
      <c r="T73" s="260"/>
      <c r="U73" s="260" t="s">
        <v>331</v>
      </c>
      <c r="V73" s="260" t="s">
        <v>64</v>
      </c>
      <c r="W73" s="260" t="s">
        <v>166</v>
      </c>
      <c r="X73" s="268" t="s">
        <v>167</v>
      </c>
      <c r="Y73" s="263"/>
      <c r="AA73" s="388"/>
      <c r="AB73" s="394"/>
      <c r="AC73" s="362"/>
      <c r="AD73" s="362" t="s">
        <v>331</v>
      </c>
      <c r="AE73" s="362" t="s">
        <v>64</v>
      </c>
      <c r="AF73" s="362" t="s">
        <v>166</v>
      </c>
      <c r="AG73" s="396" t="s">
        <v>167</v>
      </c>
      <c r="AH73" s="392"/>
    </row>
    <row r="74" spans="1:34" x14ac:dyDescent="0.25">
      <c r="A74" s="215"/>
      <c r="B74" s="3"/>
      <c r="C74" s="3">
        <v>70007</v>
      </c>
      <c r="D74" s="3" t="s">
        <v>265</v>
      </c>
      <c r="E74" s="204">
        <f ca="1">ROUND(SUMIF('Allocation Summary'!$B$27:$B$42,D74,'Allocation Summary'!$F$27:$F$42)+'Allocation Summary'!F42,0)+2</f>
        <v>-86569</v>
      </c>
      <c r="F74" s="204">
        <f ca="1">ROUND(SUMIF('Allocation Summary'!$B$27:$B$45,D74,'Allocation Summary'!$P$27:$P$45)+'Allocation Summary'!P42,0)+1</f>
        <v>-116367</v>
      </c>
      <c r="G74" s="214"/>
      <c r="I74" s="12"/>
      <c r="K74" s="3"/>
      <c r="L74" s="3">
        <v>70007</v>
      </c>
      <c r="M74" s="3" t="s">
        <v>265</v>
      </c>
      <c r="N74" s="204">
        <f>-SUMIF('CAM Budget'!$A$65:$A$79,M74,'CAM Budget'!$C$65:$C$79)</f>
        <v>107399.79000000001</v>
      </c>
      <c r="O74" s="204">
        <f>-SUMIF('CAM Budget'!$A$46:$A$60,M74,'CAM Budget'!$C$46:$C$60)</f>
        <v>144031.04007599998</v>
      </c>
      <c r="P74" s="214"/>
      <c r="R74" s="257"/>
      <c r="S74" s="264"/>
      <c r="T74" s="260"/>
      <c r="U74" s="260">
        <v>70007</v>
      </c>
      <c r="V74" s="260" t="s">
        <v>265</v>
      </c>
      <c r="W74" s="265"/>
      <c r="X74" s="265"/>
      <c r="Y74" s="263"/>
      <c r="AA74" s="388"/>
      <c r="AB74" s="393"/>
      <c r="AC74" s="362"/>
      <c r="AD74" s="362">
        <v>70007</v>
      </c>
      <c r="AE74" s="362" t="s">
        <v>265</v>
      </c>
      <c r="AF74" s="374">
        <f t="shared" ref="AF74:AF88" ca="1" si="6">E74+N74+W74</f>
        <v>20830.790000000008</v>
      </c>
      <c r="AG74" s="374">
        <f t="shared" ref="AG74:AG88" ca="1" si="7">F74+O74+X74</f>
        <v>27664.040075999976</v>
      </c>
      <c r="AH74" s="392"/>
    </row>
    <row r="75" spans="1:34" x14ac:dyDescent="0.25">
      <c r="A75" s="215"/>
      <c r="B75" s="3"/>
      <c r="C75" s="3">
        <v>22564</v>
      </c>
      <c r="D75" s="3" t="s">
        <v>387</v>
      </c>
      <c r="E75" s="204">
        <f ca="1">ROUND(SUMIF('Allocation Summary'!$B$27:$B$42,D75,'Allocation Summary'!$F$27:$F$42),0)</f>
        <v>-5491</v>
      </c>
      <c r="F75" s="204">
        <f ca="1">ROUND(SUMIF('Allocation Summary'!$B$27:$B$45,D75,'Allocation Summary'!$P$27:$P$45),0)</f>
        <v>-7382</v>
      </c>
      <c r="G75" s="214"/>
      <c r="I75" s="12"/>
      <c r="K75" s="3"/>
      <c r="L75" s="3">
        <v>22564</v>
      </c>
      <c r="M75" s="3" t="s">
        <v>387</v>
      </c>
      <c r="N75" s="204">
        <f>-SUMIF('CAM Budget'!$A$65:$A$79,M75,'CAM Budget'!$C$65:$C$79)</f>
        <v>3281.76</v>
      </c>
      <c r="O75" s="204">
        <f>-SUMIF('CAM Budget'!$A$46:$A$60,M75,'CAM Budget'!$C$46:$C$60)</f>
        <v>4411.3417920000002</v>
      </c>
      <c r="P75" s="214"/>
      <c r="R75" s="257"/>
      <c r="S75" s="264"/>
      <c r="T75" s="260"/>
      <c r="U75" s="260">
        <v>22564</v>
      </c>
      <c r="V75" s="260" t="s">
        <v>387</v>
      </c>
      <c r="W75" s="265"/>
      <c r="X75" s="265"/>
      <c r="Y75" s="263"/>
      <c r="AA75" s="388"/>
      <c r="AB75" s="393"/>
      <c r="AC75" s="362"/>
      <c r="AD75" s="362">
        <v>22564</v>
      </c>
      <c r="AE75" s="362" t="s">
        <v>387</v>
      </c>
      <c r="AF75" s="374">
        <f t="shared" ca="1" si="6"/>
        <v>-2209.2399999999998</v>
      </c>
      <c r="AG75" s="374">
        <f t="shared" ca="1" si="7"/>
        <v>-2970.6582079999998</v>
      </c>
      <c r="AH75" s="392"/>
    </row>
    <row r="76" spans="1:34" x14ac:dyDescent="0.25">
      <c r="A76" s="215"/>
      <c r="B76" s="3"/>
      <c r="C76" s="3">
        <v>22524</v>
      </c>
      <c r="D76" s="3" t="s">
        <v>376</v>
      </c>
      <c r="E76" s="204">
        <f ca="1">ROUND(SUMIF('Allocation Summary'!$B$27:$B$42,D76,'Allocation Summary'!$F$27:$F$42),0)</f>
        <v>1166</v>
      </c>
      <c r="F76" s="204">
        <f ca="1">ROUND(SUMIF('Allocation Summary'!$B$27:$B$45,D76,'Allocation Summary'!$P$27:$P$45),0)</f>
        <v>1568</v>
      </c>
      <c r="G76" s="222"/>
      <c r="I76" s="12"/>
      <c r="K76" s="3"/>
      <c r="L76" s="3">
        <v>22524</v>
      </c>
      <c r="M76" s="3" t="s">
        <v>376</v>
      </c>
      <c r="N76" s="204">
        <f>-SUMIF('CAM Budget'!$A$65:$A$79,M76,'CAM Budget'!$C$65:$C$79)</f>
        <v>-1516.26</v>
      </c>
      <c r="O76" s="204">
        <f>-SUMIF('CAM Budget'!$A$46:$A$60,M76,'CAM Budget'!$C$46:$C$60)</f>
        <v>-2038.1566920000002</v>
      </c>
      <c r="P76" s="214"/>
      <c r="R76" s="257"/>
      <c r="S76" s="264"/>
      <c r="T76" s="260"/>
      <c r="U76" s="260">
        <v>22524</v>
      </c>
      <c r="V76" s="260" t="s">
        <v>376</v>
      </c>
      <c r="W76" s="265"/>
      <c r="X76" s="265"/>
      <c r="Y76" s="263"/>
      <c r="AA76" s="388"/>
      <c r="AB76" s="393"/>
      <c r="AC76" s="362"/>
      <c r="AD76" s="362">
        <v>22524</v>
      </c>
      <c r="AE76" s="362" t="s">
        <v>376</v>
      </c>
      <c r="AF76" s="374">
        <f ca="1">E76+N76+W76</f>
        <v>-350.26</v>
      </c>
      <c r="AG76" s="374">
        <f t="shared" ca="1" si="7"/>
        <v>-470.15669200000025</v>
      </c>
      <c r="AH76" s="392"/>
    </row>
    <row r="77" spans="1:34" x14ac:dyDescent="0.25">
      <c r="A77" s="215"/>
      <c r="B77" s="3"/>
      <c r="C77" s="3">
        <v>22521</v>
      </c>
      <c r="D77" s="3" t="s">
        <v>12</v>
      </c>
      <c r="E77" s="204">
        <f ca="1">ROUND(SUMIF('Allocation Summary'!$B$27:$B$42,D77,'Allocation Summary'!$F$27:$F$42),0)</f>
        <v>1367</v>
      </c>
      <c r="F77" s="204">
        <f ca="1">ROUND(SUMIF('Allocation Summary'!$B$27:$B$45,D77,'Allocation Summary'!$P$27:$P$45),0)</f>
        <v>1837</v>
      </c>
      <c r="G77" s="222" t="s">
        <v>336</v>
      </c>
      <c r="I77" s="12"/>
      <c r="K77" s="3"/>
      <c r="L77" s="3">
        <v>22521</v>
      </c>
      <c r="M77" s="3" t="s">
        <v>12</v>
      </c>
      <c r="N77" s="204">
        <f>-SUMIF('CAM Budget'!$A$65:$A$79,M77,'CAM Budget'!$C$65:$C$79)</f>
        <v>-2037.9299999999998</v>
      </c>
      <c r="O77" s="204">
        <f>-SUMIF('CAM Budget'!$A$46:$A$60,M77,'CAM Budget'!$C$46:$C$60)</f>
        <v>-2451.96</v>
      </c>
      <c r="P77" s="214"/>
      <c r="R77" s="257"/>
      <c r="S77" s="264"/>
      <c r="T77" s="260"/>
      <c r="U77" s="260">
        <v>22521</v>
      </c>
      <c r="V77" s="260" t="s">
        <v>12</v>
      </c>
      <c r="W77" s="265"/>
      <c r="X77" s="265"/>
      <c r="Y77" s="263"/>
      <c r="AA77" s="388"/>
      <c r="AB77" s="393"/>
      <c r="AC77" s="362"/>
      <c r="AD77" s="362">
        <v>22521</v>
      </c>
      <c r="AE77" s="362" t="s">
        <v>12</v>
      </c>
      <c r="AF77" s="374">
        <f t="shared" ca="1" si="6"/>
        <v>-670.92999999999984</v>
      </c>
      <c r="AG77" s="374">
        <f t="shared" ca="1" si="7"/>
        <v>-614.96</v>
      </c>
      <c r="AH77" s="392"/>
    </row>
    <row r="78" spans="1:34" x14ac:dyDescent="0.25">
      <c r="A78" s="215"/>
      <c r="B78" s="3"/>
      <c r="C78" s="3">
        <v>22522</v>
      </c>
      <c r="D78" s="3" t="s">
        <v>8</v>
      </c>
      <c r="E78" s="204">
        <f ca="1">ROUND(SUMIF('Allocation Summary'!$B$27:$B$42,D78,'Allocation Summary'!$F$27:$F$42),0)</f>
        <v>1308</v>
      </c>
      <c r="F78" s="204">
        <f ca="1">ROUND(SUMIF('Allocation Summary'!$B$27:$B$45,D78,'Allocation Summary'!$P$27:$P$45),0)</f>
        <v>1758</v>
      </c>
      <c r="G78" s="222" t="s">
        <v>336</v>
      </c>
      <c r="I78" s="12"/>
      <c r="K78" s="3"/>
      <c r="L78" s="3">
        <v>22522</v>
      </c>
      <c r="M78" s="3" t="s">
        <v>8</v>
      </c>
      <c r="N78" s="204">
        <f>-SUMIF('CAM Budget'!$A$65:$A$79,M78,'CAM Budget'!$C$65:$C$79)</f>
        <v>-1667.73</v>
      </c>
      <c r="O78" s="204">
        <f>-SUMIF('CAM Budget'!$A$46:$A$60,M78,'CAM Budget'!$C$46:$C$60)</f>
        <v>-2365.62</v>
      </c>
      <c r="P78" s="214"/>
      <c r="R78" s="257"/>
      <c r="S78" s="264"/>
      <c r="T78" s="260"/>
      <c r="U78" s="260">
        <v>22522</v>
      </c>
      <c r="V78" s="260" t="s">
        <v>8</v>
      </c>
      <c r="W78" s="265"/>
      <c r="X78" s="265"/>
      <c r="Y78" s="263"/>
      <c r="AA78" s="388"/>
      <c r="AB78" s="393"/>
      <c r="AC78" s="362"/>
      <c r="AD78" s="362">
        <v>22522</v>
      </c>
      <c r="AE78" s="362" t="s">
        <v>8</v>
      </c>
      <c r="AF78" s="374">
        <f t="shared" ca="1" si="6"/>
        <v>-359.73</v>
      </c>
      <c r="AG78" s="374">
        <f t="shared" ca="1" si="7"/>
        <v>-607.61999999999989</v>
      </c>
      <c r="AH78" s="392"/>
    </row>
    <row r="79" spans="1:34" x14ac:dyDescent="0.25">
      <c r="A79" s="215"/>
      <c r="B79" s="3"/>
      <c r="C79" s="3">
        <v>22532</v>
      </c>
      <c r="D79" s="3" t="s">
        <v>164</v>
      </c>
      <c r="E79" s="204">
        <f ca="1">ROUND(SUMIF('Allocation Summary'!$B$27:$B$42,D79,'Allocation Summary'!$F$27:$F$42),0)</f>
        <v>85</v>
      </c>
      <c r="F79" s="204">
        <f ca="1">ROUND(SUMIF('Allocation Summary'!$B$27:$B$45,D79,'Allocation Summary'!$P$27:$P$45),0)</f>
        <v>115</v>
      </c>
      <c r="G79" s="222" t="s">
        <v>336</v>
      </c>
      <c r="I79" s="12"/>
      <c r="K79" s="3"/>
      <c r="L79" s="3">
        <v>22532</v>
      </c>
      <c r="M79" s="3" t="s">
        <v>164</v>
      </c>
      <c r="N79" s="204">
        <f>-SUMIF('CAM Budget'!$A$65:$A$79,M79,'CAM Budget'!$C$65:$C$79)</f>
        <v>-115.97999999999999</v>
      </c>
      <c r="O79" s="204">
        <f>-SUMIF('CAM Budget'!$A$46:$A$60,M79,'CAM Budget'!$C$46:$C$60)</f>
        <v>-150.78</v>
      </c>
      <c r="P79" s="214"/>
      <c r="R79" s="257"/>
      <c r="S79" s="264"/>
      <c r="T79" s="260"/>
      <c r="U79" s="260">
        <v>22532</v>
      </c>
      <c r="V79" s="260" t="s">
        <v>164</v>
      </c>
      <c r="W79" s="265"/>
      <c r="X79" s="265"/>
      <c r="Y79" s="263"/>
      <c r="AA79" s="388"/>
      <c r="AB79" s="393"/>
      <c r="AC79" s="362"/>
      <c r="AD79" s="362">
        <v>22532</v>
      </c>
      <c r="AE79" s="362" t="s">
        <v>164</v>
      </c>
      <c r="AF79" s="374">
        <f t="shared" ca="1" si="6"/>
        <v>-30.97999999999999</v>
      </c>
      <c r="AG79" s="374">
        <f t="shared" ca="1" si="7"/>
        <v>-35.78</v>
      </c>
      <c r="AH79" s="392"/>
    </row>
    <row r="80" spans="1:34" x14ac:dyDescent="0.25">
      <c r="A80" s="215"/>
      <c r="B80" s="3"/>
      <c r="C80" s="3">
        <v>22541</v>
      </c>
      <c r="D80" s="3" t="s">
        <v>165</v>
      </c>
      <c r="E80" s="204">
        <f ca="1">ROUND(SUMIF('Allocation Summary'!$B$27:$B$42,D80,'Allocation Summary'!$F$27:$F$42),0)</f>
        <v>138</v>
      </c>
      <c r="F80" s="204">
        <f ca="1">ROUND(SUMIF('Allocation Summary'!$B$27:$B$45,D80,'Allocation Summary'!$P$27:$P$45),0)</f>
        <v>186</v>
      </c>
      <c r="G80" s="222" t="s">
        <v>336</v>
      </c>
      <c r="I80" s="12"/>
      <c r="K80" s="3"/>
      <c r="L80" s="3">
        <v>22541</v>
      </c>
      <c r="M80" s="3" t="s">
        <v>165</v>
      </c>
      <c r="N80" s="204">
        <f>-SUMIF('CAM Budget'!$A$65:$A$79,M80,'CAM Budget'!$C$65:$C$79)</f>
        <v>-188.04</v>
      </c>
      <c r="O80" s="204">
        <f>-SUMIF('CAM Budget'!$A$46:$A$60,M80,'CAM Budget'!$C$46:$C$60)</f>
        <v>-244.44</v>
      </c>
      <c r="P80" s="214"/>
      <c r="R80" s="257"/>
      <c r="S80" s="264"/>
      <c r="T80" s="260"/>
      <c r="U80" s="260">
        <v>22541</v>
      </c>
      <c r="V80" s="260" t="s">
        <v>165</v>
      </c>
      <c r="W80" s="265"/>
      <c r="X80" s="265"/>
      <c r="Y80" s="263"/>
      <c r="AA80" s="388"/>
      <c r="AB80" s="393"/>
      <c r="AC80" s="362"/>
      <c r="AD80" s="362">
        <v>22541</v>
      </c>
      <c r="AE80" s="362" t="s">
        <v>165</v>
      </c>
      <c r="AF80" s="374">
        <f t="shared" ca="1" si="6"/>
        <v>-50.039999999999992</v>
      </c>
      <c r="AG80" s="374">
        <f t="shared" ca="1" si="7"/>
        <v>-58.44</v>
      </c>
      <c r="AH80" s="392"/>
    </row>
    <row r="81" spans="1:34" x14ac:dyDescent="0.25">
      <c r="A81" s="215"/>
      <c r="B81" s="3"/>
      <c r="C81" s="3">
        <v>22527</v>
      </c>
      <c r="D81" s="3" t="s">
        <v>375</v>
      </c>
      <c r="E81" s="204">
        <f ca="1">ROUND(SUMIF('Allocation Summary'!$B$27:$B$42,D81,'Allocation Summary'!$F$27:$F$42),0)</f>
        <v>1092</v>
      </c>
      <c r="F81" s="204">
        <f ca="1">ROUND(SUMIF('Allocation Summary'!$B$27:$B$45,D81,'Allocation Summary'!$P$27:$P$45),0)</f>
        <v>1467</v>
      </c>
      <c r="G81" s="222" t="s">
        <v>336</v>
      </c>
      <c r="I81" s="12"/>
      <c r="K81" s="3"/>
      <c r="L81" s="3">
        <v>22527</v>
      </c>
      <c r="M81" s="3" t="s">
        <v>375</v>
      </c>
      <c r="N81" s="204">
        <f>-SUMIF('CAM Budget'!$A$65:$A$79,M81,'CAM Budget'!$C$65:$C$79)</f>
        <v>-1482.48</v>
      </c>
      <c r="O81" s="204">
        <f>-SUMIF('CAM Budget'!$A$46:$A$60,M81,'CAM Budget'!$C$46:$C$60)</f>
        <v>-1927.23</v>
      </c>
      <c r="P81" s="214"/>
      <c r="R81" s="257"/>
      <c r="S81" s="264"/>
      <c r="T81" s="260"/>
      <c r="U81" s="260">
        <v>22527</v>
      </c>
      <c r="V81" s="260" t="s">
        <v>375</v>
      </c>
      <c r="W81" s="265"/>
      <c r="X81" s="265"/>
      <c r="Y81" s="263"/>
      <c r="AA81" s="388"/>
      <c r="AB81" s="393"/>
      <c r="AC81" s="362"/>
      <c r="AD81" s="362">
        <v>22527</v>
      </c>
      <c r="AE81" s="362" t="s">
        <v>375</v>
      </c>
      <c r="AF81" s="374">
        <f t="shared" ca="1" si="6"/>
        <v>-390.48</v>
      </c>
      <c r="AG81" s="374">
        <f t="shared" ca="1" si="7"/>
        <v>-460.23</v>
      </c>
      <c r="AH81" s="392"/>
    </row>
    <row r="82" spans="1:34" x14ac:dyDescent="0.25">
      <c r="A82" s="215"/>
      <c r="B82" s="3"/>
      <c r="C82" s="3">
        <v>22539</v>
      </c>
      <c r="D82" s="3" t="s">
        <v>18</v>
      </c>
      <c r="E82" s="204">
        <f ca="1">ROUND(SUMIF('Allocation Summary'!$B$27:$B$42,D82,'Allocation Summary'!$F$27:$F$42),0)</f>
        <v>1483</v>
      </c>
      <c r="F82" s="204">
        <f ca="1">ROUND(SUMIF('Allocation Summary'!$B$27:$B$45,D82,'Allocation Summary'!$P$27:$P$45),0)</f>
        <v>1994</v>
      </c>
      <c r="G82" s="222" t="s">
        <v>336</v>
      </c>
      <c r="I82" s="12"/>
      <c r="K82" s="3"/>
      <c r="L82" s="3">
        <v>22539</v>
      </c>
      <c r="M82" s="3" t="s">
        <v>18</v>
      </c>
      <c r="N82" s="204">
        <f>-SUMIF('CAM Budget'!$A$65:$A$79,M82,'CAM Budget'!$C$65:$C$79)</f>
        <v>-2084.5500000000002</v>
      </c>
      <c r="O82" s="204">
        <f>-SUMIF('CAM Budget'!$A$46:$A$60,M82,'CAM Budget'!$C$46:$C$60)</f>
        <v>-2709.8999999999996</v>
      </c>
      <c r="P82" s="214"/>
      <c r="R82" s="257"/>
      <c r="S82" s="264"/>
      <c r="T82" s="260"/>
      <c r="U82" s="260">
        <v>22539</v>
      </c>
      <c r="V82" s="260" t="s">
        <v>18</v>
      </c>
      <c r="W82" s="265"/>
      <c r="X82" s="265"/>
      <c r="Y82" s="263"/>
      <c r="AA82" s="388"/>
      <c r="AB82" s="393"/>
      <c r="AC82" s="362"/>
      <c r="AD82" s="362">
        <v>22539</v>
      </c>
      <c r="AE82" s="362" t="s">
        <v>18</v>
      </c>
      <c r="AF82" s="374">
        <f t="shared" ca="1" si="6"/>
        <v>-601.55000000000018</v>
      </c>
      <c r="AG82" s="374">
        <f t="shared" ca="1" si="7"/>
        <v>-715.89999999999964</v>
      </c>
      <c r="AH82" s="392"/>
    </row>
    <row r="83" spans="1:34" x14ac:dyDescent="0.25">
      <c r="A83" s="215"/>
      <c r="B83" s="3"/>
      <c r="C83" s="3">
        <v>22546</v>
      </c>
      <c r="D83" s="3" t="s">
        <v>16</v>
      </c>
      <c r="E83" s="204">
        <f ca="1">ROUND(SUMIF('Allocation Summary'!$B$27:$B$42,D83,'Allocation Summary'!$F$27:$F$42),0)</f>
        <v>18</v>
      </c>
      <c r="F83" s="204">
        <f ca="1">ROUND(SUMIF('Allocation Summary'!$B$27:$B$45,D83,'Allocation Summary'!$P$27:$P$45),0)</f>
        <v>24</v>
      </c>
      <c r="G83" s="222" t="s">
        <v>336</v>
      </c>
      <c r="I83" s="12"/>
      <c r="K83" s="3"/>
      <c r="L83" s="3">
        <v>22546</v>
      </c>
      <c r="M83" s="3" t="s">
        <v>16</v>
      </c>
      <c r="N83" s="204">
        <f>-SUMIF('CAM Budget'!$A$65:$A$79,M83,'CAM Budget'!$C$65:$C$79)</f>
        <v>-24.299999999999997</v>
      </c>
      <c r="O83" s="204">
        <f>-SUMIF('CAM Budget'!$A$46:$A$60,M83,'CAM Budget'!$C$46:$C$60)</f>
        <v>-31.589999999999996</v>
      </c>
      <c r="P83" s="214"/>
      <c r="R83" s="257"/>
      <c r="S83" s="264"/>
      <c r="T83" s="260"/>
      <c r="U83" s="260">
        <v>22546</v>
      </c>
      <c r="V83" s="260" t="s">
        <v>16</v>
      </c>
      <c r="W83" s="265"/>
      <c r="X83" s="265"/>
      <c r="Y83" s="263"/>
      <c r="AA83" s="388"/>
      <c r="AB83" s="393"/>
      <c r="AC83" s="362"/>
      <c r="AD83" s="362">
        <v>22546</v>
      </c>
      <c r="AE83" s="362" t="s">
        <v>16</v>
      </c>
      <c r="AF83" s="374">
        <f t="shared" ca="1" si="6"/>
        <v>-6.2999999999999972</v>
      </c>
      <c r="AG83" s="374">
        <f t="shared" ca="1" si="7"/>
        <v>-7.5899999999999963</v>
      </c>
      <c r="AH83" s="392"/>
    </row>
    <row r="84" spans="1:34" x14ac:dyDescent="0.25">
      <c r="A84" s="215"/>
      <c r="B84" s="3"/>
      <c r="C84" s="3">
        <v>22554</v>
      </c>
      <c r="D84" s="3" t="s">
        <v>385</v>
      </c>
      <c r="E84" s="204">
        <f ca="1">ROUND(SUMIF('Allocation Summary'!$B$27:$B$42,D84,'Allocation Summary'!$F$27:$F$42),0)</f>
        <v>14375</v>
      </c>
      <c r="F84" s="204">
        <f ca="1">ROUND(SUMIF('Allocation Summary'!$B$27:$B$45,D84,'Allocation Summary'!$P$27:$P$45),0)</f>
        <v>19323</v>
      </c>
      <c r="G84" s="222" t="s">
        <v>336</v>
      </c>
      <c r="I84" s="12"/>
      <c r="K84" s="3"/>
      <c r="L84" s="3">
        <v>22554</v>
      </c>
      <c r="M84" s="3" t="s">
        <v>385</v>
      </c>
      <c r="N84" s="204">
        <f>-SUMIF('CAM Budget'!$A$65:$A$79,M84,'CAM Budget'!$C$65:$C$79)</f>
        <v>-15018.689999999999</v>
      </c>
      <c r="O84" s="204">
        <f>-SUMIF('CAM Budget'!$A$46:$A$60,M84,'CAM Budget'!$C$46:$C$60)</f>
        <v>-20188.123097999996</v>
      </c>
      <c r="P84" s="214"/>
      <c r="R84" s="257"/>
      <c r="S84" s="264"/>
      <c r="T84" s="260"/>
      <c r="U84" s="260">
        <v>22554</v>
      </c>
      <c r="V84" s="260" t="s">
        <v>385</v>
      </c>
      <c r="W84" s="265"/>
      <c r="X84" s="265"/>
      <c r="Y84" s="263"/>
      <c r="AA84" s="388"/>
      <c r="AB84" s="393"/>
      <c r="AC84" s="362"/>
      <c r="AD84" s="362">
        <v>22554</v>
      </c>
      <c r="AE84" s="362" t="s">
        <v>385</v>
      </c>
      <c r="AF84" s="374">
        <f t="shared" ca="1" si="6"/>
        <v>-643.68999999999869</v>
      </c>
      <c r="AG84" s="374">
        <f t="shared" ca="1" si="7"/>
        <v>-865.12309799999639</v>
      </c>
      <c r="AH84" s="392"/>
    </row>
    <row r="85" spans="1:34" x14ac:dyDescent="0.25">
      <c r="A85" s="215"/>
      <c r="B85" s="3"/>
      <c r="C85" s="3">
        <v>22572</v>
      </c>
      <c r="D85" s="3" t="s">
        <v>384</v>
      </c>
      <c r="E85" s="204">
        <f ca="1">ROUND(SUMIF('Allocation Summary'!$B$27:$B$42,D85,'Allocation Summary'!$F$27:$F$42),0)</f>
        <v>439</v>
      </c>
      <c r="F85" s="204">
        <f ca="1">ROUND(SUMIF('Allocation Summary'!$B$27:$B$45,D85,'Allocation Summary'!$P$27:$P$45),0)</f>
        <v>590</v>
      </c>
      <c r="G85" s="222" t="s">
        <v>336</v>
      </c>
      <c r="I85" s="12"/>
      <c r="K85" s="3"/>
      <c r="L85" s="3">
        <v>22572</v>
      </c>
      <c r="M85" s="3" t="s">
        <v>384</v>
      </c>
      <c r="N85" s="204">
        <f>-SUMIF('CAM Budget'!$A$65:$A$79,M85,'CAM Budget'!$C$65:$C$79)</f>
        <v>-461.28</v>
      </c>
      <c r="O85" s="204">
        <f>-SUMIF('CAM Budget'!$A$46:$A$60,M85,'CAM Budget'!$C$46:$C$60)</f>
        <v>-620.05257599999993</v>
      </c>
      <c r="P85" s="214"/>
      <c r="R85" s="257"/>
      <c r="S85" s="264"/>
      <c r="T85" s="260"/>
      <c r="U85" s="260">
        <v>22572</v>
      </c>
      <c r="V85" s="260" t="s">
        <v>384</v>
      </c>
      <c r="W85" s="265"/>
      <c r="X85" s="265"/>
      <c r="Y85" s="263"/>
      <c r="AA85" s="388"/>
      <c r="AB85" s="393"/>
      <c r="AC85" s="362"/>
      <c r="AD85" s="362">
        <v>22572</v>
      </c>
      <c r="AE85" s="362" t="s">
        <v>384</v>
      </c>
      <c r="AF85" s="374">
        <f t="shared" ca="1" si="6"/>
        <v>-22.279999999999973</v>
      </c>
      <c r="AG85" s="374">
        <f t="shared" ca="1" si="7"/>
        <v>-30.052575999999931</v>
      </c>
      <c r="AH85" s="392"/>
    </row>
    <row r="86" spans="1:34" x14ac:dyDescent="0.25">
      <c r="A86" s="215"/>
      <c r="B86" s="3"/>
      <c r="C86" s="3">
        <v>22569</v>
      </c>
      <c r="D86" s="3" t="s">
        <v>386</v>
      </c>
      <c r="E86" s="204">
        <f ca="1">ROUND(SUMIF('Allocation Summary'!$B$27:$B$42,D86,'Allocation Summary'!$F$27:$F$42),0)</f>
        <v>8385</v>
      </c>
      <c r="F86" s="204">
        <f ca="1">ROUND(SUMIF('Allocation Summary'!$B$27:$B$45,D86,'Allocation Summary'!$P$27:$P$45),0)</f>
        <v>11272</v>
      </c>
      <c r="G86" s="222"/>
      <c r="I86" s="12"/>
      <c r="K86" s="3"/>
      <c r="L86" s="3">
        <v>22569</v>
      </c>
      <c r="M86" s="3" t="s">
        <v>386</v>
      </c>
      <c r="N86" s="204">
        <f>-SUMIF('CAM Budget'!$A$65:$A$79,M86,'CAM Budget'!$C$65:$C$79)</f>
        <v>-8799.9600000000009</v>
      </c>
      <c r="O86" s="204">
        <f>-SUMIF('CAM Budget'!$A$46:$A$60,M86,'CAM Budget'!$C$46:$C$60)</f>
        <v>-11828.906232000001</v>
      </c>
      <c r="P86" s="214"/>
      <c r="R86" s="257"/>
      <c r="S86" s="264"/>
      <c r="T86" s="260"/>
      <c r="U86" s="260">
        <v>22569</v>
      </c>
      <c r="V86" s="260" t="s">
        <v>386</v>
      </c>
      <c r="W86" s="265"/>
      <c r="X86" s="265"/>
      <c r="Y86" s="263"/>
      <c r="AA86" s="388"/>
      <c r="AB86" s="393"/>
      <c r="AC86" s="362"/>
      <c r="AD86" s="362">
        <v>22569</v>
      </c>
      <c r="AE86" s="362" t="s">
        <v>386</v>
      </c>
      <c r="AF86" s="374">
        <f t="shared" ca="1" si="6"/>
        <v>-414.96000000000095</v>
      </c>
      <c r="AG86" s="374">
        <f t="shared" ca="1" si="7"/>
        <v>-556.90623200000118</v>
      </c>
      <c r="AH86" s="392"/>
    </row>
    <row r="87" spans="1:34" x14ac:dyDescent="0.25">
      <c r="A87" s="215"/>
      <c r="B87" s="3"/>
      <c r="C87" s="3">
        <v>22563</v>
      </c>
      <c r="D87" s="3" t="s">
        <v>388</v>
      </c>
      <c r="E87" s="204">
        <f ca="1">ROUND(SUMIF('Allocation Summary'!$B$27:$B$42,D87,'Allocation Summary'!$F$27:$F$42),0)</f>
        <v>51926</v>
      </c>
      <c r="F87" s="204">
        <f ca="1">ROUND(SUMIF('Allocation Summary'!$B$27:$B$45,D87,'Allocation Summary'!$P$27:$P$45),0)</f>
        <v>69799</v>
      </c>
      <c r="G87" s="222"/>
      <c r="I87" s="12"/>
      <c r="K87" s="3"/>
      <c r="L87" s="3">
        <v>22563</v>
      </c>
      <c r="M87" s="3" t="s">
        <v>388</v>
      </c>
      <c r="N87" s="204">
        <f>-SUMIF('CAM Budget'!$A$65:$A$79,M87,'CAM Budget'!$C$65:$C$79)</f>
        <v>-64513.5</v>
      </c>
      <c r="O87" s="204">
        <f>-SUMIF('CAM Budget'!$A$46:$A$60,M87,'CAM Budget'!$C$46:$C$60)</f>
        <v>-86719.046700000006</v>
      </c>
      <c r="P87" s="214"/>
      <c r="R87" s="257"/>
      <c r="S87" s="264"/>
      <c r="T87" s="260"/>
      <c r="U87" s="260">
        <v>22563</v>
      </c>
      <c r="V87" s="260" t="s">
        <v>388</v>
      </c>
      <c r="W87" s="265"/>
      <c r="X87" s="265"/>
      <c r="Y87" s="263"/>
      <c r="AA87" s="388"/>
      <c r="AB87" s="393"/>
      <c r="AC87" s="362"/>
      <c r="AD87" s="362">
        <v>22563</v>
      </c>
      <c r="AE87" s="362" t="s">
        <v>388</v>
      </c>
      <c r="AF87" s="374">
        <f t="shared" ca="1" si="6"/>
        <v>-12587.5</v>
      </c>
      <c r="AG87" s="374">
        <f t="shared" ca="1" si="7"/>
        <v>-16920.046700000006</v>
      </c>
      <c r="AH87" s="392"/>
    </row>
    <row r="88" spans="1:34" x14ac:dyDescent="0.25">
      <c r="A88" s="215"/>
      <c r="B88" s="3"/>
      <c r="C88" s="3">
        <v>22530</v>
      </c>
      <c r="D88" s="3" t="s">
        <v>334</v>
      </c>
      <c r="E88" s="204">
        <f ca="1">ROUND(SUMIF('Allocation Summary'!$B$27:$B$42,D88,'Allocation Summary'!$F$27:$F$42),0)</f>
        <v>10278</v>
      </c>
      <c r="F88" s="204">
        <f ca="1">ROUND(SUMIF('Allocation Summary'!$B$27:$B$45,D88,'Allocation Summary'!$P$27:$P$45),0)</f>
        <v>13816</v>
      </c>
      <c r="G88" s="222"/>
      <c r="I88" s="12"/>
      <c r="K88" s="3"/>
      <c r="L88" s="3">
        <v>22530</v>
      </c>
      <c r="M88" s="3" t="s">
        <v>334</v>
      </c>
      <c r="N88" s="204">
        <f>-SUMIF('CAM Budget'!$A$65:$A$79,M88,'CAM Budget'!$C$65:$C$79)</f>
        <v>-12770.849999999999</v>
      </c>
      <c r="O88" s="204">
        <f>-SUMIF('CAM Budget'!$A$46:$A$60,M88,'CAM Budget'!$C$46:$C$60)</f>
        <v>-17166.576569999997</v>
      </c>
      <c r="P88" s="214"/>
      <c r="R88" s="257"/>
      <c r="S88" s="264"/>
      <c r="T88" s="260"/>
      <c r="U88" s="260">
        <v>22530</v>
      </c>
      <c r="V88" s="260" t="s">
        <v>334</v>
      </c>
      <c r="W88" s="265"/>
      <c r="X88" s="265"/>
      <c r="Y88" s="263"/>
      <c r="AA88" s="388"/>
      <c r="AB88" s="393"/>
      <c r="AC88" s="362"/>
      <c r="AD88" s="362">
        <v>22530</v>
      </c>
      <c r="AE88" s="362" t="s">
        <v>334</v>
      </c>
      <c r="AF88" s="374">
        <f t="shared" ca="1" si="6"/>
        <v>-2492.8499999999985</v>
      </c>
      <c r="AG88" s="374">
        <f t="shared" ca="1" si="7"/>
        <v>-3350.5765699999974</v>
      </c>
      <c r="AH88" s="392"/>
    </row>
    <row r="89" spans="1:34" x14ac:dyDescent="0.25">
      <c r="A89" s="215"/>
      <c r="B89" s="223" t="s">
        <v>382</v>
      </c>
      <c r="G89" s="214"/>
      <c r="I89" s="12"/>
      <c r="K89" s="223" t="s">
        <v>382</v>
      </c>
      <c r="P89" s="214"/>
      <c r="R89" s="257"/>
      <c r="S89" s="264"/>
      <c r="T89" s="271" t="s">
        <v>382</v>
      </c>
      <c r="U89" s="259"/>
      <c r="V89" s="260"/>
      <c r="W89" s="265"/>
      <c r="X89" s="265"/>
      <c r="Y89" s="263"/>
      <c r="AA89" s="388"/>
      <c r="AB89" s="393"/>
      <c r="AC89" s="399" t="s">
        <v>382</v>
      </c>
      <c r="AD89" s="361"/>
      <c r="AE89" s="362"/>
      <c r="AF89" s="374"/>
      <c r="AG89" s="374"/>
      <c r="AH89" s="392"/>
    </row>
    <row r="90" spans="1:34" ht="15.75" thickBot="1" x14ac:dyDescent="0.3">
      <c r="A90" s="228"/>
      <c r="B90" s="7"/>
      <c r="C90" s="7"/>
      <c r="D90" s="8"/>
      <c r="E90" s="229">
        <f ca="1">SUM(E74:E88)</f>
        <v>0</v>
      </c>
      <c r="F90" s="229">
        <f ca="1">SUM(F74:F88)</f>
        <v>0</v>
      </c>
      <c r="G90" s="230"/>
      <c r="I90" s="9"/>
      <c r="J90" s="231"/>
      <c r="K90" s="7"/>
      <c r="L90" s="7"/>
      <c r="M90" s="8"/>
      <c r="N90" s="229">
        <f>SUM(N74:N88)</f>
        <v>2.1827872842550278E-11</v>
      </c>
      <c r="O90" s="229">
        <f>SUM(O74:O88)</f>
        <v>0</v>
      </c>
      <c r="P90" s="230"/>
      <c r="R90" s="273"/>
      <c r="S90" s="274"/>
      <c r="T90" s="275"/>
      <c r="U90" s="275"/>
      <c r="V90" s="276"/>
      <c r="W90" s="277">
        <f>SUM(W74:W88)</f>
        <v>0</v>
      </c>
      <c r="X90" s="277">
        <f>SUM(X74:X88)</f>
        <v>0</v>
      </c>
      <c r="Y90" s="278"/>
      <c r="AA90" s="401"/>
      <c r="AB90" s="402"/>
      <c r="AC90" s="403"/>
      <c r="AD90" s="403"/>
      <c r="AE90" s="404"/>
      <c r="AF90" s="405">
        <f ca="1">SUM(AF74:AF88)</f>
        <v>1.4551915228366852E-11</v>
      </c>
      <c r="AG90" s="405">
        <f ca="1">SUM(AG74:AG88)</f>
        <v>-2.1827872842550278E-11</v>
      </c>
      <c r="AH90" s="406"/>
    </row>
    <row r="91" spans="1:34" x14ac:dyDescent="0.25">
      <c r="E91" s="224"/>
      <c r="F91" s="224"/>
      <c r="N91" s="224"/>
      <c r="O91" s="224"/>
      <c r="W91" s="224"/>
      <c r="X91" s="224"/>
      <c r="AF91" s="224"/>
      <c r="AG91" s="224"/>
    </row>
    <row r="92" spans="1:34" ht="15.75" thickBot="1" x14ac:dyDescent="0.3"/>
    <row r="93" spans="1:34" outlineLevel="1" x14ac:dyDescent="0.25">
      <c r="A93" s="232"/>
      <c r="B93" s="233" t="s">
        <v>389</v>
      </c>
      <c r="C93" s="16"/>
      <c r="D93" s="17"/>
      <c r="E93" s="206"/>
      <c r="F93" s="234"/>
      <c r="J93" s="35"/>
    </row>
    <row r="94" spans="1:34" outlineLevel="1" x14ac:dyDescent="0.25">
      <c r="A94" s="215"/>
      <c r="E94" s="218" t="s">
        <v>330</v>
      </c>
      <c r="F94" s="235" t="s">
        <v>330</v>
      </c>
    </row>
    <row r="95" spans="1:34" outlineLevel="1" x14ac:dyDescent="0.25">
      <c r="A95" s="226" t="s">
        <v>118</v>
      </c>
      <c r="B95" s="226" t="s">
        <v>118</v>
      </c>
      <c r="C95" s="3" t="s">
        <v>331</v>
      </c>
      <c r="D95" s="3" t="s">
        <v>64</v>
      </c>
      <c r="E95" s="218" t="s">
        <v>166</v>
      </c>
      <c r="F95" s="235" t="s">
        <v>167</v>
      </c>
      <c r="J95" s="35"/>
      <c r="K95" s="3"/>
    </row>
    <row r="96" spans="1:34" outlineLevel="1" x14ac:dyDescent="0.25">
      <c r="A96" s="236">
        <f ca="1">E8+E30+E52+E74-E96</f>
        <v>1</v>
      </c>
      <c r="B96" s="236">
        <f ca="1">F8+F30+F52+F74-F96</f>
        <v>3</v>
      </c>
      <c r="D96" s="3" t="s">
        <v>265</v>
      </c>
      <c r="E96" s="204">
        <f ca="1">ROUND(SUMIF('Allocation Summary'!$B$27:$B$42,D96,'Allocation Summary'!$G$27:$G$42)+'Allocation Summary'!G42,0)-1</f>
        <v>-2887190</v>
      </c>
      <c r="F96" s="237">
        <f ca="1">ROUND(E96*$F$3,0)</f>
        <v>-3880961</v>
      </c>
    </row>
    <row r="97" spans="1:33" outlineLevel="1" x14ac:dyDescent="0.25">
      <c r="A97" s="236">
        <f t="shared" ref="A97:B97" ca="1" si="8">E9+E31+E53+E75-E97</f>
        <v>1</v>
      </c>
      <c r="B97" s="236">
        <f t="shared" ca="1" si="8"/>
        <v>0</v>
      </c>
      <c r="D97" s="3" t="s">
        <v>387</v>
      </c>
      <c r="E97" s="204">
        <f ca="1">ROUND(SUMIF('Allocation Summary'!$B$27:$B$42,D97,'Allocation Summary'!$G$27:$G$42),0)</f>
        <v>-537621</v>
      </c>
      <c r="F97" s="237">
        <f t="shared" ref="F97:F110" ca="1" si="9">ROUND(E97*$F$3,0)</f>
        <v>-722670</v>
      </c>
    </row>
    <row r="98" spans="1:33" outlineLevel="1" x14ac:dyDescent="0.25">
      <c r="A98" s="236">
        <f t="shared" ref="A98:B98" ca="1" si="10">E10+E32+E54+E76-E98</f>
        <v>0</v>
      </c>
      <c r="B98" s="236">
        <f t="shared" ca="1" si="10"/>
        <v>1</v>
      </c>
      <c r="D98" s="3" t="s">
        <v>376</v>
      </c>
      <c r="E98" s="204">
        <f ca="1">ROUND(SUMIF('Allocation Summary'!$B$27:$B$42,D98,'Allocation Summary'!$G$27:$G$42),0)</f>
        <v>28016</v>
      </c>
      <c r="F98" s="237">
        <f t="shared" ca="1" si="9"/>
        <v>37659</v>
      </c>
    </row>
    <row r="99" spans="1:33" outlineLevel="1" x14ac:dyDescent="0.25">
      <c r="A99" s="236">
        <f t="shared" ref="A99:B99" ca="1" si="11">E11+E33+E55+E77-E99</f>
        <v>0</v>
      </c>
      <c r="B99" s="236">
        <f t="shared" ca="1" si="11"/>
        <v>0</v>
      </c>
      <c r="D99" s="3" t="s">
        <v>12</v>
      </c>
      <c r="E99" s="204">
        <f ca="1">ROUND(SUMIF('Allocation Summary'!$B$27:$B$42,D99,'Allocation Summary'!$G$27:$G$42),0)</f>
        <v>256576</v>
      </c>
      <c r="F99" s="237">
        <f t="shared" ca="1" si="9"/>
        <v>344889</v>
      </c>
    </row>
    <row r="100" spans="1:33" outlineLevel="1" x14ac:dyDescent="0.25">
      <c r="A100" s="236">
        <f t="shared" ref="A100:B100" ca="1" si="12">E12+E34+E56+E78-E100</f>
        <v>1</v>
      </c>
      <c r="B100" s="236">
        <f t="shared" ca="1" si="12"/>
        <v>-1</v>
      </c>
      <c r="D100" s="3" t="s">
        <v>8</v>
      </c>
      <c r="E100" s="204">
        <f ca="1">ROUND(SUMIF('Allocation Summary'!$B$27:$B$42,D100,'Allocation Summary'!$G$27:$G$42),0)</f>
        <v>263213</v>
      </c>
      <c r="F100" s="237">
        <f t="shared" ca="1" si="9"/>
        <v>353811</v>
      </c>
    </row>
    <row r="101" spans="1:33" outlineLevel="1" x14ac:dyDescent="0.25">
      <c r="A101" s="236">
        <f t="shared" ref="A101:B101" ca="1" si="13">E13+E35+E57+E79-E101</f>
        <v>0</v>
      </c>
      <c r="B101" s="236">
        <f t="shared" ca="1" si="13"/>
        <v>0</v>
      </c>
      <c r="D101" s="3" t="s">
        <v>164</v>
      </c>
      <c r="E101" s="204">
        <f ca="1">ROUND(SUMIF('Allocation Summary'!$B$27:$B$42,D101,'Allocation Summary'!$G$27:$G$42),0)</f>
        <v>17317</v>
      </c>
      <c r="F101" s="237">
        <f t="shared" ca="1" si="9"/>
        <v>23278</v>
      </c>
    </row>
    <row r="102" spans="1:33" outlineLevel="1" x14ac:dyDescent="0.25">
      <c r="A102" s="236">
        <f t="shared" ref="A102:B102" ca="1" si="14">E14+E36+E58+E80-E102</f>
        <v>-1</v>
      </c>
      <c r="B102" s="236">
        <f t="shared" ca="1" si="14"/>
        <v>-1</v>
      </c>
      <c r="D102" s="3" t="s">
        <v>165</v>
      </c>
      <c r="E102" s="204">
        <f ca="1">ROUND(SUMIF('Allocation Summary'!$B$27:$B$42,D102,'Allocation Summary'!$G$27:$G$42),0)</f>
        <v>28565</v>
      </c>
      <c r="F102" s="237">
        <f t="shared" ca="1" si="9"/>
        <v>38397</v>
      </c>
    </row>
    <row r="103" spans="1:33" outlineLevel="1" x14ac:dyDescent="0.25">
      <c r="A103" s="236">
        <f t="shared" ref="A103:B103" ca="1" si="15">E15+E37+E59+E81-E103</f>
        <v>0</v>
      </c>
      <c r="B103" s="236">
        <f t="shared" ca="1" si="15"/>
        <v>0</v>
      </c>
      <c r="D103" s="3" t="s">
        <v>375</v>
      </c>
      <c r="E103" s="204">
        <f ca="1">ROUND(SUMIF('Allocation Summary'!$B$27:$B$42,D103,'Allocation Summary'!$G$27:$G$42),0)</f>
        <v>229158</v>
      </c>
      <c r="F103" s="237">
        <f t="shared" ca="1" si="9"/>
        <v>308034</v>
      </c>
    </row>
    <row r="104" spans="1:33" outlineLevel="1" x14ac:dyDescent="0.25">
      <c r="A104" s="236">
        <f t="shared" ref="A104:B104" ca="1" si="16">E16+E38+E60+E82-E104</f>
        <v>-1</v>
      </c>
      <c r="B104" s="236">
        <f t="shared" ca="1" si="16"/>
        <v>0</v>
      </c>
      <c r="D104" s="3" t="s">
        <v>18</v>
      </c>
      <c r="E104" s="204">
        <f ca="1">ROUND(SUMIF('Allocation Summary'!$B$27:$B$42,D104,'Allocation Summary'!$G$27:$G$42),0)</f>
        <v>199207</v>
      </c>
      <c r="F104" s="237">
        <f t="shared" ca="1" si="9"/>
        <v>267774</v>
      </c>
    </row>
    <row r="105" spans="1:33" outlineLevel="1" x14ac:dyDescent="0.25">
      <c r="A105" s="236">
        <f t="shared" ref="A105:B105" ca="1" si="17">E17+E39+E61+E83-E105</f>
        <v>0</v>
      </c>
      <c r="B105" s="236">
        <f t="shared" ca="1" si="17"/>
        <v>-1</v>
      </c>
      <c r="D105" s="3" t="s">
        <v>16</v>
      </c>
      <c r="E105" s="204">
        <f ca="1">ROUND(SUMIF('Allocation Summary'!$B$27:$B$42,D105,'Allocation Summary'!$G$27:$G$42),0)</f>
        <v>3372</v>
      </c>
      <c r="F105" s="237">
        <f t="shared" ca="1" si="9"/>
        <v>4533</v>
      </c>
    </row>
    <row r="106" spans="1:33" outlineLevel="1" x14ac:dyDescent="0.25">
      <c r="A106" s="236">
        <f t="shared" ref="A106:B106" ca="1" si="18">E18+E40+E62+E84-E106</f>
        <v>0</v>
      </c>
      <c r="B106" s="236">
        <f t="shared" ca="1" si="18"/>
        <v>0</v>
      </c>
      <c r="D106" s="3" t="s">
        <v>385</v>
      </c>
      <c r="E106" s="204">
        <f ca="1">ROUND(SUMIF('Allocation Summary'!$B$27:$B$42,D106,'Allocation Summary'!$G$27:$G$42),0)</f>
        <v>416610</v>
      </c>
      <c r="F106" s="237">
        <f t="shared" ca="1" si="9"/>
        <v>560007</v>
      </c>
    </row>
    <row r="107" spans="1:33" outlineLevel="1" x14ac:dyDescent="0.25">
      <c r="A107" s="236">
        <f t="shared" ref="A107:B107" ca="1" si="19">E19+E41+E63+E85-E107</f>
        <v>0</v>
      </c>
      <c r="B107" s="236">
        <f t="shared" ca="1" si="19"/>
        <v>0</v>
      </c>
      <c r="D107" s="3" t="s">
        <v>384</v>
      </c>
      <c r="E107" s="204">
        <f ca="1">ROUND(SUMIF('Allocation Summary'!$B$27:$B$42,D107,'Allocation Summary'!$G$27:$G$42),0)</f>
        <v>13106</v>
      </c>
      <c r="F107" s="237">
        <f t="shared" ca="1" si="9"/>
        <v>17617</v>
      </c>
    </row>
    <row r="108" spans="1:33" outlineLevel="1" x14ac:dyDescent="0.25">
      <c r="A108" s="236">
        <f t="shared" ref="A108:B108" ca="1" si="20">E20+E42+E64+E86-E108</f>
        <v>0</v>
      </c>
      <c r="B108" s="236">
        <f t="shared" ca="1" si="20"/>
        <v>0</v>
      </c>
      <c r="C108" s="3"/>
      <c r="D108" s="3" t="s">
        <v>386</v>
      </c>
      <c r="E108" s="204">
        <f ca="1">ROUND(SUMIF('Allocation Summary'!$B$27:$B$42,D108,'Allocation Summary'!$G$27:$G$42),0)</f>
        <v>245014</v>
      </c>
      <c r="F108" s="237">
        <f t="shared" ca="1" si="9"/>
        <v>329348</v>
      </c>
    </row>
    <row r="109" spans="1:33" outlineLevel="1" x14ac:dyDescent="0.25">
      <c r="A109" s="236">
        <f t="shared" ref="A109:B109" ca="1" si="21">E21+E43+E65+E87-E109</f>
        <v>0</v>
      </c>
      <c r="B109" s="236">
        <f t="shared" ca="1" si="21"/>
        <v>0</v>
      </c>
      <c r="D109" s="3" t="s">
        <v>388</v>
      </c>
      <c r="E109" s="204">
        <f ca="1">ROUND(SUMIF('Allocation Summary'!$B$27:$B$42,D109,'Allocation Summary'!$G$27:$G$42),0)</f>
        <v>1435785</v>
      </c>
      <c r="F109" s="237">
        <f t="shared" ca="1" si="9"/>
        <v>1929982</v>
      </c>
    </row>
    <row r="110" spans="1:33" outlineLevel="1" x14ac:dyDescent="0.25">
      <c r="A110" s="236">
        <f t="shared" ref="A110:B110" ca="1" si="22">E22+E44+E66+E88-E110</f>
        <v>-1</v>
      </c>
      <c r="B110" s="236">
        <f t="shared" ca="1" si="22"/>
        <v>-1</v>
      </c>
      <c r="D110" s="3" t="s">
        <v>334</v>
      </c>
      <c r="E110" s="204">
        <f ca="1">ROUND(SUMIF('Allocation Summary'!$B$27:$B$42,D110,'Allocation Summary'!$G$27:$G$42),0)</f>
        <v>288872</v>
      </c>
      <c r="F110" s="237">
        <f t="shared" ca="1" si="9"/>
        <v>388302</v>
      </c>
    </row>
    <row r="111" spans="1:33" ht="15.75" outlineLevel="1" thickBot="1" x14ac:dyDescent="0.3">
      <c r="A111" s="238"/>
      <c r="B111" s="239"/>
      <c r="C111" s="7"/>
      <c r="D111" s="8"/>
      <c r="E111" s="229">
        <f ca="1">SUM(E96:E110)</f>
        <v>0</v>
      </c>
      <c r="F111" s="240">
        <f ca="1">SUM(F96:F110)</f>
        <v>0</v>
      </c>
      <c r="AF111" s="80">
        <f ca="1">(AF117+AF118)/N117</f>
        <v>0.22423673823641596</v>
      </c>
      <c r="AG111" s="204" t="str">
        <f ca="1">IF(AF111&gt;0,"less overhead cost incurred compared with budget CAM","more overhead cost incurred compared with budget CAM")</f>
        <v>less overhead cost incurred compared with budget CAM</v>
      </c>
    </row>
    <row r="114" spans="1:36" s="242" customFormat="1" x14ac:dyDescent="0.25">
      <c r="A114" s="241"/>
      <c r="D114" s="243"/>
      <c r="E114" s="244"/>
      <c r="F114" s="244"/>
      <c r="J114" s="241"/>
      <c r="M114" s="243"/>
      <c r="N114" s="244"/>
      <c r="O114" s="244"/>
      <c r="S114" s="241"/>
      <c r="V114" s="243"/>
      <c r="W114" s="244"/>
      <c r="X114" s="244"/>
      <c r="AB114" s="241"/>
      <c r="AE114" s="243"/>
      <c r="AF114" s="244"/>
      <c r="AG114" s="244"/>
    </row>
    <row r="115" spans="1:36" s="242" customFormat="1" x14ac:dyDescent="0.25">
      <c r="A115" s="241"/>
      <c r="B115" s="241" t="s">
        <v>433</v>
      </c>
      <c r="D115" s="243"/>
      <c r="E115" s="245" t="s">
        <v>330</v>
      </c>
      <c r="F115" s="245" t="s">
        <v>330</v>
      </c>
      <c r="J115" s="241"/>
      <c r="M115" s="243"/>
      <c r="N115" s="245" t="s">
        <v>330</v>
      </c>
      <c r="O115" s="245" t="s">
        <v>330</v>
      </c>
      <c r="S115" s="241"/>
      <c r="V115" s="243"/>
      <c r="W115" s="245" t="s">
        <v>330</v>
      </c>
      <c r="X115" s="245" t="s">
        <v>330</v>
      </c>
      <c r="AB115" s="241"/>
      <c r="AE115" s="243"/>
      <c r="AF115" s="245" t="s">
        <v>330</v>
      </c>
      <c r="AG115" s="245" t="s">
        <v>330</v>
      </c>
    </row>
    <row r="116" spans="1:36" s="242" customFormat="1" x14ac:dyDescent="0.25">
      <c r="A116" s="241"/>
      <c r="D116" s="243"/>
      <c r="E116" s="245" t="s">
        <v>166</v>
      </c>
      <c r="F116" s="245" t="s">
        <v>167</v>
      </c>
      <c r="G116" s="245"/>
      <c r="J116" s="241"/>
      <c r="M116" s="243"/>
      <c r="N116" s="245" t="s">
        <v>166</v>
      </c>
      <c r="O116" s="245" t="s">
        <v>167</v>
      </c>
      <c r="S116" s="241"/>
      <c r="V116" s="243"/>
      <c r="W116" s="245" t="s">
        <v>166</v>
      </c>
      <c r="X116" s="245" t="s">
        <v>167</v>
      </c>
      <c r="AB116" s="241"/>
      <c r="AE116" s="243"/>
      <c r="AF116" s="245" t="s">
        <v>166</v>
      </c>
      <c r="AG116" s="245" t="s">
        <v>167</v>
      </c>
      <c r="AI116" s="246"/>
    </row>
    <row r="117" spans="1:36" s="242" customFormat="1" x14ac:dyDescent="0.25">
      <c r="A117" s="241"/>
      <c r="D117" s="243" t="s">
        <v>265</v>
      </c>
      <c r="E117" s="245">
        <f ca="1">+E8+E30+E52+E74</f>
        <v>-2887189</v>
      </c>
      <c r="F117" s="245">
        <f ca="1">+F8+F30+F52+F74</f>
        <v>-3880958</v>
      </c>
      <c r="G117" s="247"/>
      <c r="J117" s="241"/>
      <c r="M117" s="243" t="s">
        <v>265</v>
      </c>
      <c r="N117" s="245">
        <f>+N8+N30+N52+N74</f>
        <v>3293766.7661538464</v>
      </c>
      <c r="O117" s="245">
        <f>+O8+O30+O52+O74</f>
        <v>4377543.2116374504</v>
      </c>
      <c r="P117" s="292">
        <f>O117/N117</f>
        <v>1.3290386121507738</v>
      </c>
      <c r="S117" s="241"/>
      <c r="V117" s="243" t="s">
        <v>265</v>
      </c>
      <c r="W117" s="245">
        <f>+W8+W30+W52+W74</f>
        <v>0</v>
      </c>
      <c r="X117" s="245">
        <f>+X8+X30+X52+X74</f>
        <v>0</v>
      </c>
      <c r="Y117" s="244" t="e">
        <f t="shared" ref="Y117:Y131" si="23">X117/W117</f>
        <v>#DIV/0!</v>
      </c>
      <c r="AB117" s="241"/>
      <c r="AE117" s="243" t="s">
        <v>265</v>
      </c>
      <c r="AF117" s="245">
        <f ca="1">+AF8+AF30+AF52+AF74</f>
        <v>406577.7661538464</v>
      </c>
      <c r="AG117" s="245">
        <f ca="1">+AG8+AG30+AG52+AG74</f>
        <v>496585.21163745067</v>
      </c>
      <c r="AI117" s="248">
        <f t="shared" ref="AI117:AI131" ca="1" si="24">E117+N117+W117-AF117</f>
        <v>0</v>
      </c>
      <c r="AJ117" s="248">
        <f t="shared" ref="AJ117:AJ131" ca="1" si="25">F117+O117+X117-AG117</f>
        <v>0</v>
      </c>
    </row>
    <row r="118" spans="1:36" s="242" customFormat="1" x14ac:dyDescent="0.25">
      <c r="A118" s="241"/>
      <c r="C118" s="242">
        <v>22564</v>
      </c>
      <c r="D118" s="243" t="s">
        <v>387</v>
      </c>
      <c r="E118" s="245">
        <f t="shared" ref="E118:F131" ca="1" si="26">+E9+E31+E53+E75</f>
        <v>-537620</v>
      </c>
      <c r="F118" s="245">
        <f t="shared" ca="1" si="26"/>
        <v>-722670</v>
      </c>
      <c r="G118" s="247"/>
      <c r="J118" s="241"/>
      <c r="L118" s="242">
        <v>22564</v>
      </c>
      <c r="M118" s="243" t="s">
        <v>387</v>
      </c>
      <c r="N118" s="245">
        <f t="shared" ref="N118:O118" si="27">+N9+N31+N53+N75</f>
        <v>869625.75</v>
      </c>
      <c r="O118" s="245">
        <f t="shared" si="27"/>
        <v>1168950.9331499999</v>
      </c>
      <c r="P118" s="292">
        <f t="shared" ref="P118:P131" si="28">O118/N118</f>
        <v>1.3441999999999998</v>
      </c>
      <c r="S118" s="241"/>
      <c r="U118" s="242">
        <v>22564</v>
      </c>
      <c r="V118" s="243" t="s">
        <v>387</v>
      </c>
      <c r="W118" s="245">
        <f t="shared" ref="W118:X118" si="29">+W9+W31+W53+W75</f>
        <v>0</v>
      </c>
      <c r="X118" s="245">
        <f t="shared" si="29"/>
        <v>0</v>
      </c>
      <c r="Y118" s="244" t="e">
        <f t="shared" si="23"/>
        <v>#DIV/0!</v>
      </c>
      <c r="AB118" s="241"/>
      <c r="AD118" s="242">
        <v>22564</v>
      </c>
      <c r="AE118" s="243" t="s">
        <v>387</v>
      </c>
      <c r="AF118" s="245">
        <f t="shared" ref="AF118:AG118" ca="1" si="30">+AF9+AF31+AF53+AF75</f>
        <v>332005.75</v>
      </c>
      <c r="AG118" s="245">
        <f t="shared" ca="1" si="30"/>
        <v>446280.93314999994</v>
      </c>
      <c r="AI118" s="248">
        <f t="shared" ca="1" si="24"/>
        <v>0</v>
      </c>
      <c r="AJ118" s="248">
        <f t="shared" ca="1" si="25"/>
        <v>0</v>
      </c>
    </row>
    <row r="119" spans="1:36" s="242" customFormat="1" x14ac:dyDescent="0.25">
      <c r="A119" s="241"/>
      <c r="C119" s="242">
        <v>22524</v>
      </c>
      <c r="D119" s="243" t="s">
        <v>376</v>
      </c>
      <c r="E119" s="245">
        <f t="shared" ca="1" si="26"/>
        <v>28016</v>
      </c>
      <c r="F119" s="245">
        <f t="shared" ca="1" si="26"/>
        <v>37660</v>
      </c>
      <c r="G119" s="247"/>
      <c r="J119" s="241"/>
      <c r="L119" s="242">
        <v>22524</v>
      </c>
      <c r="M119" s="243" t="s">
        <v>376</v>
      </c>
      <c r="N119" s="245">
        <f t="shared" ref="N119:O119" si="31">+N10+N32+N54+N76</f>
        <v>-35624.97</v>
      </c>
      <c r="O119" s="245">
        <f t="shared" si="31"/>
        <v>-47887.084673999991</v>
      </c>
      <c r="P119" s="292">
        <f t="shared" si="28"/>
        <v>1.3441999999999996</v>
      </c>
      <c r="S119" s="241"/>
      <c r="U119" s="242">
        <v>22524</v>
      </c>
      <c r="V119" s="243" t="s">
        <v>376</v>
      </c>
      <c r="W119" s="245">
        <f t="shared" ref="W119:X119" si="32">+W10+W32+W54+W76</f>
        <v>0</v>
      </c>
      <c r="X119" s="245">
        <f t="shared" si="32"/>
        <v>0</v>
      </c>
      <c r="Y119" s="244" t="e">
        <f t="shared" si="23"/>
        <v>#DIV/0!</v>
      </c>
      <c r="AB119" s="241"/>
      <c r="AD119" s="242">
        <v>22524</v>
      </c>
      <c r="AE119" s="243" t="s">
        <v>376</v>
      </c>
      <c r="AF119" s="245">
        <f t="shared" ref="AF119:AG119" ca="1" si="33">+AF10+AF32+AF54+AF76</f>
        <v>-7608.9699999999993</v>
      </c>
      <c r="AG119" s="245">
        <f t="shared" ca="1" si="33"/>
        <v>-10227.084673999994</v>
      </c>
      <c r="AI119" s="248">
        <f t="shared" ca="1" si="24"/>
        <v>0</v>
      </c>
      <c r="AJ119" s="248">
        <f t="shared" ca="1" si="25"/>
        <v>0</v>
      </c>
    </row>
    <row r="120" spans="1:36" s="242" customFormat="1" x14ac:dyDescent="0.25">
      <c r="A120" s="241"/>
      <c r="C120" s="242">
        <v>22521</v>
      </c>
      <c r="D120" s="243" t="s">
        <v>12</v>
      </c>
      <c r="E120" s="245">
        <f t="shared" ca="1" si="26"/>
        <v>256576</v>
      </c>
      <c r="F120" s="245">
        <f t="shared" ca="1" si="26"/>
        <v>344889</v>
      </c>
      <c r="G120" s="247"/>
      <c r="J120" s="241"/>
      <c r="L120" s="242">
        <v>22521</v>
      </c>
      <c r="M120" s="243" t="s">
        <v>12</v>
      </c>
      <c r="N120" s="245">
        <f t="shared" ref="N120:O120" si="34">+N11+N33+N55+N77</f>
        <v>-292899.81461538462</v>
      </c>
      <c r="O120" s="245">
        <f t="shared" si="34"/>
        <v>-380572.41</v>
      </c>
      <c r="P120" s="292">
        <f t="shared" si="28"/>
        <v>1.2993262235407723</v>
      </c>
      <c r="S120" s="241"/>
      <c r="U120" s="242">
        <v>22521</v>
      </c>
      <c r="V120" s="243" t="s">
        <v>12</v>
      </c>
      <c r="W120" s="245">
        <f t="shared" ref="W120:X120" si="35">+W11+W33+W55+W77</f>
        <v>0</v>
      </c>
      <c r="X120" s="245">
        <f t="shared" si="35"/>
        <v>0</v>
      </c>
      <c r="Y120" s="244" t="e">
        <f t="shared" si="23"/>
        <v>#DIV/0!</v>
      </c>
      <c r="AB120" s="241"/>
      <c r="AD120" s="242">
        <v>22521</v>
      </c>
      <c r="AE120" s="243" t="s">
        <v>12</v>
      </c>
      <c r="AF120" s="245">
        <f t="shared" ref="AF120:AG120" ca="1" si="36">+AF11+AF33+AF55+AF77</f>
        <v>-36323.814615384625</v>
      </c>
      <c r="AG120" s="245">
        <f t="shared" ca="1" si="36"/>
        <v>-35683.409999999953</v>
      </c>
      <c r="AI120" s="248">
        <f t="shared" ca="1" si="24"/>
        <v>0</v>
      </c>
      <c r="AJ120" s="248">
        <f t="shared" ca="1" si="25"/>
        <v>0</v>
      </c>
    </row>
    <row r="121" spans="1:36" s="242" customFormat="1" x14ac:dyDescent="0.25">
      <c r="A121" s="241"/>
      <c r="C121" s="242">
        <v>22522</v>
      </c>
      <c r="D121" s="243" t="s">
        <v>8</v>
      </c>
      <c r="E121" s="245">
        <f t="shared" ca="1" si="26"/>
        <v>263214</v>
      </c>
      <c r="F121" s="245">
        <f t="shared" ca="1" si="26"/>
        <v>353810</v>
      </c>
      <c r="G121" s="247"/>
      <c r="J121" s="241"/>
      <c r="L121" s="242">
        <v>22522</v>
      </c>
      <c r="M121" s="243" t="s">
        <v>8</v>
      </c>
      <c r="N121" s="245">
        <f t="shared" ref="N121:O121" si="37">+N12+N34+N56+N78</f>
        <v>-294174.19153846148</v>
      </c>
      <c r="O121" s="245">
        <f t="shared" si="37"/>
        <v>-382624.02</v>
      </c>
      <c r="P121" s="292">
        <f t="shared" si="28"/>
        <v>1.3006716122817126</v>
      </c>
      <c r="S121" s="241"/>
      <c r="U121" s="242">
        <v>22522</v>
      </c>
      <c r="V121" s="243" t="s">
        <v>8</v>
      </c>
      <c r="W121" s="245">
        <f t="shared" ref="W121:X121" si="38">+W12+W34+W56+W78</f>
        <v>0</v>
      </c>
      <c r="X121" s="245">
        <f t="shared" si="38"/>
        <v>0</v>
      </c>
      <c r="Y121" s="244" t="e">
        <f t="shared" si="23"/>
        <v>#DIV/0!</v>
      </c>
      <c r="AB121" s="241"/>
      <c r="AD121" s="242">
        <v>22522</v>
      </c>
      <c r="AE121" s="243" t="s">
        <v>8</v>
      </c>
      <c r="AF121" s="245">
        <f t="shared" ref="AF121:AG121" ca="1" si="39">+AF12+AF34+AF56+AF78</f>
        <v>-30960.191538461502</v>
      </c>
      <c r="AG121" s="245">
        <f t="shared" ca="1" si="39"/>
        <v>-28814.020000000022</v>
      </c>
      <c r="AI121" s="248">
        <f t="shared" ca="1" si="24"/>
        <v>0</v>
      </c>
      <c r="AJ121" s="248">
        <f t="shared" ca="1" si="25"/>
        <v>0</v>
      </c>
    </row>
    <row r="122" spans="1:36" s="242" customFormat="1" x14ac:dyDescent="0.25">
      <c r="A122" s="241"/>
      <c r="C122" s="242">
        <v>22532</v>
      </c>
      <c r="D122" s="243" t="s">
        <v>164</v>
      </c>
      <c r="E122" s="245">
        <f t="shared" ca="1" si="26"/>
        <v>17317</v>
      </c>
      <c r="F122" s="245">
        <f t="shared" ca="1" si="26"/>
        <v>23278</v>
      </c>
      <c r="G122" s="247"/>
      <c r="J122" s="241"/>
      <c r="L122" s="242">
        <v>22532</v>
      </c>
      <c r="M122" s="243" t="s">
        <v>164</v>
      </c>
      <c r="N122" s="245">
        <f t="shared" ref="N122:O122" si="40">+N13+N35+N57+N79</f>
        <v>-19571.099999999999</v>
      </c>
      <c r="O122" s="245">
        <f t="shared" si="40"/>
        <v>-25442.453761138637</v>
      </c>
      <c r="P122" s="292">
        <f t="shared" si="28"/>
        <v>1.3000012140931598</v>
      </c>
      <c r="S122" s="241"/>
      <c r="U122" s="242">
        <v>22532</v>
      </c>
      <c r="V122" s="243" t="s">
        <v>164</v>
      </c>
      <c r="W122" s="245">
        <f t="shared" ref="W122:X122" si="41">+W13+W35+W57+W79</f>
        <v>0</v>
      </c>
      <c r="X122" s="245">
        <f t="shared" si="41"/>
        <v>0</v>
      </c>
      <c r="Y122" s="244" t="e">
        <f t="shared" si="23"/>
        <v>#DIV/0!</v>
      </c>
      <c r="AB122" s="241"/>
      <c r="AD122" s="242">
        <v>22532</v>
      </c>
      <c r="AE122" s="243" t="s">
        <v>164</v>
      </c>
      <c r="AF122" s="245">
        <f t="shared" ref="AF122:AG122" ca="1" si="42">+AF13+AF35+AF57+AF79</f>
        <v>-2254.099999999999</v>
      </c>
      <c r="AG122" s="245">
        <f t="shared" ca="1" si="42"/>
        <v>-2164.4537611386381</v>
      </c>
      <c r="AI122" s="248">
        <f t="shared" ca="1" si="24"/>
        <v>0</v>
      </c>
      <c r="AJ122" s="248">
        <f t="shared" ca="1" si="25"/>
        <v>0</v>
      </c>
    </row>
    <row r="123" spans="1:36" s="242" customFormat="1" x14ac:dyDescent="0.25">
      <c r="A123" s="241"/>
      <c r="C123" s="242">
        <v>22541</v>
      </c>
      <c r="D123" s="243" t="s">
        <v>165</v>
      </c>
      <c r="E123" s="245">
        <f t="shared" ca="1" si="26"/>
        <v>28564</v>
      </c>
      <c r="F123" s="245">
        <f t="shared" ca="1" si="26"/>
        <v>38396</v>
      </c>
      <c r="G123" s="247"/>
      <c r="J123" s="241"/>
      <c r="L123" s="242">
        <v>22541</v>
      </c>
      <c r="M123" s="243" t="s">
        <v>165</v>
      </c>
      <c r="N123" s="245">
        <f t="shared" ref="N123:O123" si="43">+N14+N36+N58+N80</f>
        <v>-32221.410000000003</v>
      </c>
      <c r="O123" s="245">
        <f t="shared" si="43"/>
        <v>-41887.84839602295</v>
      </c>
      <c r="P123" s="292">
        <f t="shared" si="28"/>
        <v>1.300000477819653</v>
      </c>
      <c r="S123" s="241"/>
      <c r="U123" s="242">
        <v>22541</v>
      </c>
      <c r="V123" s="243" t="s">
        <v>165</v>
      </c>
      <c r="W123" s="245">
        <f t="shared" ref="W123:X123" si="44">+W14+W36+W58+W80</f>
        <v>0</v>
      </c>
      <c r="X123" s="245">
        <f t="shared" si="44"/>
        <v>0</v>
      </c>
      <c r="Y123" s="244" t="e">
        <f t="shared" si="23"/>
        <v>#DIV/0!</v>
      </c>
      <c r="AB123" s="241"/>
      <c r="AD123" s="242">
        <v>22541</v>
      </c>
      <c r="AE123" s="243" t="s">
        <v>165</v>
      </c>
      <c r="AF123" s="245">
        <f t="shared" ref="AF123:AG123" ca="1" si="45">+AF14+AF36+AF58+AF80</f>
        <v>-3657.4100000000026</v>
      </c>
      <c r="AG123" s="245">
        <f t="shared" ca="1" si="45"/>
        <v>-3491.8483960229473</v>
      </c>
      <c r="AI123" s="248">
        <f t="shared" ca="1" si="24"/>
        <v>0</v>
      </c>
      <c r="AJ123" s="248">
        <f t="shared" ca="1" si="25"/>
        <v>0</v>
      </c>
    </row>
    <row r="124" spans="1:36" s="242" customFormat="1" x14ac:dyDescent="0.25">
      <c r="A124" s="241"/>
      <c r="C124" s="242">
        <v>22527</v>
      </c>
      <c r="D124" s="243" t="s">
        <v>375</v>
      </c>
      <c r="E124" s="245">
        <f t="shared" ca="1" si="26"/>
        <v>229158</v>
      </c>
      <c r="F124" s="245">
        <f t="shared" ca="1" si="26"/>
        <v>308034</v>
      </c>
      <c r="G124" s="247"/>
      <c r="J124" s="241"/>
      <c r="L124" s="242">
        <v>22527</v>
      </c>
      <c r="M124" s="243" t="s">
        <v>375</v>
      </c>
      <c r="N124" s="245">
        <f t="shared" ref="N124:O124" si="46">+N15+N37+N59+N81</f>
        <v>-256927.11000000002</v>
      </c>
      <c r="O124" s="245">
        <f t="shared" si="46"/>
        <v>-334005.57870703802</v>
      </c>
      <c r="P124" s="292">
        <f t="shared" si="28"/>
        <v>1.3000013066236491</v>
      </c>
      <c r="S124" s="241"/>
      <c r="U124" s="242">
        <v>22527</v>
      </c>
      <c r="V124" s="243" t="s">
        <v>375</v>
      </c>
      <c r="W124" s="245">
        <f t="shared" ref="W124:X124" si="47">+W15+W37+W59+W81</f>
        <v>0</v>
      </c>
      <c r="X124" s="245">
        <f t="shared" si="47"/>
        <v>0</v>
      </c>
      <c r="Y124" s="244" t="e">
        <f t="shared" si="23"/>
        <v>#DIV/0!</v>
      </c>
      <c r="AB124" s="241"/>
      <c r="AD124" s="242">
        <v>22527</v>
      </c>
      <c r="AE124" s="243" t="s">
        <v>375</v>
      </c>
      <c r="AF124" s="245">
        <f t="shared" ref="AF124:AG124" ca="1" si="48">+AF15+AF37+AF59+AF81</f>
        <v>-27769.110000000004</v>
      </c>
      <c r="AG124" s="245">
        <f t="shared" ca="1" si="48"/>
        <v>-25971.578707038036</v>
      </c>
      <c r="AI124" s="248">
        <f t="shared" ca="1" si="24"/>
        <v>0</v>
      </c>
      <c r="AJ124" s="248">
        <f t="shared" ca="1" si="25"/>
        <v>0</v>
      </c>
    </row>
    <row r="125" spans="1:36" s="242" customFormat="1" x14ac:dyDescent="0.25">
      <c r="A125" s="241"/>
      <c r="C125" s="242">
        <v>22539</v>
      </c>
      <c r="D125" s="243" t="s">
        <v>18</v>
      </c>
      <c r="E125" s="245">
        <f t="shared" ca="1" si="26"/>
        <v>199206</v>
      </c>
      <c r="F125" s="245">
        <f t="shared" ca="1" si="26"/>
        <v>267774</v>
      </c>
      <c r="G125" s="247"/>
      <c r="J125" s="241"/>
      <c r="L125" s="242">
        <v>22539</v>
      </c>
      <c r="M125" s="243" t="s">
        <v>18</v>
      </c>
      <c r="N125" s="245">
        <f t="shared" ref="N125:O125" si="49">+N16+N38+N60+N82</f>
        <v>-230222.90999999997</v>
      </c>
      <c r="O125" s="245">
        <f t="shared" si="49"/>
        <v>-299290.04516173201</v>
      </c>
      <c r="P125" s="292">
        <f t="shared" si="28"/>
        <v>1.3000011387299901</v>
      </c>
      <c r="S125" s="241"/>
      <c r="U125" s="242">
        <v>22539</v>
      </c>
      <c r="V125" s="243" t="s">
        <v>18</v>
      </c>
      <c r="W125" s="245">
        <f t="shared" ref="W125:X125" si="50">+W16+W38+W60+W82</f>
        <v>0</v>
      </c>
      <c r="X125" s="245">
        <f t="shared" si="50"/>
        <v>0</v>
      </c>
      <c r="Y125" s="244" t="e">
        <f t="shared" si="23"/>
        <v>#DIV/0!</v>
      </c>
      <c r="AB125" s="241"/>
      <c r="AD125" s="242">
        <v>22539</v>
      </c>
      <c r="AE125" s="243" t="s">
        <v>18</v>
      </c>
      <c r="AF125" s="245">
        <f t="shared" ref="AF125:AG125" ca="1" si="51">+AF16+AF38+AF60+AF82</f>
        <v>-31016.909999999985</v>
      </c>
      <c r="AG125" s="245">
        <f t="shared" ca="1" si="51"/>
        <v>-31516.045161731985</v>
      </c>
      <c r="AI125" s="248">
        <f t="shared" ca="1" si="24"/>
        <v>0</v>
      </c>
      <c r="AJ125" s="248">
        <f t="shared" ca="1" si="25"/>
        <v>0</v>
      </c>
    </row>
    <row r="126" spans="1:36" s="242" customFormat="1" x14ac:dyDescent="0.25">
      <c r="A126" s="241"/>
      <c r="C126" s="242">
        <v>22546</v>
      </c>
      <c r="D126" s="243" t="s">
        <v>16</v>
      </c>
      <c r="E126" s="245">
        <f t="shared" ca="1" si="26"/>
        <v>3372</v>
      </c>
      <c r="F126" s="245">
        <f t="shared" ca="1" si="26"/>
        <v>4532</v>
      </c>
      <c r="G126" s="247"/>
      <c r="J126" s="241"/>
      <c r="L126" s="242">
        <v>22546</v>
      </c>
      <c r="M126" s="243" t="s">
        <v>16</v>
      </c>
      <c r="N126" s="245">
        <f t="shared" ref="N126:O126" si="52">+N17+N39+N61+N83</f>
        <v>-3823.95</v>
      </c>
      <c r="O126" s="245">
        <f t="shared" si="52"/>
        <v>-4971.1500355188991</v>
      </c>
      <c r="P126" s="292">
        <f t="shared" si="28"/>
        <v>1.3000039319339687</v>
      </c>
      <c r="S126" s="241"/>
      <c r="U126" s="242">
        <v>22546</v>
      </c>
      <c r="V126" s="243" t="s">
        <v>16</v>
      </c>
      <c r="W126" s="245">
        <f t="shared" ref="W126:X126" si="53">+W17+W39+W61+W83</f>
        <v>0</v>
      </c>
      <c r="X126" s="245">
        <f t="shared" si="53"/>
        <v>0</v>
      </c>
      <c r="Y126" s="244" t="e">
        <f t="shared" si="23"/>
        <v>#DIV/0!</v>
      </c>
      <c r="AB126" s="241"/>
      <c r="AD126" s="242">
        <v>22546</v>
      </c>
      <c r="AE126" s="243" t="s">
        <v>16</v>
      </c>
      <c r="AF126" s="245">
        <f t="shared" ref="AF126:AG126" ca="1" si="54">+AF17+AF39+AF61+AF83</f>
        <v>-451.94999999999965</v>
      </c>
      <c r="AG126" s="245">
        <f t="shared" ca="1" si="54"/>
        <v>-439.15003551889896</v>
      </c>
      <c r="AI126" s="248">
        <f t="shared" ca="1" si="24"/>
        <v>0</v>
      </c>
      <c r="AJ126" s="248">
        <f t="shared" ca="1" si="25"/>
        <v>0</v>
      </c>
    </row>
    <row r="127" spans="1:36" s="242" customFormat="1" x14ac:dyDescent="0.25">
      <c r="A127" s="241"/>
      <c r="C127" s="242">
        <v>22554</v>
      </c>
      <c r="D127" s="243" t="s">
        <v>385</v>
      </c>
      <c r="E127" s="245">
        <f t="shared" ca="1" si="26"/>
        <v>416610</v>
      </c>
      <c r="F127" s="245">
        <f t="shared" ca="1" si="26"/>
        <v>560007</v>
      </c>
      <c r="G127" s="247"/>
      <c r="J127" s="241"/>
      <c r="L127" s="242">
        <v>22554</v>
      </c>
      <c r="M127" s="243" t="s">
        <v>385</v>
      </c>
      <c r="N127" s="245">
        <f t="shared" ref="N127:O127" si="55">+N18+N40+N62+N84</f>
        <v>-508521.77999999997</v>
      </c>
      <c r="O127" s="245">
        <f t="shared" si="55"/>
        <v>-683554.97667599993</v>
      </c>
      <c r="P127" s="292">
        <f t="shared" si="28"/>
        <v>1.3441999999999998</v>
      </c>
      <c r="S127" s="241"/>
      <c r="U127" s="242">
        <v>22554</v>
      </c>
      <c r="V127" s="243" t="s">
        <v>385</v>
      </c>
      <c r="W127" s="245">
        <f t="shared" ref="W127:X127" si="56">+W18+W40+W62+W84</f>
        <v>0</v>
      </c>
      <c r="X127" s="245">
        <f t="shared" si="56"/>
        <v>0</v>
      </c>
      <c r="Y127" s="244" t="e">
        <f t="shared" si="23"/>
        <v>#DIV/0!</v>
      </c>
      <c r="AB127" s="241"/>
      <c r="AD127" s="242">
        <v>22554</v>
      </c>
      <c r="AE127" s="243" t="s">
        <v>385</v>
      </c>
      <c r="AF127" s="245">
        <f t="shared" ref="AF127:AG127" ca="1" si="57">+AF18+AF40+AF62+AF84</f>
        <v>-91911.77999999997</v>
      </c>
      <c r="AG127" s="245">
        <f t="shared" ca="1" si="57"/>
        <v>-123547.97667599998</v>
      </c>
      <c r="AI127" s="248">
        <f t="shared" ca="1" si="24"/>
        <v>0</v>
      </c>
      <c r="AJ127" s="248">
        <f t="shared" ca="1" si="25"/>
        <v>0</v>
      </c>
    </row>
    <row r="128" spans="1:36" s="242" customFormat="1" x14ac:dyDescent="0.25">
      <c r="A128" s="241"/>
      <c r="C128" s="242">
        <v>22572</v>
      </c>
      <c r="D128" s="243" t="s">
        <v>384</v>
      </c>
      <c r="E128" s="245">
        <f t="shared" ca="1" si="26"/>
        <v>13106</v>
      </c>
      <c r="F128" s="245">
        <f t="shared" ca="1" si="26"/>
        <v>17617</v>
      </c>
      <c r="G128" s="247"/>
      <c r="J128" s="241"/>
      <c r="L128" s="242">
        <v>22572</v>
      </c>
      <c r="M128" s="243" t="s">
        <v>384</v>
      </c>
      <c r="N128" s="245">
        <f t="shared" ref="N128:O128" si="58">+N19+N41+N63+N85</f>
        <v>-16001.85</v>
      </c>
      <c r="O128" s="245">
        <f t="shared" si="58"/>
        <v>-21509.686769999997</v>
      </c>
      <c r="P128" s="292">
        <f t="shared" si="28"/>
        <v>1.3441999999999998</v>
      </c>
      <c r="S128" s="241"/>
      <c r="U128" s="242">
        <v>22572</v>
      </c>
      <c r="V128" s="243" t="s">
        <v>384</v>
      </c>
      <c r="W128" s="245">
        <f t="shared" ref="W128:X128" si="59">+W19+W41+W63+W85</f>
        <v>0</v>
      </c>
      <c r="X128" s="245">
        <f t="shared" si="59"/>
        <v>0</v>
      </c>
      <c r="Y128" s="244" t="e">
        <f t="shared" si="23"/>
        <v>#DIV/0!</v>
      </c>
      <c r="AB128" s="241"/>
      <c r="AD128" s="242">
        <v>22572</v>
      </c>
      <c r="AE128" s="243" t="s">
        <v>384</v>
      </c>
      <c r="AF128" s="245">
        <f t="shared" ref="AF128:AG128" ca="1" si="60">+AF19+AF41+AF63+AF85</f>
        <v>-2895.8499999999995</v>
      </c>
      <c r="AG128" s="245">
        <f t="shared" ca="1" si="60"/>
        <v>-3892.6867699999984</v>
      </c>
      <c r="AI128" s="248">
        <f t="shared" ca="1" si="24"/>
        <v>0</v>
      </c>
      <c r="AJ128" s="248">
        <f t="shared" ca="1" si="25"/>
        <v>0</v>
      </c>
    </row>
    <row r="129" spans="1:36" s="242" customFormat="1" x14ac:dyDescent="0.25">
      <c r="A129" s="241"/>
      <c r="C129" s="242">
        <v>22569</v>
      </c>
      <c r="D129" s="243" t="s">
        <v>386</v>
      </c>
      <c r="E129" s="245">
        <f t="shared" ca="1" si="26"/>
        <v>245014</v>
      </c>
      <c r="F129" s="245">
        <f t="shared" ca="1" si="26"/>
        <v>329348</v>
      </c>
      <c r="G129" s="247"/>
      <c r="J129" s="241"/>
      <c r="L129" s="242">
        <v>22569</v>
      </c>
      <c r="M129" s="243" t="s">
        <v>386</v>
      </c>
      <c r="N129" s="245">
        <f t="shared" ref="N129:O129" si="61">+N20+N42+N64+N86</f>
        <v>-299953.83</v>
      </c>
      <c r="O129" s="245">
        <f t="shared" si="61"/>
        <v>-403197.93828599993</v>
      </c>
      <c r="P129" s="292">
        <f t="shared" si="28"/>
        <v>1.3441999999999996</v>
      </c>
      <c r="S129" s="241"/>
      <c r="U129" s="242">
        <v>22569</v>
      </c>
      <c r="V129" s="243" t="s">
        <v>386</v>
      </c>
      <c r="W129" s="245">
        <f t="shared" ref="W129:X129" si="62">+W20+W42+W64+W86</f>
        <v>0</v>
      </c>
      <c r="X129" s="245">
        <f t="shared" si="62"/>
        <v>0</v>
      </c>
      <c r="Y129" s="244" t="e">
        <f t="shared" si="23"/>
        <v>#DIV/0!</v>
      </c>
      <c r="AB129" s="241"/>
      <c r="AD129" s="242">
        <v>22569</v>
      </c>
      <c r="AE129" s="243" t="s">
        <v>386</v>
      </c>
      <c r="AF129" s="245">
        <f t="shared" ref="AF129:AG129" ca="1" si="63">+AF20+AF42+AF64+AF86</f>
        <v>-54939.829999999994</v>
      </c>
      <c r="AG129" s="245">
        <f t="shared" ca="1" si="63"/>
        <v>-73849.93828599996</v>
      </c>
      <c r="AI129" s="248">
        <f t="shared" ca="1" si="24"/>
        <v>0</v>
      </c>
      <c r="AJ129" s="248">
        <f t="shared" ca="1" si="25"/>
        <v>0</v>
      </c>
    </row>
    <row r="130" spans="1:36" s="242" customFormat="1" x14ac:dyDescent="0.25">
      <c r="A130" s="241"/>
      <c r="C130" s="242">
        <v>22563</v>
      </c>
      <c r="D130" s="243" t="s">
        <v>388</v>
      </c>
      <c r="E130" s="245">
        <f t="shared" ca="1" si="26"/>
        <v>1435785</v>
      </c>
      <c r="F130" s="245">
        <f t="shared" ca="1" si="26"/>
        <v>1929982</v>
      </c>
      <c r="G130" s="247"/>
      <c r="J130" s="241"/>
      <c r="L130" s="242">
        <v>22563</v>
      </c>
      <c r="M130" s="243" t="s">
        <v>388</v>
      </c>
      <c r="N130" s="245">
        <f t="shared" ref="N130:O130" si="64">+N21+N43+N65+N87</f>
        <v>-1769886</v>
      </c>
      <c r="O130" s="245">
        <f t="shared" si="64"/>
        <v>-2379080.7611999996</v>
      </c>
      <c r="P130" s="292">
        <f t="shared" si="28"/>
        <v>1.3441999999999998</v>
      </c>
      <c r="S130" s="241"/>
      <c r="U130" s="242">
        <v>22563</v>
      </c>
      <c r="V130" s="243" t="s">
        <v>388</v>
      </c>
      <c r="W130" s="245">
        <f t="shared" ref="W130:X130" si="65">+W21+W43+W65+W87</f>
        <v>0</v>
      </c>
      <c r="X130" s="245">
        <f t="shared" si="65"/>
        <v>0</v>
      </c>
      <c r="Y130" s="244" t="e">
        <f t="shared" si="23"/>
        <v>#DIV/0!</v>
      </c>
      <c r="AB130" s="241"/>
      <c r="AD130" s="242">
        <v>22563</v>
      </c>
      <c r="AE130" s="243" t="s">
        <v>388</v>
      </c>
      <c r="AF130" s="245">
        <f t="shared" ref="AF130:AG130" ca="1" si="66">+AF21+AF43+AF65+AF87</f>
        <v>-334101</v>
      </c>
      <c r="AG130" s="245">
        <f t="shared" ca="1" si="66"/>
        <v>-449098.76119999978</v>
      </c>
      <c r="AI130" s="248">
        <f t="shared" ca="1" si="24"/>
        <v>0</v>
      </c>
      <c r="AJ130" s="248">
        <f t="shared" ca="1" si="25"/>
        <v>0</v>
      </c>
    </row>
    <row r="131" spans="1:36" s="242" customFormat="1" x14ac:dyDescent="0.25">
      <c r="A131" s="241"/>
      <c r="C131" s="242">
        <v>22530</v>
      </c>
      <c r="D131" s="243" t="s">
        <v>334</v>
      </c>
      <c r="E131" s="245">
        <f t="shared" ca="1" si="26"/>
        <v>288871</v>
      </c>
      <c r="F131" s="245">
        <f t="shared" ca="1" si="26"/>
        <v>388301</v>
      </c>
      <c r="G131" s="247"/>
      <c r="J131" s="241"/>
      <c r="L131" s="242">
        <v>22530</v>
      </c>
      <c r="M131" s="243" t="s">
        <v>334</v>
      </c>
      <c r="N131" s="245">
        <f t="shared" ref="N131:O131" si="67">+N22+N44+N66+N88</f>
        <v>-403563.6</v>
      </c>
      <c r="O131" s="245">
        <f t="shared" si="67"/>
        <v>-542470.19112000009</v>
      </c>
      <c r="P131" s="292">
        <f t="shared" si="28"/>
        <v>1.3442000000000003</v>
      </c>
      <c r="S131" s="241"/>
      <c r="U131" s="242">
        <v>22530</v>
      </c>
      <c r="V131" s="243" t="s">
        <v>334</v>
      </c>
      <c r="W131" s="245">
        <f t="shared" ref="W131:X131" si="68">+W22+W44+W66+W88</f>
        <v>0</v>
      </c>
      <c r="X131" s="245">
        <f t="shared" si="68"/>
        <v>0</v>
      </c>
      <c r="Y131" s="244" t="e">
        <f t="shared" si="23"/>
        <v>#DIV/0!</v>
      </c>
      <c r="AB131" s="241"/>
      <c r="AD131" s="242">
        <v>22530</v>
      </c>
      <c r="AE131" s="243" t="s">
        <v>334</v>
      </c>
      <c r="AF131" s="245">
        <f t="shared" ref="AF131:AG131" ca="1" si="69">+AF22+AF44+AF66+AF88</f>
        <v>-114692.6</v>
      </c>
      <c r="AG131" s="245">
        <f t="shared" ca="1" si="69"/>
        <v>-154169.19112000006</v>
      </c>
      <c r="AI131" s="248">
        <f t="shared" ca="1" si="24"/>
        <v>0</v>
      </c>
      <c r="AJ131" s="248">
        <f t="shared" ca="1" si="25"/>
        <v>0</v>
      </c>
    </row>
    <row r="132" spans="1:36" s="242" customFormat="1" x14ac:dyDescent="0.25">
      <c r="A132" s="241"/>
      <c r="D132" s="243"/>
      <c r="E132" s="249">
        <f ca="1">SUM(E117:E131)</f>
        <v>0</v>
      </c>
      <c r="F132" s="249">
        <f ca="1">SUM(F117:F131)</f>
        <v>0</v>
      </c>
      <c r="G132" s="247"/>
      <c r="J132" s="241"/>
      <c r="M132" s="243"/>
      <c r="N132" s="249">
        <f>SUM(N117:N131)</f>
        <v>0</v>
      </c>
      <c r="O132" s="249">
        <f>SUM(O117:O131)</f>
        <v>0</v>
      </c>
      <c r="S132" s="241"/>
      <c r="V132" s="243"/>
      <c r="W132" s="249">
        <f>SUM(W117:W131)</f>
        <v>0</v>
      </c>
      <c r="X132" s="249">
        <f>SUM(X117:X131)</f>
        <v>0</v>
      </c>
      <c r="Z132" s="244"/>
      <c r="AB132" s="241"/>
      <c r="AE132" s="243"/>
      <c r="AF132" s="249">
        <f ca="1">SUM(AF117:AF131)</f>
        <v>3.2014213502407074E-10</v>
      </c>
      <c r="AG132" s="249">
        <f ca="1">SUM(AG117:AG131)</f>
        <v>3.2014213502407074E-10</v>
      </c>
    </row>
    <row r="133" spans="1:36" s="242" customFormat="1" x14ac:dyDescent="0.25">
      <c r="A133" s="241"/>
      <c r="D133" s="243"/>
      <c r="E133" s="244"/>
      <c r="F133" s="244"/>
      <c r="J133" s="241"/>
      <c r="M133" s="243"/>
      <c r="N133" s="244"/>
      <c r="O133" s="244"/>
      <c r="S133" s="241"/>
      <c r="V133" s="243"/>
      <c r="W133" s="244"/>
      <c r="X133" s="244"/>
      <c r="AB133" s="241"/>
      <c r="AE133" s="243"/>
      <c r="AF133" s="244"/>
      <c r="AG133" s="244"/>
    </row>
  </sheetData>
  <pageMargins left="0.25" right="0.25" top="0.75" bottom="0.75" header="0.3" footer="0.3"/>
  <pageSetup scale="37"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68"/>
  <sheetViews>
    <sheetView zoomScale="85" zoomScaleNormal="85" workbookViewId="0">
      <pane xSplit="2" ySplit="4" topLeftCell="C5" activePane="bottomRight" state="frozen"/>
      <selection activeCell="B2" sqref="B2"/>
      <selection pane="topRight" activeCell="B2" sqref="B2"/>
      <selection pane="bottomLeft" activeCell="B2" sqref="B2"/>
      <selection pane="bottomRight" activeCell="B5" sqref="B5:B34"/>
    </sheetView>
  </sheetViews>
  <sheetFormatPr defaultRowHeight="15" outlineLevelRow="1" outlineLevelCol="1" x14ac:dyDescent="0.25"/>
  <cols>
    <col min="1" max="1" width="3.28515625" style="413" hidden="1" customWidth="1"/>
    <col min="2" max="2" width="46.42578125" style="413" bestFit="1" customWidth="1"/>
    <col min="3" max="6" width="13.7109375" style="414" customWidth="1"/>
    <col min="7" max="8" width="11.7109375" style="414" customWidth="1"/>
    <col min="9" max="9" width="15.140625" style="414" hidden="1" customWidth="1" outlineLevel="1"/>
    <col min="10" max="11" width="9.140625" style="413" hidden="1" customWidth="1" outlineLevel="1"/>
    <col min="12" max="12" width="10.28515625" style="413" customWidth="1" collapsed="1"/>
    <col min="13" max="13" width="12.28515625" style="413" bestFit="1" customWidth="1"/>
    <col min="14" max="14" width="13.28515625" style="413" customWidth="1"/>
    <col min="15" max="15" width="12.7109375" style="413" customWidth="1"/>
    <col min="16" max="16" width="15" style="413" customWidth="1"/>
    <col min="17" max="17" width="12.7109375" style="413" customWidth="1"/>
    <col min="18" max="18" width="15" style="413" customWidth="1"/>
    <col min="19" max="19" width="14.5703125" style="413" customWidth="1"/>
    <col min="20" max="20" width="9.140625" style="413"/>
    <col min="21" max="21" width="13.28515625" style="413" bestFit="1" customWidth="1"/>
    <col min="22" max="22" width="9.140625" style="413"/>
    <col min="23" max="23" width="11.85546875" style="413" bestFit="1" customWidth="1"/>
    <col min="24" max="16384" width="9.140625" style="413"/>
  </cols>
  <sheetData>
    <row r="1" spans="1:23" hidden="1" x14ac:dyDescent="0.25">
      <c r="A1" s="413" t="s">
        <v>441</v>
      </c>
    </row>
    <row r="2" spans="1:23" ht="15.75" thickBot="1" x14ac:dyDescent="0.3">
      <c r="B2" s="415" t="s">
        <v>442</v>
      </c>
    </row>
    <row r="3" spans="1:23" ht="15.75" thickBot="1" x14ac:dyDescent="0.3">
      <c r="M3" s="416" t="s">
        <v>443</v>
      </c>
      <c r="N3" s="417"/>
      <c r="O3" s="417"/>
      <c r="P3" s="418"/>
    </row>
    <row r="4" spans="1:23" ht="27" thickBot="1" x14ac:dyDescent="0.3">
      <c r="C4" s="419" t="s">
        <v>444</v>
      </c>
      <c r="D4" s="419" t="s">
        <v>445</v>
      </c>
      <c r="E4" s="419" t="s">
        <v>446</v>
      </c>
      <c r="F4" s="419" t="s">
        <v>447</v>
      </c>
      <c r="G4" s="419"/>
      <c r="H4" s="419"/>
      <c r="I4" s="419" t="s">
        <v>448</v>
      </c>
      <c r="J4" s="419" t="s">
        <v>179</v>
      </c>
      <c r="M4" s="420" t="s">
        <v>449</v>
      </c>
      <c r="N4" s="421" t="s">
        <v>450</v>
      </c>
      <c r="O4" s="421"/>
      <c r="P4" s="422" t="s">
        <v>3</v>
      </c>
      <c r="R4" s="422" t="s">
        <v>451</v>
      </c>
    </row>
    <row r="5" spans="1:23" x14ac:dyDescent="0.25">
      <c r="B5" s="423" t="s">
        <v>218</v>
      </c>
      <c r="C5" s="424">
        <f>-SUMIF(CII!$C$9:$AF$9,'RU Summary Q1 2020'!B5,CII!$C$292:$AF$292)</f>
        <v>892883.36000000034</v>
      </c>
      <c r="D5" s="414">
        <f>SUMIF(CII!$C$9:$AF$9,'RU Summary Q1 2020'!B5,CII!$C$235:$AF$235)</f>
        <v>4304.3400000000011</v>
      </c>
      <c r="F5" s="414">
        <f>SUM(C5:E5)</f>
        <v>897187.7000000003</v>
      </c>
      <c r="G5" s="425" t="s">
        <v>167</v>
      </c>
      <c r="I5" s="414">
        <f>SUMIF(CII!$C$9:$AF$9,'RU Summary Q1 2020'!B5,CII!$C$330:$AF$330)</f>
        <v>277.69157000000001</v>
      </c>
      <c r="J5" s="425" t="s">
        <v>167</v>
      </c>
      <c r="L5" s="426"/>
      <c r="M5" s="414"/>
      <c r="N5" s="427">
        <f>-(CII!G160+CII!G161)</f>
        <v>-951</v>
      </c>
      <c r="O5" s="414"/>
      <c r="P5" s="426">
        <f t="shared" ref="P5:P19" si="0">SUM(M5:O5)</f>
        <v>-951</v>
      </c>
      <c r="R5" s="426">
        <f t="shared" ref="R5:R19" si="1">F5+P5</f>
        <v>896236.7000000003</v>
      </c>
      <c r="S5" s="425" t="s">
        <v>167</v>
      </c>
      <c r="U5" s="1257">
        <f>F5/'2020 Assumptions'!$B$4</f>
        <v>667451.0489510491</v>
      </c>
      <c r="V5" s="413" t="s">
        <v>166</v>
      </c>
      <c r="W5" s="426">
        <f>P5/'2020 Assumptions'!$B$4</f>
        <v>-707.48400535634573</v>
      </c>
    </row>
    <row r="6" spans="1:23" x14ac:dyDescent="0.25">
      <c r="B6" s="423" t="s">
        <v>219</v>
      </c>
      <c r="C6" s="424">
        <f>-SUMIF(CII!$C$9:$AF$9,'RU Summary Q1 2020'!B6,CII!$C$292:$AF$292)</f>
        <v>0.01</v>
      </c>
      <c r="D6" s="414">
        <f>SUMIF(CII!$C$9:$AF$9,'RU Summary Q1 2020'!B6,CII!$C$235:$AF$235)</f>
        <v>0</v>
      </c>
      <c r="F6" s="414">
        <f t="shared" ref="F6:F37" si="2">SUM(C6:E6)</f>
        <v>0.01</v>
      </c>
      <c r="G6" s="425" t="s">
        <v>167</v>
      </c>
      <c r="I6" s="414">
        <f>SUMIF(CII!$C$9:$AF$9,'RU Summary Q1 2020'!B6,CII!$C$330:$AF$330)</f>
        <v>0</v>
      </c>
      <c r="J6" s="425" t="s">
        <v>167</v>
      </c>
      <c r="L6" s="426"/>
      <c r="M6" s="414"/>
      <c r="N6" s="427"/>
      <c r="O6" s="414"/>
      <c r="P6" s="426">
        <f t="shared" si="0"/>
        <v>0</v>
      </c>
      <c r="R6" s="426">
        <f t="shared" si="1"/>
        <v>0.01</v>
      </c>
      <c r="S6" s="425" t="s">
        <v>167</v>
      </c>
      <c r="U6" s="426">
        <f>F6/'2020 Assumptions'!$B$4</f>
        <v>7.4393691414968008E-3</v>
      </c>
      <c r="V6" s="413" t="s">
        <v>166</v>
      </c>
      <c r="W6" s="426">
        <f>P6/'2020 Assumptions'!$B$4</f>
        <v>0</v>
      </c>
    </row>
    <row r="7" spans="1:23" x14ac:dyDescent="0.25">
      <c r="B7" s="423" t="s">
        <v>220</v>
      </c>
      <c r="C7" s="424">
        <f>-SUMIF(CII!$C$9:$AF$9,'RU Summary Q1 2020'!B7,CII!$C$292:$AF$292)</f>
        <v>121291.41999999998</v>
      </c>
      <c r="D7" s="414">
        <f>SUMIF(CII!$C$9:$AF$9,'RU Summary Q1 2020'!B7,CII!$C$235:$AF$235)</f>
        <v>268.49</v>
      </c>
      <c r="F7" s="414">
        <f t="shared" si="2"/>
        <v>121559.90999999999</v>
      </c>
      <c r="G7" s="425" t="s">
        <v>167</v>
      </c>
      <c r="I7" s="414">
        <f>SUMIF(CII!$C$9:$AF$9,'RU Summary Q1 2020'!B7,CII!$C$330:$AF$330)</f>
        <v>55.330889999999989</v>
      </c>
      <c r="J7" s="425" t="s">
        <v>167</v>
      </c>
      <c r="L7" s="426"/>
      <c r="M7" s="414">
        <f>-F7</f>
        <v>-121559.90999999999</v>
      </c>
      <c r="N7" s="427"/>
      <c r="O7" s="414"/>
      <c r="P7" s="426">
        <f t="shared" si="0"/>
        <v>-121559.90999999999</v>
      </c>
      <c r="R7" s="426">
        <f t="shared" si="1"/>
        <v>0</v>
      </c>
      <c r="S7" s="425" t="s">
        <v>167</v>
      </c>
      <c r="U7" s="1257">
        <f>F7/'2020 Assumptions'!$B$4</f>
        <v>90432.904329712823</v>
      </c>
      <c r="V7" s="413" t="s">
        <v>166</v>
      </c>
      <c r="W7" s="426">
        <f>P7/'2020 Assumptions'!$B$4</f>
        <v>-90432.904329712823</v>
      </c>
    </row>
    <row r="8" spans="1:23" x14ac:dyDescent="0.25">
      <c r="B8" s="423" t="s">
        <v>301</v>
      </c>
      <c r="C8" s="424">
        <f>-SUMIF(CII!$C$9:$AF$9,'RU Summary Q1 2020'!B8,CII!$C$292:$AF$292)</f>
        <v>0</v>
      </c>
      <c r="D8" s="414">
        <f>SUMIF(CII!$C$9:$AF$9,'RU Summary Q1 2020'!B8,CII!$C$235:$AF$235)</f>
        <v>0</v>
      </c>
      <c r="F8" s="414">
        <f t="shared" si="2"/>
        <v>0</v>
      </c>
      <c r="G8" s="425" t="s">
        <v>167</v>
      </c>
      <c r="I8" s="414">
        <f>SUMIF(CII!$C$9:$AF$9,'RU Summary Q1 2020'!B8,CII!$C$330:$AF$330)</f>
        <v>0</v>
      </c>
      <c r="J8" s="425" t="s">
        <v>167</v>
      </c>
      <c r="L8" s="426"/>
      <c r="M8" s="414">
        <f>-F8</f>
        <v>0</v>
      </c>
      <c r="N8" s="427"/>
      <c r="O8" s="414"/>
      <c r="P8" s="426">
        <f t="shared" si="0"/>
        <v>0</v>
      </c>
      <c r="R8" s="426">
        <f t="shared" si="1"/>
        <v>0</v>
      </c>
      <c r="S8" s="425" t="s">
        <v>167</v>
      </c>
      <c r="U8" s="426">
        <f>F8/'2020 Assumptions'!$B$4</f>
        <v>0</v>
      </c>
      <c r="V8" s="413" t="s">
        <v>166</v>
      </c>
      <c r="W8" s="426">
        <f>P8/'2020 Assumptions'!$B$4</f>
        <v>0</v>
      </c>
    </row>
    <row r="9" spans="1:23" x14ac:dyDescent="0.25">
      <c r="B9" s="423" t="s">
        <v>221</v>
      </c>
      <c r="C9" s="424">
        <f>-SUMIF(CII!$C$9:$AF$9,'RU Summary Q1 2020'!B9,CII!$C$292:$AF$292)</f>
        <v>259813.48999999996</v>
      </c>
      <c r="D9" s="414">
        <f>SUMIF(CII!$C$9:$AF$9,'RU Summary Q1 2020'!B9,CII!$C$235:$AF$235)</f>
        <v>1010.19</v>
      </c>
      <c r="F9" s="414">
        <f t="shared" si="2"/>
        <v>260823.67999999996</v>
      </c>
      <c r="G9" s="425" t="s">
        <v>167</v>
      </c>
      <c r="I9" s="414">
        <f>SUMIF(CII!$C$9:$AF$9,'RU Summary Q1 2020'!B9,CII!$C$330:$AF$330)</f>
        <v>60.306429999999992</v>
      </c>
      <c r="J9" s="425" t="s">
        <v>167</v>
      </c>
      <c r="L9" s="426"/>
      <c r="M9" s="414">
        <f>-F9</f>
        <v>-260823.67999999996</v>
      </c>
      <c r="N9" s="427"/>
      <c r="O9" s="414"/>
      <c r="P9" s="426">
        <f t="shared" si="0"/>
        <v>-260823.67999999996</v>
      </c>
      <c r="R9" s="426">
        <f t="shared" si="1"/>
        <v>0</v>
      </c>
      <c r="S9" s="425" t="s">
        <v>167</v>
      </c>
      <c r="U9" s="426">
        <f>F9/'2020 Assumptions'!$B$4</f>
        <v>194036.36363636359</v>
      </c>
      <c r="V9" s="413" t="s">
        <v>166</v>
      </c>
      <c r="W9" s="426">
        <f>P9/'2020 Assumptions'!$B$4</f>
        <v>-194036.36363636359</v>
      </c>
    </row>
    <row r="10" spans="1:23" s="428" customFormat="1" x14ac:dyDescent="0.25">
      <c r="B10" s="423" t="s">
        <v>222</v>
      </c>
      <c r="C10" s="424">
        <f>-SUMIF(CII!$C$9:$AF$9,'RU Summary Q1 2020'!B10,CII!$C$292:$AF$292)</f>
        <v>48506.38</v>
      </c>
      <c r="D10" s="427">
        <f>SUMIF(CII!$C$9:$AF$9,'RU Summary Q1 2020'!B10,CII!$C$235:$AF$235)</f>
        <v>1002.9000000000001</v>
      </c>
      <c r="E10" s="427"/>
      <c r="F10" s="414">
        <f t="shared" si="2"/>
        <v>49509.279999999999</v>
      </c>
      <c r="G10" s="425" t="s">
        <v>167</v>
      </c>
      <c r="H10" s="414"/>
      <c r="I10" s="427">
        <f>SUMIF(CII!$C$9:$AF$9,'RU Summary Q1 2020'!B10,CII!$C$330:$AF$330)</f>
        <v>12.824529999999998</v>
      </c>
      <c r="J10" s="425" t="s">
        <v>167</v>
      </c>
      <c r="L10" s="426"/>
      <c r="M10" s="427"/>
      <c r="N10" s="427"/>
      <c r="O10" s="427"/>
      <c r="P10" s="426">
        <f t="shared" si="0"/>
        <v>0</v>
      </c>
      <c r="R10" s="426">
        <f t="shared" si="1"/>
        <v>49509.279999999999</v>
      </c>
      <c r="S10" s="425" t="s">
        <v>167</v>
      </c>
      <c r="U10" s="1257">
        <f>F10/'2020 Assumptions'!$B$4</f>
        <v>36831.780984972473</v>
      </c>
      <c r="V10" s="413" t="s">
        <v>166</v>
      </c>
      <c r="W10" s="426">
        <f>P10/'2020 Assumptions'!$B$4</f>
        <v>0</v>
      </c>
    </row>
    <row r="11" spans="1:23" s="428" customFormat="1" x14ac:dyDescent="0.25">
      <c r="B11" s="423" t="s">
        <v>223</v>
      </c>
      <c r="C11" s="424">
        <f>-SUMIF(CII!$C$9:$AF$9,'RU Summary Q1 2020'!B11,CII!$C$292:$AF$292)</f>
        <v>769419.40000000014</v>
      </c>
      <c r="D11" s="427">
        <f>SUMIF(CII!$C$9:$AF$9,'RU Summary Q1 2020'!B11,CII!$C$235:$AF$235)</f>
        <v>5400.16</v>
      </c>
      <c r="E11" s="427"/>
      <c r="F11" s="414">
        <f t="shared" si="2"/>
        <v>774819.56000000017</v>
      </c>
      <c r="G11" s="425" t="s">
        <v>167</v>
      </c>
      <c r="H11" s="414"/>
      <c r="I11" s="427">
        <f>SUMIF(CII!$C$9:$AF$9,'RU Summary Q1 2020'!B11,CII!$C$330:$AF$330)</f>
        <v>213.00849000000002</v>
      </c>
      <c r="J11" s="425" t="s">
        <v>167</v>
      </c>
      <c r="L11" s="426"/>
      <c r="M11" s="427"/>
      <c r="N11" s="427"/>
      <c r="O11" s="427"/>
      <c r="P11" s="426">
        <f t="shared" si="0"/>
        <v>0</v>
      </c>
      <c r="R11" s="426">
        <f t="shared" si="1"/>
        <v>774819.56000000017</v>
      </c>
      <c r="S11" s="425" t="s">
        <v>167</v>
      </c>
      <c r="U11" s="1257">
        <f>F11/'2020 Assumptions'!$B$4</f>
        <v>576416.87248921301</v>
      </c>
      <c r="V11" s="413" t="s">
        <v>166</v>
      </c>
      <c r="W11" s="426">
        <f>P11/'2020 Assumptions'!$B$4</f>
        <v>0</v>
      </c>
    </row>
    <row r="12" spans="1:23" x14ac:dyDescent="0.25">
      <c r="B12" s="423" t="s">
        <v>224</v>
      </c>
      <c r="C12" s="424">
        <f>-SUMIF(CII!$C$9:$AF$9,'RU Summary Q1 2020'!B12,CII!$C$292:$AF$292)</f>
        <v>622148.72000000009</v>
      </c>
      <c r="D12" s="414">
        <f>SUMIF(CII!$C$9:$AF$9,'RU Summary Q1 2020'!B12,CII!$C$235:$AF$235)</f>
        <v>37932.270000000004</v>
      </c>
      <c r="F12" s="414">
        <f t="shared" si="2"/>
        <v>660080.99000000011</v>
      </c>
      <c r="G12" s="425" t="s">
        <v>167</v>
      </c>
      <c r="I12" s="414">
        <f>SUMIF(CII!$C$9:$AF$9,'RU Summary Q1 2020'!B12,CII!$C$330:$AF$330)</f>
        <v>444.24162000000001</v>
      </c>
      <c r="J12" s="425" t="s">
        <v>167</v>
      </c>
      <c r="L12" s="426"/>
      <c r="M12" s="414"/>
      <c r="N12" s="427"/>
      <c r="O12" s="414"/>
      <c r="P12" s="426">
        <f t="shared" si="0"/>
        <v>0</v>
      </c>
      <c r="R12" s="426">
        <f t="shared" si="1"/>
        <v>660080.99000000011</v>
      </c>
      <c r="S12" s="425" t="s">
        <v>167</v>
      </c>
      <c r="U12" s="1257">
        <f>F12/'2020 Assumptions'!$B$4</f>
        <v>491058.61478946591</v>
      </c>
      <c r="V12" s="413" t="s">
        <v>166</v>
      </c>
      <c r="W12" s="426">
        <f>P12/'2020 Assumptions'!$B$4</f>
        <v>0</v>
      </c>
    </row>
    <row r="13" spans="1:23" x14ac:dyDescent="0.25">
      <c r="B13" s="423" t="s">
        <v>225</v>
      </c>
      <c r="C13" s="424">
        <f>-SUMIF(CII!$C$9:$AF$9,'RU Summary Q1 2020'!B13,CII!$C$292:$AF$292)</f>
        <v>100880.67000000001</v>
      </c>
      <c r="D13" s="414">
        <f>SUMIF(CII!$C$9:$AF$9,'RU Summary Q1 2020'!B13,CII!$C$235:$AF$235)</f>
        <v>276.3</v>
      </c>
      <c r="F13" s="414">
        <f t="shared" si="2"/>
        <v>101156.97000000002</v>
      </c>
      <c r="G13" s="425" t="s">
        <v>167</v>
      </c>
      <c r="I13" s="414">
        <f>SUMIF(CII!$C$9:$AF$9,'RU Summary Q1 2020'!B13,CII!$C$330:$AF$330)</f>
        <v>34.085520000000002</v>
      </c>
      <c r="J13" s="425" t="s">
        <v>167</v>
      </c>
      <c r="L13" s="426"/>
      <c r="M13" s="414"/>
      <c r="N13" s="427"/>
      <c r="O13" s="414"/>
      <c r="P13" s="426">
        <f t="shared" si="0"/>
        <v>0</v>
      </c>
      <c r="R13" s="426">
        <f t="shared" si="1"/>
        <v>101156.97000000002</v>
      </c>
      <c r="S13" s="425" t="s">
        <v>167</v>
      </c>
      <c r="U13" s="1257">
        <f>F13/'2020 Assumptions'!$B$4</f>
        <v>75254.404106531772</v>
      </c>
      <c r="V13" s="413" t="s">
        <v>166</v>
      </c>
      <c r="W13" s="426">
        <f>P13/'2020 Assumptions'!$B$4</f>
        <v>0</v>
      </c>
    </row>
    <row r="14" spans="1:23" x14ac:dyDescent="0.25">
      <c r="B14" s="423" t="s">
        <v>283</v>
      </c>
      <c r="C14" s="424">
        <f>-SUMIF(CII!$C$9:$AF$9,'RU Summary Q1 2020'!B14,CII!$C$292:$AF$292)</f>
        <v>69676.08</v>
      </c>
      <c r="D14" s="427">
        <f>SUMIF(CII!$C$9:$AF$9,'RU Summary Q1 2020'!B14,CII!$C$235:$AF$235)</f>
        <v>82.68</v>
      </c>
      <c r="E14" s="427"/>
      <c r="F14" s="414">
        <f t="shared" si="2"/>
        <v>69758.759999999995</v>
      </c>
      <c r="G14" s="425" t="s">
        <v>167</v>
      </c>
      <c r="I14" s="414">
        <f>SUMIF(CII!$C$9:$AF$9,'RU Summary Q1 2020'!B14,CII!$C$330:$AF$330)</f>
        <v>5.9947799999999996</v>
      </c>
      <c r="J14" s="425" t="s">
        <v>167</v>
      </c>
      <c r="L14" s="426"/>
      <c r="M14" s="414"/>
      <c r="N14" s="427"/>
      <c r="O14" s="414"/>
      <c r="P14" s="426">
        <f t="shared" si="0"/>
        <v>0</v>
      </c>
      <c r="R14" s="426">
        <f t="shared" si="1"/>
        <v>69758.759999999995</v>
      </c>
      <c r="S14" s="425" t="s">
        <v>167</v>
      </c>
      <c r="U14" s="1257">
        <f>F14/'2020 Assumptions'!$B$4</f>
        <v>51896.116649308133</v>
      </c>
      <c r="V14" s="413" t="s">
        <v>166</v>
      </c>
      <c r="W14" s="426">
        <f>P14/'2020 Assumptions'!$B$4</f>
        <v>0</v>
      </c>
    </row>
    <row r="15" spans="1:23" x14ac:dyDescent="0.25">
      <c r="B15" s="423" t="s">
        <v>226</v>
      </c>
      <c r="C15" s="424">
        <f>-SUMIF(CII!$C$9:$AF$9,'RU Summary Q1 2020'!B15,CII!$C$292:$AF$292)</f>
        <v>52086.720000000016</v>
      </c>
      <c r="D15" s="427">
        <f>SUMIF(CII!$C$9:$AF$9,'RU Summary Q1 2020'!B15,CII!$C$235:$AF$235)</f>
        <v>685.79</v>
      </c>
      <c r="E15" s="427"/>
      <c r="F15" s="414">
        <f t="shared" si="2"/>
        <v>52772.510000000017</v>
      </c>
      <c r="G15" s="425" t="s">
        <v>167</v>
      </c>
      <c r="I15" s="414">
        <f>SUMIF(CII!$C$9:$AF$9,'RU Summary Q1 2020'!B15,CII!$C$330:$AF$330)</f>
        <v>4.1342100000000004</v>
      </c>
      <c r="J15" s="425" t="s">
        <v>167</v>
      </c>
      <c r="L15" s="426"/>
      <c r="M15" s="414"/>
      <c r="N15" s="427"/>
      <c r="O15" s="414"/>
      <c r="P15" s="426">
        <f t="shared" si="0"/>
        <v>0</v>
      </c>
      <c r="R15" s="426">
        <f t="shared" si="1"/>
        <v>52772.510000000017</v>
      </c>
      <c r="S15" s="425" t="s">
        <v>167</v>
      </c>
      <c r="U15" s="1257">
        <f>F15/'2020 Assumptions'!$B$4</f>
        <v>39259.418241333144</v>
      </c>
      <c r="V15" s="413" t="s">
        <v>166</v>
      </c>
      <c r="W15" s="426">
        <f>P15/'2020 Assumptions'!$B$4</f>
        <v>0</v>
      </c>
    </row>
    <row r="16" spans="1:23" x14ac:dyDescent="0.25">
      <c r="B16" s="423" t="s">
        <v>227</v>
      </c>
      <c r="C16" s="424">
        <f>-SUMIF(CII!$C$9:$AF$9,'RU Summary Q1 2020'!B16,CII!$C$292:$AF$292)</f>
        <v>90315.900000000154</v>
      </c>
      <c r="D16" s="414">
        <f>SUMIF(CII!$C$9:$AF$9,'RU Summary Q1 2020'!B16,CII!$C$235:$AF$235)</f>
        <v>380.94</v>
      </c>
      <c r="F16" s="414">
        <f>SUM(C16:E16)</f>
        <v>90696.840000000157</v>
      </c>
      <c r="G16" s="425" t="s">
        <v>167</v>
      </c>
      <c r="I16" s="414">
        <f>SUMIF(CII!$C$9:$AF$9,'RU Summary Q1 2020'!B16,CII!$C$330:$AF$330)</f>
        <v>7.5285299999999999</v>
      </c>
      <c r="J16" s="425" t="s">
        <v>167</v>
      </c>
      <c r="K16" s="426"/>
      <c r="L16" s="426"/>
      <c r="M16" s="414"/>
      <c r="N16" s="427"/>
      <c r="O16" s="414"/>
      <c r="P16" s="426">
        <f t="shared" si="0"/>
        <v>0</v>
      </c>
      <c r="R16" s="426">
        <f t="shared" si="1"/>
        <v>90696.840000000157</v>
      </c>
      <c r="S16" s="425" t="s">
        <v>167</v>
      </c>
      <c r="U16" s="1257">
        <f>F16/'2020 Assumptions'!$B$4</f>
        <v>67472.727272727381</v>
      </c>
      <c r="V16" s="413" t="s">
        <v>166</v>
      </c>
      <c r="W16" s="426">
        <f>P16/'2020 Assumptions'!$B$4</f>
        <v>0</v>
      </c>
    </row>
    <row r="17" spans="2:23" x14ac:dyDescent="0.25">
      <c r="B17" s="423" t="s">
        <v>228</v>
      </c>
      <c r="C17" s="424">
        <f>-SUMIF(CII!$C$9:$AF$9,'RU Summary Q1 2020'!B17,CII!$C$292:$AF$292)</f>
        <v>48834.83</v>
      </c>
      <c r="D17" s="414">
        <f>SUMIF(CII!$C$9:$AF$9,'RU Summary Q1 2020'!B17,CII!$C$235:$AF$235)</f>
        <v>156.13</v>
      </c>
      <c r="F17" s="414">
        <f t="shared" si="2"/>
        <v>48990.96</v>
      </c>
      <c r="G17" s="425" t="s">
        <v>167</v>
      </c>
      <c r="I17" s="414">
        <f>SUMIF(CII!$C$9:$AF$9,'RU Summary Q1 2020'!B17,CII!$C$330:$AF$330)</f>
        <v>29.572139999999997</v>
      </c>
      <c r="J17" s="425" t="s">
        <v>167</v>
      </c>
      <c r="L17" s="426"/>
      <c r="M17" s="414"/>
      <c r="N17" s="427"/>
      <c r="O17" s="414"/>
      <c r="P17" s="426">
        <f t="shared" si="0"/>
        <v>0</v>
      </c>
      <c r="R17" s="426">
        <f t="shared" si="1"/>
        <v>48990.96</v>
      </c>
      <c r="S17" s="425" t="s">
        <v>167</v>
      </c>
      <c r="U17" s="1257">
        <f>F17/'2020 Assumptions'!$B$4</f>
        <v>36446.183603630408</v>
      </c>
      <c r="V17" s="413" t="s">
        <v>166</v>
      </c>
      <c r="W17" s="426">
        <f>P17/'2020 Assumptions'!$B$4</f>
        <v>0</v>
      </c>
    </row>
    <row r="18" spans="2:23" x14ac:dyDescent="0.25">
      <c r="B18" s="423" t="s">
        <v>229</v>
      </c>
      <c r="C18" s="424">
        <f>-SUMIF(CII!$C$9:$AF$9,'RU Summary Q1 2020'!B18,CII!$C$292:$AF$292)</f>
        <v>41896.689999999995</v>
      </c>
      <c r="D18" s="414">
        <f>SUMIF(CII!$C$9:$AF$9,'RU Summary Q1 2020'!B18,CII!$C$235:$AF$235)</f>
        <v>0</v>
      </c>
      <c r="F18" s="414">
        <f t="shared" si="2"/>
        <v>41896.689999999995</v>
      </c>
      <c r="G18" s="425" t="s">
        <v>167</v>
      </c>
      <c r="I18" s="414">
        <f>SUMIF(CII!$C$9:$AF$9,'RU Summary Q1 2020'!B18,CII!$C$330:$AF$330)</f>
        <v>2.6519999999999998E-2</v>
      </c>
      <c r="J18" s="425" t="s">
        <v>167</v>
      </c>
      <c r="L18" s="426"/>
      <c r="M18" s="414"/>
      <c r="N18" s="427"/>
      <c r="O18" s="414"/>
      <c r="P18" s="426">
        <f t="shared" si="0"/>
        <v>0</v>
      </c>
      <c r="R18" s="426">
        <f t="shared" si="1"/>
        <v>41896.689999999995</v>
      </c>
      <c r="S18" s="425" t="s">
        <v>167</v>
      </c>
      <c r="U18" s="1257">
        <f>F18/'2020 Assumptions'!$B$4</f>
        <v>31168.494271685755</v>
      </c>
      <c r="V18" s="413" t="s">
        <v>166</v>
      </c>
      <c r="W18" s="426">
        <f>P18/'2020 Assumptions'!$B$4</f>
        <v>0</v>
      </c>
    </row>
    <row r="19" spans="2:23" x14ac:dyDescent="0.25">
      <c r="B19" s="423" t="s">
        <v>284</v>
      </c>
      <c r="C19" s="424">
        <f>-SUMIF(CII!$C$9:$AF$9,'RU Summary Q1 2020'!B19,CII!$C$292:$AF$292)</f>
        <v>205593.21</v>
      </c>
      <c r="D19" s="414">
        <f>SUMIF(CII!$C$9:$AF$9,'RU Summary Q1 2020'!B19,CII!$C$235:$AF$235)</f>
        <v>181.52</v>
      </c>
      <c r="F19" s="414">
        <f t="shared" si="2"/>
        <v>205774.72999999998</v>
      </c>
      <c r="G19" s="425" t="s">
        <v>167</v>
      </c>
      <c r="I19" s="414">
        <f>SUMIF(CII!$C$9:$AF$9,'RU Summary Q1 2020'!B19,CII!$C$330:$AF$330)</f>
        <v>6.2989799999999994</v>
      </c>
      <c r="J19" s="425" t="s">
        <v>167</v>
      </c>
      <c r="L19" s="426"/>
      <c r="M19" s="414"/>
      <c r="N19" s="427"/>
      <c r="O19" s="414"/>
      <c r="P19" s="426">
        <f t="shared" si="0"/>
        <v>0</v>
      </c>
      <c r="R19" s="426">
        <f t="shared" si="1"/>
        <v>205774.72999999998</v>
      </c>
      <c r="S19" s="425" t="s">
        <v>167</v>
      </c>
      <c r="U19" s="1257">
        <f>F19/'2020 Assumptions'!$B$4</f>
        <v>153083.41764618357</v>
      </c>
      <c r="V19" s="413" t="s">
        <v>166</v>
      </c>
      <c r="W19" s="426">
        <f>P19/'2020 Assumptions'!$B$4</f>
        <v>0</v>
      </c>
    </row>
    <row r="20" spans="2:23" ht="15.75" thickBot="1" x14ac:dyDescent="0.3">
      <c r="B20" s="429" t="s">
        <v>452</v>
      </c>
      <c r="C20" s="430">
        <f>SUM(C5:C19)</f>
        <v>3323346.8800000008</v>
      </c>
      <c r="D20" s="430">
        <f t="shared" ref="D20:F20" si="3">SUM(D5:D19)</f>
        <v>51681.710000000006</v>
      </c>
      <c r="E20" s="430">
        <f t="shared" si="3"/>
        <v>0</v>
      </c>
      <c r="F20" s="430">
        <f t="shared" si="3"/>
        <v>3375028.5900000012</v>
      </c>
      <c r="G20" s="425" t="s">
        <v>167</v>
      </c>
      <c r="H20" s="423"/>
      <c r="I20" s="430">
        <f t="shared" ref="I20" si="4">SUM(I5:I19)</f>
        <v>1151.04421</v>
      </c>
      <c r="J20" s="425" t="s">
        <v>167</v>
      </c>
      <c r="K20" s="423"/>
      <c r="L20" s="423"/>
      <c r="M20" s="430">
        <f t="shared" ref="M20:N20" si="5">SUM(M5:M19)</f>
        <v>-382383.58999999997</v>
      </c>
      <c r="N20" s="430">
        <f t="shared" si="5"/>
        <v>-951</v>
      </c>
      <c r="O20" s="430"/>
      <c r="P20" s="430">
        <f t="shared" ref="P20:R20" si="6">SUM(P5:P19)</f>
        <v>-383334.58999999997</v>
      </c>
      <c r="R20" s="430">
        <f t="shared" si="6"/>
        <v>2991694.0000000009</v>
      </c>
      <c r="S20" s="425" t="s">
        <v>167</v>
      </c>
      <c r="U20" s="430">
        <f t="shared" ref="U20" si="7">SUM(U5:U19)</f>
        <v>2510808.3544115466</v>
      </c>
      <c r="V20" s="413" t="s">
        <v>166</v>
      </c>
    </row>
    <row r="21" spans="2:23" x14ac:dyDescent="0.25">
      <c r="B21" s="423"/>
      <c r="C21" s="431"/>
      <c r="D21" s="431"/>
      <c r="E21" s="431"/>
      <c r="F21" s="431"/>
      <c r="G21" s="425"/>
      <c r="H21" s="423"/>
      <c r="I21" s="431"/>
      <c r="J21" s="425"/>
      <c r="K21" s="423"/>
      <c r="L21" s="423"/>
      <c r="M21" s="432"/>
      <c r="N21" s="432"/>
      <c r="O21" s="414"/>
      <c r="S21" s="425"/>
    </row>
    <row r="22" spans="2:23" x14ac:dyDescent="0.25">
      <c r="B22" s="423" t="s">
        <v>290</v>
      </c>
      <c r="F22" s="414">
        <f t="shared" si="2"/>
        <v>0</v>
      </c>
      <c r="M22" s="414"/>
      <c r="N22" s="414"/>
      <c r="O22" s="414"/>
      <c r="S22" s="414"/>
    </row>
    <row r="23" spans="2:23" x14ac:dyDescent="0.25">
      <c r="B23" s="423" t="s">
        <v>237</v>
      </c>
      <c r="C23" s="433">
        <f>-SUMIF(CISUS!$C$9:$Q$9,'RU Summary Q1 2020'!B23,CISUS!$C$292:$Q$292)</f>
        <v>70820.09</v>
      </c>
      <c r="D23" s="414">
        <f>SUMIF(CISUS!$C$9:$Q$9,'RU Summary Q1 2020'!B23,CISUS!$C$235:$Q$235)</f>
        <v>134.42999999999998</v>
      </c>
      <c r="F23" s="414">
        <f t="shared" si="2"/>
        <v>70954.51999999999</v>
      </c>
      <c r="G23" s="414" t="s">
        <v>166</v>
      </c>
      <c r="I23" s="427">
        <f>SUMIF(CISUS!$C$9:$Q$9,'RU Summary Q1 2020'!B23,CISUS!$C$330:$Q$330)</f>
        <v>-28.034299999999998</v>
      </c>
      <c r="J23" s="414" t="s">
        <v>166</v>
      </c>
      <c r="K23" s="426"/>
      <c r="L23" s="426"/>
      <c r="M23" s="414">
        <f>-F23</f>
        <v>-70954.51999999999</v>
      </c>
      <c r="N23" s="414"/>
      <c r="O23" s="414"/>
      <c r="P23" s="426">
        <f t="shared" ref="P23:P34" si="8">SUM(M23:O23)</f>
        <v>-70954.51999999999</v>
      </c>
      <c r="R23" s="426">
        <f t="shared" ref="R23:R34" si="9">F23+P23</f>
        <v>0</v>
      </c>
      <c r="S23" s="414" t="s">
        <v>166</v>
      </c>
      <c r="U23" s="426">
        <f>F23</f>
        <v>70954.51999999999</v>
      </c>
      <c r="V23" s="413" t="s">
        <v>166</v>
      </c>
      <c r="W23" s="426">
        <f>P23</f>
        <v>-70954.51999999999</v>
      </c>
    </row>
    <row r="24" spans="2:23" x14ac:dyDescent="0.25">
      <c r="B24" s="423" t="s">
        <v>238</v>
      </c>
      <c r="C24" s="433">
        <f>-SUMIF(CISUS!$C$9:$Q$9,'RU Summary Q1 2020'!B24,CISUS!$C$292:$Q$292)</f>
        <v>26562.22</v>
      </c>
      <c r="D24" s="414">
        <f>SUMIF(CISUS!$C$9:$Q$9,'RU Summary Q1 2020'!B24,CISUS!$C$235:$Q$235)</f>
        <v>0</v>
      </c>
      <c r="F24" s="414">
        <f t="shared" si="2"/>
        <v>26562.22</v>
      </c>
      <c r="G24" s="414" t="s">
        <v>166</v>
      </c>
      <c r="H24" s="414" t="s">
        <v>453</v>
      </c>
      <c r="I24" s="414">
        <f>SUMIF(CISUS!$C$9:$Q$9,'RU Summary Q1 2020'!B24,CISUS!$C$330:$Q$330)</f>
        <v>7.4519800000000007</v>
      </c>
      <c r="J24" s="414" t="s">
        <v>166</v>
      </c>
      <c r="L24" s="426"/>
      <c r="M24" s="414">
        <f>-F24</f>
        <v>-26562.22</v>
      </c>
      <c r="N24" s="414"/>
      <c r="O24" s="414"/>
      <c r="P24" s="426">
        <f t="shared" si="8"/>
        <v>-26562.22</v>
      </c>
      <c r="R24" s="426">
        <f t="shared" si="9"/>
        <v>0</v>
      </c>
      <c r="S24" s="414" t="s">
        <v>166</v>
      </c>
      <c r="U24" s="426">
        <f t="shared" ref="U24:U34" si="10">F24</f>
        <v>26562.22</v>
      </c>
      <c r="V24" s="413" t="s">
        <v>166</v>
      </c>
      <c r="W24" s="426">
        <f t="shared" ref="W24:W34" si="11">P24</f>
        <v>-26562.22</v>
      </c>
    </row>
    <row r="25" spans="2:23" x14ac:dyDescent="0.25">
      <c r="B25" s="423" t="s">
        <v>239</v>
      </c>
      <c r="C25" s="433">
        <f>-SUMIF(CISUS!$C$9:$Q$9,'RU Summary Q1 2020'!B25,CISUS!$C$292:$Q$292)</f>
        <v>59712.229999999996</v>
      </c>
      <c r="D25" s="414">
        <f>SUMIF(CISUS!$C$9:$Q$9,'RU Summary Q1 2020'!B25,CISUS!$C$235:$Q$235)</f>
        <v>0</v>
      </c>
      <c r="F25" s="414">
        <f t="shared" si="2"/>
        <v>59712.229999999996</v>
      </c>
      <c r="G25" s="414" t="s">
        <v>166</v>
      </c>
      <c r="I25" s="414">
        <f>SUMIF(CISUS!$C$9:$Q$9,'RU Summary Q1 2020'!B25,CISUS!$C$330:$Q$330)</f>
        <v>2.7522299999999995</v>
      </c>
      <c r="J25" s="414" t="s">
        <v>166</v>
      </c>
      <c r="L25" s="426"/>
      <c r="M25" s="414"/>
      <c r="N25" s="414"/>
      <c r="O25" s="414"/>
      <c r="P25" s="426">
        <f t="shared" si="8"/>
        <v>0</v>
      </c>
      <c r="R25" s="426">
        <f t="shared" si="9"/>
        <v>59712.229999999996</v>
      </c>
      <c r="S25" s="414" t="s">
        <v>166</v>
      </c>
      <c r="U25" s="1257">
        <f t="shared" si="10"/>
        <v>59712.229999999996</v>
      </c>
      <c r="V25" s="413" t="s">
        <v>166</v>
      </c>
      <c r="W25" s="426">
        <f t="shared" si="11"/>
        <v>0</v>
      </c>
    </row>
    <row r="26" spans="2:23" x14ac:dyDescent="0.25">
      <c r="B26" s="423" t="s">
        <v>304</v>
      </c>
      <c r="C26" s="433">
        <f>-SUMIF(CISUS!$C$9:$Q$9,'RU Summary Q1 2020'!B26,CISUS!$C$292:$Q$292)</f>
        <v>-105.48000000000002</v>
      </c>
      <c r="D26" s="414">
        <f>SUMIF(CISUS!$C$9:$Q$9,'RU Summary Q1 2020'!B26,CISUS!$C$235:$Q$235)</f>
        <v>0</v>
      </c>
      <c r="F26" s="414">
        <f t="shared" si="2"/>
        <v>-105.48000000000002</v>
      </c>
      <c r="G26" s="414" t="s">
        <v>166</v>
      </c>
      <c r="I26" s="427">
        <f>SUMIF(CISUS!$C$9:$Q$9,'RU Summary Q1 2020'!B26,CISUS!$C$330:$Q$330)</f>
        <v>-3.145</v>
      </c>
      <c r="J26" s="414" t="s">
        <v>166</v>
      </c>
      <c r="K26" s="426"/>
      <c r="L26" s="426"/>
      <c r="M26" s="414"/>
      <c r="N26" s="414"/>
      <c r="O26" s="414"/>
      <c r="P26" s="426">
        <f t="shared" si="8"/>
        <v>0</v>
      </c>
      <c r="R26" s="426">
        <f t="shared" si="9"/>
        <v>-105.48000000000002</v>
      </c>
      <c r="S26" s="414" t="s">
        <v>166</v>
      </c>
      <c r="U26" s="1257">
        <f t="shared" si="10"/>
        <v>-105.48000000000002</v>
      </c>
      <c r="V26" s="413" t="s">
        <v>166</v>
      </c>
      <c r="W26" s="426">
        <f t="shared" si="11"/>
        <v>0</v>
      </c>
    </row>
    <row r="27" spans="2:23" x14ac:dyDescent="0.25">
      <c r="B27" s="423" t="s">
        <v>308</v>
      </c>
      <c r="C27" s="433">
        <f>-SUMIF(CISUS!$C$9:$Q$9,'RU Summary Q1 2020'!B27,CISUS!$C$292:$Q$292)</f>
        <v>179114.31</v>
      </c>
      <c r="D27" s="414">
        <f>SUMIF(CISUS!$C$9:$Q$9,'RU Summary Q1 2020'!B27,CISUS!$C$235:$Q$235)</f>
        <v>0</v>
      </c>
      <c r="F27" s="414">
        <f t="shared" si="2"/>
        <v>179114.31</v>
      </c>
      <c r="G27" s="414" t="s">
        <v>166</v>
      </c>
      <c r="H27" s="414" t="s">
        <v>454</v>
      </c>
      <c r="I27" s="414">
        <f>SUMIF(CISUS!$C$9:$Q$9,'RU Summary Q1 2020'!B27,CISUS!$C$330:$Q$330)</f>
        <v>0</v>
      </c>
      <c r="J27" s="414" t="s">
        <v>166</v>
      </c>
      <c r="L27" s="426"/>
      <c r="M27" s="414">
        <f>-F27</f>
        <v>-179114.31</v>
      </c>
      <c r="N27" s="414"/>
      <c r="O27" s="414"/>
      <c r="P27" s="426">
        <f t="shared" si="8"/>
        <v>-179114.31</v>
      </c>
      <c r="R27" s="426">
        <f t="shared" si="9"/>
        <v>0</v>
      </c>
      <c r="S27" s="414" t="s">
        <v>166</v>
      </c>
      <c r="U27" s="426">
        <f t="shared" si="10"/>
        <v>179114.31</v>
      </c>
      <c r="V27" s="413" t="s">
        <v>166</v>
      </c>
      <c r="W27" s="426">
        <f t="shared" si="11"/>
        <v>-179114.31</v>
      </c>
    </row>
    <row r="28" spans="2:23" x14ac:dyDescent="0.25">
      <c r="B28" s="423" t="s">
        <v>321</v>
      </c>
      <c r="C28" s="433">
        <f>-SUMIF(CISUS!$C$9:$Q$9,'RU Summary Q1 2020'!B28,CISUS!$C$292:$Q$292)</f>
        <v>63355.5</v>
      </c>
      <c r="D28" s="414">
        <f>SUMIF(CISUS!$C$9:$Q$9,'RU Summary Q1 2020'!B28,CISUS!$C$235:$Q$235)</f>
        <v>0</v>
      </c>
      <c r="F28" s="414">
        <f t="shared" si="2"/>
        <v>63355.5</v>
      </c>
      <c r="G28" s="414" t="s">
        <v>166</v>
      </c>
      <c r="I28" s="414">
        <f>SUMIF(CISUS!$C$9:$Q$9,'RU Summary Q1 2020'!B28,CISUS!$C$330:$Q$330)</f>
        <v>0</v>
      </c>
      <c r="J28" s="414" t="s">
        <v>166</v>
      </c>
      <c r="L28" s="426"/>
      <c r="M28" s="414"/>
      <c r="N28" s="414"/>
      <c r="O28" s="414"/>
      <c r="P28" s="426">
        <f t="shared" si="8"/>
        <v>0</v>
      </c>
      <c r="R28" s="426">
        <f t="shared" si="9"/>
        <v>63355.5</v>
      </c>
      <c r="S28" s="414" t="s">
        <v>166</v>
      </c>
      <c r="U28" s="1257">
        <f t="shared" si="10"/>
        <v>63355.5</v>
      </c>
      <c r="V28" s="413" t="s">
        <v>166</v>
      </c>
      <c r="W28" s="426">
        <f t="shared" si="11"/>
        <v>0</v>
      </c>
    </row>
    <row r="29" spans="2:23" x14ac:dyDescent="0.25">
      <c r="B29" s="423" t="s">
        <v>322</v>
      </c>
      <c r="C29" s="433">
        <f>-SUMIF(CISUS!$C$9:$Q$9,'RU Summary Q1 2020'!B29,CISUS!$C$292:$Q$292)</f>
        <v>14396.200000000003</v>
      </c>
      <c r="D29" s="414">
        <f>SUMIF(CISUS!$C$9:$Q$9,'RU Summary Q1 2020'!B29,CISUS!$C$235:$Q$235)</f>
        <v>0</v>
      </c>
      <c r="F29" s="414">
        <f t="shared" si="2"/>
        <v>14396.200000000003</v>
      </c>
      <c r="G29" s="414" t="s">
        <v>166</v>
      </c>
      <c r="I29" s="414">
        <f>SUMIF(CISUS!$C$9:$Q$9,'RU Summary Q1 2020'!B29,CISUS!$C$330:$Q$330)</f>
        <v>1.79512</v>
      </c>
      <c r="J29" s="414" t="s">
        <v>166</v>
      </c>
      <c r="L29" s="426"/>
      <c r="M29" s="414"/>
      <c r="N29" s="414"/>
      <c r="O29" s="414"/>
      <c r="P29" s="426">
        <f t="shared" si="8"/>
        <v>0</v>
      </c>
      <c r="R29" s="426">
        <f t="shared" si="9"/>
        <v>14396.200000000003</v>
      </c>
      <c r="S29" s="414" t="s">
        <v>166</v>
      </c>
      <c r="U29" s="1257">
        <f t="shared" si="10"/>
        <v>14396.200000000003</v>
      </c>
      <c r="V29" s="413" t="s">
        <v>166</v>
      </c>
      <c r="W29" s="426">
        <f t="shared" si="11"/>
        <v>0</v>
      </c>
    </row>
    <row r="30" spans="2:23" x14ac:dyDescent="0.25">
      <c r="B30" s="423" t="s">
        <v>323</v>
      </c>
      <c r="C30" s="433">
        <f>-SUMIF(CISUS!$C$9:$Q$9,'RU Summary Q1 2020'!B30,CISUS!$C$292:$Q$292)</f>
        <v>56623.86</v>
      </c>
      <c r="D30" s="414">
        <f>SUMIF(CISUS!$C$9:$Q$9,'RU Summary Q1 2020'!B30,CISUS!$C$235:$Q$235)</f>
        <v>0</v>
      </c>
      <c r="F30" s="414">
        <f t="shared" si="2"/>
        <v>56623.86</v>
      </c>
      <c r="G30" s="414" t="s">
        <v>166</v>
      </c>
      <c r="I30" s="414">
        <f>SUMIF(CISUS!$C$9:$Q$9,'RU Summary Q1 2020'!B30,CISUS!$C$330:$Q$330)</f>
        <v>0.52761999999999998</v>
      </c>
      <c r="J30" s="414" t="s">
        <v>166</v>
      </c>
      <c r="L30" s="426"/>
      <c r="M30" s="414"/>
      <c r="N30" s="414"/>
      <c r="O30" s="414"/>
      <c r="P30" s="426">
        <f t="shared" si="8"/>
        <v>0</v>
      </c>
      <c r="R30" s="426">
        <f t="shared" si="9"/>
        <v>56623.86</v>
      </c>
      <c r="S30" s="414" t="s">
        <v>166</v>
      </c>
      <c r="U30" s="1257">
        <f t="shared" si="10"/>
        <v>56623.86</v>
      </c>
      <c r="V30" s="413" t="s">
        <v>166</v>
      </c>
      <c r="W30" s="426">
        <f t="shared" si="11"/>
        <v>0</v>
      </c>
    </row>
    <row r="31" spans="2:23" x14ac:dyDescent="0.25">
      <c r="B31" s="423" t="s">
        <v>324</v>
      </c>
      <c r="C31" s="433">
        <f>-SUMIF(CISUS!$C$9:$Q$9,'RU Summary Q1 2020'!B31,CISUS!$C$292:$Q$292)</f>
        <v>61516.29</v>
      </c>
      <c r="D31" s="414">
        <f>SUMIF(CISUS!$C$9:$Q$9,'RU Summary Q1 2020'!B31,CISUS!$C$235:$Q$235)</f>
        <v>0</v>
      </c>
      <c r="F31" s="414">
        <f t="shared" si="2"/>
        <v>61516.29</v>
      </c>
      <c r="G31" s="414" t="s">
        <v>166</v>
      </c>
      <c r="H31" s="414" t="s">
        <v>455</v>
      </c>
      <c r="I31" s="414">
        <f>SUMIF(CISUS!$C$9:$Q$9,'RU Summary Q1 2020'!B31,CISUS!$C$330:$Q$330)</f>
        <v>1.3730000000000001E-2</v>
      </c>
      <c r="J31" s="414" t="s">
        <v>166</v>
      </c>
      <c r="L31" s="426"/>
      <c r="M31" s="414"/>
      <c r="N31" s="414"/>
      <c r="O31" s="414"/>
      <c r="P31" s="426">
        <f t="shared" si="8"/>
        <v>0</v>
      </c>
      <c r="R31" s="426">
        <f t="shared" si="9"/>
        <v>61516.29</v>
      </c>
      <c r="S31" s="414" t="s">
        <v>166</v>
      </c>
      <c r="U31" s="1257">
        <f t="shared" si="10"/>
        <v>61516.29</v>
      </c>
      <c r="V31" s="413" t="s">
        <v>166</v>
      </c>
      <c r="W31" s="426">
        <f t="shared" si="11"/>
        <v>0</v>
      </c>
    </row>
    <row r="32" spans="2:23" x14ac:dyDescent="0.25">
      <c r="B32" s="423" t="s">
        <v>325</v>
      </c>
      <c r="C32" s="433">
        <f>-SUMIF(CISUS!$C$9:$Q$9,'RU Summary Q1 2020'!B32,CISUS!$C$292:$Q$292)</f>
        <v>0</v>
      </c>
      <c r="D32" s="414">
        <f>SUMIF(CISUS!$C$9:$Q$9,'RU Summary Q1 2020'!B32,CISUS!$C$235:$Q$235)</f>
        <v>0</v>
      </c>
      <c r="F32" s="414">
        <f t="shared" si="2"/>
        <v>0</v>
      </c>
      <c r="G32" s="414" t="s">
        <v>166</v>
      </c>
      <c r="I32" s="414">
        <f>SUMIF(CISUS!$C$9:$Q$9,'RU Summary Q1 2020'!B32,CISUS!$C$330:$Q$330)</f>
        <v>0</v>
      </c>
      <c r="J32" s="414" t="s">
        <v>166</v>
      </c>
      <c r="L32" s="426"/>
      <c r="M32" s="414"/>
      <c r="N32" s="414"/>
      <c r="O32" s="414"/>
      <c r="P32" s="426">
        <f t="shared" si="8"/>
        <v>0</v>
      </c>
      <c r="R32" s="426">
        <f t="shared" si="9"/>
        <v>0</v>
      </c>
      <c r="S32" s="414" t="s">
        <v>166</v>
      </c>
      <c r="U32" s="426">
        <f t="shared" si="10"/>
        <v>0</v>
      </c>
      <c r="V32" s="413" t="s">
        <v>166</v>
      </c>
      <c r="W32" s="426">
        <f t="shared" si="11"/>
        <v>0</v>
      </c>
    </row>
    <row r="33" spans="2:23" x14ac:dyDescent="0.25">
      <c r="B33" s="423" t="s">
        <v>326</v>
      </c>
      <c r="C33" s="433">
        <f>-SUMIF(CISUS!$C$9:$Q$9,'RU Summary Q1 2020'!B33,CISUS!$C$292:$Q$292)</f>
        <v>0</v>
      </c>
      <c r="D33" s="414">
        <f>SUMIF(CISUS!$C$9:$Q$9,'RU Summary Q1 2020'!B33,CISUS!$C$235:$Q$235)</f>
        <v>0</v>
      </c>
      <c r="F33" s="414">
        <f t="shared" si="2"/>
        <v>0</v>
      </c>
      <c r="G33" s="414" t="s">
        <v>166</v>
      </c>
      <c r="I33" s="414">
        <f>SUMIF(CISUS!$C$9:$Q$9,'RU Summary Q1 2020'!B33,CISUS!$C$330:$Q$330)</f>
        <v>0</v>
      </c>
      <c r="J33" s="414" t="s">
        <v>166</v>
      </c>
      <c r="L33" s="426"/>
      <c r="M33" s="414"/>
      <c r="N33" s="414"/>
      <c r="O33" s="414"/>
      <c r="P33" s="426">
        <f t="shared" si="8"/>
        <v>0</v>
      </c>
      <c r="R33" s="426">
        <f t="shared" si="9"/>
        <v>0</v>
      </c>
      <c r="S33" s="414" t="s">
        <v>166</v>
      </c>
      <c r="U33" s="426">
        <f t="shared" si="10"/>
        <v>0</v>
      </c>
      <c r="V33" s="413" t="s">
        <v>166</v>
      </c>
      <c r="W33" s="426">
        <f t="shared" si="11"/>
        <v>0</v>
      </c>
    </row>
    <row r="34" spans="2:23" x14ac:dyDescent="0.25">
      <c r="B34" s="423" t="s">
        <v>327</v>
      </c>
      <c r="C34" s="433">
        <f>-SUMIF(CISUS!$C$9:$Q$9,'RU Summary Q1 2020'!B34,CISUS!$C$292:$Q$292)</f>
        <v>0</v>
      </c>
      <c r="D34" s="414">
        <f>SUMIF(CISUS!$C$9:$Q$9,'RU Summary Q1 2020'!B34,CISUS!$C$235:$Q$235)</f>
        <v>0</v>
      </c>
      <c r="F34" s="414">
        <f t="shared" si="2"/>
        <v>0</v>
      </c>
      <c r="G34" s="414" t="s">
        <v>166</v>
      </c>
      <c r="I34" s="414">
        <f>SUMIF(CISUS!$C$9:$Q$9,'RU Summary Q1 2020'!B34,CISUS!$C$330:$Q$330)</f>
        <v>0</v>
      </c>
      <c r="J34" s="414" t="s">
        <v>166</v>
      </c>
      <c r="L34" s="426"/>
      <c r="M34" s="414">
        <f>-F34</f>
        <v>0</v>
      </c>
      <c r="N34" s="414"/>
      <c r="O34" s="414"/>
      <c r="P34" s="426">
        <f t="shared" si="8"/>
        <v>0</v>
      </c>
      <c r="R34" s="426">
        <f t="shared" si="9"/>
        <v>0</v>
      </c>
      <c r="S34" s="414" t="s">
        <v>166</v>
      </c>
      <c r="U34" s="426">
        <f t="shared" si="10"/>
        <v>0</v>
      </c>
      <c r="V34" s="413" t="s">
        <v>166</v>
      </c>
      <c r="W34" s="426">
        <f t="shared" si="11"/>
        <v>0</v>
      </c>
    </row>
    <row r="35" spans="2:23" ht="15.75" thickBot="1" x14ac:dyDescent="0.3">
      <c r="B35" s="429" t="s">
        <v>456</v>
      </c>
      <c r="C35" s="430">
        <f>SUM(C23:C34)</f>
        <v>531995.22</v>
      </c>
      <c r="D35" s="430">
        <f t="shared" ref="D35:F35" si="12">SUM(D23:D34)</f>
        <v>134.42999999999998</v>
      </c>
      <c r="E35" s="430">
        <f t="shared" si="12"/>
        <v>0</v>
      </c>
      <c r="F35" s="430">
        <f t="shared" si="12"/>
        <v>532129.64999999991</v>
      </c>
      <c r="G35" s="414" t="s">
        <v>166</v>
      </c>
      <c r="I35" s="430">
        <f t="shared" ref="I35" si="13">SUM(I23:I34)</f>
        <v>-18.638619999999996</v>
      </c>
      <c r="J35" s="414" t="s">
        <v>166</v>
      </c>
      <c r="M35" s="430">
        <f t="shared" ref="M35:N35" si="14">SUM(M23:M34)</f>
        <v>-276631.05</v>
      </c>
      <c r="N35" s="430">
        <f t="shared" si="14"/>
        <v>0</v>
      </c>
      <c r="O35" s="430"/>
      <c r="P35" s="430">
        <f t="shared" ref="P35" si="15">SUM(P23:P34)</f>
        <v>-276631.05</v>
      </c>
      <c r="R35" s="430">
        <f>SUM(R23:R34)</f>
        <v>255498.6</v>
      </c>
      <c r="S35" s="414" t="s">
        <v>166</v>
      </c>
      <c r="U35" s="430">
        <f t="shared" ref="U35" si="16">SUM(U23:U34)</f>
        <v>532129.64999999991</v>
      </c>
      <c r="V35" s="413" t="s">
        <v>166</v>
      </c>
    </row>
    <row r="36" spans="2:23" x14ac:dyDescent="0.25">
      <c r="B36" s="423"/>
      <c r="C36" s="431"/>
      <c r="D36" s="431"/>
      <c r="E36" s="431"/>
      <c r="F36" s="431"/>
      <c r="I36" s="431"/>
      <c r="M36" s="414"/>
      <c r="N36" s="414"/>
      <c r="O36" s="414"/>
      <c r="S36" s="414"/>
    </row>
    <row r="37" spans="2:23" x14ac:dyDescent="0.25">
      <c r="B37" s="434" t="s">
        <v>457</v>
      </c>
      <c r="C37" s="414">
        <f>('Board Fees'!F24)</f>
        <v>-60625</v>
      </c>
      <c r="D37" s="427"/>
      <c r="E37" s="427"/>
      <c r="F37" s="427">
        <f t="shared" si="2"/>
        <v>-60625</v>
      </c>
      <c r="G37" s="414" t="s">
        <v>166</v>
      </c>
      <c r="H37" s="427"/>
      <c r="I37" s="427"/>
      <c r="J37" s="414" t="s">
        <v>166</v>
      </c>
      <c r="M37" s="414"/>
      <c r="N37" s="414"/>
      <c r="O37" s="414"/>
      <c r="R37" s="426">
        <f>F37+P37</f>
        <v>-60625</v>
      </c>
      <c r="S37" s="414" t="s">
        <v>166</v>
      </c>
      <c r="U37" s="426">
        <f t="shared" ref="U37:U38" si="17">F37</f>
        <v>-60625</v>
      </c>
      <c r="V37" s="413" t="s">
        <v>166</v>
      </c>
    </row>
    <row r="38" spans="2:23" x14ac:dyDescent="0.25">
      <c r="B38" s="1129" t="s">
        <v>421</v>
      </c>
      <c r="C38" s="1139">
        <f>'Board Fees'!F38</f>
        <v>-31875</v>
      </c>
      <c r="F38" s="427">
        <f t="shared" ref="F38" si="18">SUM(C38:E38)</f>
        <v>-31875</v>
      </c>
      <c r="G38" s="414" t="s">
        <v>166</v>
      </c>
      <c r="M38" s="414"/>
      <c r="N38" s="414"/>
      <c r="O38" s="414"/>
      <c r="R38" s="426">
        <f>F38+P38</f>
        <v>-31875</v>
      </c>
      <c r="S38" s="414" t="s">
        <v>166</v>
      </c>
      <c r="U38" s="426">
        <f t="shared" si="17"/>
        <v>-31875</v>
      </c>
      <c r="V38" s="413" t="s">
        <v>166</v>
      </c>
    </row>
    <row r="39" spans="2:23" ht="15.75" thickBot="1" x14ac:dyDescent="0.3">
      <c r="C39" s="430">
        <f>C35+C37+C38</f>
        <v>439495.22</v>
      </c>
      <c r="D39" s="430">
        <f t="shared" ref="D39:F39" si="19">D35+D37+D38</f>
        <v>134.42999999999998</v>
      </c>
      <c r="E39" s="430">
        <f t="shared" si="19"/>
        <v>0</v>
      </c>
      <c r="F39" s="430">
        <f t="shared" si="19"/>
        <v>439629.64999999991</v>
      </c>
      <c r="G39" s="414" t="s">
        <v>166</v>
      </c>
      <c r="I39" s="430">
        <f>SUM(I5:I37)</f>
        <v>2264.8111800000001</v>
      </c>
      <c r="M39" s="430">
        <f t="shared" ref="M39" si="20">M35+M37+M38</f>
        <v>-276631.05</v>
      </c>
      <c r="N39" s="430">
        <f t="shared" ref="N39" si="21">N35+N37+N38</f>
        <v>0</v>
      </c>
      <c r="O39" s="430">
        <f t="shared" ref="O39" si="22">O35+O37+O38</f>
        <v>0</v>
      </c>
      <c r="P39" s="430">
        <f t="shared" ref="P39:R39" si="23">P35+P37+P38</f>
        <v>-276631.05</v>
      </c>
      <c r="R39" s="430">
        <f t="shared" si="23"/>
        <v>162998.6</v>
      </c>
      <c r="S39" s="414" t="s">
        <v>166</v>
      </c>
      <c r="U39" s="430">
        <f t="shared" ref="U39" si="24">U35+U37+U38</f>
        <v>439629.64999999991</v>
      </c>
    </row>
    <row r="41" spans="2:23" x14ac:dyDescent="0.25">
      <c r="F41" s="414">
        <f>((F20-F9)/'2020 Assumptions'!B4)+F35+F37-F23</f>
        <v>2717322.1207751827</v>
      </c>
      <c r="R41" s="426">
        <f>(R20/'2020 Assumptions'!B4)+R39</f>
        <v>2388630.2024401138</v>
      </c>
      <c r="U41" s="426">
        <f>U20+U39</f>
        <v>2950438.0044115465</v>
      </c>
    </row>
    <row r="42" spans="2:23" x14ac:dyDescent="0.25">
      <c r="B42"/>
      <c r="C42"/>
      <c r="D42"/>
      <c r="E42"/>
      <c r="F42"/>
      <c r="G42"/>
      <c r="H42"/>
      <c r="I42"/>
      <c r="J42"/>
      <c r="K42"/>
      <c r="L42"/>
      <c r="M42"/>
      <c r="N42"/>
      <c r="O42"/>
      <c r="P42"/>
      <c r="Q42"/>
      <c r="R42"/>
      <c r="S42"/>
    </row>
    <row r="43" spans="2:23" hidden="1" outlineLevel="1" x14ac:dyDescent="0.25">
      <c r="B43" s="423" t="s">
        <v>230</v>
      </c>
      <c r="C43" s="435">
        <f>-SUMIF(CII!$C$9:$AF$9,'RU Summary Q1 2020'!B43,CII!$C$292:$AF$292)</f>
        <v>80310.719999999987</v>
      </c>
      <c r="D43" s="414">
        <f>SUMIF(CII!$C$9:$AF$9,'RU Summary Q1 2020'!B43,CII!$C$235:$AF$235)</f>
        <v>875.16</v>
      </c>
      <c r="F43" s="414">
        <f t="shared" ref="F43:F51" si="25">SUM(C43:E43)</f>
        <v>81185.87999999999</v>
      </c>
      <c r="G43" s="425" t="s">
        <v>167</v>
      </c>
      <c r="I43" s="414">
        <f>SUMIF(CII!$C$9:$AF$9,'RU Summary Q1 2020'!B43,CII!$C$330:$AF$330)</f>
        <v>-5.7437100000000001</v>
      </c>
      <c r="J43" s="425" t="s">
        <v>167</v>
      </c>
      <c r="L43" s="426"/>
    </row>
    <row r="44" spans="2:23" hidden="1" outlineLevel="1" x14ac:dyDescent="0.25">
      <c r="B44"/>
      <c r="C44" s="435">
        <f>-SUMIF(CII!$C$9:$AF$9,'RU Summary Q1 2020'!B44,CII!$C$292:$AF$292)</f>
        <v>0</v>
      </c>
      <c r="D44" s="414">
        <f>SUMIF(CII!$C$9:$AF$9,'RU Summary Q1 2020'!B44,CII!$C$235:$AF$235)</f>
        <v>0</v>
      </c>
      <c r="F44" s="414">
        <f t="shared" si="25"/>
        <v>0</v>
      </c>
      <c r="G44" s="425" t="s">
        <v>167</v>
      </c>
      <c r="I44" s="414">
        <f>SUMIF(CII!$C$9:$AF$9,'RU Summary Q1 2020'!B44,CII!$C$330:$AF$330)</f>
        <v>0</v>
      </c>
      <c r="J44" s="425" t="s">
        <v>167</v>
      </c>
      <c r="L44" s="426"/>
    </row>
    <row r="45" spans="2:23" hidden="1" outlineLevel="1" x14ac:dyDescent="0.25">
      <c r="B45" s="423" t="s">
        <v>231</v>
      </c>
      <c r="C45" s="435">
        <f>-SUMIF(CII!$C$9:$AF$9,'RU Summary Q1 2020'!B45,CII!$C$292:$AF$292)</f>
        <v>126652.5</v>
      </c>
      <c r="D45" s="427">
        <f>SUMIF(CII!$C$9:$AF$9,'RU Summary Q1 2020'!B45,CII!$C$235:$AF$235)</f>
        <v>294.57</v>
      </c>
      <c r="E45" s="427"/>
      <c r="F45" s="414">
        <f t="shared" si="25"/>
        <v>126947.07</v>
      </c>
      <c r="G45" s="425" t="s">
        <v>167</v>
      </c>
      <c r="H45" s="427"/>
      <c r="I45" s="414">
        <f>SUMIF(CII!$C$9:$AF$9,'RU Summary Q1 2020'!B45,CII!$C$330:$AF$330)</f>
        <v>68.61439</v>
      </c>
      <c r="J45" s="425" t="s">
        <v>167</v>
      </c>
      <c r="L45" s="426"/>
    </row>
    <row r="46" spans="2:23" hidden="1" outlineLevel="1" x14ac:dyDescent="0.25">
      <c r="B46" s="423" t="s">
        <v>232</v>
      </c>
      <c r="C46" s="435">
        <f>-SUMIF(CII!$C$9:$AF$9,'RU Summary Q1 2020'!B46,CII!$C$292:$AF$292)</f>
        <v>125720.02000000002</v>
      </c>
      <c r="D46" s="427">
        <f>SUMIF(CII!$C$9:$AF$9,'RU Summary Q1 2020'!B46,CII!$C$235:$AF$235)</f>
        <v>167.88</v>
      </c>
      <c r="E46" s="427"/>
      <c r="F46" s="414">
        <f t="shared" si="25"/>
        <v>125887.90000000002</v>
      </c>
      <c r="G46" s="425" t="s">
        <v>167</v>
      </c>
      <c r="H46" s="427"/>
      <c r="I46" s="414">
        <f>SUMIF(CII!$C$9:$AF$9,'RU Summary Q1 2020'!B46,CII!$C$330:$AF$330)</f>
        <v>1.4509400000000001</v>
      </c>
      <c r="J46" s="425" t="s">
        <v>167</v>
      </c>
      <c r="L46" s="426"/>
    </row>
    <row r="47" spans="2:23" s="428" customFormat="1" hidden="1" outlineLevel="1" x14ac:dyDescent="0.25">
      <c r="B47" s="423" t="s">
        <v>233</v>
      </c>
      <c r="C47" s="435">
        <f>-SUMIF(CII!$C$9:$AF$9,'RU Summary Q1 2020'!B47,CII!$C$292:$AF$292)</f>
        <v>888921.55999999994</v>
      </c>
      <c r="D47" s="427">
        <f>SUMIF(CII!$C$9:$AF$9,'RU Summary Q1 2020'!B47,CII!$C$235:$AF$235)</f>
        <v>207981.40000000002</v>
      </c>
      <c r="E47" s="427"/>
      <c r="F47" s="414">
        <f t="shared" si="25"/>
        <v>1096902.96</v>
      </c>
      <c r="G47" s="425" t="s">
        <v>167</v>
      </c>
      <c r="H47" s="427"/>
      <c r="I47" s="427">
        <f>SUMIF(CII!$C$9:$AF$9,'RU Summary Q1 2020'!B47,CII!$C$330:$AF$330)</f>
        <v>189.24713</v>
      </c>
      <c r="J47" s="425" t="s">
        <v>167</v>
      </c>
      <c r="L47" s="426"/>
    </row>
    <row r="48" spans="2:23" s="428" customFormat="1" hidden="1" outlineLevel="1" x14ac:dyDescent="0.25">
      <c r="B48" s="423" t="s">
        <v>234</v>
      </c>
      <c r="C48" s="435">
        <f>-SUMIF(CII!$C$9:$AF$9,'RU Summary Q1 2020'!B48,CII!$C$292:$AF$292)</f>
        <v>73094.670000000013</v>
      </c>
      <c r="D48" s="427">
        <f>SUMIF(CII!$C$9:$AF$9,'RU Summary Q1 2020'!B48,CII!$C$235:$AF$235)</f>
        <v>212.30999999999997</v>
      </c>
      <c r="E48" s="427"/>
      <c r="F48" s="414">
        <f t="shared" si="25"/>
        <v>73306.98000000001</v>
      </c>
      <c r="G48" s="425" t="s">
        <v>167</v>
      </c>
      <c r="H48" s="427"/>
      <c r="I48" s="427">
        <f>SUMIF(CII!$C$9:$AF$9,'RU Summary Q1 2020'!B48,CII!$C$330:$AF$330)</f>
        <v>0.97826000000000002</v>
      </c>
      <c r="J48" s="425" t="s">
        <v>167</v>
      </c>
      <c r="L48" s="426"/>
    </row>
    <row r="49" spans="2:18" hidden="1" outlineLevel="1" x14ac:dyDescent="0.25">
      <c r="B49" s="423" t="s">
        <v>302</v>
      </c>
      <c r="C49" s="435">
        <f>-SUMIF(CII!$C$9:$AF$9,'RU Summary Q1 2020'!B49,CII!$C$292:$AF$292)</f>
        <v>34106.879999999997</v>
      </c>
      <c r="D49" s="427">
        <f>SUMIF(CII!$C$9:$AF$9,'RU Summary Q1 2020'!B49,CII!$C$235:$AF$235)</f>
        <v>37.03</v>
      </c>
      <c r="E49" s="427"/>
      <c r="F49" s="414">
        <f t="shared" si="25"/>
        <v>34143.909999999996</v>
      </c>
      <c r="G49" s="425" t="s">
        <v>167</v>
      </c>
      <c r="H49" s="427"/>
      <c r="I49" s="414">
        <f>SUMIF(CII!$C$9:$AF$9,'RU Summary Q1 2020'!B49,CII!$C$330:$AF$330)</f>
        <v>12.91442</v>
      </c>
      <c r="J49" s="425" t="s">
        <v>167</v>
      </c>
      <c r="L49" s="426"/>
    </row>
    <row r="50" spans="2:18" hidden="1" outlineLevel="1" x14ac:dyDescent="0.25">
      <c r="B50" s="423" t="s">
        <v>235</v>
      </c>
      <c r="C50" s="435">
        <f>-SUMIF(CII!$C$9:$AF$9,'RU Summary Q1 2020'!B50,CII!$C$292:$AF$292)</f>
        <v>33387.519999999997</v>
      </c>
      <c r="D50" s="427">
        <f>SUMIF(CII!$C$9:$AF$9,'RU Summary Q1 2020'!B50,CII!$C$235:$AF$235)</f>
        <v>0</v>
      </c>
      <c r="E50" s="427"/>
      <c r="F50" s="414">
        <f t="shared" si="25"/>
        <v>33387.519999999997</v>
      </c>
      <c r="G50" s="425" t="s">
        <v>167</v>
      </c>
      <c r="H50" s="427"/>
      <c r="I50" s="414">
        <f>SUMIF(CII!$C$9:$AF$9,'RU Summary Q1 2020'!B50,CII!$C$330:$AF$330)</f>
        <v>5.7494699999999996</v>
      </c>
      <c r="J50" s="425" t="s">
        <v>167</v>
      </c>
      <c r="L50" s="426"/>
    </row>
    <row r="51" spans="2:18" hidden="1" outlineLevel="1" x14ac:dyDescent="0.25">
      <c r="B51" s="423" t="s">
        <v>236</v>
      </c>
      <c r="C51" s="435">
        <f>-SUMIF(CII!$C$9:$AF$9,'RU Summary Q1 2020'!B51,CII!$C$292:$AF$292)</f>
        <v>72429.430000000008</v>
      </c>
      <c r="D51" s="414">
        <f>SUMIF(CII!$C$9:$AF$9,'RU Summary Q1 2020'!B51,CII!$C$235:$AF$235)</f>
        <v>358.78</v>
      </c>
      <c r="F51" s="414">
        <f t="shared" si="25"/>
        <v>72788.210000000006</v>
      </c>
      <c r="G51" s="425" t="s">
        <v>167</v>
      </c>
      <c r="I51" s="414">
        <f>SUMIF(CII!$C$9:$AF$9,'RU Summary Q1 2020'!B51,CII!$C$330:$AF$330)</f>
        <v>4.6376099999999996</v>
      </c>
      <c r="J51" s="425" t="s">
        <v>167</v>
      </c>
      <c r="L51" s="426"/>
    </row>
    <row r="52" spans="2:18" ht="15.75" hidden="1" outlineLevel="1" thickBot="1" x14ac:dyDescent="0.3">
      <c r="B52" s="429" t="s">
        <v>458</v>
      </c>
      <c r="C52" s="430">
        <f>SUM(C43:C51)</f>
        <v>1434623.2999999996</v>
      </c>
      <c r="D52" s="430">
        <f>SUM(D43:D51)</f>
        <v>209927.13</v>
      </c>
      <c r="E52" s="430">
        <f>SUM(E43:E51)</f>
        <v>0</v>
      </c>
      <c r="F52" s="430">
        <f>SUM(F43:F51)</f>
        <v>1644550.43</v>
      </c>
      <c r="G52" s="425" t="s">
        <v>167</v>
      </c>
      <c r="I52" s="430">
        <f>SUM(I43:I51)</f>
        <v>277.84850999999998</v>
      </c>
      <c r="J52" s="425" t="s">
        <v>167</v>
      </c>
    </row>
    <row r="53" spans="2:18" hidden="1" outlineLevel="1" x14ac:dyDescent="0.25">
      <c r="C53" s="431"/>
      <c r="D53" s="431"/>
      <c r="E53" s="431"/>
      <c r="F53" s="431"/>
      <c r="G53" s="425"/>
      <c r="I53" s="431"/>
      <c r="J53" s="425"/>
    </row>
    <row r="54" spans="2:18" hidden="1" outlineLevel="1" x14ac:dyDescent="0.25">
      <c r="B54" s="436" t="s">
        <v>96</v>
      </c>
      <c r="C54" s="437">
        <f>C20+C52+CII!AH208+CII!Z287+CII!I288</f>
        <v>-1.0000000335821824E-2</v>
      </c>
      <c r="D54" s="437">
        <f>D52+D20-CII!AH235+CII!S235</f>
        <v>1.0459189070388675E-11</v>
      </c>
    </row>
    <row r="55" spans="2:18" hidden="1" outlineLevel="1" x14ac:dyDescent="0.25"/>
    <row r="56" spans="2:18" hidden="1" outlineLevel="1" x14ac:dyDescent="0.25"/>
    <row r="57" spans="2:18" hidden="1" outlineLevel="1" x14ac:dyDescent="0.25"/>
    <row r="58" spans="2:18" hidden="1" outlineLevel="1" x14ac:dyDescent="0.25"/>
    <row r="59" spans="2:18" collapsed="1" x14ac:dyDescent="0.25">
      <c r="M59" s="422" t="s">
        <v>449</v>
      </c>
      <c r="N59" s="438" t="s">
        <v>459</v>
      </c>
    </row>
    <row r="60" spans="2:18" x14ac:dyDescent="0.25">
      <c r="M60" s="422" t="s">
        <v>450</v>
      </c>
      <c r="N60" s="438" t="s">
        <v>460</v>
      </c>
    </row>
    <row r="61" spans="2:18" x14ac:dyDescent="0.25">
      <c r="M61" s="422"/>
      <c r="N61" s="438"/>
    </row>
    <row r="63" spans="2:18" x14ac:dyDescent="0.25">
      <c r="N63" s="439"/>
      <c r="O63" s="439"/>
      <c r="P63" s="440"/>
      <c r="Q63" s="439"/>
      <c r="R63" s="441"/>
    </row>
    <row r="64" spans="2:18" x14ac:dyDescent="0.25">
      <c r="N64" s="438"/>
      <c r="O64" s="442"/>
      <c r="P64" s="442"/>
      <c r="Q64" s="443"/>
      <c r="R64" s="444"/>
    </row>
    <row r="65" spans="14:18" x14ac:dyDescent="0.25">
      <c r="N65" s="438"/>
      <c r="O65" s="442"/>
      <c r="P65" s="442"/>
      <c r="Q65" s="443"/>
      <c r="R65" s="444"/>
    </row>
    <row r="66" spans="14:18" x14ac:dyDescent="0.25">
      <c r="N66" s="438"/>
      <c r="O66" s="442"/>
      <c r="P66" s="442"/>
      <c r="Q66" s="443"/>
      <c r="R66" s="444"/>
    </row>
    <row r="67" spans="14:18" x14ac:dyDescent="0.25">
      <c r="N67" s="438"/>
      <c r="O67" s="442"/>
      <c r="P67" s="442"/>
      <c r="Q67" s="442"/>
    </row>
    <row r="68" spans="14:18" x14ac:dyDescent="0.25">
      <c r="Q68" s="445"/>
    </row>
  </sheetData>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U75"/>
  <sheetViews>
    <sheetView zoomScale="85" zoomScaleNormal="85" workbookViewId="0">
      <pane xSplit="2" ySplit="4" topLeftCell="C23" activePane="bottomRight" state="frozen"/>
      <selection activeCell="E28" sqref="E28"/>
      <selection pane="topRight" activeCell="E28" sqref="E28"/>
      <selection pane="bottomLeft" activeCell="E28" sqref="E28"/>
      <selection pane="bottomRight" activeCell="E28" sqref="E28"/>
    </sheetView>
  </sheetViews>
  <sheetFormatPr defaultColWidth="8.7109375" defaultRowHeight="15" outlineLevelRow="2" x14ac:dyDescent="0.25"/>
  <cols>
    <col min="1" max="1" width="3.140625" style="166" customWidth="1"/>
    <col min="2" max="2" width="19.5703125" style="166" customWidth="1"/>
    <col min="3" max="5" width="14.7109375" style="177" customWidth="1"/>
    <col min="6" max="7" width="14.7109375" style="166" customWidth="1"/>
    <col min="8" max="9" width="14.7109375" style="177" customWidth="1"/>
    <col min="10" max="10" width="14.7109375" style="166" customWidth="1"/>
    <col min="11" max="11" width="14.7109375" style="177" customWidth="1"/>
    <col min="12" max="12" width="7.140625" style="177" customWidth="1"/>
    <col min="13" max="20" width="14.7109375" style="166" customWidth="1"/>
    <col min="21" max="21" width="14.7109375" style="177" customWidth="1"/>
    <col min="22" max="16384" width="8.7109375" style="166"/>
  </cols>
  <sheetData>
    <row r="1" spans="2:9" x14ac:dyDescent="0.25">
      <c r="B1" s="1" t="str">
        <f>'Allocation $'!$E$4&amp;" Allocation Breakdown"</f>
        <v>Q1-FY20 Allocation Breakdown</v>
      </c>
    </row>
    <row r="2" spans="2:9" s="177" customFormat="1" hidden="1" outlineLevel="1" x14ac:dyDescent="0.25">
      <c r="B2" s="1"/>
    </row>
    <row r="3" spans="2:9" hidden="1" outlineLevel="1" x14ac:dyDescent="0.25">
      <c r="B3" s="365"/>
      <c r="C3" s="366" t="s">
        <v>427</v>
      </c>
      <c r="D3" s="366" t="s">
        <v>424</v>
      </c>
      <c r="E3" s="366" t="s">
        <v>425</v>
      </c>
      <c r="F3" s="366" t="s">
        <v>428</v>
      </c>
      <c r="G3" s="366" t="s">
        <v>426</v>
      </c>
      <c r="H3" s="366" t="s">
        <v>429</v>
      </c>
      <c r="I3" s="166"/>
    </row>
    <row r="4" spans="2:9" ht="60" hidden="1" outlineLevel="1" x14ac:dyDescent="0.25">
      <c r="B4" s="367" t="s">
        <v>199</v>
      </c>
      <c r="C4" s="368" t="s">
        <v>305</v>
      </c>
      <c r="D4" s="368" t="s">
        <v>306</v>
      </c>
      <c r="E4" s="368" t="s">
        <v>162</v>
      </c>
      <c r="F4" s="368" t="s">
        <v>221</v>
      </c>
      <c r="G4" s="368" t="s">
        <v>237</v>
      </c>
      <c r="H4" s="368" t="s">
        <v>299</v>
      </c>
      <c r="I4" s="166"/>
    </row>
    <row r="5" spans="2:9" hidden="1" outlineLevel="1" x14ac:dyDescent="0.25">
      <c r="B5" s="365" t="s">
        <v>99</v>
      </c>
      <c r="C5" s="369">
        <f ca="1">SUMIFS(OFFSET('Allocation $'!$1:$1,MATCH('Allocation Summary'!C$4,'Allocation $'!$B:$B,0)-1,,,),'Allocation $'!$2:$2,'Allocation Summary'!$B5)</f>
        <v>710975.05388018163</v>
      </c>
      <c r="D5" s="369">
        <f ca="1">SUMIFS(OFFSET('Allocation $'!$1:$1,MATCH('Allocation Summary'!D$4,'Allocation $'!$B:$B,0)-1,,,),'Allocation $'!$2:$2,'Allocation Summary'!$B5)</f>
        <v>5134.6529724147067</v>
      </c>
      <c r="E5" s="369">
        <f ca="1">SUMIFS(OFFSET('Allocation $'!$1:$1,MATCH('Allocation Summary'!E$4,'Allocation $'!$B:$B,0)-1,,,),'Allocation $'!$2:$2,'Allocation Summary'!$B5)</f>
        <v>705840.40090776689</v>
      </c>
      <c r="F5" s="369">
        <f ca="1">SUMIFS(OFFSET('Allocation $'!$1:$1,MATCH('Allocation Summary'!F$4,'Allocation $'!$B:$B,0)-1,,,),'Allocation $'!$2:$2,'Allocation Summary'!$B5)</f>
        <v>13823.18488446923</v>
      </c>
      <c r="G5" s="369">
        <f ca="1">SUMIFS(OFFSET('Allocation $'!$1:$1,MATCH('Allocation Summary'!G$4,'Allocation $'!$B:$B,0)-1,,,),'Allocation $'!$2:$2,'Allocation Summary'!$B5)</f>
        <v>5054.8125617674614</v>
      </c>
      <c r="H5" s="369">
        <f ca="1">E5-F5-G5</f>
        <v>686962.40346153022</v>
      </c>
      <c r="I5" s="166"/>
    </row>
    <row r="6" spans="2:9" hidden="1" outlineLevel="1" x14ac:dyDescent="0.25">
      <c r="B6" s="365" t="s">
        <v>106</v>
      </c>
      <c r="C6" s="369">
        <f ca="1">SUMIFS(OFFSET('Allocation $'!$1:$1,MATCH('Allocation Summary'!C$4,'Allocation $'!$B:$B,0)-1,,,),'Allocation $'!$2:$2,'Allocation Summary'!$B6)</f>
        <v>127310.31828637226</v>
      </c>
      <c r="D6" s="369">
        <f ca="1">SUMIFS(OFFSET('Allocation $'!$1:$1,MATCH('Allocation Summary'!D$4,'Allocation $'!$B:$B,0)-1,,,),'Allocation $'!$2:$2,'Allocation Summary'!$B6)</f>
        <v>870.73253823985237</v>
      </c>
      <c r="E6" s="369">
        <f ca="1">SUMIFS(OFFSET('Allocation $'!$1:$1,MATCH('Allocation Summary'!E$4,'Allocation $'!$B:$B,0)-1,,,),'Allocation $'!$2:$2,'Allocation Summary'!$B6)</f>
        <v>126439.58574813242</v>
      </c>
      <c r="F6" s="369">
        <f ca="1">SUMIFS(OFFSET('Allocation $'!$1:$1,MATCH('Allocation Summary'!F$4,'Allocation $'!$B:$B,0)-1,,,),'Allocation $'!$2:$2,'Allocation Summary'!$B6)</f>
        <v>2279.3240834659637</v>
      </c>
      <c r="G6" s="369">
        <f ca="1">SUMIFS(OFFSET('Allocation $'!$1:$1,MATCH('Allocation Summary'!G$4,'Allocation $'!$B:$B,0)-1,,,),'Allocation $'!$2:$2,'Allocation Summary'!$B6)</f>
        <v>833.49503791906</v>
      </c>
      <c r="H6" s="369">
        <f ca="1">E6-F6-G6</f>
        <v>123326.7666267474</v>
      </c>
      <c r="I6" s="166"/>
    </row>
    <row r="7" spans="2:9" hidden="1" outlineLevel="1" x14ac:dyDescent="0.25">
      <c r="B7" s="365" t="s">
        <v>18</v>
      </c>
      <c r="C7" s="369">
        <f ca="1">SUMIFS(OFFSET('Allocation $'!$1:$1,MATCH('Allocation Summary'!C$4,'Allocation $'!$B:$B,0)-1,,,),'Allocation $'!$2:$2,'Allocation Summary'!$B7)</f>
        <v>203532.78529930284</v>
      </c>
      <c r="D7" s="369">
        <f ca="1">SUMIFS(OFFSET('Allocation $'!$1:$1,MATCH('Allocation Summary'!D$4,'Allocation $'!$B:$B,0)-1,,,),'Allocation $'!$2:$2,'Allocation Summary'!$B7)</f>
        <v>1708.1347594498802</v>
      </c>
      <c r="E7" s="369">
        <f ca="1">SUMIFS(OFFSET('Allocation $'!$1:$1,MATCH('Allocation Summary'!E$4,'Allocation $'!$B:$B,0)-1,,,),'Allocation $'!$2:$2,'Allocation Summary'!$B7)</f>
        <v>201824.65053985294</v>
      </c>
      <c r="F7" s="369">
        <f ca="1">SUMIFS(OFFSET('Allocation $'!$1:$1,MATCH('Allocation Summary'!F$4,'Allocation $'!$B:$B,0)-1,,,),'Allocation $'!$2:$2,'Allocation Summary'!$B7)</f>
        <v>4314.3546553715869</v>
      </c>
      <c r="G7" s="369">
        <f ca="1">SUMIFS(OFFSET('Allocation $'!$1:$1,MATCH('Allocation Summary'!G$4,'Allocation $'!$B:$B,0)-1,,,),'Allocation $'!$2:$2,'Allocation Summary'!$B7)</f>
        <v>1577.6577026322245</v>
      </c>
      <c r="H7" s="369">
        <f ca="1">E7-F7-G7</f>
        <v>195932.63818184912</v>
      </c>
      <c r="I7" s="166"/>
    </row>
    <row r="8" spans="2:9" ht="14.45" hidden="1" customHeight="1" outlineLevel="2" x14ac:dyDescent="0.25">
      <c r="B8" s="370" t="s">
        <v>122</v>
      </c>
      <c r="C8" s="1323" t="s">
        <v>298</v>
      </c>
      <c r="D8" s="1323" t="s">
        <v>298</v>
      </c>
      <c r="E8" s="1323" t="s">
        <v>298</v>
      </c>
      <c r="F8" s="1323" t="s">
        <v>298</v>
      </c>
      <c r="G8" s="1323" t="s">
        <v>298</v>
      </c>
      <c r="H8" s="1323" t="s">
        <v>298</v>
      </c>
      <c r="I8" s="166"/>
    </row>
    <row r="9" spans="2:9" hidden="1" outlineLevel="2" x14ac:dyDescent="0.25">
      <c r="B9" s="370" t="s">
        <v>123</v>
      </c>
      <c r="C9" s="1323"/>
      <c r="D9" s="1323"/>
      <c r="E9" s="1323"/>
      <c r="F9" s="1323"/>
      <c r="G9" s="1323"/>
      <c r="H9" s="1323"/>
      <c r="I9" s="166"/>
    </row>
    <row r="10" spans="2:9" hidden="1" outlineLevel="2" x14ac:dyDescent="0.25">
      <c r="B10" s="370" t="s">
        <v>124</v>
      </c>
      <c r="C10" s="1323"/>
      <c r="D10" s="1323"/>
      <c r="E10" s="1323"/>
      <c r="F10" s="1323"/>
      <c r="G10" s="1323"/>
      <c r="H10" s="1323"/>
      <c r="I10" s="166"/>
    </row>
    <row r="11" spans="2:9" hidden="1" outlineLevel="2" x14ac:dyDescent="0.25">
      <c r="B11" s="370" t="s">
        <v>125</v>
      </c>
      <c r="C11" s="1323"/>
      <c r="D11" s="1323"/>
      <c r="E11" s="1323"/>
      <c r="F11" s="1323"/>
      <c r="G11" s="1323"/>
      <c r="H11" s="1323"/>
      <c r="I11" s="166"/>
    </row>
    <row r="12" spans="2:9" hidden="1" outlineLevel="2" x14ac:dyDescent="0.25">
      <c r="B12" s="370" t="s">
        <v>126</v>
      </c>
      <c r="C12" s="1323"/>
      <c r="D12" s="1323"/>
      <c r="E12" s="1323"/>
      <c r="F12" s="1323"/>
      <c r="G12" s="1323"/>
      <c r="H12" s="1323"/>
      <c r="I12" s="166"/>
    </row>
    <row r="13" spans="2:9" hidden="1" outlineLevel="2" x14ac:dyDescent="0.25">
      <c r="B13" s="370" t="s">
        <v>127</v>
      </c>
      <c r="C13" s="1323"/>
      <c r="D13" s="1323"/>
      <c r="E13" s="1323"/>
      <c r="F13" s="1323"/>
      <c r="G13" s="1323"/>
      <c r="H13" s="1323"/>
      <c r="I13" s="166"/>
    </row>
    <row r="14" spans="2:9" hidden="1" outlineLevel="1" collapsed="1" x14ac:dyDescent="0.25">
      <c r="B14" s="365" t="s">
        <v>297</v>
      </c>
      <c r="C14" s="369">
        <f ca="1">SUMIFS(OFFSET('Allocation $'!$1:$1,MATCH('Allocation Summary'!C$4,'Allocation $'!$B:$B,0)-1,,,),'Allocation $'!$2:$2,'Allocation Summary'!$B14)</f>
        <v>5783901.5426687747</v>
      </c>
      <c r="D14" s="369">
        <f ca="1">SUMIFS(OFFSET('Allocation $'!$1:$1,MATCH('Allocation Summary'!D$4,'Allocation $'!$B:$B,0)-1,,,),'Allocation $'!$2:$2,'Allocation Summary'!$B14)</f>
        <v>51926.221321331934</v>
      </c>
      <c r="E14" s="369">
        <f ca="1">SUMIFS(OFFSET('Allocation $'!$1:$1,MATCH('Allocation Summary'!E$4,'Allocation $'!$B:$B,0)-1,,,),'Allocation $'!$2:$2,'Allocation Summary'!$B14)</f>
        <v>5731975.3213474425</v>
      </c>
      <c r="F14" s="369">
        <f ca="1">SUMIFS(OFFSET('Allocation $'!$1:$1,MATCH('Allocation Summary'!F$4,'Allocation $'!$B:$B,0)-1,,,),'Allocation $'!$2:$2,'Allocation Summary'!$B14)</f>
        <v>102702.96065276771</v>
      </c>
      <c r="G14" s="369">
        <f ca="1">SUMIFS(OFFSET('Allocation $'!$1:$1,MATCH('Allocation Summary'!G$4,'Allocation $'!$B:$B,0)-1,,,),'Allocation $'!$2:$2,'Allocation Summary'!$B14)</f>
        <v>37556.04949056232</v>
      </c>
      <c r="H14" s="369">
        <f t="shared" ref="H14:H21" ca="1" si="0">E14-F14-G14</f>
        <v>5591716.3112041121</v>
      </c>
      <c r="I14" s="166"/>
    </row>
    <row r="15" spans="2:9" hidden="1" outlineLevel="1" x14ac:dyDescent="0.25">
      <c r="B15" s="365" t="s">
        <v>1</v>
      </c>
      <c r="C15" s="369">
        <f ca="1">SUMIFS(OFFSET('Allocation $'!$1:$1,MATCH('Allocation Summary'!C$4,'Allocation $'!$B:$B,0)-1,,,),'Allocation $'!$2:$2,'Allocation Summary'!$B15)</f>
        <v>341871.61879022932</v>
      </c>
      <c r="D15" s="369">
        <f ca="1">SUMIFS(OFFSET('Allocation $'!$1:$1,MATCH('Allocation Summary'!D$4,'Allocation $'!$B:$B,0)-1,,,),'Allocation $'!$2:$2,'Allocation Summary'!$B15)</f>
        <v>10278.370355895029</v>
      </c>
      <c r="E15" s="369">
        <f ca="1">SUMIFS(OFFSET('Allocation $'!$1:$1,MATCH('Allocation Summary'!E$4,'Allocation $'!$B:$B,0)-1,,,),'Allocation $'!$2:$2,'Allocation Summary'!$B15)</f>
        <v>331593.24843433429</v>
      </c>
      <c r="F15" s="369">
        <f ca="1">SUMIFS(OFFSET('Allocation $'!$1:$1,MATCH('Allocation Summary'!F$4,'Allocation $'!$B:$B,0)-1,,,),'Allocation $'!$2:$2,'Allocation Summary'!$B15)</f>
        <v>20329.210163467065</v>
      </c>
      <c r="G15" s="369">
        <f ca="1">SUMIFS(OFFSET('Allocation $'!$1:$1,MATCH('Allocation Summary'!G$4,'Allocation $'!$B:$B,0)-1,,,),'Allocation $'!$2:$2,'Allocation Summary'!$B15)</f>
        <v>7433.9125001907787</v>
      </c>
      <c r="H15" s="369">
        <f t="shared" ca="1" si="0"/>
        <v>303830.12577067647</v>
      </c>
      <c r="I15" s="166"/>
    </row>
    <row r="16" spans="2:9" hidden="1" outlineLevel="1" x14ac:dyDescent="0.25">
      <c r="B16" s="365" t="s">
        <v>109</v>
      </c>
      <c r="C16" s="369">
        <f ca="1">SUMIFS(OFFSET('Allocation $'!$1:$1,MATCH('Allocation Summary'!C$4,'Allocation $'!$B:$B,0)-1,,,),'Allocation $'!$2:$2,'Allocation Summary'!$B16)</f>
        <v>429209.31322248286</v>
      </c>
      <c r="D16" s="369">
        <f ca="1">SUMIFS(OFFSET('Allocation $'!$1:$1,MATCH('Allocation Summary'!D$4,'Allocation $'!$B:$B,0)-1,,,),'Allocation $'!$2:$2,'Allocation Summary'!$B16)</f>
        <v>14375.160226288919</v>
      </c>
      <c r="E16" s="369">
        <f ca="1">SUMIFS(OFFSET('Allocation $'!$1:$1,MATCH('Allocation Summary'!E$4,'Allocation $'!$B:$B,0)-1,,,),'Allocation $'!$2:$2,'Allocation Summary'!$B16)</f>
        <v>414834.15299619397</v>
      </c>
      <c r="F16" s="369">
        <f ca="1">SUMIFS(OFFSET('Allocation $'!$1:$1,MATCH('Allocation Summary'!F$4,'Allocation $'!$B:$B,0)-1,,,),'Allocation $'!$2:$2,'Allocation Summary'!$B16)</f>
        <v>13253.305604946097</v>
      </c>
      <c r="G16" s="369">
        <f ca="1">SUMIFS(OFFSET('Allocation $'!$1:$1,MATCH('Allocation Summary'!G$4,'Allocation $'!$B:$B,0)-1,,,),'Allocation $'!$2:$2,'Allocation Summary'!$B16)</f>
        <v>4846.4211552355982</v>
      </c>
      <c r="H16" s="369">
        <f t="shared" ca="1" si="0"/>
        <v>396734.42623601225</v>
      </c>
      <c r="I16" s="166"/>
    </row>
    <row r="17" spans="2:21" hidden="1" outlineLevel="1" x14ac:dyDescent="0.25">
      <c r="B17" s="365" t="s">
        <v>156</v>
      </c>
      <c r="C17" s="369">
        <f ca="1">SUMIFS(OFFSET('Allocation $'!$1:$1,MATCH('Allocation Summary'!C$4,'Allocation $'!$B:$B,0)-1,,,),'Allocation $'!$2:$2,'Allocation Summary'!$B17)</f>
        <v>13497.098302632963</v>
      </c>
      <c r="D17" s="369">
        <f ca="1">SUMIFS(OFFSET('Allocation $'!$1:$1,MATCH('Allocation Summary'!D$4,'Allocation $'!$B:$B,0)-1,,,),'Allocation $'!$2:$2,'Allocation Summary'!$B17)</f>
        <v>439.28734366215326</v>
      </c>
      <c r="E17" s="369">
        <f ca="1">SUMIFS(OFFSET('Allocation $'!$1:$1,MATCH('Allocation Summary'!E$4,'Allocation $'!$B:$B,0)-1,,,),'Allocation $'!$2:$2,'Allocation Summary'!$B17)</f>
        <v>13057.810958970809</v>
      </c>
      <c r="F17" s="369">
        <f ca="1">SUMIFS(OFFSET('Allocation $'!$1:$1,MATCH('Allocation Summary'!F$4,'Allocation $'!$B:$B,0)-1,,,),'Allocation $'!$2:$2,'Allocation Summary'!$B17)</f>
        <v>410.95674084585283</v>
      </c>
      <c r="G17" s="369">
        <f ca="1">SUMIFS(OFFSET('Allocation $'!$1:$1,MATCH('Allocation Summary'!G$4,'Allocation $'!$B:$B,0)-1,,,),'Allocation $'!$2:$2,'Allocation Summary'!$B17)</f>
        <v>150.27718382791451</v>
      </c>
      <c r="H17" s="369">
        <f t="shared" ca="1" si="0"/>
        <v>12496.577034297041</v>
      </c>
      <c r="I17" s="166"/>
    </row>
    <row r="18" spans="2:21" hidden="1" outlineLevel="1" x14ac:dyDescent="0.25">
      <c r="B18" s="365" t="s">
        <v>110</v>
      </c>
      <c r="C18" s="369">
        <f ca="1">SUMIFS(OFFSET('Allocation $'!$1:$1,MATCH('Allocation Summary'!C$4,'Allocation $'!$B:$B,0)-1,,,),'Allocation $'!$2:$2,'Allocation Summary'!$B18)</f>
        <v>252532.93860425608</v>
      </c>
      <c r="D18" s="369">
        <f ca="1">SUMIFS(OFFSET('Allocation $'!$1:$1,MATCH('Allocation Summary'!D$4,'Allocation $'!$B:$B,0)-1,,,),'Allocation $'!$2:$2,'Allocation Summary'!$B18)</f>
        <v>8385.4086370967925</v>
      </c>
      <c r="E18" s="369">
        <f ca="1">SUMIFS(OFFSET('Allocation $'!$1:$1,MATCH('Allocation Summary'!E$4,'Allocation $'!$B:$B,0)-1,,,),'Allocation $'!$2:$2,'Allocation Summary'!$B18)</f>
        <v>244147.52996715929</v>
      </c>
      <c r="F18" s="369">
        <f ca="1">SUMIFS(OFFSET('Allocation $'!$1:$1,MATCH('Allocation Summary'!F$4,'Allocation $'!$B:$B,0)-1,,,),'Allocation $'!$2:$2,'Allocation Summary'!$B18)</f>
        <v>7909.3705449649724</v>
      </c>
      <c r="G18" s="369">
        <f ca="1">SUMIFS(OFFSET('Allocation $'!$1:$1,MATCH('Allocation Summary'!G$4,'Allocation $'!$B:$B,0)-1,,,),'Allocation $'!$2:$2,'Allocation Summary'!$B18)</f>
        <v>2892.270191023898</v>
      </c>
      <c r="H18" s="369">
        <f t="shared" ca="1" si="0"/>
        <v>233345.88923117041</v>
      </c>
      <c r="I18" s="166"/>
    </row>
    <row r="19" spans="2:21" hidden="1" outlineLevel="1" x14ac:dyDescent="0.25">
      <c r="B19" s="365" t="s">
        <v>178</v>
      </c>
      <c r="C19" s="369">
        <f ca="1">SUMIFS(OFFSET('Allocation $'!$1:$1,MATCH('Allocation Summary'!C$4,'Allocation $'!$B:$B,0)-1,,,),'Allocation $'!$2:$2,'Allocation Summary'!$B19)</f>
        <v>868712.86270972912</v>
      </c>
      <c r="D19" s="369">
        <f ca="1">SUMIFS(OFFSET('Allocation $'!$1:$1,MATCH('Allocation Summary'!D$4,'Allocation $'!$B:$B,0)-1,,,),'Allocation $'!$2:$2,'Allocation Summary'!$B19)</f>
        <v>0</v>
      </c>
      <c r="E19" s="369">
        <f ca="1">SUMIFS(OFFSET('Allocation $'!$1:$1,MATCH('Allocation Summary'!E$4,'Allocation $'!$B:$B,0)-1,,,),'Allocation $'!$2:$2,'Allocation Summary'!$B19)</f>
        <v>868712.86270972912</v>
      </c>
      <c r="F19" s="369">
        <f ca="1">SUMIFS(OFFSET('Allocation $'!$1:$1,MATCH('Allocation Summary'!F$4,'Allocation $'!$B:$B,0)-1,,,),'Allocation $'!$2:$2,'Allocation Summary'!$B19)</f>
        <v>29013.696306065151</v>
      </c>
      <c r="G19" s="369">
        <f ca="1">SUMIFS(OFFSET('Allocation $'!$1:$1,MATCH('Allocation Summary'!G$4,'Allocation $'!$B:$B,0)-1,,,),'Allocation $'!$2:$2,'Allocation Summary'!$B19)</f>
        <v>10609.624176840744</v>
      </c>
      <c r="H19" s="369">
        <f t="shared" ca="1" si="0"/>
        <v>829089.54222682316</v>
      </c>
      <c r="I19" s="166"/>
    </row>
    <row r="20" spans="2:21" hidden="1" outlineLevel="1" x14ac:dyDescent="0.25">
      <c r="B20" s="365" t="s">
        <v>2</v>
      </c>
      <c r="C20" s="369">
        <f ca="1">SUMIFS(OFFSET('Allocation $'!$1:$1,MATCH('Allocation Summary'!C$4,'Allocation $'!$B:$B,0)-1,,,),'Allocation $'!$2:$2,'Allocation Summary'!$B20)</f>
        <v>28016.389388483862</v>
      </c>
      <c r="D20" s="369">
        <f ca="1">SUMIFS(OFFSET('Allocation $'!$1:$1,MATCH('Allocation Summary'!D$4,'Allocation $'!$B:$B,0)-1,,,),'Allocation $'!$2:$2,'Allocation Summary'!$B20)</f>
        <v>1166.2065287903588</v>
      </c>
      <c r="E20" s="369">
        <f ca="1">SUMIFS(OFFSET('Allocation $'!$1:$1,MATCH('Allocation Summary'!E$4,'Allocation $'!$B:$B,0)-1,,,),'Allocation $'!$2:$2,'Allocation Summary'!$B20)</f>
        <v>26850.182859693501</v>
      </c>
      <c r="F20" s="369">
        <f ca="1">SUMIFS(OFFSET('Allocation $'!$1:$1,MATCH('Allocation Summary'!F$4,'Allocation $'!$B:$B,0)-1,,,),'Allocation $'!$2:$2,'Allocation Summary'!$B20)</f>
        <v>0</v>
      </c>
      <c r="G20" s="369">
        <f ca="1">SUMIFS(OFFSET('Allocation $'!$1:$1,MATCH('Allocation Summary'!G$4,'Allocation $'!$B:$B,0)-1,,,),'Allocation $'!$2:$2,'Allocation Summary'!$B20)</f>
        <v>0</v>
      </c>
      <c r="H20" s="369">
        <f t="shared" ca="1" si="0"/>
        <v>26850.182859693501</v>
      </c>
      <c r="I20" s="166"/>
    </row>
    <row r="21" spans="2:21" ht="15.75" hidden="1" outlineLevel="1" thickBot="1" x14ac:dyDescent="0.3">
      <c r="B21" s="371" t="s">
        <v>3</v>
      </c>
      <c r="C21" s="372">
        <f t="shared" ref="C21:D21" ca="1" si="1">SUM(C5:C7,C14:C20)</f>
        <v>8759559.9211524446</v>
      </c>
      <c r="D21" s="372">
        <f t="shared" ca="1" si="1"/>
        <v>94284.174683169636</v>
      </c>
      <c r="E21" s="372">
        <f ca="1">SUM(E5:E7,E14:E20)</f>
        <v>8665275.7464692742</v>
      </c>
      <c r="F21" s="372">
        <f ca="1">SUM(F5:F7,F14:F20)</f>
        <v>194036.36363636362</v>
      </c>
      <c r="G21" s="372">
        <f ca="1">SUM(G5:G7,G14:G20)</f>
        <v>70954.52</v>
      </c>
      <c r="H21" s="373">
        <f t="shared" ca="1" si="0"/>
        <v>8400284.8628329113</v>
      </c>
      <c r="I21" s="76"/>
    </row>
    <row r="22" spans="2:21" hidden="1" outlineLevel="1" x14ac:dyDescent="0.25">
      <c r="B22" s="363"/>
      <c r="C22" s="364">
        <f ca="1">C21-'Allocation $'!$BG$125</f>
        <v>0</v>
      </c>
      <c r="D22" s="364">
        <f ca="1">D21-'Allocation $'!$BG$123</f>
        <v>0</v>
      </c>
      <c r="E22" s="364">
        <f ca="1">E21-'Allocation $'!$F$63</f>
        <v>0</v>
      </c>
      <c r="F22" s="364">
        <f ca="1">F21-'Allocation $'!$F$10</f>
        <v>0</v>
      </c>
      <c r="G22" s="364">
        <f ca="1">G21-'Allocation $'!$F$31</f>
        <v>0</v>
      </c>
      <c r="H22" s="364">
        <f ca="1">E21-F21-G21-H21</f>
        <v>0</v>
      </c>
      <c r="I22" s="166"/>
    </row>
    <row r="23" spans="2:21" collapsed="1" x14ac:dyDescent="0.25"/>
    <row r="24" spans="2:21" x14ac:dyDescent="0.25">
      <c r="B24" s="407" t="s">
        <v>438</v>
      </c>
    </row>
    <row r="25" spans="2:21" x14ac:dyDescent="0.25">
      <c r="B25" s="1" t="s">
        <v>383</v>
      </c>
      <c r="C25" s="1316" t="s">
        <v>166</v>
      </c>
      <c r="D25" s="1317"/>
      <c r="E25" s="1317"/>
      <c r="F25" s="1317"/>
      <c r="G25" s="1317"/>
      <c r="H25" s="1317"/>
      <c r="I25" s="1317"/>
      <c r="J25" s="1317"/>
      <c r="K25" s="1318"/>
      <c r="L25" s="166"/>
      <c r="M25" s="1316" t="s">
        <v>167</v>
      </c>
      <c r="N25" s="1317"/>
      <c r="O25" s="1317"/>
      <c r="P25" s="1317"/>
      <c r="Q25" s="1317"/>
      <c r="R25" s="1317"/>
      <c r="S25" s="1317"/>
      <c r="T25" s="1317"/>
      <c r="U25" s="1318"/>
    </row>
    <row r="26" spans="2:21" s="177" customFormat="1" ht="60" x14ac:dyDescent="0.25">
      <c r="B26" s="1"/>
      <c r="C26" s="356" t="s">
        <v>391</v>
      </c>
      <c r="D26" s="356" t="s">
        <v>411</v>
      </c>
      <c r="E26" s="356" t="s">
        <v>412</v>
      </c>
      <c r="F26" s="356" t="s">
        <v>392</v>
      </c>
      <c r="G26" s="375" t="s">
        <v>3</v>
      </c>
      <c r="H26" s="356" t="s">
        <v>221</v>
      </c>
      <c r="I26" s="356" t="s">
        <v>237</v>
      </c>
      <c r="J26" s="356" t="s">
        <v>299</v>
      </c>
      <c r="K26" s="356" t="s">
        <v>436</v>
      </c>
      <c r="L26" s="368"/>
      <c r="M26" s="408" t="s">
        <v>391</v>
      </c>
      <c r="N26" s="408" t="s">
        <v>411</v>
      </c>
      <c r="O26" s="408" t="s">
        <v>412</v>
      </c>
      <c r="P26" s="408" t="s">
        <v>392</v>
      </c>
      <c r="Q26" s="409" t="s">
        <v>3</v>
      </c>
      <c r="R26" s="408" t="s">
        <v>221</v>
      </c>
      <c r="S26" s="408" t="s">
        <v>237</v>
      </c>
      <c r="T26" s="408" t="s">
        <v>299</v>
      </c>
      <c r="U26" s="356" t="s">
        <v>436</v>
      </c>
    </row>
    <row r="27" spans="2:21" x14ac:dyDescent="0.25">
      <c r="B27" s="166" t="s">
        <v>265</v>
      </c>
      <c r="C27" s="280">
        <f ca="1">-SUM('Allocation $'!F6:F20,'Allocation $'!F61,'Allocation $'!F62)</f>
        <v>-2418308.3544115461</v>
      </c>
      <c r="D27" s="280"/>
      <c r="E27" s="280">
        <f ca="1">-SUM('Allocation $'!F21:F29)</f>
        <v>-1223441.7720577293</v>
      </c>
      <c r="F27" s="280">
        <f ca="1">-SUM('Allocation $'!F66:F89)</f>
        <v>-86570.654413065189</v>
      </c>
      <c r="G27" s="247">
        <f t="shared" ref="G27:G42" ca="1" si="2">SUM(C27:F27)</f>
        <v>-3728320.7808823409</v>
      </c>
      <c r="H27" s="280">
        <f ca="1">-'Allocation $'!F128</f>
        <v>-194036.36363636362</v>
      </c>
      <c r="I27" s="280"/>
      <c r="J27" s="377">
        <f ca="1">G27-F27-H27-I27</f>
        <v>-3447713.7628329117</v>
      </c>
      <c r="K27" s="377">
        <f ca="1">+J27+F27</f>
        <v>-3534284.4172459771</v>
      </c>
      <c r="L27" s="353"/>
      <c r="M27" s="280">
        <f ca="1">-SUM('Allocation $'!E6:E20,'Allocation $'!E61,'Allocation $'!E62)</f>
        <v>-3250690.0900000003</v>
      </c>
      <c r="N27" s="280"/>
      <c r="O27" s="280">
        <f ca="1">-SUM('Allocation $'!E21:E29)</f>
        <v>-1644550.43</v>
      </c>
      <c r="P27" s="280">
        <f ca="1">-SUM('Allocation $'!E66:E89)</f>
        <v>-116368.27366204222</v>
      </c>
      <c r="Q27" s="247">
        <f t="shared" ref="Q27:Q42" ca="1" si="3">SUM(M27:P27)</f>
        <v>-5011608.7936620424</v>
      </c>
      <c r="R27" s="204">
        <f ca="1">H27*'2020 Assumptions'!$B$4</f>
        <v>-260823.67999999999</v>
      </c>
      <c r="S27" s="204">
        <f>I27*'2020 Assumptions'!$B$4</f>
        <v>0</v>
      </c>
      <c r="T27" s="377">
        <f ca="1">Q27-P27-R27-S27</f>
        <v>-4634416.8400000008</v>
      </c>
      <c r="U27" s="377">
        <f ca="1">+T27+P27</f>
        <v>-4750785.1136620427</v>
      </c>
    </row>
    <row r="28" spans="2:21" x14ac:dyDescent="0.25">
      <c r="B28" s="166" t="s">
        <v>387</v>
      </c>
      <c r="C28" s="280">
        <f ca="1">-SUM('Allocation $'!F30:F34,'Allocation $'!F36:F37,'Allocation $'!F39:F42)</f>
        <v>-296391.48</v>
      </c>
      <c r="D28" s="280">
        <f ca="1">-SUM('Allocation $'!F35,'Allocation $'!F38)</f>
        <v>-235738.16999999998</v>
      </c>
      <c r="E28" s="280"/>
      <c r="F28" s="280">
        <f ca="1">-SUM('Allocation $'!F90:F102)</f>
        <v>-5491.4655534837748</v>
      </c>
      <c r="G28" s="247">
        <f t="shared" ca="1" si="2"/>
        <v>-537621.11555348372</v>
      </c>
      <c r="H28" s="378"/>
      <c r="I28" s="280">
        <f ca="1">-'Allocation $'!F129</f>
        <v>-624.73250692178362</v>
      </c>
      <c r="J28" s="377">
        <f t="shared" ref="J28:J42" ca="1" si="4">G28-F28-H28-I28</f>
        <v>-531504.91749307816</v>
      </c>
      <c r="K28" s="377">
        <f t="shared" ref="K28:K42" ca="1" si="5">+J28+F28</f>
        <v>-536996.38304656197</v>
      </c>
      <c r="L28" s="353"/>
      <c r="M28" s="280">
        <f ca="1">-SUM('Allocation $'!E30:E34,'Allocation $'!E36:E37,'Allocation $'!E39:E42)</f>
        <v>-398409.42741599999</v>
      </c>
      <c r="N28" s="280">
        <f ca="1">-SUM('Allocation $'!E35,'Allocation $'!E38)</f>
        <v>-316879.24811400002</v>
      </c>
      <c r="O28" s="280"/>
      <c r="P28" s="280">
        <f ca="1">-SUM('Allocation $'!E90:E102)</f>
        <v>-7381.6279969928901</v>
      </c>
      <c r="Q28" s="247">
        <f t="shared" ca="1" si="3"/>
        <v>-722670.30352699291</v>
      </c>
      <c r="R28" s="204">
        <f>H28*'2020 Assumptions'!$B$4</f>
        <v>0</v>
      </c>
      <c r="S28" s="204">
        <f ca="1">I28*'2020 Assumptions'!$B$4</f>
        <v>-839.76543580426164</v>
      </c>
      <c r="T28" s="377">
        <f t="shared" ref="T28:T42" ca="1" si="6">Q28-P28-R28-S28</f>
        <v>-714448.91009419574</v>
      </c>
      <c r="U28" s="377">
        <f t="shared" ref="U28:U42" ca="1" si="7">+T28+P28</f>
        <v>-721830.53809118865</v>
      </c>
    </row>
    <row r="29" spans="2:21" x14ac:dyDescent="0.25">
      <c r="B29" s="166" t="s">
        <v>376</v>
      </c>
      <c r="C29" s="280">
        <f ca="1">SUMIF('Allocation $'!$I$1:$BE$1,$B$29,'Allocation $'!$I$131:$BE$131)</f>
        <v>26850.182859693501</v>
      </c>
      <c r="D29" s="280">
        <f ca="1">SUMIF('Allocation $'!$I$1:$BE$1,$B$29,'Allocation $'!$I$132:$BE$132)</f>
        <v>0</v>
      </c>
      <c r="E29" s="280">
        <f ca="1">SUMIF('Allocation $'!$I$1:$BE$1,$B$29,'Allocation $'!$I$133:$BE$133)</f>
        <v>0</v>
      </c>
      <c r="F29" s="280">
        <f ca="1">SUMIF('Allocation $'!$I$1:$BE$1,$B$29,'Allocation $'!$I$134:$BE$134)</f>
        <v>1166.2065287903588</v>
      </c>
      <c r="G29" s="247">
        <f t="shared" ca="1" si="2"/>
        <v>28016.389388483862</v>
      </c>
      <c r="H29" s="280">
        <f ca="1">SUMIF('Allocation $'!$I$1:$BE$1,$B$29,'Allocation $'!$I$128:$BE$128)</f>
        <v>0</v>
      </c>
      <c r="I29" s="280">
        <f ca="1">SUMIF('Allocation $'!$I$1:$BE$1,$B$29,'Allocation $'!$I$129:$BE$129)</f>
        <v>0</v>
      </c>
      <c r="J29" s="377">
        <f t="shared" ca="1" si="4"/>
        <v>26850.182859693501</v>
      </c>
      <c r="K29" s="377">
        <f t="shared" ca="1" si="5"/>
        <v>28016.389388483862</v>
      </c>
      <c r="L29" s="353"/>
      <c r="M29" s="204">
        <f ca="1">C29*'2020 Assumptions'!$B$4</f>
        <v>36092.015800000008</v>
      </c>
      <c r="N29" s="204">
        <f ca="1">D29*'2020 Assumptions'!$B$4</f>
        <v>0</v>
      </c>
      <c r="O29" s="204">
        <f ca="1">E29*'2020 Assumptions'!$B$4</f>
        <v>0</v>
      </c>
      <c r="P29" s="204">
        <f ca="1">F29*'2020 Assumptions'!$B$4</f>
        <v>1567.6148160000002</v>
      </c>
      <c r="Q29" s="247">
        <f t="shared" ca="1" si="3"/>
        <v>37659.630616000009</v>
      </c>
      <c r="R29" s="204">
        <f ca="1">H29*'2020 Assumptions'!$B$4</f>
        <v>0</v>
      </c>
      <c r="S29" s="204">
        <f ca="1">I29*'2020 Assumptions'!$B$4</f>
        <v>0</v>
      </c>
      <c r="T29" s="377">
        <f t="shared" ca="1" si="6"/>
        <v>36092.015800000008</v>
      </c>
      <c r="U29" s="377">
        <f t="shared" ca="1" si="7"/>
        <v>37659.630616000009</v>
      </c>
    </row>
    <row r="30" spans="2:21" x14ac:dyDescent="0.25">
      <c r="B30" s="166" t="s">
        <v>12</v>
      </c>
      <c r="C30" s="280">
        <f ca="1">SUMIF('Allocation $'!$I$1:$BE$1,$B$30,'Allocation $'!$I$131:$BE$131)</f>
        <v>84480.430070160684</v>
      </c>
      <c r="D30" s="280">
        <f ca="1">SUMIF('Allocation $'!$I$1:$BE$1,$B$30,'Allocation $'!$I$132:$BE$132)</f>
        <v>9748.0339928694684</v>
      </c>
      <c r="E30" s="280">
        <f ca="1">SUMIF('Allocation $'!$I$1:$BE$1,$B$30,'Allocation $'!$I$133:$BE$133)</f>
        <v>160980.74945125164</v>
      </c>
      <c r="F30" s="280">
        <f ca="1">SUMIF('Allocation $'!$I$1:$BE$1,$B$30,'Allocation $'!$I$134:$BE$134)</f>
        <v>1366.8999583222089</v>
      </c>
      <c r="G30" s="247">
        <f t="shared" ca="1" si="2"/>
        <v>256576.11347260399</v>
      </c>
      <c r="H30" s="280">
        <f ca="1">SUMIF('Allocation $'!$I$1:$BE$1,$B$30,'Allocation $'!$I$128:$BE$128)</f>
        <v>5631.3901794301555</v>
      </c>
      <c r="I30" s="280">
        <f ca="1">SUMIF('Allocation $'!$I$1:$BE$1,$B$30,'Allocation $'!$I$129:$BE$129)</f>
        <v>172.31405220506178</v>
      </c>
      <c r="J30" s="377">
        <f t="shared" ca="1" si="4"/>
        <v>249405.50928264656</v>
      </c>
      <c r="K30" s="377">
        <f t="shared" ca="1" si="5"/>
        <v>250772.40924096876</v>
      </c>
      <c r="L30" s="353"/>
      <c r="M30" s="204">
        <f ca="1">C30*'2020 Assumptions'!$B$4</f>
        <v>113558.59410031</v>
      </c>
      <c r="N30" s="204">
        <f ca="1">D30*'2020 Assumptions'!$B$4</f>
        <v>13103.307293215141</v>
      </c>
      <c r="O30" s="204">
        <f ca="1">E30*'2020 Assumptions'!$B$4</f>
        <v>216390.32341237247</v>
      </c>
      <c r="P30" s="204">
        <f ca="1">F30*'2020 Assumptions'!$B$4</f>
        <v>1837.3869239767134</v>
      </c>
      <c r="Q30" s="247">
        <f t="shared" ca="1" si="3"/>
        <v>344889.61172987433</v>
      </c>
      <c r="R30" s="204">
        <f ca="1">H30*'2020 Assumptions'!$B$4</f>
        <v>7569.714679190015</v>
      </c>
      <c r="S30" s="204">
        <f ca="1">I30*'2020 Assumptions'!$B$4</f>
        <v>231.62454897404407</v>
      </c>
      <c r="T30" s="377">
        <f t="shared" ca="1" si="6"/>
        <v>335250.88557773357</v>
      </c>
      <c r="U30" s="377">
        <f t="shared" ca="1" si="7"/>
        <v>337088.27250171028</v>
      </c>
    </row>
    <row r="31" spans="2:21" x14ac:dyDescent="0.25">
      <c r="B31" s="166" t="s">
        <v>8</v>
      </c>
      <c r="C31" s="280">
        <f ca="1">SUMIF('Allocation $'!$I$1:$BE$1,$B$31,'Allocation $'!$I$131:$BE$131)</f>
        <v>73090.666139635156</v>
      </c>
      <c r="D31" s="280">
        <f ca="1">SUMIF('Allocation $'!$I$1:$BE$1,$B$31,'Allocation $'!$I$132:$BE$132)</f>
        <v>10535.807287334488</v>
      </c>
      <c r="E31" s="280">
        <f ca="1">SUMIF('Allocation $'!$I$1:$BE$1,$B$31,'Allocation $'!$I$133:$BE$133)</f>
        <v>178278.61060619706</v>
      </c>
      <c r="F31" s="280">
        <f ca="1">SUMIF('Allocation $'!$I$1:$BE$1,$B$31,'Allocation $'!$I$134:$BE$134)</f>
        <v>1308.1783032044186</v>
      </c>
      <c r="G31" s="247">
        <f t="shared" ca="1" si="2"/>
        <v>263213.26233637112</v>
      </c>
      <c r="H31" s="280">
        <f ca="1">SUMIF('Allocation $'!$I$1:$BE$1,$B$31,'Allocation $'!$I$128:$BE$128)</f>
        <v>4873.4413741565568</v>
      </c>
      <c r="I31" s="280">
        <f ca="1">SUMIF('Allocation $'!$I$1:$BE$1,$B$31,'Allocation $'!$I$129:$BE$129)</f>
        <v>149.12169191048619</v>
      </c>
      <c r="J31" s="377">
        <f t="shared" ca="1" si="4"/>
        <v>256882.52096709964</v>
      </c>
      <c r="K31" s="377">
        <f t="shared" ca="1" si="5"/>
        <v>258190.69927030406</v>
      </c>
      <c r="L31" s="353"/>
      <c r="M31" s="204">
        <f ca="1">C31*'2020 Assumptions'!$B$4</f>
        <v>98248.473424897587</v>
      </c>
      <c r="N31" s="204">
        <f ca="1">D31*'2020 Assumptions'!$B$4</f>
        <v>14162.23215563502</v>
      </c>
      <c r="O31" s="204">
        <f ca="1">E31*'2020 Assumptions'!$B$4</f>
        <v>239642.10837685011</v>
      </c>
      <c r="P31" s="204">
        <f ca="1">F31*'2020 Assumptions'!$B$4</f>
        <v>1758.4532751673796</v>
      </c>
      <c r="Q31" s="247">
        <f t="shared" ca="1" si="3"/>
        <v>353811.26723255008</v>
      </c>
      <c r="R31" s="204">
        <f ca="1">H31*'2020 Assumptions'!$B$4</f>
        <v>6550.8798951412437</v>
      </c>
      <c r="S31" s="204">
        <f ca="1">I31*'2020 Assumptions'!$B$4</f>
        <v>200.44937826607554</v>
      </c>
      <c r="T31" s="377">
        <f t="shared" ca="1" si="6"/>
        <v>345301.4846839754</v>
      </c>
      <c r="U31" s="377">
        <f t="shared" ca="1" si="7"/>
        <v>347059.93795914279</v>
      </c>
    </row>
    <row r="32" spans="2:21" x14ac:dyDescent="0.25">
      <c r="B32" s="166" t="s">
        <v>164</v>
      </c>
      <c r="C32" s="280">
        <f ca="1">SUMIF('Allocation $'!$I$1:$BE$1,$B$32,'Allocation $'!$I$131:$BE$131)</f>
        <v>5472.7719810314757</v>
      </c>
      <c r="D32" s="280">
        <f ca="1">SUMIF('Allocation $'!$I$1:$BE$1,$B$32,'Allocation $'!$I$132:$BE$132)</f>
        <v>578.890572507466</v>
      </c>
      <c r="E32" s="280">
        <f ca="1">SUMIF('Allocation $'!$I$1:$BE$1,$B$32,'Allocation $'!$I$133:$BE$133)</f>
        <v>11179.775898972774</v>
      </c>
      <c r="F32" s="280">
        <f ca="1">SUMIF('Allocation $'!$I$1:$BE$1,$B$32,'Allocation $'!$I$134:$BE$134)</f>
        <v>85.265845759889146</v>
      </c>
      <c r="G32" s="247">
        <f t="shared" ca="1" si="2"/>
        <v>17316.704298271601</v>
      </c>
      <c r="H32" s="280">
        <f ca="1">SUMIF('Allocation $'!$I$1:$BE$1,$B$32,'Allocation $'!$I$128:$BE$128)</f>
        <v>364.90599039479315</v>
      </c>
      <c r="I32" s="280">
        <f ca="1">SUMIF('Allocation $'!$I$1:$BE$1,$B$32,'Allocation $'!$I$129:$BE$129)</f>
        <v>11.165702939303504</v>
      </c>
      <c r="J32" s="377">
        <f t="shared" ca="1" si="4"/>
        <v>16855.366759177617</v>
      </c>
      <c r="K32" s="377">
        <f t="shared" ca="1" si="5"/>
        <v>16940.632604937506</v>
      </c>
      <c r="L32" s="353"/>
      <c r="M32" s="204">
        <f ca="1">C32*'2020 Assumptions'!$B$4</f>
        <v>7356.5000969025095</v>
      </c>
      <c r="N32" s="204">
        <f ca="1">D32*'2020 Assumptions'!$B$4</f>
        <v>778.14470756453579</v>
      </c>
      <c r="O32" s="204">
        <f ca="1">E32*'2020 Assumptions'!$B$4</f>
        <v>15027.854763399202</v>
      </c>
      <c r="P32" s="204">
        <f ca="1">F32*'2020 Assumptions'!$B$4</f>
        <v>114.61434987044299</v>
      </c>
      <c r="Q32" s="247">
        <f t="shared" ca="1" si="3"/>
        <v>23277.113917736689</v>
      </c>
      <c r="R32" s="204">
        <f ca="1">H32*'2020 Assumptions'!$B$4</f>
        <v>490.50663228868098</v>
      </c>
      <c r="S32" s="204">
        <f ca="1">I32*'2020 Assumptions'!$B$4</f>
        <v>15.008937891011771</v>
      </c>
      <c r="T32" s="377">
        <f t="shared" ca="1" si="6"/>
        <v>22656.983997686551</v>
      </c>
      <c r="U32" s="377">
        <f t="shared" ca="1" si="7"/>
        <v>22771.598347556996</v>
      </c>
    </row>
    <row r="33" spans="2:21" x14ac:dyDescent="0.25">
      <c r="B33" s="166" t="s">
        <v>165</v>
      </c>
      <c r="C33" s="280">
        <f ca="1">SUMIF('Allocation $'!$I$1:$BE$1,$B$33,'Allocation $'!$I$131:$BE$131)</f>
        <v>8864.305857603722</v>
      </c>
      <c r="D33" s="280">
        <f ca="1">SUMIF('Allocation $'!$I$1:$BE$1,$B$33,'Allocation $'!$I$132:$BE$132)</f>
        <v>939.16463037469634</v>
      </c>
      <c r="E33" s="280">
        <f ca="1">SUMIF('Allocation $'!$I$1:$BE$1,$B$33,'Allocation $'!$I$133:$BE$133)</f>
        <v>18622.971531740484</v>
      </c>
      <c r="F33" s="280">
        <f ca="1">SUMIF('Allocation $'!$I$1:$BE$1,$B$33,'Allocation $'!$I$134:$BE$134)</f>
        <v>138.27011744865553</v>
      </c>
      <c r="G33" s="247">
        <f t="shared" ca="1" si="2"/>
        <v>28564.712137167557</v>
      </c>
      <c r="H33" s="280">
        <f ca="1">SUMIF('Allocation $'!$I$1:$BE$1,$B$33,'Allocation $'!$I$128:$BE$128)</f>
        <v>590.94425548881168</v>
      </c>
      <c r="I33" s="280">
        <f ca="1">SUMIF('Allocation $'!$I$1:$BE$1,$B$33,'Allocation $'!$I$129:$BE$129)</f>
        <v>18.082213458149074</v>
      </c>
      <c r="J33" s="377">
        <f t="shared" ca="1" si="4"/>
        <v>27817.415550771941</v>
      </c>
      <c r="K33" s="377">
        <f t="shared" ca="1" si="5"/>
        <v>27955.685668220594</v>
      </c>
      <c r="L33" s="353"/>
      <c r="M33" s="204">
        <f ca="1">C33*'2020 Assumptions'!$B$4</f>
        <v>11915.399933790924</v>
      </c>
      <c r="N33" s="204">
        <f ca="1">D33*'2020 Assumptions'!$B$4</f>
        <v>1262.4250961496668</v>
      </c>
      <c r="O33" s="204">
        <f ca="1">E33*'2020 Assumptions'!$B$4</f>
        <v>25032.998332965559</v>
      </c>
      <c r="P33" s="204">
        <f ca="1">F33*'2020 Assumptions'!$B$4</f>
        <v>185.86269187448278</v>
      </c>
      <c r="Q33" s="247">
        <f t="shared" ca="1" si="3"/>
        <v>38396.686054780635</v>
      </c>
      <c r="R33" s="204">
        <f ca="1">H33*'2020 Assumptions'!$B$4</f>
        <v>794.34726822806067</v>
      </c>
      <c r="S33" s="204">
        <f ca="1">I33*'2020 Assumptions'!$B$4</f>
        <v>24.306111330443986</v>
      </c>
      <c r="T33" s="377">
        <f t="shared" ca="1" si="6"/>
        <v>37392.169983347645</v>
      </c>
      <c r="U33" s="377">
        <f t="shared" ca="1" si="7"/>
        <v>37578.03267522213</v>
      </c>
    </row>
    <row r="34" spans="2:21" x14ac:dyDescent="0.25">
      <c r="B34" s="166" t="s">
        <v>375</v>
      </c>
      <c r="C34" s="280">
        <f ca="1">SUMIF('Allocation $'!$I$1:$BE$1,$B$34,'Allocation $'!$I$131:$BE$131)</f>
        <v>68438.343030744218</v>
      </c>
      <c r="D34" s="280">
        <f ca="1">SUMIF('Allocation $'!$I$1:$BE$1,$B$34,'Allocation $'!$I$132:$BE$132)</f>
        <v>7708.2401628480675</v>
      </c>
      <c r="E34" s="280">
        <f ca="1">SUMIF('Allocation $'!$I$1:$BE$1,$B$34,'Allocation $'!$I$133:$BE$133)</f>
        <v>151919.83190189925</v>
      </c>
      <c r="F34" s="280">
        <f ca="1">SUMIF('Allocation $'!$I$1:$BE$1,$B$34,'Allocation $'!$I$134:$BE$134)</f>
        <v>1091.6589572079647</v>
      </c>
      <c r="G34" s="247">
        <f t="shared" ca="1" si="2"/>
        <v>229158.07405269949</v>
      </c>
      <c r="H34" s="280">
        <f ca="1">SUMIF('Allocation $'!$I$1:$BE$1,$B$34,'Allocation $'!$I$128:$BE$128)</f>
        <v>4566.5677101842502</v>
      </c>
      <c r="I34" s="280">
        <f ca="1">SUMIF('Allocation $'!$I$1:$BE$1,$B$34,'Allocation $'!$I$129:$BE$129)</f>
        <v>139.73171130725379</v>
      </c>
      <c r="J34" s="377">
        <f t="shared" ca="1" si="4"/>
        <v>223360.11567400003</v>
      </c>
      <c r="K34" s="377">
        <f t="shared" ca="1" si="5"/>
        <v>224451.77463120798</v>
      </c>
      <c r="L34" s="353"/>
      <c r="M34" s="204">
        <f ca="1">C34*'2020 Assumptions'!$B$4</f>
        <v>91994.820701926379</v>
      </c>
      <c r="N34" s="204">
        <f ca="1">D34*'2020 Assumptions'!$B$4</f>
        <v>10361.416426900372</v>
      </c>
      <c r="O34" s="204">
        <f ca="1">E34*'2020 Assumptions'!$B$4</f>
        <v>204210.63804253298</v>
      </c>
      <c r="P34" s="204">
        <f ca="1">F34*'2020 Assumptions'!$B$4</f>
        <v>1467.4079702789463</v>
      </c>
      <c r="Q34" s="247">
        <f t="shared" ca="1" si="3"/>
        <v>308034.28314163868</v>
      </c>
      <c r="R34" s="204">
        <f ca="1">H34*'2020 Assumptions'!$B$4</f>
        <v>6138.3803160296693</v>
      </c>
      <c r="S34" s="204">
        <f ca="1">I34*'2020 Assumptions'!$B$4</f>
        <v>187.82736633921056</v>
      </c>
      <c r="T34" s="377">
        <f t="shared" ca="1" si="6"/>
        <v>300240.66748899088</v>
      </c>
      <c r="U34" s="377">
        <f t="shared" ca="1" si="7"/>
        <v>301708.07545926981</v>
      </c>
    </row>
    <row r="35" spans="2:21" x14ac:dyDescent="0.25">
      <c r="B35" s="166" t="s">
        <v>18</v>
      </c>
      <c r="C35" s="280">
        <f ca="1">SUMIF('Allocation $'!$I$1:$BE$1,$B$35,'Allocation $'!$I$131:$BE$131)</f>
        <v>64736.382223137727</v>
      </c>
      <c r="D35" s="280">
        <f ca="1">SUMIF('Allocation $'!$I$1:$BE$1,$B$35,'Allocation $'!$I$132:$BE$132)</f>
        <v>14670.369859534634</v>
      </c>
      <c r="E35" s="280">
        <f ca="1">SUMIF('Allocation $'!$I$1:$BE$1,$B$35,'Allocation $'!$I$133:$BE$133)</f>
        <v>118316.50654503604</v>
      </c>
      <c r="F35" s="280">
        <f ca="1">SUMIF('Allocation $'!$I$1:$BE$1,$B$35,'Allocation $'!$I$134:$BE$134)</f>
        <v>1483.3232528203121</v>
      </c>
      <c r="G35" s="247">
        <f t="shared" ca="1" si="2"/>
        <v>199206.58188052874</v>
      </c>
      <c r="H35" s="280">
        <f ca="1">SUMIF('Allocation $'!$I$1:$BE$1,$B$35,'Allocation $'!$I$128:$BE$128)</f>
        <v>4314.3546553715869</v>
      </c>
      <c r="I35" s="280">
        <f ca="1">SUMIF('Allocation $'!$I$1:$BE$1,$B$35,'Allocation $'!$I$129:$BE$129)</f>
        <v>132.01428237602227</v>
      </c>
      <c r="J35" s="377">
        <f t="shared" ca="1" si="4"/>
        <v>193276.88968996081</v>
      </c>
      <c r="K35" s="377">
        <f t="shared" ca="1" si="5"/>
        <v>194760.21294278113</v>
      </c>
      <c r="L35" s="353"/>
      <c r="M35" s="204">
        <f ca="1">C35*'2020 Assumptions'!$B$4</f>
        <v>87018.644984341736</v>
      </c>
      <c r="N35" s="204">
        <f ca="1">D35*'2020 Assumptions'!$B$4</f>
        <v>19719.911165186455</v>
      </c>
      <c r="O35" s="204">
        <f ca="1">E35*'2020 Assumptions'!$B$4</f>
        <v>159041.04809783745</v>
      </c>
      <c r="P35" s="204">
        <f ca="1">F35*'2020 Assumptions'!$B$4</f>
        <v>1993.8831164410635</v>
      </c>
      <c r="Q35" s="247">
        <f t="shared" ca="1" si="3"/>
        <v>267773.48736380669</v>
      </c>
      <c r="R35" s="204">
        <f ca="1">H35*'2020 Assumptions'!$B$4</f>
        <v>5799.3555277504875</v>
      </c>
      <c r="S35" s="204">
        <f ca="1">I35*'2020 Assumptions'!$B$4</f>
        <v>177.45359836984915</v>
      </c>
      <c r="T35" s="377">
        <f t="shared" ca="1" si="6"/>
        <v>259802.79512124529</v>
      </c>
      <c r="U35" s="377">
        <f t="shared" ca="1" si="7"/>
        <v>261796.67823768634</v>
      </c>
    </row>
    <row r="36" spans="2:21" x14ac:dyDescent="0.25">
      <c r="B36" s="166" t="s">
        <v>16</v>
      </c>
      <c r="C36" s="280">
        <f ca="1">SUMIF('Allocation $'!$I$1:$BE$1,$B$36,'Allocation $'!$I$131:$BE$131)</f>
        <v>1126.6621292974908</v>
      </c>
      <c r="D36" s="280">
        <f ca="1">SUMIF('Allocation $'!$I$1:$BE$1,$B$36,'Allocation $'!$I$132:$BE$132)</f>
        <v>126.21691039819915</v>
      </c>
      <c r="E36" s="280">
        <f ca="1">SUMIF('Allocation $'!$I$1:$BE$1,$B$36,'Allocation $'!$I$133:$BE$133)</f>
        <v>2100.7612959983408</v>
      </c>
      <c r="F36" s="280">
        <f ca="1">SUMIF('Allocation $'!$I$1:$BE$1,$B$36,'Allocation $'!$I$134:$BE$134)</f>
        <v>17.86911872032573</v>
      </c>
      <c r="G36" s="247">
        <f t="shared" ca="1" si="2"/>
        <v>3371.5094544143567</v>
      </c>
      <c r="H36" s="280">
        <f ca="1">SUMIF('Allocation $'!$I$1:$BE$1,$B$36,'Allocation $'!$I$128:$BE$128)</f>
        <v>75.259458280632998</v>
      </c>
      <c r="I36" s="280">
        <f ca="1">SUMIF('Allocation $'!$I$1:$BE$1,$B$36,'Allocation $'!$I$129:$BE$129)</f>
        <v>2.3028527255069253</v>
      </c>
      <c r="J36" s="377">
        <f t="shared" ca="1" si="4"/>
        <v>3276.0780246878908</v>
      </c>
      <c r="K36" s="377">
        <f t="shared" ca="1" si="5"/>
        <v>3293.9471434082166</v>
      </c>
      <c r="L36" s="353"/>
      <c r="M36" s="204">
        <f ca="1">C36*'2020 Assumptions'!$B$4</f>
        <v>1514.4592342016872</v>
      </c>
      <c r="N36" s="204">
        <f ca="1">D36*'2020 Assumptions'!$B$4</f>
        <v>169.6607709572593</v>
      </c>
      <c r="O36" s="204">
        <f ca="1">E36*'2020 Assumptions'!$B$4</f>
        <v>2823.8433340809697</v>
      </c>
      <c r="P36" s="204">
        <f ca="1">F36*'2020 Assumptions'!$B$4</f>
        <v>24.019669383861846</v>
      </c>
      <c r="Q36" s="247">
        <f t="shared" ca="1" si="3"/>
        <v>4531.983008623778</v>
      </c>
      <c r="R36" s="204">
        <f ca="1">H36*'2020 Assumptions'!$B$4</f>
        <v>101.16376382082689</v>
      </c>
      <c r="S36" s="204">
        <f ca="1">I36*'2020 Assumptions'!$B$4</f>
        <v>3.0954946336264091</v>
      </c>
      <c r="T36" s="377">
        <f t="shared" ca="1" si="6"/>
        <v>4403.7040807854637</v>
      </c>
      <c r="U36" s="377">
        <f t="shared" ca="1" si="7"/>
        <v>4427.7237501693253</v>
      </c>
    </row>
    <row r="37" spans="2:21" x14ac:dyDescent="0.25">
      <c r="B37" s="166" t="s">
        <v>385</v>
      </c>
      <c r="C37" s="280">
        <f ca="1">SUMIF('Allocation $'!$I$1:$BE$1,$B$37,'Allocation $'!$I$131:$BE$131)</f>
        <v>206363.97001306847</v>
      </c>
      <c r="D37" s="280">
        <f ca="1">SUMIF('Allocation $'!$I$1:$BE$1,$B$37,'Allocation $'!$I$132:$BE$132)</f>
        <v>41296.956866999244</v>
      </c>
      <c r="E37" s="280">
        <f ca="1">SUMIF('Allocation $'!$I$1:$BE$1,$B$37,'Allocation $'!$I$133:$BE$133)</f>
        <v>154574.12271380649</v>
      </c>
      <c r="F37" s="280">
        <f ca="1">SUMIF('Allocation $'!$I$1:$BE$1,$B$37,'Allocation $'!$I$134:$BE$134)</f>
        <v>14375.160226288919</v>
      </c>
      <c r="G37" s="247">
        <f t="shared" ca="1" si="2"/>
        <v>416610.20982016309</v>
      </c>
      <c r="H37" s="280">
        <f ca="1">SUMIF('Allocation $'!$I$1:$BE$1,$B$37,'Allocation $'!$I$128:$BE$128)</f>
        <v>13253.305604946097</v>
      </c>
      <c r="I37" s="280">
        <f ca="1">SUMIF('Allocation $'!$I$1:$BE$1,$B$37,'Allocation $'!$I$129:$BE$129)</f>
        <v>0</v>
      </c>
      <c r="J37" s="377">
        <f t="shared" ca="1" si="4"/>
        <v>388981.74398892809</v>
      </c>
      <c r="K37" s="377">
        <f t="shared" ca="1" si="5"/>
        <v>403356.90421521699</v>
      </c>
      <c r="L37" s="353"/>
      <c r="M37" s="204">
        <f ca="1">C37*'2020 Assumptions'!$B$4</f>
        <v>277394.44849156664</v>
      </c>
      <c r="N37" s="204">
        <f ca="1">D37*'2020 Assumptions'!$B$4</f>
        <v>55511.369420620387</v>
      </c>
      <c r="O37" s="204">
        <f ca="1">E37*'2020 Assumptions'!$B$4</f>
        <v>207778.53575189869</v>
      </c>
      <c r="P37" s="204">
        <f ca="1">F37*'2020 Assumptions'!$B$4</f>
        <v>19323.090376177566</v>
      </c>
      <c r="Q37" s="247">
        <f t="shared" ca="1" si="3"/>
        <v>560007.4440402633</v>
      </c>
      <c r="R37" s="204">
        <f ca="1">H37*'2020 Assumptions'!$B$4</f>
        <v>17815.093394168543</v>
      </c>
      <c r="S37" s="204">
        <f ca="1">I37*'2020 Assumptions'!$B$4</f>
        <v>0</v>
      </c>
      <c r="T37" s="377">
        <f t="shared" ca="1" si="6"/>
        <v>522869.2602699172</v>
      </c>
      <c r="U37" s="377">
        <f t="shared" ca="1" si="7"/>
        <v>542192.35064609477</v>
      </c>
    </row>
    <row r="38" spans="2:21" x14ac:dyDescent="0.25">
      <c r="B38" s="166" t="s">
        <v>384</v>
      </c>
      <c r="C38" s="280">
        <f ca="1">SUMIF('Allocation $'!$I$1:$BE$1,$B$38,'Allocation $'!$I$131:$BE$131)</f>
        <v>6652.4953359922129</v>
      </c>
      <c r="D38" s="280">
        <f ca="1">SUMIF('Allocation $'!$I$1:$BE$1,$B$38,'Allocation $'!$I$132:$BE$132)</f>
        <v>1351.6594119292454</v>
      </c>
      <c r="E38" s="280">
        <f ca="1">SUMIF('Allocation $'!$I$1:$BE$1,$B$38,'Allocation $'!$I$133:$BE$133)</f>
        <v>4662.9848852583755</v>
      </c>
      <c r="F38" s="280">
        <f ca="1">SUMIF('Allocation $'!$I$1:$BE$1,$B$38,'Allocation $'!$I$134:$BE$134)</f>
        <v>439.28734366215326</v>
      </c>
      <c r="G38" s="247">
        <f t="shared" ca="1" si="2"/>
        <v>13106.426976841989</v>
      </c>
      <c r="H38" s="280">
        <f ca="1">SUMIF('Allocation $'!$I$1:$BE$1,$B$38,'Allocation $'!$I$128:$BE$128)</f>
        <v>410.95674084585283</v>
      </c>
      <c r="I38" s="280">
        <f ca="1">SUMIF('Allocation $'!$I$1:$BE$1,$B$38,'Allocation $'!$I$129:$BE$129)</f>
        <v>0</v>
      </c>
      <c r="J38" s="377">
        <f t="shared" ca="1" si="4"/>
        <v>12256.182892333982</v>
      </c>
      <c r="K38" s="377">
        <f t="shared" ca="1" si="5"/>
        <v>12695.470235996136</v>
      </c>
      <c r="L38" s="353"/>
      <c r="M38" s="204">
        <f ca="1">C38*'2020 Assumptions'!$B$4</f>
        <v>8942.2842306407329</v>
      </c>
      <c r="N38" s="204">
        <f ca="1">D38*'2020 Assumptions'!$B$4</f>
        <v>1816.9005815152918</v>
      </c>
      <c r="O38" s="204">
        <f ca="1">E38*'2020 Assumptions'!$B$4</f>
        <v>6267.9842827643088</v>
      </c>
      <c r="P38" s="204">
        <f ca="1">F38*'2020 Assumptions'!$B$4</f>
        <v>590.49004735066649</v>
      </c>
      <c r="Q38" s="247">
        <f t="shared" ca="1" si="3"/>
        <v>17617.659142271001</v>
      </c>
      <c r="R38" s="204">
        <f ca="1">H38*'2020 Assumptions'!$B$4</f>
        <v>552.40805104499543</v>
      </c>
      <c r="S38" s="204">
        <f ca="1">I38*'2020 Assumptions'!$B$4</f>
        <v>0</v>
      </c>
      <c r="T38" s="377">
        <f t="shared" ca="1" si="6"/>
        <v>16474.761043875336</v>
      </c>
      <c r="U38" s="377">
        <f t="shared" ca="1" si="7"/>
        <v>17065.251091226004</v>
      </c>
    </row>
    <row r="39" spans="2:21" x14ac:dyDescent="0.25">
      <c r="B39" s="166" t="s">
        <v>386</v>
      </c>
      <c r="C39" s="280">
        <f ca="1">SUMIF('Allocation $'!$I$1:$BE$1,$B$39,'Allocation $'!$I$131:$BE$131)</f>
        <v>123445.69334634487</v>
      </c>
      <c r="D39" s="280">
        <f ca="1">SUMIF('Allocation $'!$I$1:$BE$1,$B$39,'Allocation $'!$I$132:$BE$132)</f>
        <v>24832.169880673002</v>
      </c>
      <c r="E39" s="280">
        <f ca="1">SUMIF('Allocation $'!$I$1:$BE$1,$B$39,'Allocation $'!$I$133:$BE$133)</f>
        <v>88350.714086843655</v>
      </c>
      <c r="F39" s="280">
        <f ca="1">SUMIF('Allocation $'!$I$1:$BE$1,$B$39,'Allocation $'!$I$134:$BE$134)</f>
        <v>8385.4086370967925</v>
      </c>
      <c r="G39" s="247">
        <f t="shared" ca="1" si="2"/>
        <v>245013.9859509583</v>
      </c>
      <c r="H39" s="280">
        <f ca="1">SUMIF('Allocation $'!$I$1:$BE$1,$B$39,'Allocation $'!$I$128:$BE$128)</f>
        <v>7909.3705449649724</v>
      </c>
      <c r="I39" s="280">
        <f ca="1">SUMIF('Allocation $'!$I$1:$BE$1,$B$39,'Allocation $'!$I$129:$BE$129)</f>
        <v>0</v>
      </c>
      <c r="J39" s="377">
        <f t="shared" ca="1" si="4"/>
        <v>228719.20676889655</v>
      </c>
      <c r="K39" s="377">
        <f t="shared" ca="1" si="5"/>
        <v>237104.61540599333</v>
      </c>
      <c r="L39" s="353"/>
      <c r="M39" s="204">
        <f ca="1">C39*'2020 Assumptions'!$B$4</f>
        <v>165935.70099615678</v>
      </c>
      <c r="N39" s="204">
        <f ca="1">D39*'2020 Assumptions'!$B$4</f>
        <v>33379.402753600654</v>
      </c>
      <c r="O39" s="204">
        <f ca="1">E39*'2020 Assumptions'!$B$4</f>
        <v>118761.02987553524</v>
      </c>
      <c r="P39" s="204">
        <f ca="1">F39*'2020 Assumptions'!$B$4</f>
        <v>11271.666289985509</v>
      </c>
      <c r="Q39" s="247">
        <f t="shared" ca="1" si="3"/>
        <v>329347.79991527821</v>
      </c>
      <c r="R39" s="204">
        <f ca="1">H39*'2020 Assumptions'!$B$4</f>
        <v>10631.775886541916</v>
      </c>
      <c r="S39" s="204">
        <f ca="1">I39*'2020 Assumptions'!$B$4</f>
        <v>0</v>
      </c>
      <c r="T39" s="377">
        <f t="shared" ca="1" si="6"/>
        <v>307444.35773875075</v>
      </c>
      <c r="U39" s="377">
        <f t="shared" ca="1" si="7"/>
        <v>318716.02402873628</v>
      </c>
    </row>
    <row r="40" spans="2:21" x14ac:dyDescent="0.25">
      <c r="B40" s="166" t="s">
        <v>388</v>
      </c>
      <c r="C40" s="280">
        <f ca="1">SUMIF('Allocation $'!$I$1:$BE$1,$B$40,'Allocation $'!$I$131:$BE$131)</f>
        <v>1383858.5835117868</v>
      </c>
      <c r="D40" s="280">
        <f ca="1">SUMIF('Allocation $'!$I$1:$BE$1,$B$40,'Allocation $'!$I$132:$BE$132)</f>
        <v>0</v>
      </c>
      <c r="E40" s="280">
        <f ca="1">SUMIF('Allocation $'!$I$1:$BE$1,$B$40,'Allocation $'!$I$133:$BE$133)</f>
        <v>0</v>
      </c>
      <c r="F40" s="280">
        <f ca="1">SUMIF('Allocation $'!$I$1:$BE$1,$B$40,'Allocation $'!$I$134:$BE$134)</f>
        <v>51926.221321331934</v>
      </c>
      <c r="G40" s="247">
        <f t="shared" ca="1" si="2"/>
        <v>1435784.8048331188</v>
      </c>
      <c r="H40" s="280">
        <f ca="1">SUMIF('Allocation $'!$I$1:$BE$1,$B$40,'Allocation $'!$I$128:$BE$128)</f>
        <v>102702.96065276771</v>
      </c>
      <c r="I40" s="280">
        <f ca="1">SUMIF('Allocation $'!$I$1:$BE$1,$B$40,'Allocation $'!$I$129:$BE$129)</f>
        <v>0</v>
      </c>
      <c r="J40" s="377">
        <f t="shared" ca="1" si="4"/>
        <v>1281155.6228590191</v>
      </c>
      <c r="K40" s="377">
        <f t="shared" ca="1" si="5"/>
        <v>1333081.8441803511</v>
      </c>
      <c r="L40" s="353"/>
      <c r="M40" s="204">
        <f ca="1">C40*'2020 Assumptions'!$B$4</f>
        <v>1860182.7079565439</v>
      </c>
      <c r="N40" s="204">
        <f ca="1">D40*'2020 Assumptions'!$B$4</f>
        <v>0</v>
      </c>
      <c r="O40" s="204">
        <f ca="1">E40*'2020 Assumptions'!$B$4</f>
        <v>0</v>
      </c>
      <c r="P40" s="204">
        <f ca="1">F40*'2020 Assumptions'!$B$4</f>
        <v>69799.226700134386</v>
      </c>
      <c r="Q40" s="247">
        <f t="shared" ca="1" si="3"/>
        <v>1929981.9346566782</v>
      </c>
      <c r="R40" s="204">
        <f ca="1">H40*'2020 Assumptions'!$B$4</f>
        <v>138053.31970945036</v>
      </c>
      <c r="S40" s="204">
        <f ca="1">I40*'2020 Assumptions'!$B$4</f>
        <v>0</v>
      </c>
      <c r="T40" s="377">
        <f t="shared" ca="1" si="6"/>
        <v>1722129.3882470937</v>
      </c>
      <c r="U40" s="377">
        <f t="shared" ca="1" si="7"/>
        <v>1791928.614947228</v>
      </c>
    </row>
    <row r="41" spans="2:21" x14ac:dyDescent="0.25">
      <c r="B41" s="166" t="s">
        <v>334</v>
      </c>
      <c r="C41" s="280">
        <f ca="1">SUMIF('Allocation $'!$I$1:$BE$1,$B$41,'Allocation $'!$I$131:$BE$131)</f>
        <v>244375.20442066423</v>
      </c>
      <c r="D41" s="280">
        <f ca="1">SUMIF('Allocation $'!$I$1:$BE$1,$B$41,'Allocation $'!$I$132:$BE$132)</f>
        <v>34218.222927028066</v>
      </c>
      <c r="E41" s="280">
        <f ca="1">SUMIF('Allocation $'!$I$1:$BE$1,$B$41,'Allocation $'!$I$133:$BE$133)</f>
        <v>0</v>
      </c>
      <c r="F41" s="280">
        <f ca="1">SUMIF('Allocation $'!$I$1:$BE$1,$B$41,'Allocation $'!$I$134:$BE$134)</f>
        <v>10278.370355895029</v>
      </c>
      <c r="G41" s="247">
        <f t="shared" ca="1" si="2"/>
        <v>288871.79770358733</v>
      </c>
      <c r="H41" s="280">
        <f ca="1">SUMIF('Allocation $'!$I$1:$BE$1,$B$41,'Allocation $'!$I$128:$BE$128)</f>
        <v>20329.210163467065</v>
      </c>
      <c r="I41" s="280">
        <f ca="1">SUMIF('Allocation $'!$I$1:$BE$1,$B$41,'Allocation $'!$I$129:$BE$129)</f>
        <v>0</v>
      </c>
      <c r="J41" s="377">
        <f t="shared" ca="1" si="4"/>
        <v>258264.21718422524</v>
      </c>
      <c r="K41" s="377">
        <f t="shared" ca="1" si="5"/>
        <v>268542.58754012029</v>
      </c>
      <c r="L41" s="353"/>
      <c r="M41" s="204">
        <f ca="1">C41*'2020 Assumptions'!$B$4</f>
        <v>328489.14978225686</v>
      </c>
      <c r="N41" s="204">
        <f ca="1">D41*'2020 Assumptions'!$B$4</f>
        <v>45996.135258511131</v>
      </c>
      <c r="O41" s="204">
        <f ca="1">E41*'2020 Assumptions'!$B$4</f>
        <v>0</v>
      </c>
      <c r="P41" s="204">
        <f ca="1">F41*'2020 Assumptions'!$B$4</f>
        <v>13816.185432394099</v>
      </c>
      <c r="Q41" s="247">
        <f t="shared" ca="1" si="3"/>
        <v>388301.47047316207</v>
      </c>
      <c r="R41" s="204">
        <f ca="1">H41*'2020 Assumptions'!$B$4</f>
        <v>27326.524301732432</v>
      </c>
      <c r="S41" s="204">
        <f ca="1">I41*'2020 Assumptions'!$B$4</f>
        <v>0</v>
      </c>
      <c r="T41" s="377">
        <f t="shared" ca="1" si="6"/>
        <v>347158.76073903556</v>
      </c>
      <c r="U41" s="377">
        <f t="shared" ca="1" si="7"/>
        <v>360974.94617142965</v>
      </c>
    </row>
    <row r="42" spans="2:21" x14ac:dyDescent="0.25">
      <c r="B42" s="166" t="s">
        <v>390</v>
      </c>
      <c r="C42" s="280">
        <f ca="1">SUMIF('Allocation $'!$I$1:$BE$1,$B$42,'Allocation $'!$I$131:$BE$131)</f>
        <v>416944.14349238545</v>
      </c>
      <c r="D42" s="280">
        <f ca="1">SUMIF('Allocation $'!$I$1:$BE$1,$B$42,'Allocation $'!$I$132:$BE$132)</f>
        <v>89732.437497503444</v>
      </c>
      <c r="E42" s="280">
        <f ca="1">SUMIF('Allocation $'!$I$1:$BE$1,$B$42,'Allocation $'!$I$133:$BE$133)</f>
        <v>334454.74314072542</v>
      </c>
      <c r="F42" s="280">
        <f ca="1">SUMIF('Allocation $'!$I$1:$BE$1,$B$42,'Allocation $'!$I$134:$BE$134)</f>
        <v>0</v>
      </c>
      <c r="G42" s="247">
        <f t="shared" ca="1" si="2"/>
        <v>841131.32413061429</v>
      </c>
      <c r="H42" s="280">
        <f ca="1">SUMIF('Allocation $'!$I$1:$BE$1,$B$42,'Allocation $'!$I$128:$BE$128)</f>
        <v>29013.696306065151</v>
      </c>
      <c r="I42" s="280">
        <f ca="1">SUMIF('Allocation $'!$I$1:$BE$1,$B$42,'Allocation $'!$I$129:$BE$129)</f>
        <v>0</v>
      </c>
      <c r="J42" s="377">
        <f t="shared" ca="1" si="4"/>
        <v>812117.6278245491</v>
      </c>
      <c r="K42" s="377">
        <f t="shared" ca="1" si="5"/>
        <v>812117.6278245491</v>
      </c>
      <c r="L42" s="353"/>
      <c r="M42" s="204">
        <f ca="1">C42*'2020 Assumptions'!$B$4</f>
        <v>560456.31768246461</v>
      </c>
      <c r="N42" s="204">
        <f ca="1">D42*'2020 Assumptions'!$B$4</f>
        <v>120618.34248414413</v>
      </c>
      <c r="O42" s="204">
        <f ca="1">E42*'2020 Assumptions'!$B$4</f>
        <v>449574.06572976313</v>
      </c>
      <c r="P42" s="204">
        <f ca="1">F42*'2020 Assumptions'!$B$4</f>
        <v>0</v>
      </c>
      <c r="Q42" s="247">
        <f t="shared" ca="1" si="3"/>
        <v>1130648.725896372</v>
      </c>
      <c r="R42" s="204">
        <f ca="1">H42*'2020 Assumptions'!$B$4</f>
        <v>39000.210574612778</v>
      </c>
      <c r="S42" s="204">
        <f ca="1">I42*'2020 Assumptions'!$B$4</f>
        <v>0</v>
      </c>
      <c r="T42" s="377">
        <f t="shared" ca="1" si="6"/>
        <v>1091648.5153217593</v>
      </c>
      <c r="U42" s="377">
        <f t="shared" ca="1" si="7"/>
        <v>1091648.5153217593</v>
      </c>
    </row>
    <row r="43" spans="2:21" x14ac:dyDescent="0.25">
      <c r="B43" s="381" t="s">
        <v>96</v>
      </c>
      <c r="C43" s="355">
        <f ca="1">SUM(C27:C42)</f>
        <v>7.5669959187507629E-10</v>
      </c>
      <c r="D43" s="355">
        <f t="shared" ref="D43:F43" ca="1" si="8">SUM(D27:D42)</f>
        <v>0</v>
      </c>
      <c r="E43" s="355">
        <f t="shared" ca="1" si="8"/>
        <v>0</v>
      </c>
      <c r="F43" s="355">
        <f t="shared" ca="1" si="8"/>
        <v>-1.4551915228366852E-11</v>
      </c>
      <c r="G43" s="376">
        <f ca="1">SUM(G27:G42)</f>
        <v>0</v>
      </c>
      <c r="H43" s="355">
        <f t="shared" ref="H43:K43" ca="1" si="9">SUM(H27:H42)</f>
        <v>4.3655745685100555E-11</v>
      </c>
      <c r="I43" s="355">
        <f t="shared" ca="1" si="9"/>
        <v>-6.9277916736609768E-14</v>
      </c>
      <c r="J43" s="355">
        <f t="shared" ca="1" si="9"/>
        <v>1.280568540096283E-9</v>
      </c>
      <c r="K43" s="355">
        <f t="shared" ca="1" si="9"/>
        <v>0</v>
      </c>
      <c r="L43" s="353"/>
      <c r="M43" s="355">
        <f ca="1">SUM(M27:M42)</f>
        <v>0</v>
      </c>
      <c r="N43" s="355">
        <f t="shared" ref="N43:P43" ca="1" si="10">SUM(N27:N42)</f>
        <v>0</v>
      </c>
      <c r="O43" s="355">
        <f t="shared" ca="1" si="10"/>
        <v>0</v>
      </c>
      <c r="P43" s="355">
        <f t="shared" ca="1" si="10"/>
        <v>3.4560798667371273E-11</v>
      </c>
      <c r="Q43" s="376">
        <f ca="1">SUM(Q27:Q42)</f>
        <v>0</v>
      </c>
      <c r="R43" s="355">
        <f t="shared" ref="R43:U43" ca="1" si="11">SUM(R27:R42)</f>
        <v>0</v>
      </c>
      <c r="S43" s="355">
        <f t="shared" ca="1" si="11"/>
        <v>-1.9140244944537699E-13</v>
      </c>
      <c r="T43" s="355">
        <f t="shared" ca="1" si="11"/>
        <v>0</v>
      </c>
      <c r="U43" s="355">
        <f t="shared" ca="1" si="11"/>
        <v>0</v>
      </c>
    </row>
    <row r="44" spans="2:21" s="69" customFormat="1" x14ac:dyDescent="0.25">
      <c r="B44" s="20"/>
      <c r="C44" s="379"/>
      <c r="D44" s="379"/>
      <c r="E44" s="379"/>
      <c r="F44" s="379"/>
      <c r="G44" s="379"/>
      <c r="H44" s="379"/>
      <c r="I44" s="379"/>
      <c r="J44" s="379"/>
      <c r="K44" s="379"/>
      <c r="L44" s="380"/>
      <c r="M44" s="379"/>
      <c r="N44" s="379"/>
      <c r="O44" s="379"/>
      <c r="P44" s="379"/>
      <c r="Q44" s="379"/>
      <c r="R44" s="379"/>
      <c r="S44" s="379"/>
      <c r="T44" s="379"/>
      <c r="U44" s="379"/>
    </row>
    <row r="45" spans="2:21" s="69" customFormat="1" x14ac:dyDescent="0.25">
      <c r="B45" s="20"/>
      <c r="C45" s="379"/>
      <c r="D45" s="379"/>
      <c r="E45" s="379"/>
      <c r="F45" s="379"/>
      <c r="G45" s="379"/>
      <c r="H45" s="379"/>
      <c r="I45" s="379"/>
      <c r="J45" s="379"/>
      <c r="K45" s="379"/>
      <c r="L45" s="380"/>
      <c r="M45" s="379"/>
      <c r="N45" s="379"/>
      <c r="O45" s="379"/>
      <c r="P45" s="379"/>
      <c r="Q45" s="379"/>
      <c r="R45" s="379"/>
      <c r="S45" s="379"/>
      <c r="T45" s="379"/>
      <c r="U45" s="379"/>
    </row>
    <row r="46" spans="2:21" s="69" customFormat="1" x14ac:dyDescent="0.25">
      <c r="B46" s="20"/>
      <c r="C46" s="379"/>
      <c r="D46" s="379"/>
      <c r="E46" s="379"/>
      <c r="F46" s="379"/>
      <c r="G46" s="379"/>
      <c r="H46" s="379"/>
      <c r="I46" s="379"/>
      <c r="J46" s="379"/>
      <c r="K46" s="379"/>
      <c r="L46" s="380"/>
      <c r="M46" s="379"/>
      <c r="N46" s="379"/>
      <c r="O46" s="379"/>
      <c r="P46" s="379"/>
      <c r="Q46" s="379"/>
      <c r="R46" s="379"/>
      <c r="S46" s="379"/>
      <c r="T46" s="379"/>
      <c r="U46" s="379"/>
    </row>
    <row r="47" spans="2:21" x14ac:dyDescent="0.25">
      <c r="J47" s="379"/>
      <c r="K47" s="379"/>
      <c r="L47" s="166"/>
    </row>
    <row r="48" spans="2:21" x14ac:dyDescent="0.25">
      <c r="J48" s="379"/>
      <c r="K48" s="379"/>
    </row>
    <row r="49" spans="2:21" x14ac:dyDescent="0.25">
      <c r="B49" s="139" t="s">
        <v>437</v>
      </c>
      <c r="J49" s="379"/>
      <c r="K49" s="379"/>
    </row>
    <row r="50" spans="2:21" s="177" customFormat="1" x14ac:dyDescent="0.25">
      <c r="B50" s="1"/>
      <c r="C50" s="1321" t="s">
        <v>166</v>
      </c>
      <c r="D50" s="1322"/>
      <c r="E50" s="1322"/>
      <c r="F50" s="1322"/>
      <c r="G50" s="1322"/>
      <c r="H50" s="1322"/>
      <c r="I50" s="1322"/>
      <c r="J50" s="1322"/>
      <c r="K50" s="1322"/>
      <c r="M50" s="1319" t="s">
        <v>167</v>
      </c>
      <c r="N50" s="1320"/>
      <c r="O50" s="1320"/>
      <c r="P50" s="1320"/>
      <c r="Q50" s="1320"/>
      <c r="R50" s="1320"/>
      <c r="S50" s="1320"/>
      <c r="T50" s="1320"/>
      <c r="U50" s="1320"/>
    </row>
    <row r="51" spans="2:21" s="177" customFormat="1" ht="60" x14ac:dyDescent="0.25">
      <c r="B51" s="1"/>
      <c r="C51" s="356" t="s">
        <v>391</v>
      </c>
      <c r="D51" s="356" t="s">
        <v>411</v>
      </c>
      <c r="E51" s="356" t="s">
        <v>412</v>
      </c>
      <c r="F51" s="356" t="s">
        <v>392</v>
      </c>
      <c r="G51" s="375" t="s">
        <v>3</v>
      </c>
      <c r="H51" s="356" t="s">
        <v>221</v>
      </c>
      <c r="I51" s="356" t="s">
        <v>237</v>
      </c>
      <c r="J51" s="356" t="s">
        <v>299</v>
      </c>
      <c r="K51" s="356" t="s">
        <v>436</v>
      </c>
      <c r="L51" s="368"/>
      <c r="M51" s="356" t="s">
        <v>391</v>
      </c>
      <c r="N51" s="356" t="s">
        <v>411</v>
      </c>
      <c r="O51" s="356" t="s">
        <v>412</v>
      </c>
      <c r="P51" s="356" t="s">
        <v>392</v>
      </c>
      <c r="Q51" s="375" t="s">
        <v>3</v>
      </c>
      <c r="R51" s="356" t="s">
        <v>221</v>
      </c>
      <c r="S51" s="356" t="s">
        <v>237</v>
      </c>
      <c r="T51" s="356" t="s">
        <v>299</v>
      </c>
      <c r="U51" s="356" t="s">
        <v>436</v>
      </c>
    </row>
    <row r="52" spans="2:21" s="177" customFormat="1" x14ac:dyDescent="0.25">
      <c r="B52" s="177" t="s">
        <v>265</v>
      </c>
      <c r="C52" s="280">
        <f>SUMIF('CAM Budget'!$A$27:$A$41,B52,'CAM Budget'!$Q$27:$Q$41)</f>
        <v>-12745467.904615382</v>
      </c>
      <c r="D52" s="280"/>
      <c r="E52" s="280"/>
      <c r="F52" s="280">
        <f>SUMIF('CAM Budget'!$A$65:$A$79,B52,'CAM Budget'!$Q$65:$Q$79)</f>
        <v>-429599.16</v>
      </c>
      <c r="G52" s="247">
        <f t="shared" ref="G52:G67" si="12">SUM(C52:F52)</f>
        <v>-13175067.064615382</v>
      </c>
      <c r="H52" s="280">
        <v>-1120277.4772703387</v>
      </c>
      <c r="I52" s="280">
        <v>-626557.25508093671</v>
      </c>
      <c r="J52" s="377">
        <f>G52-F52-H52-I52</f>
        <v>-10998633.172264107</v>
      </c>
      <c r="K52" s="377">
        <f t="shared" ref="K52:K67" si="13">+J52+F52</f>
        <v>-11428232.332264107</v>
      </c>
      <c r="L52" s="353"/>
      <c r="M52" s="280">
        <f>SUMIF('CAM Budget'!$A$8:$A$22,B52,'CAM Budget'!$Q$8:$Q$22)</f>
        <v>-9577498.2762458008</v>
      </c>
      <c r="N52" s="280"/>
      <c r="O52" s="280"/>
      <c r="P52" s="280">
        <f>SUMIF('CAM Budget'!$A$46:$A$60,B52,'CAM Budget'!$Q$46:$Q$60)</f>
        <v>-220441.30838399995</v>
      </c>
      <c r="Q52" s="247">
        <f t="shared" ref="Q52:Q67" si="14">SUM(M52:P52)</f>
        <v>-9797939.5846298002</v>
      </c>
      <c r="R52" s="204">
        <v>-1456360.7204514404</v>
      </c>
      <c r="S52" s="204">
        <v>-814524.43160521775</v>
      </c>
      <c r="T52" s="377">
        <f>Q52-P52-R52-S52</f>
        <v>-7306613.1241891421</v>
      </c>
      <c r="U52" s="377">
        <f t="shared" ref="U52:U67" si="15">+T52+P52</f>
        <v>-7527054.4325731425</v>
      </c>
    </row>
    <row r="53" spans="2:21" s="177" customFormat="1" x14ac:dyDescent="0.25">
      <c r="B53" s="177" t="s">
        <v>387</v>
      </c>
      <c r="C53" s="280">
        <f>SUMIF('CAM Budget'!$A$27:$A$41,B53,'CAM Budget'!$Q$27:$Q$41)</f>
        <v>-3465375.9600000004</v>
      </c>
      <c r="D53" s="280"/>
      <c r="E53" s="280"/>
      <c r="F53" s="280">
        <f>SUMIF('CAM Budget'!$A$65:$A$79,B53,'CAM Budget'!$Q$65:$Q$79)</f>
        <v>-13127.04</v>
      </c>
      <c r="G53" s="247">
        <f t="shared" si="12"/>
        <v>-3478503.0000000005</v>
      </c>
      <c r="H53" s="378">
        <v>0</v>
      </c>
      <c r="I53" s="280">
        <v>0</v>
      </c>
      <c r="J53" s="377">
        <f t="shared" ref="J53:J67" si="16">G53-F53-H53-I53</f>
        <v>-3465375.9600000004</v>
      </c>
      <c r="K53" s="377">
        <f t="shared" si="13"/>
        <v>-3478503.0000000005</v>
      </c>
      <c r="L53" s="353"/>
      <c r="M53" s="280">
        <f>SUMIF('CAM Budget'!$A$8:$A$22,B53,'CAM Budget'!$Q$8:$Q$22)</f>
        <v>-1570508.3850719999</v>
      </c>
      <c r="N53" s="280"/>
      <c r="O53" s="280"/>
      <c r="P53" s="280">
        <f>SUMIF('CAM Budget'!$A$46:$A$60,B53,'CAM Budget'!$Q$46:$Q$60)</f>
        <v>-5949.1745280000005</v>
      </c>
      <c r="Q53" s="247">
        <f t="shared" si="14"/>
        <v>-1576457.5595999998</v>
      </c>
      <c r="R53" s="204">
        <v>0</v>
      </c>
      <c r="S53" s="204">
        <v>0</v>
      </c>
      <c r="T53" s="377">
        <f t="shared" ref="T53:T67" si="17">Q53-P53-R53-S53</f>
        <v>-1570508.3850719999</v>
      </c>
      <c r="U53" s="377">
        <f t="shared" si="15"/>
        <v>-1576457.5595999998</v>
      </c>
    </row>
    <row r="54" spans="2:21" s="177" customFormat="1" x14ac:dyDescent="0.25">
      <c r="B54" s="177" t="s">
        <v>376</v>
      </c>
      <c r="C54" s="280">
        <f>SUMIF('CAM Budget'!$A$27:$A$41,B54,'CAM Budget'!$Q$27:$Q$41)</f>
        <v>136434.84000000003</v>
      </c>
      <c r="D54" s="280"/>
      <c r="E54" s="280"/>
      <c r="F54" s="280">
        <f>SUMIF('CAM Budget'!$A$65:$A$79,B54,'CAM Budget'!$Q$65:$Q$79)</f>
        <v>6065.04</v>
      </c>
      <c r="G54" s="247">
        <f t="shared" si="12"/>
        <v>142499.88000000003</v>
      </c>
      <c r="H54" s="280">
        <v>0</v>
      </c>
      <c r="I54" s="280">
        <v>0</v>
      </c>
      <c r="J54" s="377">
        <f t="shared" si="16"/>
        <v>136434.84000000003</v>
      </c>
      <c r="K54" s="377">
        <f t="shared" si="13"/>
        <v>142499.88000000003</v>
      </c>
      <c r="L54" s="353"/>
      <c r="M54" s="204">
        <f>SUMIF('CAM Budget'!$A$8:$A$22,B54,'CAM Budget'!$Q$8:$Q$22)</f>
        <v>61832.269487999991</v>
      </c>
      <c r="N54" s="204"/>
      <c r="O54" s="204"/>
      <c r="P54" s="204">
        <f>SUMIF('CAM Budget'!$A$46:$A$60,B54,'CAM Budget'!$Q$46:$Q$60)</f>
        <v>2748.6761280000001</v>
      </c>
      <c r="Q54" s="247">
        <f t="shared" si="14"/>
        <v>64580.94561599999</v>
      </c>
      <c r="R54" s="204">
        <v>0</v>
      </c>
      <c r="S54" s="204">
        <v>0</v>
      </c>
      <c r="T54" s="377">
        <f t="shared" si="17"/>
        <v>61832.269487999991</v>
      </c>
      <c r="U54" s="377">
        <f t="shared" si="15"/>
        <v>64580.94561599999</v>
      </c>
    </row>
    <row r="55" spans="2:21" s="177" customFormat="1" x14ac:dyDescent="0.25">
      <c r="B55" s="177" t="s">
        <v>12</v>
      </c>
      <c r="C55" s="280">
        <f>SUMIF('CAM Budget'!$A$27:$A$41,B55,'CAM Budget'!$Q$27:$Q$41)</f>
        <v>1163447.5384615383</v>
      </c>
      <c r="D55" s="280"/>
      <c r="E55" s="280"/>
      <c r="F55" s="280">
        <f>SUMIF('CAM Budget'!$A$65:$A$79,B55,'CAM Budget'!$Q$65:$Q$79)</f>
        <v>8151.7199999999975</v>
      </c>
      <c r="G55" s="247">
        <f t="shared" si="12"/>
        <v>1171599.2584615382</v>
      </c>
      <c r="H55" s="280">
        <v>32915.680719041135</v>
      </c>
      <c r="I55" s="280">
        <v>18409.330705009052</v>
      </c>
      <c r="J55" s="377">
        <f t="shared" si="16"/>
        <v>1112122.5270374883</v>
      </c>
      <c r="K55" s="377">
        <f t="shared" si="13"/>
        <v>1120274.2470374883</v>
      </c>
      <c r="L55" s="353"/>
      <c r="M55" s="204">
        <f>SUMIF('CAM Budget'!$A$8:$A$22,B55,'CAM Budget'!$Q$8:$Q$22)</f>
        <v>1512481.7999999998</v>
      </c>
      <c r="N55" s="204"/>
      <c r="O55" s="204"/>
      <c r="P55" s="204">
        <f>SUMIF('CAM Budget'!$A$46:$A$60,B55,'CAM Budget'!$Q$46:$Q$60)</f>
        <v>9807.8399999999983</v>
      </c>
      <c r="Q55" s="247">
        <f t="shared" si="14"/>
        <v>1522289.64</v>
      </c>
      <c r="R55" s="204">
        <v>42790.384934753478</v>
      </c>
      <c r="S55" s="204">
        <v>23932.129916511767</v>
      </c>
      <c r="T55" s="377">
        <f t="shared" si="17"/>
        <v>1445759.2851487347</v>
      </c>
      <c r="U55" s="377">
        <f t="shared" si="15"/>
        <v>1455567.1251487348</v>
      </c>
    </row>
    <row r="56" spans="2:21" s="177" customFormat="1" x14ac:dyDescent="0.25">
      <c r="B56" s="177" t="s">
        <v>8</v>
      </c>
      <c r="C56" s="280">
        <f>SUMIF('CAM Budget'!$A$27:$A$41,B56,'CAM Budget'!$Q$27:$Q$41)</f>
        <v>1170025.8461538462</v>
      </c>
      <c r="D56" s="280"/>
      <c r="E56" s="280"/>
      <c r="F56" s="280">
        <f>SUMIF('CAM Budget'!$A$65:$A$79,B56,'CAM Budget'!$Q$65:$Q$79)</f>
        <v>6670.9199999999992</v>
      </c>
      <c r="G56" s="247">
        <f t="shared" si="12"/>
        <v>1176696.7661538462</v>
      </c>
      <c r="H56" s="280">
        <v>29265.373958968641</v>
      </c>
      <c r="I56" s="280">
        <v>16367.759549470686</v>
      </c>
      <c r="J56" s="377">
        <f t="shared" si="16"/>
        <v>1124392.7126454071</v>
      </c>
      <c r="K56" s="377">
        <f t="shared" si="13"/>
        <v>1131063.632645407</v>
      </c>
      <c r="L56" s="353"/>
      <c r="M56" s="204">
        <f>SUMIF('CAM Budget'!$A$8:$A$22,B56,'CAM Budget'!$Q$8:$Q$22)</f>
        <v>1521033.6000000003</v>
      </c>
      <c r="N56" s="204"/>
      <c r="O56" s="204"/>
      <c r="P56" s="204">
        <f>SUMIF('CAM Budget'!$A$46:$A$60,B56,'CAM Budget'!$Q$46:$Q$60)</f>
        <v>9462.48</v>
      </c>
      <c r="Q56" s="247">
        <f t="shared" si="14"/>
        <v>1530496.0800000003</v>
      </c>
      <c r="R56" s="204">
        <v>38044.986146659234</v>
      </c>
      <c r="S56" s="204">
        <v>21278.087414311893</v>
      </c>
      <c r="T56" s="377">
        <f t="shared" si="17"/>
        <v>1461710.5264390293</v>
      </c>
      <c r="U56" s="377">
        <f t="shared" si="15"/>
        <v>1471173.0064390292</v>
      </c>
    </row>
    <row r="57" spans="2:21" s="177" customFormat="1" x14ac:dyDescent="0.25">
      <c r="B57" s="177" t="s">
        <v>164</v>
      </c>
      <c r="C57" s="280">
        <f>SUMIF('CAM Budget'!$A$27:$A$41,B57,'CAM Budget'!$Q$27:$Q$41)</f>
        <v>77820.479999999996</v>
      </c>
      <c r="D57" s="280"/>
      <c r="E57" s="280"/>
      <c r="F57" s="280">
        <f>SUMIF('CAM Budget'!$A$65:$A$79,B57,'CAM Budget'!$Q$65:$Q$79)</f>
        <v>463.91999999999985</v>
      </c>
      <c r="G57" s="247">
        <f t="shared" si="12"/>
        <v>78284.399999999994</v>
      </c>
      <c r="H57" s="280">
        <v>2151.3208903282789</v>
      </c>
      <c r="I57" s="280">
        <v>1203.207008255411</v>
      </c>
      <c r="J57" s="377">
        <f t="shared" si="16"/>
        <v>74465.952101416304</v>
      </c>
      <c r="K57" s="377">
        <f t="shared" si="13"/>
        <v>74929.872101416302</v>
      </c>
      <c r="L57" s="353"/>
      <c r="M57" s="204">
        <f>SUMIF('CAM Budget'!$A$8:$A$22,B57,'CAM Budget'!$Q$8:$Q$22)</f>
        <v>101166.69504455458</v>
      </c>
      <c r="N57" s="204"/>
      <c r="O57" s="204"/>
      <c r="P57" s="204">
        <f>SUMIF('CAM Budget'!$A$46:$A$60,B57,'CAM Budget'!$Q$46:$Q$60)</f>
        <v>603.12</v>
      </c>
      <c r="Q57" s="247">
        <f t="shared" si="14"/>
        <v>101769.81504455458</v>
      </c>
      <c r="R57" s="204">
        <v>2796.7171574267627</v>
      </c>
      <c r="S57" s="204">
        <v>1564.1691107320344</v>
      </c>
      <c r="T57" s="377">
        <f t="shared" si="17"/>
        <v>96805.808776395788</v>
      </c>
      <c r="U57" s="377">
        <f t="shared" si="15"/>
        <v>97408.928776395784</v>
      </c>
    </row>
    <row r="58" spans="2:21" s="177" customFormat="1" x14ac:dyDescent="0.25">
      <c r="B58" s="177" t="s">
        <v>165</v>
      </c>
      <c r="C58" s="280">
        <f>SUMIF('CAM Budget'!$A$27:$A$41,B58,'CAM Budget'!$Q$27:$Q$41)</f>
        <v>128133.48000000004</v>
      </c>
      <c r="D58" s="280"/>
      <c r="E58" s="280"/>
      <c r="F58" s="280">
        <f>SUMIF('CAM Budget'!$A$65:$A$79,B58,'CAM Budget'!$Q$65:$Q$79)</f>
        <v>752.15999999999985</v>
      </c>
      <c r="G58" s="247">
        <f t="shared" si="12"/>
        <v>128885.64000000004</v>
      </c>
      <c r="H58" s="280">
        <v>3488.7476515661433</v>
      </c>
      <c r="I58" s="280">
        <v>1951.2131561918911</v>
      </c>
      <c r="J58" s="377">
        <f t="shared" si="16"/>
        <v>122693.51919224201</v>
      </c>
      <c r="K58" s="377">
        <f t="shared" si="13"/>
        <v>123445.67919224201</v>
      </c>
      <c r="L58" s="353"/>
      <c r="M58" s="204">
        <f>SUMIF('CAM Budget'!$A$8:$A$22,B58,'CAM Budget'!$Q$8:$Q$22)</f>
        <v>166573.63358409179</v>
      </c>
      <c r="N58" s="204"/>
      <c r="O58" s="204"/>
      <c r="P58" s="204">
        <f>SUMIF('CAM Budget'!$A$46:$A$60,B58,'CAM Budget'!$Q$46:$Q$60)</f>
        <v>977.7600000000001</v>
      </c>
      <c r="Q58" s="247">
        <f t="shared" si="14"/>
        <v>167551.3935840918</v>
      </c>
      <c r="R58" s="204">
        <v>4535.3719470359865</v>
      </c>
      <c r="S58" s="204">
        <v>2536.5771030494584</v>
      </c>
      <c r="T58" s="377">
        <f t="shared" si="17"/>
        <v>159501.68453400634</v>
      </c>
      <c r="U58" s="377">
        <f t="shared" si="15"/>
        <v>160479.44453400635</v>
      </c>
    </row>
    <row r="59" spans="2:21" s="177" customFormat="1" x14ac:dyDescent="0.25">
      <c r="B59" s="177" t="s">
        <v>375</v>
      </c>
      <c r="C59" s="280">
        <f>SUMIF('CAM Budget'!$A$27:$A$41,B59,'CAM Budget'!$Q$27:$Q$41)</f>
        <v>1021778.5199999999</v>
      </c>
      <c r="D59" s="280"/>
      <c r="E59" s="280"/>
      <c r="F59" s="280">
        <f>SUMIF('CAM Budget'!$A$65:$A$79,B59,'CAM Budget'!$Q$65:$Q$79)</f>
        <v>5929.9199999999992</v>
      </c>
      <c r="G59" s="247">
        <f t="shared" si="12"/>
        <v>1027708.44</v>
      </c>
      <c r="H59" s="280">
        <v>27304.927892620144</v>
      </c>
      <c r="I59" s="280">
        <v>15271.306455493934</v>
      </c>
      <c r="J59" s="377">
        <f t="shared" si="16"/>
        <v>979202.2856518859</v>
      </c>
      <c r="K59" s="377">
        <f t="shared" si="13"/>
        <v>985132.20565188595</v>
      </c>
      <c r="L59" s="353"/>
      <c r="M59" s="204">
        <f>SUMIF('CAM Budget'!$A$8:$A$22,B59,'CAM Budget'!$Q$8:$Q$22)</f>
        <v>1328313.3948281521</v>
      </c>
      <c r="N59" s="204"/>
      <c r="O59" s="204"/>
      <c r="P59" s="204">
        <f>SUMIF('CAM Budget'!$A$46:$A$60,B59,'CAM Budget'!$Q$46:$Q$60)</f>
        <v>7708.9199999999992</v>
      </c>
      <c r="Q59" s="247">
        <f t="shared" si="14"/>
        <v>1336022.3148281521</v>
      </c>
      <c r="R59" s="204">
        <v>35496.406260406191</v>
      </c>
      <c r="S59" s="204">
        <v>19852.698392142116</v>
      </c>
      <c r="T59" s="377">
        <f t="shared" si="17"/>
        <v>1272964.2901756039</v>
      </c>
      <c r="U59" s="377">
        <f t="shared" si="15"/>
        <v>1280673.2101756039</v>
      </c>
    </row>
    <row r="60" spans="2:21" s="177" customFormat="1" x14ac:dyDescent="0.25">
      <c r="B60" s="177" t="s">
        <v>18</v>
      </c>
      <c r="C60" s="280">
        <f>SUMIF('CAM Budget'!$A$27:$A$41,B60,'CAM Budget'!$Q$27:$Q$41)</f>
        <v>912553.44</v>
      </c>
      <c r="D60" s="280"/>
      <c r="E60" s="280"/>
      <c r="F60" s="280">
        <f>SUMIF('CAM Budget'!$A$65:$A$79,B60,'CAM Budget'!$Q$65:$Q$79)</f>
        <v>8338.2000000000025</v>
      </c>
      <c r="G60" s="247">
        <f t="shared" si="12"/>
        <v>920891.6399999999</v>
      </c>
      <c r="H60" s="280">
        <v>25080.86260077131</v>
      </c>
      <c r="I60" s="280">
        <v>14027.414408519116</v>
      </c>
      <c r="J60" s="377">
        <f t="shared" si="16"/>
        <v>873445.16299070942</v>
      </c>
      <c r="K60" s="377">
        <f t="shared" si="13"/>
        <v>881783.36299070937</v>
      </c>
      <c r="L60" s="353"/>
      <c r="M60" s="204">
        <f>SUMIF('CAM Budget'!$A$8:$A$22,B60,'CAM Budget'!$Q$8:$Q$22)</f>
        <v>1186320.5806469279</v>
      </c>
      <c r="N60" s="204"/>
      <c r="O60" s="204"/>
      <c r="P60" s="204">
        <f>SUMIF('CAM Budget'!$A$46:$A$60,B60,'CAM Budget'!$Q$46:$Q$60)</f>
        <v>10839.599999999999</v>
      </c>
      <c r="Q60" s="247">
        <f t="shared" si="14"/>
        <v>1197160.180646928</v>
      </c>
      <c r="R60" s="204">
        <v>32605.121381002704</v>
      </c>
      <c r="S60" s="204">
        <v>18235.638731074851</v>
      </c>
      <c r="T60" s="377">
        <f t="shared" si="17"/>
        <v>1135479.8205348505</v>
      </c>
      <c r="U60" s="377">
        <f t="shared" si="15"/>
        <v>1146319.4205348506</v>
      </c>
    </row>
    <row r="61" spans="2:21" s="177" customFormat="1" x14ac:dyDescent="0.25">
      <c r="B61" s="177" t="s">
        <v>16</v>
      </c>
      <c r="C61" s="280">
        <f>SUMIF('CAM Budget'!$A$27:$A$41,B61,'CAM Budget'!$Q$27:$Q$41)</f>
        <v>15198.599999999997</v>
      </c>
      <c r="D61" s="280"/>
      <c r="E61" s="280"/>
      <c r="F61" s="280">
        <f>SUMIF('CAM Budget'!$A$65:$A$79,B61,'CAM Budget'!$Q$65:$Q$79)</f>
        <v>97.199999999999974</v>
      </c>
      <c r="G61" s="247">
        <f t="shared" si="12"/>
        <v>15295.799999999997</v>
      </c>
      <c r="H61" s="280">
        <v>446.5735584342857</v>
      </c>
      <c r="I61" s="280">
        <v>249.76303517774974</v>
      </c>
      <c r="J61" s="377">
        <f t="shared" si="16"/>
        <v>14502.263406387961</v>
      </c>
      <c r="K61" s="377">
        <f t="shared" si="13"/>
        <v>14599.463406387962</v>
      </c>
      <c r="L61" s="353"/>
      <c r="M61" s="204">
        <f>SUMIF('CAM Budget'!$A$8:$A$22,B61,'CAM Budget'!$Q$8:$Q$22)</f>
        <v>19758.240142075592</v>
      </c>
      <c r="N61" s="204"/>
      <c r="O61" s="204"/>
      <c r="P61" s="204">
        <f>SUMIF('CAM Budget'!$A$46:$A$60,B61,'CAM Budget'!$Q$46:$Q$60)</f>
        <v>126.36</v>
      </c>
      <c r="Q61" s="247">
        <f t="shared" si="14"/>
        <v>19884.600142075593</v>
      </c>
      <c r="R61" s="204">
        <v>580.5456259645714</v>
      </c>
      <c r="S61" s="204">
        <v>324.69194573107467</v>
      </c>
      <c r="T61" s="377">
        <f t="shared" si="17"/>
        <v>18853.002570379944</v>
      </c>
      <c r="U61" s="377">
        <f t="shared" si="15"/>
        <v>18979.362570379944</v>
      </c>
    </row>
    <row r="62" spans="2:21" s="177" customFormat="1" x14ac:dyDescent="0.25">
      <c r="B62" s="177" t="s">
        <v>385</v>
      </c>
      <c r="C62" s="280">
        <f>SUMIF('CAM Budget'!$A$27:$A$41,B62,'CAM Budget'!$Q$27:$Q$41)</f>
        <v>1974012.36</v>
      </c>
      <c r="D62" s="280"/>
      <c r="E62" s="280"/>
      <c r="F62" s="280">
        <f>SUMIF('CAM Budget'!$A$65:$A$79,B62,'CAM Budget'!$Q$65:$Q$79)</f>
        <v>60074.75999999998</v>
      </c>
      <c r="G62" s="247">
        <f t="shared" si="12"/>
        <v>2034087.12</v>
      </c>
      <c r="H62" s="280">
        <v>76291.088426932154</v>
      </c>
      <c r="I62" s="280">
        <v>42668.656579963215</v>
      </c>
      <c r="J62" s="377">
        <f t="shared" si="16"/>
        <v>1855052.6149931047</v>
      </c>
      <c r="K62" s="377">
        <f t="shared" si="13"/>
        <v>1915127.3749931047</v>
      </c>
      <c r="L62" s="353"/>
      <c r="M62" s="204">
        <f>SUMIF('CAM Budget'!$A$8:$A$22,B62,'CAM Budget'!$Q$8:$Q$22)</f>
        <v>894622.40155199997</v>
      </c>
      <c r="N62" s="204"/>
      <c r="O62" s="204"/>
      <c r="P62" s="204">
        <f>SUMIF('CAM Budget'!$A$46:$A$60,B62,'CAM Budget'!$Q$46:$Q$60)</f>
        <v>27225.881231999996</v>
      </c>
      <c r="Q62" s="247">
        <f t="shared" si="14"/>
        <v>921848.28278399992</v>
      </c>
      <c r="R62" s="204">
        <v>99178.414955011802</v>
      </c>
      <c r="S62" s="204">
        <v>55469.253553952185</v>
      </c>
      <c r="T62" s="377">
        <f t="shared" si="17"/>
        <v>739974.73304303596</v>
      </c>
      <c r="U62" s="377">
        <f t="shared" si="15"/>
        <v>767200.61427503591</v>
      </c>
    </row>
    <row r="63" spans="2:21" s="177" customFormat="1" x14ac:dyDescent="0.25">
      <c r="B63" s="177" t="s">
        <v>384</v>
      </c>
      <c r="C63" s="280">
        <f>SUMIF('CAM Budget'!$A$27:$A$41,B63,'CAM Budget'!$Q$27:$Q$41)</f>
        <v>62162.280000000006</v>
      </c>
      <c r="D63" s="280"/>
      <c r="E63" s="280"/>
      <c r="F63" s="280">
        <f>SUMIF('CAM Budget'!$A$65:$A$79,B63,'CAM Budget'!$Q$65:$Q$79)</f>
        <v>1845.12</v>
      </c>
      <c r="G63" s="247">
        <f t="shared" si="12"/>
        <v>64007.400000000009</v>
      </c>
      <c r="H63" s="280">
        <v>2368.7771410335768</v>
      </c>
      <c r="I63" s="280">
        <v>1324.827583788257</v>
      </c>
      <c r="J63" s="377">
        <f t="shared" si="16"/>
        <v>58468.675275178175</v>
      </c>
      <c r="K63" s="377">
        <f t="shared" si="13"/>
        <v>60313.795275178178</v>
      </c>
      <c r="L63" s="353"/>
      <c r="M63" s="204">
        <f>SUMIF('CAM Budget'!$A$8:$A$22,B63,'CAM Budget'!$Q$8:$Q$22)</f>
        <v>28171.945295999998</v>
      </c>
      <c r="N63" s="204"/>
      <c r="O63" s="204"/>
      <c r="P63" s="204">
        <f>SUMIF('CAM Budget'!$A$46:$A$60,B63,'CAM Budget'!$Q$46:$Q$60)</f>
        <v>836.20838399999991</v>
      </c>
      <c r="Q63" s="247">
        <f t="shared" si="14"/>
        <v>29008.153679999999</v>
      </c>
      <c r="R63" s="204">
        <v>3079.41028334365</v>
      </c>
      <c r="S63" s="204">
        <v>1722.2758589247342</v>
      </c>
      <c r="T63" s="377">
        <f t="shared" si="17"/>
        <v>23370.259153731615</v>
      </c>
      <c r="U63" s="377">
        <f t="shared" si="15"/>
        <v>24206.467537731616</v>
      </c>
    </row>
    <row r="64" spans="2:21" s="177" customFormat="1" x14ac:dyDescent="0.25">
      <c r="B64" s="177" t="s">
        <v>386</v>
      </c>
      <c r="C64" s="280">
        <f>SUMIF('CAM Budget'!$A$27:$A$41,B64,'CAM Budget'!$Q$27:$Q$41)</f>
        <v>1164615.4800000002</v>
      </c>
      <c r="D64" s="280"/>
      <c r="E64" s="280"/>
      <c r="F64" s="280">
        <f>SUMIF('CAM Budget'!$A$65:$A$79,B64,'CAM Budget'!$Q$65:$Q$79)</f>
        <v>35199.840000000004</v>
      </c>
      <c r="G64" s="247">
        <f t="shared" si="12"/>
        <v>1199815.3200000003</v>
      </c>
      <c r="H64" s="280">
        <v>45539.548118049956</v>
      </c>
      <c r="I64" s="280">
        <v>25469.702681156527</v>
      </c>
      <c r="J64" s="377">
        <f t="shared" si="16"/>
        <v>1093606.2292007937</v>
      </c>
      <c r="K64" s="377">
        <f t="shared" si="13"/>
        <v>1128806.0692007937</v>
      </c>
      <c r="L64" s="353"/>
      <c r="M64" s="204">
        <f>SUMIF('CAM Budget'!$A$8:$A$22,B64,'CAM Budget'!$Q$8:$Q$22)</f>
        <v>527803.73553599999</v>
      </c>
      <c r="N64" s="204"/>
      <c r="O64" s="204"/>
      <c r="P64" s="204">
        <f>SUMIF('CAM Budget'!$A$46:$A$60,B64,'CAM Budget'!$Q$46:$Q$60)</f>
        <v>15952.567488000001</v>
      </c>
      <c r="Q64" s="247">
        <f t="shared" si="14"/>
        <v>543756.30302400002</v>
      </c>
      <c r="R64" s="204">
        <v>59201.412553464943</v>
      </c>
      <c r="S64" s="204">
        <v>33110.613485503483</v>
      </c>
      <c r="T64" s="377">
        <f t="shared" si="17"/>
        <v>435491.70949703158</v>
      </c>
      <c r="U64" s="377">
        <f t="shared" si="15"/>
        <v>451444.27698503155</v>
      </c>
    </row>
    <row r="65" spans="2:21" s="177" customFormat="1" x14ac:dyDescent="0.25">
      <c r="B65" s="177" t="s">
        <v>388</v>
      </c>
      <c r="C65" s="280">
        <f>SUMIF('CAM Budget'!$A$27:$A$41,B65,'CAM Budget'!$Q$27:$Q$41)</f>
        <v>6821490</v>
      </c>
      <c r="D65" s="280"/>
      <c r="E65" s="280"/>
      <c r="F65" s="280">
        <f>SUMIF('CAM Budget'!$A$65:$A$79,B65,'CAM Budget'!$Q$65:$Q$79)</f>
        <v>258054</v>
      </c>
      <c r="G65" s="247">
        <f t="shared" si="12"/>
        <v>7079544</v>
      </c>
      <c r="H65" s="280">
        <v>591371.96878057986</v>
      </c>
      <c r="I65" s="280">
        <v>330746.98457189085</v>
      </c>
      <c r="J65" s="377">
        <f t="shared" si="16"/>
        <v>5899371.0466475291</v>
      </c>
      <c r="K65" s="377">
        <f t="shared" si="13"/>
        <v>6157425.0466475291</v>
      </c>
      <c r="L65" s="353"/>
      <c r="M65" s="204">
        <f>SUMIF('CAM Budget'!$A$8:$A$22,B65,'CAM Budget'!$Q$8:$Q$22)</f>
        <v>3091499.2679999997</v>
      </c>
      <c r="N65" s="204"/>
      <c r="O65" s="204"/>
      <c r="P65" s="204">
        <f>SUMIF('CAM Budget'!$A$46:$A$60,B65,'CAM Budget'!$Q$46:$Q$60)</f>
        <v>116950.07280000001</v>
      </c>
      <c r="Q65" s="247">
        <f t="shared" si="14"/>
        <v>3208449.3407999999</v>
      </c>
      <c r="R65" s="204">
        <v>768783.55941475381</v>
      </c>
      <c r="S65" s="204">
        <v>429971.07994345814</v>
      </c>
      <c r="T65" s="377">
        <f t="shared" si="17"/>
        <v>1892744.6286417879</v>
      </c>
      <c r="U65" s="377">
        <f t="shared" si="15"/>
        <v>2009694.7014417879</v>
      </c>
    </row>
    <row r="66" spans="2:21" s="177" customFormat="1" x14ac:dyDescent="0.25">
      <c r="B66" s="177" t="s">
        <v>334</v>
      </c>
      <c r="C66" s="280">
        <f>SUMIF('CAM Budget'!$A$27:$A$41,B66,'CAM Budget'!$Q$27:$Q$41)</f>
        <v>1563171</v>
      </c>
      <c r="D66" s="280"/>
      <c r="E66" s="280"/>
      <c r="F66" s="280">
        <f>SUMIF('CAM Budget'!$A$65:$A$79,B66,'CAM Budget'!$Q$65:$Q$79)</f>
        <v>51083.399999999987</v>
      </c>
      <c r="G66" s="247">
        <f t="shared" si="12"/>
        <v>1614254.4</v>
      </c>
      <c r="H66" s="280">
        <v>117065.77182347067</v>
      </c>
      <c r="I66" s="280">
        <v>65473.429704545459</v>
      </c>
      <c r="J66" s="377">
        <f t="shared" si="16"/>
        <v>1380631.7984719838</v>
      </c>
      <c r="K66" s="377">
        <f t="shared" si="13"/>
        <v>1431715.1984719837</v>
      </c>
      <c r="L66" s="353"/>
      <c r="M66" s="204">
        <f>SUMIF('CAM Budget'!$A$8:$A$22,B66,'CAM Budget'!$Q$8:$Q$22)</f>
        <v>708429.09720000008</v>
      </c>
      <c r="N66" s="204"/>
      <c r="O66" s="204"/>
      <c r="P66" s="204">
        <f>SUMIF('CAM Budget'!$A$46:$A$60,B66,'CAM Budget'!$Q$46:$Q$60)</f>
        <v>23150.996879999999</v>
      </c>
      <c r="Q66" s="247">
        <f t="shared" si="14"/>
        <v>731580.09408000007</v>
      </c>
      <c r="R66" s="204">
        <v>152185.50337051187</v>
      </c>
      <c r="S66" s="204">
        <v>85115.458615909098</v>
      </c>
      <c r="T66" s="377">
        <f t="shared" si="17"/>
        <v>471128.13521357905</v>
      </c>
      <c r="U66" s="377">
        <f t="shared" si="15"/>
        <v>494279.13209357904</v>
      </c>
    </row>
    <row r="67" spans="2:21" s="177" customFormat="1" x14ac:dyDescent="0.25">
      <c r="B67" s="177" t="s">
        <v>390</v>
      </c>
      <c r="C67" s="280">
        <f>SUMIF('CAM Budget'!$A$27:$A$41,B67,'CAM Budget'!$Q$27:$Q$41)</f>
        <v>0</v>
      </c>
      <c r="D67" s="280"/>
      <c r="E67" s="280"/>
      <c r="F67" s="280">
        <f>SUMIF('CAM Budget'!$A$65:$A$79,B67,'CAM Budget'!$Q$65:$Q$79)</f>
        <v>0</v>
      </c>
      <c r="G67" s="247">
        <f t="shared" si="12"/>
        <v>0</v>
      </c>
      <c r="H67" s="280">
        <v>166986.83570854255</v>
      </c>
      <c r="I67" s="280">
        <v>93393.659641474573</v>
      </c>
      <c r="J67" s="377">
        <f t="shared" si="16"/>
        <v>-260380.49535001713</v>
      </c>
      <c r="K67" s="377">
        <f t="shared" si="13"/>
        <v>-260380.49535001713</v>
      </c>
      <c r="L67" s="353"/>
      <c r="M67" s="204">
        <f>SUMIF('CAM Budget'!$A$8:$A$22,B67,'CAM Budget'!$Q$8:$Q$22)</f>
        <v>0</v>
      </c>
      <c r="N67" s="204"/>
      <c r="O67" s="204"/>
      <c r="P67" s="204">
        <f>SUMIF('CAM Budget'!$A$46:$A$60,B67,'CAM Budget'!$Q$46:$Q$60)</f>
        <v>0</v>
      </c>
      <c r="Q67" s="247">
        <f t="shared" si="14"/>
        <v>0</v>
      </c>
      <c r="R67" s="204">
        <v>217082.88642110533</v>
      </c>
      <c r="S67" s="204">
        <v>121411.75753391694</v>
      </c>
      <c r="T67" s="377">
        <f t="shared" si="17"/>
        <v>-338494.64395502227</v>
      </c>
      <c r="U67" s="377">
        <f t="shared" si="15"/>
        <v>-338494.64395502227</v>
      </c>
    </row>
    <row r="68" spans="2:21" s="177" customFormat="1" x14ac:dyDescent="0.25">
      <c r="B68" s="381" t="s">
        <v>96</v>
      </c>
      <c r="C68" s="355">
        <f>SUM(C52:C67)</f>
        <v>0</v>
      </c>
      <c r="D68" s="355">
        <f t="shared" ref="D68:F68" si="18">SUM(D52:D67)</f>
        <v>0</v>
      </c>
      <c r="E68" s="355">
        <f t="shared" si="18"/>
        <v>0</v>
      </c>
      <c r="F68" s="355">
        <f t="shared" si="18"/>
        <v>-9.4587448984384537E-11</v>
      </c>
      <c r="G68" s="376">
        <f>SUM(G52:G67)</f>
        <v>6.9849193096160889E-9</v>
      </c>
      <c r="H68" s="355">
        <f t="shared" ref="H68:K68" si="19">SUM(H52:H67)</f>
        <v>-2.3283064365386963E-10</v>
      </c>
      <c r="I68" s="355">
        <f t="shared" si="19"/>
        <v>0</v>
      </c>
      <c r="J68" s="355">
        <f t="shared" si="19"/>
        <v>4.0454324334859848E-9</v>
      </c>
      <c r="K68" s="355">
        <f t="shared" si="19"/>
        <v>3.5797711461782455E-9</v>
      </c>
      <c r="L68" s="353"/>
      <c r="M68" s="355">
        <f>SUM(M52:M67)</f>
        <v>-1.9790604710578918E-9</v>
      </c>
      <c r="N68" s="355">
        <f t="shared" ref="N68:P68" si="20">SUM(N52:N67)</f>
        <v>0</v>
      </c>
      <c r="O68" s="355">
        <f t="shared" si="20"/>
        <v>0</v>
      </c>
      <c r="P68" s="355">
        <f t="shared" si="20"/>
        <v>5.0931703299283981E-11</v>
      </c>
      <c r="Q68" s="376">
        <f>SUM(Q52:Q67)</f>
        <v>3.6088749766349792E-9</v>
      </c>
      <c r="R68" s="355">
        <f t="shared" ref="R68:U68" si="21">SUM(R52:R67)</f>
        <v>-3.2014213502407074E-10</v>
      </c>
      <c r="S68" s="355">
        <f t="shared" si="21"/>
        <v>0</v>
      </c>
      <c r="T68" s="355">
        <f t="shared" si="21"/>
        <v>9.8953023552894592E-10</v>
      </c>
      <c r="U68" s="355">
        <f t="shared" si="21"/>
        <v>5.2386894822120667E-10</v>
      </c>
    </row>
    <row r="70" spans="2:21" x14ac:dyDescent="0.25">
      <c r="C70" s="280">
        <v>-16781230</v>
      </c>
      <c r="F70" s="280">
        <v>-408631</v>
      </c>
      <c r="G70" s="280">
        <f t="shared" ref="G70:G71" si="22">SUM(C70:F70)</f>
        <v>-17189861</v>
      </c>
      <c r="H70" s="166" t="s">
        <v>439</v>
      </c>
    </row>
    <row r="71" spans="2:21" x14ac:dyDescent="0.25">
      <c r="C71" s="280">
        <v>-3409030</v>
      </c>
      <c r="F71" s="280">
        <v>-18938</v>
      </c>
      <c r="G71" s="280">
        <f t="shared" si="22"/>
        <v>-3427968</v>
      </c>
      <c r="H71" s="177" t="s">
        <v>439</v>
      </c>
    </row>
    <row r="72" spans="2:21" x14ac:dyDescent="0.25">
      <c r="C72" s="280"/>
      <c r="F72" s="280"/>
      <c r="G72" s="280"/>
      <c r="H72" s="166"/>
    </row>
    <row r="73" spans="2:21" x14ac:dyDescent="0.25">
      <c r="C73" s="280">
        <f>+C52-C70</f>
        <v>4035762.0953846183</v>
      </c>
      <c r="F73" s="280">
        <f>+F52-F70</f>
        <v>-20968.159999999974</v>
      </c>
      <c r="G73" s="412">
        <f t="shared" ref="G73:G74" si="23">SUM(C73:F73)</f>
        <v>4014793.9353846181</v>
      </c>
      <c r="H73" s="166" t="s">
        <v>440</v>
      </c>
    </row>
    <row r="74" spans="2:21" x14ac:dyDescent="0.25">
      <c r="C74" s="280">
        <f>+C53-C71</f>
        <v>-56345.960000000428</v>
      </c>
      <c r="F74" s="280">
        <f>+F53-F71</f>
        <v>5810.9599999999991</v>
      </c>
      <c r="G74" s="412">
        <f t="shared" si="23"/>
        <v>-50535.000000000429</v>
      </c>
      <c r="H74" s="177" t="s">
        <v>440</v>
      </c>
    </row>
    <row r="75" spans="2:21" x14ac:dyDescent="0.25">
      <c r="F75" s="177"/>
    </row>
  </sheetData>
  <mergeCells count="10">
    <mergeCell ref="M25:U25"/>
    <mergeCell ref="M50:U50"/>
    <mergeCell ref="C50:K50"/>
    <mergeCell ref="H8:H13"/>
    <mergeCell ref="C8:C13"/>
    <mergeCell ref="D8:D13"/>
    <mergeCell ref="E8:E13"/>
    <mergeCell ref="F8:F13"/>
    <mergeCell ref="G8:G13"/>
    <mergeCell ref="C25:K25"/>
  </mergeCells>
  <pageMargins left="0.7" right="0.7" top="0.75" bottom="0.75" header="0.3" footer="0.3"/>
  <pageSetup orientation="portrait" r:id="rId1"/>
  <ignoredErrors>
    <ignoredError sqref="Q29:Q42" 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J141"/>
  <sheetViews>
    <sheetView zoomScale="85" zoomScaleNormal="85" workbookViewId="0">
      <pane xSplit="8" ySplit="5" topLeftCell="AY39" activePane="bottomRight" state="frozen"/>
      <selection activeCell="E28" sqref="E28"/>
      <selection pane="topRight" activeCell="E28" sqref="E28"/>
      <selection pane="bottomLeft" activeCell="E28" sqref="E28"/>
      <selection pane="bottomRight" activeCell="E28" sqref="E28"/>
    </sheetView>
  </sheetViews>
  <sheetFormatPr defaultColWidth="8.7109375" defaultRowHeight="15" outlineLevelCol="1" x14ac:dyDescent="0.25"/>
  <cols>
    <col min="1" max="1" width="8.7109375" style="131"/>
    <col min="2" max="2" width="51.42578125" style="131" bestFit="1" customWidth="1"/>
    <col min="3" max="3" width="8.7109375" style="131" customWidth="1" outlineLevel="1"/>
    <col min="4" max="4" width="22.5703125" style="131" customWidth="1" outlineLevel="1"/>
    <col min="5" max="5" width="13.28515625" style="131" customWidth="1" outlineLevel="1"/>
    <col min="6" max="6" width="11.140625" style="131" customWidth="1" outlineLevel="1"/>
    <col min="7" max="7" width="10.5703125" style="131" customWidth="1" outlineLevel="1"/>
    <col min="8" max="8" width="1.5703125" style="131" customWidth="1"/>
    <col min="9" max="57" width="11.5703125" style="131" customWidth="1"/>
    <col min="58" max="58" width="1.5703125" style="131" customWidth="1"/>
    <col min="59" max="59" width="11" style="131" bestFit="1" customWidth="1"/>
    <col min="60" max="60" width="11.42578125" style="131" customWidth="1"/>
    <col min="61" max="61" width="8.7109375" style="131"/>
    <col min="62" max="62" width="11.5703125" style="131" bestFit="1" customWidth="1"/>
    <col min="63" max="16384" width="8.7109375" style="131"/>
  </cols>
  <sheetData>
    <row r="1" spans="2:62" s="3" customFormat="1" x14ac:dyDescent="0.25">
      <c r="I1" s="3" t="s">
        <v>376</v>
      </c>
      <c r="J1" s="346" t="s">
        <v>8</v>
      </c>
      <c r="K1" s="3" t="s">
        <v>12</v>
      </c>
      <c r="L1" s="3" t="s">
        <v>8</v>
      </c>
      <c r="M1" s="3" t="s">
        <v>8</v>
      </c>
      <c r="N1" s="3" t="s">
        <v>8</v>
      </c>
      <c r="O1" s="3" t="s">
        <v>8</v>
      </c>
      <c r="P1" s="3" t="s">
        <v>8</v>
      </c>
      <c r="Q1" s="3" t="s">
        <v>8</v>
      </c>
      <c r="R1" s="3" t="s">
        <v>8</v>
      </c>
      <c r="S1" s="3" t="s">
        <v>8</v>
      </c>
      <c r="T1" s="3" t="s">
        <v>8</v>
      </c>
      <c r="U1" s="3" t="s">
        <v>8</v>
      </c>
      <c r="V1" s="3" t="s">
        <v>164</v>
      </c>
      <c r="W1" s="3" t="s">
        <v>165</v>
      </c>
      <c r="X1" s="3" t="s">
        <v>12</v>
      </c>
      <c r="Y1" s="3" t="s">
        <v>12</v>
      </c>
      <c r="Z1" s="3" t="s">
        <v>8</v>
      </c>
      <c r="AA1" s="3" t="s">
        <v>8</v>
      </c>
      <c r="AB1" s="3" t="s">
        <v>8</v>
      </c>
      <c r="AC1" s="3" t="s">
        <v>8</v>
      </c>
      <c r="AD1" s="3" t="s">
        <v>8</v>
      </c>
      <c r="AE1" s="3" t="s">
        <v>8</v>
      </c>
      <c r="AF1" s="3" t="s">
        <v>8</v>
      </c>
      <c r="AG1" s="3" t="s">
        <v>12</v>
      </c>
      <c r="AH1" s="3" t="s">
        <v>375</v>
      </c>
      <c r="AI1" s="3" t="s">
        <v>12</v>
      </c>
      <c r="AJ1" s="3" t="s">
        <v>8</v>
      </c>
      <c r="AK1" s="3" t="s">
        <v>8</v>
      </c>
      <c r="AL1" s="3" t="s">
        <v>8</v>
      </c>
      <c r="AM1" s="3" t="s">
        <v>12</v>
      </c>
      <c r="AN1" s="3" t="s">
        <v>12</v>
      </c>
      <c r="AO1" s="3" t="s">
        <v>12</v>
      </c>
      <c r="AP1" s="3" t="s">
        <v>12</v>
      </c>
      <c r="AQ1" s="3" t="s">
        <v>12</v>
      </c>
      <c r="AR1" s="3" t="s">
        <v>12</v>
      </c>
      <c r="AS1" s="3" t="s">
        <v>12</v>
      </c>
      <c r="AT1" s="3" t="s">
        <v>12</v>
      </c>
      <c r="AU1" s="3" t="s">
        <v>12</v>
      </c>
      <c r="AV1" s="3" t="s">
        <v>12</v>
      </c>
      <c r="AW1" s="3" t="s">
        <v>18</v>
      </c>
      <c r="AX1" s="3" t="s">
        <v>16</v>
      </c>
      <c r="AY1" s="3" t="s">
        <v>168</v>
      </c>
      <c r="AZ1" s="3" t="s">
        <v>388</v>
      </c>
      <c r="BA1" s="3" t="s">
        <v>334</v>
      </c>
      <c r="BB1" s="3" t="s">
        <v>385</v>
      </c>
      <c r="BC1" s="3" t="s">
        <v>384</v>
      </c>
      <c r="BD1" s="3" t="s">
        <v>386</v>
      </c>
      <c r="BE1" s="3" t="s">
        <v>390</v>
      </c>
    </row>
    <row r="2" spans="2:62" s="3" customFormat="1" ht="45" x14ac:dyDescent="0.25">
      <c r="B2" s="109" t="s">
        <v>195</v>
      </c>
      <c r="D2" s="347"/>
      <c r="I2" s="152" t="str">
        <f>INDEX('Allocation %'!$E:$E,MATCH(I$4,'Allocation %'!$A:$A,0))</f>
        <v>Tribus</v>
      </c>
      <c r="J2" s="152" t="str">
        <f>INDEX('Allocation %'!$E:$E,MATCH(J$4,'Allocation %'!$A:$A,0))</f>
        <v>Cdn Utilities</v>
      </c>
      <c r="K2" s="152" t="str">
        <f>INDEX('Allocation %'!$E:$E,MATCH(K$4,'Allocation %'!$A:$A,0))</f>
        <v>Cdn Utilities</v>
      </c>
      <c r="L2" s="152" t="str">
        <f>INDEX('Allocation %'!$E:$E,MATCH(L$4,'Allocation %'!$A:$A,0))</f>
        <v>Cdn Utilities</v>
      </c>
      <c r="M2" s="152" t="str">
        <f>INDEX('Allocation %'!$E:$E,MATCH(M$4,'Allocation %'!$A:$A,0))</f>
        <v>Cdn Utilities</v>
      </c>
      <c r="N2" s="152" t="str">
        <f>INDEX('Allocation %'!$E:$E,MATCH(N$4,'Allocation %'!$A:$A,0))</f>
        <v>Cdn Utilities</v>
      </c>
      <c r="O2" s="152" t="str">
        <f>INDEX('Allocation %'!$E:$E,MATCH(O$4,'Allocation %'!$A:$A,0))</f>
        <v>Cdn Utilities</v>
      </c>
      <c r="P2" s="152" t="str">
        <f>INDEX('Allocation %'!$E:$E,MATCH(P$4,'Allocation %'!$A:$A,0))</f>
        <v>Cdn Utilities</v>
      </c>
      <c r="Q2" s="152" t="str">
        <f>INDEX('Allocation %'!$E:$E,MATCH(Q$4,'Allocation %'!$A:$A,0))</f>
        <v>Cdn Utilities</v>
      </c>
      <c r="R2" s="152" t="str">
        <f>INDEX('Allocation %'!$E:$E,MATCH(R$4,'Allocation %'!$A:$A,0))</f>
        <v>Cdn Utilities</v>
      </c>
      <c r="S2" s="152" t="str">
        <f>INDEX('Allocation %'!$E:$E,MATCH(S$4,'Allocation %'!$A:$A,0))</f>
        <v>Cdn Utilities</v>
      </c>
      <c r="T2" s="152" t="str">
        <f>INDEX('Allocation %'!$E:$E,MATCH(T$4,'Allocation %'!$A:$A,0))</f>
        <v>Cdn Utilities</v>
      </c>
      <c r="U2" s="152" t="str">
        <f>INDEX('Allocation %'!$E:$E,MATCH(U$4,'Allocation %'!$A:$A,0))</f>
        <v>Cdn Utilities</v>
      </c>
      <c r="V2" s="152" t="str">
        <f>INDEX('Allocation %'!$E:$E,MATCH(V$4,'Allocation %'!$A:$A,0))</f>
        <v>Cdn Utilities</v>
      </c>
      <c r="W2" s="152" t="str">
        <f>INDEX('Allocation %'!$E:$E,MATCH(W$4,'Allocation %'!$A:$A,0))</f>
        <v>Cdn Utilities</v>
      </c>
      <c r="X2" s="152" t="str">
        <f>INDEX('Allocation %'!$E:$E,MATCH(X$4,'Allocation %'!$A:$A,0))</f>
        <v>Cdn Utilities</v>
      </c>
      <c r="Y2" s="152" t="str">
        <f>INDEX('Allocation %'!$E:$E,MATCH(Y$4,'Allocation %'!$A:$A,0))</f>
        <v>Cdn Utilities</v>
      </c>
      <c r="Z2" s="152" t="str">
        <f>INDEX('Allocation %'!$E:$E,MATCH(Z$4,'Allocation %'!$A:$A,0))</f>
        <v>Cdn Utilities</v>
      </c>
      <c r="AA2" s="152" t="str">
        <f>INDEX('Allocation %'!$E:$E,MATCH(AA$4,'Allocation %'!$A:$A,0))</f>
        <v>Cdn Utilities</v>
      </c>
      <c r="AB2" s="152" t="str">
        <f>INDEX('Allocation %'!$E:$E,MATCH(AB$4,'Allocation %'!$A:$A,0))</f>
        <v>Cdn Utilities</v>
      </c>
      <c r="AC2" s="152" t="str">
        <f>INDEX('Allocation %'!$E:$E,MATCH(AC$4,'Allocation %'!$A:$A,0))</f>
        <v>Cdn Utilities</v>
      </c>
      <c r="AD2" s="152" t="str">
        <f>INDEX('Allocation %'!$E:$E,MATCH(AD$4,'Allocation %'!$A:$A,0))</f>
        <v>Cdn Utilities</v>
      </c>
      <c r="AE2" s="152" t="str">
        <f>INDEX('Allocation %'!$E:$E,MATCH(AE$4,'Allocation %'!$A:$A,0))</f>
        <v>Cdn Utilities</v>
      </c>
      <c r="AF2" s="152" t="str">
        <f>INDEX('Allocation %'!$E:$E,MATCH(AF$4,'Allocation %'!$A:$A,0))</f>
        <v>DEU</v>
      </c>
      <c r="AG2" s="152" t="str">
        <f>INDEX('Allocation %'!$E:$E,MATCH(AG$4,'Allocation %'!$A:$A,0))</f>
        <v>Cdn Utilities</v>
      </c>
      <c r="AH2" s="152" t="str">
        <f>INDEX('Allocation %'!$E:$E,MATCH(AH$4,'Allocation %'!$A:$A,0))</f>
        <v>Cdn Utilities</v>
      </c>
      <c r="AI2" s="152" t="str">
        <f>INDEX('Allocation %'!$E:$E,MATCH(AI$4,'Allocation %'!$A:$A,0))</f>
        <v>Cdn Utilities</v>
      </c>
      <c r="AJ2" s="152" t="str">
        <f>INDEX('Allocation %'!$E:$E,MATCH(AJ$4,'Allocation %'!$A:$A,0))</f>
        <v>DEU</v>
      </c>
      <c r="AK2" s="152" t="str">
        <f>INDEX('Allocation %'!$E:$E,MATCH(AK$4,'Allocation %'!$A:$A,0))</f>
        <v>DEU</v>
      </c>
      <c r="AL2" s="152" t="str">
        <f>INDEX('Allocation %'!$E:$E,MATCH(AL$4,'Allocation %'!$A:$A,0))</f>
        <v>DEU</v>
      </c>
      <c r="AM2" s="152" t="str">
        <f>INDEX('Allocation %'!$E:$E,MATCH(AM$4,'Allocation %'!$A:$A,0))</f>
        <v>Cdn Utilities</v>
      </c>
      <c r="AN2" s="152" t="str">
        <f>INDEX('Allocation %'!$E:$E,MATCH(AN$4,'Allocation %'!$A:$A,0))</f>
        <v>DEU</v>
      </c>
      <c r="AO2" s="152" t="str">
        <f>INDEX('Allocation %'!$E:$E,MATCH(AO$4,'Allocation %'!$A:$A,0))</f>
        <v>DEU</v>
      </c>
      <c r="AP2" s="152" t="str">
        <f>INDEX('Allocation %'!$E:$E,MATCH(AP$4,'Allocation %'!$A:$A,0))</f>
        <v>DEU</v>
      </c>
      <c r="AQ2" s="152" t="str">
        <f>INDEX('Allocation %'!$E:$E,MATCH(AQ$4,'Allocation %'!$A:$A,0))</f>
        <v>Cdn Utilities</v>
      </c>
      <c r="AR2" s="152" t="str">
        <f>INDEX('Allocation %'!$E:$E,MATCH(AR$4,'Allocation %'!$A:$A,0))</f>
        <v>Cdn Utilities</v>
      </c>
      <c r="AS2" s="152" t="str">
        <f>INDEX('Allocation %'!$E:$E,MATCH(AS$4,'Allocation %'!$A:$A,0))</f>
        <v>Cdn Utilities</v>
      </c>
      <c r="AT2" s="152" t="str">
        <f>INDEX('Allocation %'!$E:$E,MATCH(AT$4,'Allocation %'!$A:$A,0))</f>
        <v>Cdn Utilities</v>
      </c>
      <c r="AU2" s="152" t="str">
        <f>INDEX('Allocation %'!$E:$E,MATCH(AU$4,'Allocation %'!$A:$A,0))</f>
        <v>Cdn Utilities</v>
      </c>
      <c r="AV2" s="152" t="str">
        <f>INDEX('Allocation %'!$E:$E,MATCH(AV$4,'Allocation %'!$A:$A,0))</f>
        <v>Cdn Utilities</v>
      </c>
      <c r="AW2" s="152" t="str">
        <f>INDEX('Allocation %'!$E:$E,MATCH(AW$4,'Allocation %'!$A:$A,0))</f>
        <v>CWSI</v>
      </c>
      <c r="AX2" s="152" t="str">
        <f>INDEX('Allocation %'!$E:$E,MATCH(AX$4,'Allocation %'!$A:$A,0))</f>
        <v>Cdn Utilities</v>
      </c>
      <c r="AY2" s="152" t="str">
        <f>INDEX('Allocation %'!$E:$E,MATCH(AY$4,'Allocation %'!$A:$A,0))</f>
        <v>DEU</v>
      </c>
      <c r="AZ2" s="152" t="str">
        <f>INDEX('Allocation %'!$E:$E,MATCH(AZ$4,'Allocation %'!$A:$A,0))</f>
        <v>RU - L48</v>
      </c>
      <c r="BA2" s="152" t="str">
        <f>INDEX('Allocation %'!$E:$E,MATCH(BA$4,'Allocation %'!$A:$A,0))</f>
        <v>Alaska</v>
      </c>
      <c r="BB2" s="152" t="str">
        <f>INDEX('Allocation %'!$E:$E,MATCH(BB$4,'Allocation %'!$A:$A,0))</f>
        <v>Oklahoma</v>
      </c>
      <c r="BC2" s="152" t="str">
        <f>INDEX('Allocation %'!$E:$E,MATCH(BC$4,'Allocation %'!$A:$A,0))</f>
        <v>Gillem</v>
      </c>
      <c r="BD2" s="152" t="str">
        <f>INDEX('Allocation %'!$E:$E,MATCH(BD$4,'Allocation %'!$A:$A,0))</f>
        <v>Cleveland Thermal</v>
      </c>
      <c r="BE2" s="152" t="str">
        <f>INDEX('Allocation %'!$E:$E,MATCH(BE$4,'Allocation %'!$A:$A,0))</f>
        <v>Doyon Notional Allocation</v>
      </c>
    </row>
    <row r="3" spans="2:62" s="3" customFormat="1" x14ac:dyDescent="0.25">
      <c r="B3" s="109" t="s">
        <v>206</v>
      </c>
      <c r="C3" s="3" t="s">
        <v>167</v>
      </c>
      <c r="E3" s="3" t="s">
        <v>167</v>
      </c>
      <c r="F3" s="3" t="s">
        <v>166</v>
      </c>
      <c r="G3" s="3" t="s">
        <v>166</v>
      </c>
      <c r="I3" s="152" t="str">
        <f>INDEX('Allocation %'!$C:$C,MATCH(I$4,'Allocation %'!$A:$A,0))</f>
        <v>USD</v>
      </c>
      <c r="J3" s="152" t="str">
        <f>INDEX('Allocation %'!$C:$C,MATCH(J$4,'Allocation %'!$A:$A,0))</f>
        <v>CAD</v>
      </c>
      <c r="K3" s="152" t="str">
        <f>INDEX('Allocation %'!$C:$C,MATCH(K$4,'Allocation %'!$A:$A,0))</f>
        <v>CAD</v>
      </c>
      <c r="L3" s="152" t="str">
        <f>INDEX('Allocation %'!$C:$C,MATCH(L$4,'Allocation %'!$A:$A,0))</f>
        <v>CAD</v>
      </c>
      <c r="M3" s="152" t="str">
        <f>INDEX('Allocation %'!$C:$C,MATCH(M$4,'Allocation %'!$A:$A,0))</f>
        <v>CAD</v>
      </c>
      <c r="N3" s="152" t="str">
        <f>INDEX('Allocation %'!$C:$C,MATCH(N$4,'Allocation %'!$A:$A,0))</f>
        <v>CAD</v>
      </c>
      <c r="O3" s="152" t="str">
        <f>INDEX('Allocation %'!$C:$C,MATCH(O$4,'Allocation %'!$A:$A,0))</f>
        <v>CAD</v>
      </c>
      <c r="P3" s="152" t="str">
        <f>INDEX('Allocation %'!$C:$C,MATCH(P$4,'Allocation %'!$A:$A,0))</f>
        <v>CAD</v>
      </c>
      <c r="Q3" s="152" t="str">
        <f>INDEX('Allocation %'!$C:$C,MATCH(Q$4,'Allocation %'!$A:$A,0))</f>
        <v>CAD</v>
      </c>
      <c r="R3" s="152" t="str">
        <f>INDEX('Allocation %'!$C:$C,MATCH(R$4,'Allocation %'!$A:$A,0))</f>
        <v>CAD</v>
      </c>
      <c r="S3" s="152" t="str">
        <f>INDEX('Allocation %'!$C:$C,MATCH(S$4,'Allocation %'!$A:$A,0))</f>
        <v>CAD</v>
      </c>
      <c r="T3" s="152" t="str">
        <f>INDEX('Allocation %'!$C:$C,MATCH(T$4,'Allocation %'!$A:$A,0))</f>
        <v>CAD</v>
      </c>
      <c r="U3" s="152" t="str">
        <f>INDEX('Allocation %'!$C:$C,MATCH(U$4,'Allocation %'!$A:$A,0))</f>
        <v>CAD</v>
      </c>
      <c r="V3" s="152" t="str">
        <f>INDEX('Allocation %'!$C:$C,MATCH(V$4,'Allocation %'!$A:$A,0))</f>
        <v>CAD</v>
      </c>
      <c r="W3" s="152" t="str">
        <f>INDEX('Allocation %'!$C:$C,MATCH(W$4,'Allocation %'!$A:$A,0))</f>
        <v>CAD</v>
      </c>
      <c r="X3" s="152" t="str">
        <f>INDEX('Allocation %'!$C:$C,MATCH(X$4,'Allocation %'!$A:$A,0))</f>
        <v>CAD</v>
      </c>
      <c r="Y3" s="152" t="str">
        <f>INDEX('Allocation %'!$C:$C,MATCH(Y$4,'Allocation %'!$A:$A,0))</f>
        <v>CAD</v>
      </c>
      <c r="Z3" s="152" t="str">
        <f>INDEX('Allocation %'!$C:$C,MATCH(Z$4,'Allocation %'!$A:$A,0))</f>
        <v>CAD</v>
      </c>
      <c r="AA3" s="152" t="str">
        <f>INDEX('Allocation %'!$C:$C,MATCH(AA$4,'Allocation %'!$A:$A,0))</f>
        <v>CAD</v>
      </c>
      <c r="AB3" s="152" t="str">
        <f>INDEX('Allocation %'!$C:$C,MATCH(AB$4,'Allocation %'!$A:$A,0))</f>
        <v>CAD</v>
      </c>
      <c r="AC3" s="152" t="str">
        <f>INDEX('Allocation %'!$C:$C,MATCH(AC$4,'Allocation %'!$A:$A,0))</f>
        <v>CAD</v>
      </c>
      <c r="AD3" s="152" t="str">
        <f>INDEX('Allocation %'!$C:$C,MATCH(AD$4,'Allocation %'!$A:$A,0))</f>
        <v>CAD</v>
      </c>
      <c r="AE3" s="152" t="str">
        <f>INDEX('Allocation %'!$C:$C,MATCH(AE$4,'Allocation %'!$A:$A,0))</f>
        <v>CAD</v>
      </c>
      <c r="AF3" s="152" t="str">
        <f>INDEX('Allocation %'!$C:$C,MATCH(AF$4,'Allocation %'!$A:$A,0))</f>
        <v>CAD</v>
      </c>
      <c r="AG3" s="152" t="str">
        <f>INDEX('Allocation %'!$C:$C,MATCH(AG$4,'Allocation %'!$A:$A,0))</f>
        <v>CAD</v>
      </c>
      <c r="AH3" s="152" t="str">
        <f>INDEX('Allocation %'!$C:$C,MATCH(AH$4,'Allocation %'!$A:$A,0))</f>
        <v>CAD</v>
      </c>
      <c r="AI3" s="152" t="str">
        <f>INDEX('Allocation %'!$C:$C,MATCH(AI$4,'Allocation %'!$A:$A,0))</f>
        <v>CAD</v>
      </c>
      <c r="AJ3" s="152" t="str">
        <f>INDEX('Allocation %'!$C:$C,MATCH(AJ$4,'Allocation %'!$A:$A,0))</f>
        <v>CAD</v>
      </c>
      <c r="AK3" s="152" t="str">
        <f>INDEX('Allocation %'!$C:$C,MATCH(AK$4,'Allocation %'!$A:$A,0))</f>
        <v>CAD</v>
      </c>
      <c r="AL3" s="152" t="str">
        <f>INDEX('Allocation %'!$C:$C,MATCH(AL$4,'Allocation %'!$A:$A,0))</f>
        <v>CAD</v>
      </c>
      <c r="AM3" s="152" t="str">
        <f>INDEX('Allocation %'!$C:$C,MATCH(AM$4,'Allocation %'!$A:$A,0))</f>
        <v>CAD</v>
      </c>
      <c r="AN3" s="152" t="str">
        <f>INDEX('Allocation %'!$C:$C,MATCH(AN$4,'Allocation %'!$A:$A,0))</f>
        <v>CAD</v>
      </c>
      <c r="AO3" s="152" t="str">
        <f>INDEX('Allocation %'!$C:$C,MATCH(AO$4,'Allocation %'!$A:$A,0))</f>
        <v>CAD</v>
      </c>
      <c r="AP3" s="152" t="str">
        <f>INDEX('Allocation %'!$C:$C,MATCH(AP$4,'Allocation %'!$A:$A,0))</f>
        <v>CAD</v>
      </c>
      <c r="AQ3" s="152" t="str">
        <f>INDEX('Allocation %'!$C:$C,MATCH(AQ$4,'Allocation %'!$A:$A,0))</f>
        <v>CAD</v>
      </c>
      <c r="AR3" s="152" t="str">
        <f>INDEX('Allocation %'!$C:$C,MATCH(AR$4,'Allocation %'!$A:$A,0))</f>
        <v>CAD</v>
      </c>
      <c r="AS3" s="152" t="str">
        <f>INDEX('Allocation %'!$C:$C,MATCH(AS$4,'Allocation %'!$A:$A,0))</f>
        <v>CAD</v>
      </c>
      <c r="AT3" s="152" t="str">
        <f>INDEX('Allocation %'!$C:$C,MATCH(AT$4,'Allocation %'!$A:$A,0))</f>
        <v>CAD</v>
      </c>
      <c r="AU3" s="152" t="str">
        <f>INDEX('Allocation %'!$C:$C,MATCH(AU$4,'Allocation %'!$A:$A,0))</f>
        <v>CAD</v>
      </c>
      <c r="AV3" s="152" t="str">
        <f>INDEX('Allocation %'!$C:$C,MATCH(AV$4,'Allocation %'!$A:$A,0))</f>
        <v>CAD</v>
      </c>
      <c r="AW3" s="152" t="str">
        <f>INDEX('Allocation %'!$C:$C,MATCH(AW$4,'Allocation %'!$A:$A,0))</f>
        <v>CAD</v>
      </c>
      <c r="AX3" s="152" t="str">
        <f>INDEX('Allocation %'!$C:$C,MATCH(AX$4,'Allocation %'!$A:$A,0))</f>
        <v>CAD</v>
      </c>
      <c r="AY3" s="152" t="str">
        <f>INDEX('Allocation %'!$C:$C,MATCH(AY$4,'Allocation %'!$A:$A,0))</f>
        <v>CAD</v>
      </c>
      <c r="AZ3" s="152" t="str">
        <f>INDEX('Allocation %'!$C:$C,MATCH(AZ$4,'Allocation %'!$A:$A,0))</f>
        <v>USD</v>
      </c>
      <c r="BA3" s="152" t="str">
        <f>INDEX('Allocation %'!$C:$C,MATCH(BA$4,'Allocation %'!$A:$A,0))</f>
        <v>USD</v>
      </c>
      <c r="BB3" s="152" t="str">
        <f>INDEX('Allocation %'!$C:$C,MATCH(BB$4,'Allocation %'!$A:$A,0))</f>
        <v>USD</v>
      </c>
      <c r="BC3" s="152" t="str">
        <f>INDEX('Allocation %'!$C:$C,MATCH(BC$4,'Allocation %'!$A:$A,0))</f>
        <v>USD</v>
      </c>
      <c r="BD3" s="152" t="str">
        <f>INDEX('Allocation %'!$C:$C,MATCH(BD$4,'Allocation %'!$A:$A,0))</f>
        <v>USD</v>
      </c>
      <c r="BE3" s="152" t="str">
        <f>INDEX('Allocation %'!$C:$C,MATCH(BE$4,'Allocation %'!$A:$A,0))</f>
        <v>USD</v>
      </c>
    </row>
    <row r="4" spans="2:62" s="3" customFormat="1" x14ac:dyDescent="0.25">
      <c r="C4" s="3">
        <f ca="1">IF($C6=F$3,SUMIFS(OFFSET(ACTUALS!$A:$A,,MATCH(F$4,ACTUALS!$2:$2,0)-1,,),ACTUALS!$A:$A,$B6)*-1000,E6/'2020 Assumptions'!$B$4)</f>
        <v>667451.0489510491</v>
      </c>
      <c r="E4" s="3" t="s">
        <v>328</v>
      </c>
      <c r="F4" s="3" t="str">
        <f>E4</f>
        <v>Q1-FY20</v>
      </c>
      <c r="G4" s="3" t="str">
        <f>F4</f>
        <v>Q1-FY20</v>
      </c>
      <c r="I4" s="3">
        <v>49</v>
      </c>
      <c r="J4" s="3">
        <v>1</v>
      </c>
      <c r="K4" s="3">
        <v>2</v>
      </c>
      <c r="L4" s="3">
        <v>3</v>
      </c>
      <c r="M4" s="3">
        <v>4</v>
      </c>
      <c r="N4" s="3">
        <v>5</v>
      </c>
      <c r="O4" s="3">
        <v>6</v>
      </c>
      <c r="P4" s="3">
        <v>7</v>
      </c>
      <c r="Q4" s="3">
        <v>8</v>
      </c>
      <c r="R4" s="3">
        <v>9</v>
      </c>
      <c r="S4" s="3">
        <v>10</v>
      </c>
      <c r="T4" s="3">
        <v>11</v>
      </c>
      <c r="U4" s="3">
        <v>12</v>
      </c>
      <c r="V4" s="3">
        <v>13</v>
      </c>
      <c r="W4" s="3">
        <v>14</v>
      </c>
      <c r="X4" s="3">
        <v>15</v>
      </c>
      <c r="Y4" s="3">
        <v>16</v>
      </c>
      <c r="Z4" s="3">
        <v>17</v>
      </c>
      <c r="AA4" s="3">
        <v>18</v>
      </c>
      <c r="AB4" s="3">
        <v>19</v>
      </c>
      <c r="AC4" s="3">
        <v>20</v>
      </c>
      <c r="AD4" s="3">
        <v>21</v>
      </c>
      <c r="AE4" s="3">
        <v>22</v>
      </c>
      <c r="AF4" s="3">
        <v>23</v>
      </c>
      <c r="AG4" s="3">
        <v>24</v>
      </c>
      <c r="AH4" s="3">
        <v>25</v>
      </c>
      <c r="AI4" s="3">
        <v>26</v>
      </c>
      <c r="AJ4" s="3">
        <v>27</v>
      </c>
      <c r="AK4" s="3">
        <v>28</v>
      </c>
      <c r="AL4" s="3">
        <v>29</v>
      </c>
      <c r="AM4" s="3">
        <v>30</v>
      </c>
      <c r="AN4" s="3">
        <v>31</v>
      </c>
      <c r="AO4" s="3">
        <v>32</v>
      </c>
      <c r="AP4" s="3">
        <v>33</v>
      </c>
      <c r="AQ4" s="3">
        <v>34</v>
      </c>
      <c r="AR4" s="3">
        <v>35</v>
      </c>
      <c r="AS4" s="3">
        <v>36</v>
      </c>
      <c r="AT4" s="3">
        <v>37</v>
      </c>
      <c r="AU4" s="3">
        <v>38</v>
      </c>
      <c r="AV4" s="3">
        <v>39</v>
      </c>
      <c r="AW4" s="3">
        <v>40</v>
      </c>
      <c r="AX4" s="3">
        <v>41</v>
      </c>
      <c r="AY4" s="3">
        <v>42</v>
      </c>
      <c r="AZ4" s="3">
        <v>43</v>
      </c>
      <c r="BA4" s="3">
        <v>44</v>
      </c>
      <c r="BB4" s="3">
        <v>45</v>
      </c>
      <c r="BC4" s="3">
        <v>46</v>
      </c>
      <c r="BD4" s="3">
        <v>47</v>
      </c>
      <c r="BE4" s="3">
        <v>48</v>
      </c>
    </row>
    <row r="5" spans="2:62" s="3" customFormat="1" ht="58.5" customHeight="1" x14ac:dyDescent="0.25">
      <c r="B5" s="3" t="s">
        <v>194</v>
      </c>
      <c r="C5" s="3" t="s">
        <v>179</v>
      </c>
      <c r="D5" s="152" t="s">
        <v>98</v>
      </c>
      <c r="E5" s="152" t="s">
        <v>207</v>
      </c>
      <c r="F5" s="152" t="s">
        <v>208</v>
      </c>
      <c r="G5" s="152" t="s">
        <v>161</v>
      </c>
      <c r="I5" s="152" t="str">
        <f>INDEX('Allocation %'!$B:$B,MATCH(I$4,'Allocation %'!$A:$A,0))</f>
        <v>Tribus</v>
      </c>
      <c r="J5" s="152" t="str">
        <f>INDEX('Allocation %'!$B:$B,MATCH(J$4,'Allocation %'!$A:$A,0))</f>
        <v>Panorama - Wastewater Treatment Plant</v>
      </c>
      <c r="K5" s="152" t="str">
        <f>INDEX('Allocation %'!$B:$B,MATCH(K$4,'Allocation %'!$A:$A,0))</f>
        <v>Panorama - Propane Storage Farm</v>
      </c>
      <c r="L5" s="152" t="str">
        <f>INDEX('Allocation %'!$B:$B,MATCH(L$4,'Allocation %'!$A:$A,0))</f>
        <v>Panorama - Propane Distribution</v>
      </c>
      <c r="M5" s="152" t="str">
        <f>INDEX('Allocation %'!$B:$B,MATCH(M$4,'Allocation %'!$A:$A,0))</f>
        <v>Panorama - Water</v>
      </c>
      <c r="N5" s="152" t="str">
        <f>INDEX('Allocation %'!$B:$B,MATCH(N$4,'Allocation %'!$A:$A,0))</f>
        <v>Panorama - Sewer</v>
      </c>
      <c r="O5" s="152" t="str">
        <f>INDEX('Allocation %'!$B:$B,MATCH(O$4,'Allocation %'!$A:$A,0))</f>
        <v>Sun Rivers - Electric</v>
      </c>
      <c r="P5" s="152" t="str">
        <f>INDEX('Allocation %'!$B:$B,MATCH(P$4,'Allocation %'!$A:$A,0))</f>
        <v>Sun Rivers - Gas</v>
      </c>
      <c r="Q5" s="152" t="str">
        <f>INDEX('Allocation %'!$B:$B,MATCH(Q$4,'Allocation %'!$A:$A,0))</f>
        <v>Sun Rivers - Domestic Water</v>
      </c>
      <c r="R5" s="152" t="str">
        <f>INDEX('Allocation %'!$B:$B,MATCH(R$4,'Allocation %'!$A:$A,0))</f>
        <v>Sun Rivers - Irrigation Water</v>
      </c>
      <c r="S5" s="152" t="str">
        <f>INDEX('Allocation %'!$B:$B,MATCH(S$4,'Allocation %'!$A:$A,0))</f>
        <v>Sun Rivers - Sewer</v>
      </c>
      <c r="T5" s="152" t="str">
        <f>INDEX('Allocation %'!$B:$B,MATCH(T$4,'Allocation %'!$A:$A,0))</f>
        <v>Sun Rivers - Geothermal</v>
      </c>
      <c r="U5" s="152" t="str">
        <f>INDEX('Allocation %'!$B:$B,MATCH(U$4,'Allocation %'!$A:$A,0))</f>
        <v>Sun Rivers - Municipal</v>
      </c>
      <c r="V5" s="152" t="str">
        <f>INDEX('Allocation %'!$B:$B,MATCH(V$4,'Allocation %'!$A:$A,0))</f>
        <v>Foothills - Wastewater</v>
      </c>
      <c r="W5" s="152" t="str">
        <f>INDEX('Allocation %'!$B:$B,MATCH(W$4,'Allocation %'!$A:$A,0))</f>
        <v>Foothills - Water</v>
      </c>
      <c r="X5" s="152" t="str">
        <f>INDEX('Allocation %'!$B:$B,MATCH(X$4,'Allocation %'!$A:$A,0))</f>
        <v>Sage Meadows - Wastewater</v>
      </c>
      <c r="Y5" s="152" t="str">
        <f>INDEX('Allocation %'!$B:$B,MATCH(Y$4,'Allocation %'!$A:$A,0))</f>
        <v>Sage Meadows - Water</v>
      </c>
      <c r="Z5" s="152" t="str">
        <f>INDEX('Allocation %'!$B:$B,MATCH(Z$4,'Allocation %'!$A:$A,0))</f>
        <v>Canadian Lakeview Estates (in Adventure Bay) - Wastewater</v>
      </c>
      <c r="AA5" s="152" t="str">
        <f>INDEX('Allocation %'!$B:$B,MATCH(AA$4,'Allocation %'!$A:$A,0))</f>
        <v>Canadian Lakeview Estates (in Adventure Bay) - Water</v>
      </c>
      <c r="AB5" s="152" t="str">
        <f>INDEX('Allocation %'!$B:$B,MATCH(AB$4,'Allocation %'!$A:$A,0))</f>
        <v>Cultus Lake - Water</v>
      </c>
      <c r="AC5" s="152" t="str">
        <f>INDEX('Allocation %'!$B:$B,MATCH(AC$4,'Allocation %'!$A:$A,0))</f>
        <v>Cultus Lake - Wastewater</v>
      </c>
      <c r="AD5" s="152" t="str">
        <f>INDEX('Allocation %'!$B:$B,MATCH(AD$4,'Allocation %'!$A:$A,0))</f>
        <v>Sonoma Pines - Electric</v>
      </c>
      <c r="AE5" s="152" t="str">
        <f>INDEX('Allocation %'!$B:$B,MATCH(AE$4,'Allocation %'!$A:$A,0))</f>
        <v>Sonoma Pines - Gas</v>
      </c>
      <c r="AF5" s="152" t="str">
        <f>INDEX('Allocation %'!$B:$B,MATCH(AF$4,'Allocation %'!$A:$A,0))</f>
        <v>Dockside Green - Energy</v>
      </c>
      <c r="AG5" s="152" t="str">
        <f>INDEX('Allocation %'!$B:$B,MATCH(AG$4,'Allocation %'!$A:$A,0))</f>
        <v>Dockside Green  - Wastewater and Admin</v>
      </c>
      <c r="AH5" s="152" t="str">
        <f>INDEX('Allocation %'!$B:$B,MATCH(AH$4,'Allocation %'!$A:$A,0))</f>
        <v>West Shore Environmental Services</v>
      </c>
      <c r="AI5" s="152" t="str">
        <f>INDEX('Allocation %'!$B:$B,MATCH(AI$4,'Allocation %'!$A:$A,0))</f>
        <v>Rise</v>
      </c>
      <c r="AJ5" s="152" t="str">
        <f>INDEX('Allocation %'!$B:$B,MATCH(AJ$4,'Allocation %'!$A:$A,0))</f>
        <v>UBC</v>
      </c>
      <c r="AK5" s="152" t="str">
        <f>INDEX('Allocation %'!$B:$B,MATCH(AK$4,'Allocation %'!$A:$A,0))</f>
        <v>SFU UniverCity</v>
      </c>
      <c r="AL5" s="152" t="str">
        <f>INDEX('Allocation %'!$B:$B,MATCH(AL$4,'Allocation %'!$A:$A,0))</f>
        <v>SFU Biomass</v>
      </c>
      <c r="AM5" s="152" t="str">
        <f>INDEX('Allocation %'!$B:$B,MATCH(AM$4,'Allocation %'!$A:$A,0))</f>
        <v>Riverport</v>
      </c>
      <c r="AN5" s="152" t="str">
        <f>INDEX('Allocation %'!$B:$B,MATCH(AN$4,'Allocation %'!$A:$A,0))</f>
        <v>RG GAAP - Related to LIEC</v>
      </c>
      <c r="AO5" s="152" t="str">
        <f>INDEX('Allocation %'!$B:$B,MATCH(AO$4,'Allocation %'!$A:$A,0))</f>
        <v>LIEC</v>
      </c>
      <c r="AP5" s="152" t="str">
        <f>INDEX('Allocation %'!$B:$B,MATCH(AP$4,'Allocation %'!$A:$A,0))</f>
        <v>Beaver Barracks</v>
      </c>
      <c r="AQ5" s="152" t="str">
        <f>INDEX('Allocation %'!$B:$B,MATCH(AQ$4,'Allocation %'!$A:$A,0))</f>
        <v>Coastal Ops</v>
      </c>
      <c r="AR5" s="152" t="str">
        <f>INDEX('Allocation %'!$B:$B,MATCH(AR$4,'Allocation %'!$A:$A,0))</f>
        <v>Island Ops</v>
      </c>
      <c r="AS5" s="152" t="str">
        <f>INDEX('Allocation %'!$B:$B,MATCH(AS$4,'Allocation %'!$A:$A,0))</f>
        <v>Kamloops Ops</v>
      </c>
      <c r="AT5" s="152" t="str">
        <f>INDEX('Allocation %'!$B:$B,MATCH(AT$4,'Allocation %'!$A:$A,0))</f>
        <v>Kootenay Ops</v>
      </c>
      <c r="AU5" s="152" t="str">
        <f>INDEX('Allocation %'!$B:$B,MATCH(AU$4,'Allocation %'!$A:$A,0))</f>
        <v>Alberta Ops (North)</v>
      </c>
      <c r="AV5" s="152" t="str">
        <f>INDEX('Allocation %'!$B:$B,MATCH(AV$4,'Allocation %'!$A:$A,0))</f>
        <v>Alberta Ops (South)</v>
      </c>
      <c r="AW5" s="152" t="str">
        <f>INDEX('Allocation %'!$B:$B,MATCH(AW$4,'Allocation %'!$A:$A,0))</f>
        <v>Corix Water Services Inc. (See note)</v>
      </c>
      <c r="AX5" s="152" t="str">
        <f>INDEX('Allocation %'!$B:$B,MATCH(AX$4,'Allocation %'!$A:$A,0))</f>
        <v>Corix Energy Inc.</v>
      </c>
      <c r="AY5" s="152" t="str">
        <f>INDEX('Allocation %'!$B:$B,MATCH(AY$4,'Allocation %'!$A:$A,0))</f>
        <v>Cambie Thermal</v>
      </c>
      <c r="AZ5" s="152" t="str">
        <f>INDEX('Allocation %'!$B:$B,MATCH(AZ$4,'Allocation %'!$A:$A,0))</f>
        <v>WSC</v>
      </c>
      <c r="BA5" s="152" t="str">
        <f>INDEX('Allocation %'!$B:$B,MATCH(BA$4,'Allocation %'!$A:$A,0))</f>
        <v>Alaska</v>
      </c>
      <c r="BB5" s="152" t="str">
        <f>INDEX('Allocation %'!$B:$B,MATCH(BB$4,'Allocation %'!$A:$A,0))</f>
        <v>Oklahoma</v>
      </c>
      <c r="BC5" s="152" t="str">
        <f>INDEX('Allocation %'!$B:$B,MATCH(BC$4,'Allocation %'!$A:$A,0))</f>
        <v>Gillem Enclave</v>
      </c>
      <c r="BD5" s="152" t="str">
        <f>INDEX('Allocation %'!$B:$B,MATCH(BD$4,'Allocation %'!$A:$A,0))</f>
        <v>Cleveland Thermal</v>
      </c>
      <c r="BE5" s="152" t="str">
        <f>INDEX('Allocation %'!$B:$B,MATCH(BE$4,'Allocation %'!$A:$A,0))</f>
        <v>Doyon Notional Allocation</v>
      </c>
      <c r="BG5" s="3" t="s">
        <v>96</v>
      </c>
      <c r="BJ5" s="3" t="s">
        <v>832</v>
      </c>
    </row>
    <row r="6" spans="2:62" x14ac:dyDescent="0.25">
      <c r="B6" s="172" t="s">
        <v>218</v>
      </c>
      <c r="C6" s="131" t="str">
        <f>INDEX(ACTUALS!$E:$E,MATCH($B6,ACTUALS!$A:$A,0))</f>
        <v>CAD</v>
      </c>
      <c r="D6" s="159" t="str">
        <f ca="1">OFFSET(ACTUALS!$O$2,MATCH($B6,ACTUALS!$A:$A,0)-2,MATCH($E$4,ACTUALS!$P$2:$P$2,0))</f>
        <v>ALL + Tribus</v>
      </c>
      <c r="E6" s="173">
        <f ca="1">IF($C6=E$3,SUMIFS(OFFSET(ACTUALS!$A:$A,,MATCH(E$4,ACTUALS!$2:$2,0)-1,,),ACTUALS!$A:$A,$B6)*-1000,F6*'2020 Assumptions'!$B$4)</f>
        <v>897187.7000000003</v>
      </c>
      <c r="F6" s="73">
        <f ca="1">IF($C6=F$3,SUMIFS(OFFSET(ACTUALS!$A:$A,,MATCH(F$4,ACTUALS!$2:$2,0)-1,,),ACTUALS!$A:$A,$B6)*-1000,E6/'2020 Assumptions'!$B$4)</f>
        <v>667451.0489510491</v>
      </c>
      <c r="G6" s="73">
        <f ca="1">IF($C6=G$3,SUMIFS(OFFSET('Non-margin Costs'!$A:$A,,MATCH(G$4,'Non-margin Costs'!$2:$2,0)-1,,),'Non-margin Costs'!$A:$A,$B6)*1000,(SUMIFS(OFFSET('Non-margin Costs'!$A:$A,,MATCH(G$4,'Non-margin Costs'!$2:$2,0)-1,,),'Non-margin Costs'!$A:$A,$B6)*1000)/'2020 Assumptions'!$B$4)</f>
        <v>206585.00967117984</v>
      </c>
      <c r="I6" s="73">
        <f ca="1">OFFSET('Allocation %'!$A$1,MATCH(I$4,'Allocation %'!$A:$A,0)-1,MATCH($D6,'Allocation %'!$5:$5,0)-1)*$F6</f>
        <v>13349.020979020983</v>
      </c>
      <c r="J6" s="73">
        <f ca="1">OFFSET('Allocation %'!$A$1,MATCH(J$4,'Allocation %'!$A:$A,0)-1,MATCH($D6,'Allocation %'!$5:$5,0)-1)*$F6</f>
        <v>1583.6583781510872</v>
      </c>
      <c r="K6" s="73">
        <f ca="1">OFFSET('Allocation %'!$A$1,MATCH(K$4,'Allocation %'!$A:$A,0)-1,MATCH($D6,'Allocation %'!$5:$5,0)-1)*$F6</f>
        <v>498.56844994796813</v>
      </c>
      <c r="L6" s="73">
        <f ca="1">OFFSET('Allocation %'!$A$1,MATCH(L$4,'Allocation %'!$A:$A,0)-1,MATCH($D6,'Allocation %'!$5:$5,0)-1)*$F6</f>
        <v>538.89752293867775</v>
      </c>
      <c r="M6" s="73">
        <f ca="1">OFFSET('Allocation %'!$A$1,MATCH(M$4,'Allocation %'!$A:$A,0)-1,MATCH($D6,'Allocation %'!$5:$5,0)-1)*$F6</f>
        <v>877.2999954398673</v>
      </c>
      <c r="N6" s="73">
        <f ca="1">OFFSET('Allocation %'!$A$1,MATCH(N$4,'Allocation %'!$A:$A,0)-1,MATCH($D6,'Allocation %'!$5:$5,0)-1)*$F6</f>
        <v>767.70703002207415</v>
      </c>
      <c r="O6" s="73">
        <f ca="1">OFFSET('Allocation %'!$A$1,MATCH(O$4,'Allocation %'!$A:$A,0)-1,MATCH($D6,'Allocation %'!$5:$5,0)-1)*$F6</f>
        <v>1794.9133586906582</v>
      </c>
      <c r="P6" s="73">
        <f ca="1">OFFSET('Allocation %'!$A$1,MATCH(P$4,'Allocation %'!$A:$A,0)-1,MATCH($D6,'Allocation %'!$5:$5,0)-1)*$F6</f>
        <v>260.62738200314902</v>
      </c>
      <c r="Q6" s="73">
        <f ca="1">OFFSET('Allocation %'!$A$1,MATCH(Q$4,'Allocation %'!$A:$A,0)-1,MATCH($D6,'Allocation %'!$5:$5,0)-1)*$F6</f>
        <v>568.75973704298133</v>
      </c>
      <c r="R6" s="73">
        <f ca="1">OFFSET('Allocation %'!$A$1,MATCH(R$4,'Allocation %'!$A:$A,0)-1,MATCH($D6,'Allocation %'!$5:$5,0)-1)*$F6</f>
        <v>524.91332373814475</v>
      </c>
      <c r="S6" s="73">
        <f ca="1">OFFSET('Allocation %'!$A$1,MATCH(S$4,'Allocation %'!$A:$A,0)-1,MATCH($D6,'Allocation %'!$5:$5,0)-1)*$F6</f>
        <v>504.87757562334735</v>
      </c>
      <c r="T6" s="73">
        <f ca="1">OFFSET('Allocation %'!$A$1,MATCH(T$4,'Allocation %'!$A:$A,0)-1,MATCH($D6,'Allocation %'!$5:$5,0)-1)*$F6</f>
        <v>1812.0547855903783</v>
      </c>
      <c r="U6" s="73">
        <f ca="1">OFFSET('Allocation %'!$A$1,MATCH(U$4,'Allocation %'!$A:$A,0)-1,MATCH($D6,'Allocation %'!$5:$5,0)-1)*$F6</f>
        <v>1159.0825944193493</v>
      </c>
      <c r="V6" s="73">
        <f ca="1">OFFSET('Allocation %'!$A$1,MATCH(V$4,'Allocation %'!$A:$A,0)-1,MATCH($D6,'Allocation %'!$5:$5,0)-1)*$F6</f>
        <v>1230.1083356915908</v>
      </c>
      <c r="W6" s="73">
        <f ca="1">OFFSET('Allocation %'!$A$1,MATCH(W$4,'Allocation %'!$A:$A,0)-1,MATCH($D6,'Allocation %'!$5:$5,0)-1)*$F6</f>
        <v>1992.0896716970447</v>
      </c>
      <c r="X6" s="73">
        <f ca="1">OFFSET('Allocation %'!$A$1,MATCH(X$4,'Allocation %'!$A:$A,0)-1,MATCH($D6,'Allocation %'!$5:$5,0)-1)*$F6</f>
        <v>46.138205514265792</v>
      </c>
      <c r="Y6" s="73">
        <f ca="1">OFFSET('Allocation %'!$A$1,MATCH(Y$4,'Allocation %'!$A:$A,0)-1,MATCH($D6,'Allocation %'!$5:$5,0)-1)*$F6</f>
        <v>36.405837742400351</v>
      </c>
      <c r="Z6" s="73">
        <f ca="1">OFFSET('Allocation %'!$A$1,MATCH(Z$4,'Allocation %'!$A:$A,0)-1,MATCH($D6,'Allocation %'!$5:$5,0)-1)*$F6</f>
        <v>106.16528085141553</v>
      </c>
      <c r="AA6" s="73">
        <f ca="1">OFFSET('Allocation %'!$A$1,MATCH(AA$4,'Allocation %'!$A:$A,0)-1,MATCH($D6,'Allocation %'!$5:$5,0)-1)*$F6</f>
        <v>96.867552846368241</v>
      </c>
      <c r="AB6" s="73">
        <f ca="1">OFFSET('Allocation %'!$A$1,MATCH(AB$4,'Allocation %'!$A:$A,0)-1,MATCH($D6,'Allocation %'!$5:$5,0)-1)*$F6</f>
        <v>93.731811520740152</v>
      </c>
      <c r="AC6" s="73">
        <f ca="1">OFFSET('Allocation %'!$A$1,MATCH(AC$4,'Allocation %'!$A:$A,0)-1,MATCH($D6,'Allocation %'!$5:$5,0)-1)*$F6</f>
        <v>106.03752042236863</v>
      </c>
      <c r="AD6" s="73">
        <f ca="1">OFFSET('Allocation %'!$A$1,MATCH(AD$4,'Allocation %'!$A:$A,0)-1,MATCH($D6,'Allocation %'!$5:$5,0)-1)*$F6</f>
        <v>234.32536807880808</v>
      </c>
      <c r="AE6" s="73">
        <f ca="1">OFFSET('Allocation %'!$A$1,MATCH(AE$4,'Allocation %'!$A:$A,0)-1,MATCH($D6,'Allocation %'!$5:$5,0)-1)*$F6</f>
        <v>224.31055160035092</v>
      </c>
      <c r="AF6" s="73">
        <f ca="1">OFFSET('Allocation %'!$A$1,MATCH(AF$4,'Allocation %'!$A:$A,0)-1,MATCH($D6,'Allocation %'!$5:$5,0)-1)*$F6</f>
        <v>1105.8520985413122</v>
      </c>
      <c r="AG6" s="73">
        <f ca="1">OFFSET('Allocation %'!$A$1,MATCH(AG$4,'Allocation %'!$A:$A,0)-1,MATCH($D6,'Allocation %'!$5:$5,0)-1)*$F6</f>
        <v>1740.3718433230235</v>
      </c>
      <c r="AH6" s="73">
        <f ca="1">OFFSET('Allocation %'!$A$1,MATCH(AH$4,'Allocation %'!$A:$A,0)-1,MATCH($D6,'Allocation %'!$5:$5,0)-1)*$F6</f>
        <v>15394.027924069567</v>
      </c>
      <c r="AI6" s="73">
        <f ca="1">OFFSET('Allocation %'!$A$1,MATCH(AI$4,'Allocation %'!$A:$A,0)-1,MATCH($D6,'Allocation %'!$5:$5,0)-1)*$F6</f>
        <v>91.429645909105446</v>
      </c>
      <c r="AJ6" s="73">
        <f ca="1">OFFSET('Allocation %'!$A$1,MATCH(AJ$4,'Allocation %'!$A:$A,0)-1,MATCH($D6,'Allocation %'!$5:$5,0)-1)*$F6</f>
        <v>2141.3074515406561</v>
      </c>
      <c r="AK6" s="73">
        <f ca="1">OFFSET('Allocation %'!$A$1,MATCH(AK$4,'Allocation %'!$A:$A,0)-1,MATCH($D6,'Allocation %'!$5:$5,0)-1)*$F6</f>
        <v>1927.1183394954726</v>
      </c>
      <c r="AL6" s="73">
        <f ca="1">OFFSET('Allocation %'!$A$1,MATCH(AL$4,'Allocation %'!$A:$A,0)-1,MATCH($D6,'Allocation %'!$5:$5,0)-1)*$F6</f>
        <v>0</v>
      </c>
      <c r="AM6" s="73">
        <f ca="1">OFFSET('Allocation %'!$A$1,MATCH(AM$4,'Allocation %'!$A:$A,0)-1,MATCH($D6,'Allocation %'!$5:$5,0)-1)*$F6</f>
        <v>252.66254037732102</v>
      </c>
      <c r="AN6" s="73">
        <f ca="1">OFFSET('Allocation %'!$A$1,MATCH(AN$4,'Allocation %'!$A:$A,0)-1,MATCH($D6,'Allocation %'!$5:$5,0)-1)*$F6</f>
        <v>0</v>
      </c>
      <c r="AO6" s="73">
        <f ca="1">OFFSET('Allocation %'!$A$1,MATCH(AO$4,'Allocation %'!$A:$A,0)-1,MATCH($D6,'Allocation %'!$5:$5,0)-1)*$F6</f>
        <v>2077.6346111134662</v>
      </c>
      <c r="AP6" s="73">
        <f ca="1">OFFSET('Allocation %'!$A$1,MATCH(AP$4,'Allocation %'!$A:$A,0)-1,MATCH($D6,'Allocation %'!$5:$5,0)-1)*$F6</f>
        <v>431.75296005041798</v>
      </c>
      <c r="AQ6" s="73">
        <f ca="1">OFFSET('Allocation %'!$A$1,MATCH(AQ$4,'Allocation %'!$A:$A,0)-1,MATCH($D6,'Allocation %'!$5:$5,0)-1)*$F6</f>
        <v>1909.3830080247824</v>
      </c>
      <c r="AR6" s="73">
        <f ca="1">OFFSET('Allocation %'!$A$1,MATCH(AR$4,'Allocation %'!$A:$A,0)-1,MATCH($D6,'Allocation %'!$5:$5,0)-1)*$F6</f>
        <v>47.912793230164979</v>
      </c>
      <c r="AS6" s="73">
        <f ca="1">OFFSET('Allocation %'!$A$1,MATCH(AS$4,'Allocation %'!$A:$A,0)-1,MATCH($D6,'Allocation %'!$5:$5,0)-1)*$F6</f>
        <v>3509.5637725903753</v>
      </c>
      <c r="AT6" s="73">
        <f ca="1">OFFSET('Allocation %'!$A$1,MATCH(AT$4,'Allocation %'!$A:$A,0)-1,MATCH($D6,'Allocation %'!$5:$5,0)-1)*$F6</f>
        <v>2066.4444996897282</v>
      </c>
      <c r="AU6" s="73">
        <f ca="1">OFFSET('Allocation %'!$A$1,MATCH(AU$4,'Allocation %'!$A:$A,0)-1,MATCH($D6,'Allocation %'!$5:$5,0)-1)*$F6</f>
        <v>2470.0457394547411</v>
      </c>
      <c r="AV6" s="73">
        <f ca="1">OFFSET('Allocation %'!$A$1,MATCH(AV$4,'Allocation %'!$A:$A,0)-1,MATCH($D6,'Allocation %'!$5:$5,0)-1)*$F6</f>
        <v>3805.2604480440928</v>
      </c>
      <c r="AW6" s="73">
        <f ca="1">OFFSET('Allocation %'!$A$1,MATCH(AW$4,'Allocation %'!$A:$A,0)-1,MATCH($D6,'Allocation %'!$5:$5,0)-1)*$F6</f>
        <v>14543.810637256498</v>
      </c>
      <c r="AX6" s="73">
        <f ca="1">OFFSET('Allocation %'!$A$1,MATCH(AX$4,'Allocation %'!$A:$A,0)-1,MATCH($D6,'Allocation %'!$5:$5,0)-1)*$F6</f>
        <v>253.70174622367932</v>
      </c>
      <c r="AY6" s="73">
        <f ca="1">OFFSET('Allocation %'!$A$1,MATCH(AY$4,'Allocation %'!$A:$A,0)-1,MATCH($D6,'Allocation %'!$5:$5,0)-1)*$F6</f>
        <v>0</v>
      </c>
      <c r="AZ6" s="73">
        <f ca="1">OFFSET('Allocation %'!$A$1,MATCH(AZ$4,'Allocation %'!$A:$A,0)-1,MATCH($D6,'Allocation %'!$5:$5,0)-1)*$F6</f>
        <v>346214.5629960525</v>
      </c>
      <c r="BA6" s="73">
        <f ca="1">OFFSET('Allocation %'!$A$1,MATCH(BA$4,'Allocation %'!$A:$A,0)-1,MATCH($D6,'Allocation %'!$5:$5,0)-1)*$F6</f>
        <v>68530.338055157001</v>
      </c>
      <c r="BB6" s="73">
        <f ca="1">OFFSET('Allocation %'!$A$1,MATCH(BB$4,'Allocation %'!$A:$A,0)-1,MATCH($D6,'Allocation %'!$5:$5,0)-1)*$F6</f>
        <v>44677.265184038217</v>
      </c>
      <c r="BC6" s="73">
        <f ca="1">OFFSET('Allocation %'!$A$1,MATCH(BC$4,'Allocation %'!$A:$A,0)-1,MATCH($D6,'Allocation %'!$5:$5,0)-1)*$F6</f>
        <v>1385.3467080006199</v>
      </c>
      <c r="BD6" s="73">
        <f ca="1">OFFSET('Allocation %'!$A$1,MATCH(BD$4,'Allocation %'!$A:$A,0)-1,MATCH($D6,'Allocation %'!$5:$5,0)-1)*$F6</f>
        <v>26662.710104892216</v>
      </c>
      <c r="BE6" s="73">
        <f ca="1">OFFSET('Allocation %'!$A$1,MATCH(BE$4,'Allocation %'!$A:$A,0)-1,MATCH($D6,'Allocation %'!$5:$5,0)-1)*$F6</f>
        <v>97805.984595380112</v>
      </c>
      <c r="BG6" s="76">
        <f t="shared" ref="BG6:BG21" ca="1" si="0">SUM(I6:BF6)</f>
        <v>667451.0489510491</v>
      </c>
      <c r="BH6" s="349">
        <f t="shared" ref="BH6:BH21" ca="1" si="1">BG6-F6</f>
        <v>0</v>
      </c>
      <c r="BJ6" s="76">
        <f ca="1">SUM(J6:AY6,BB6:BE6)</f>
        <v>239357.12692081861</v>
      </c>
    </row>
    <row r="7" spans="2:62" x14ac:dyDescent="0.25">
      <c r="B7" s="172" t="s">
        <v>219</v>
      </c>
      <c r="C7" s="131" t="str">
        <f>INDEX(ACTUALS!$E:$E,MATCH($B7,ACTUALS!$A:$A,0))</f>
        <v>CAD</v>
      </c>
      <c r="D7" s="159" t="str">
        <f ca="1">OFFSET(ACTUALS!$O$2,MATCH($B7,ACTUALS!$A:$A,0)-2,MATCH($E$4,ACTUALS!$P$2:$P$2,0))</f>
        <v>ALL</v>
      </c>
      <c r="E7" s="173">
        <f ca="1">IF($C7=E$3,SUMIFS(OFFSET(ACTUALS!$A:$A,,MATCH(E$4,ACTUALS!$2:$2,0)-1,,),ACTUALS!$A:$A,$B7)*-1000,F7*'2020 Assumptions'!$B$4)</f>
        <v>0.01</v>
      </c>
      <c r="F7" s="73">
        <f ca="1">IF($C7=F$3,SUMIFS(OFFSET(ACTUALS!$A:$A,,MATCH(F$4,ACTUALS!$2:$2,0)-1,,),ACTUALS!$A:$A,$B7)*-1000,E7/'2020 Assumptions'!$B$4)</f>
        <v>7.4393691414968008E-3</v>
      </c>
      <c r="G7" s="73">
        <f ca="1">IF($C7=G$3,SUMIFS(OFFSET('Non-margin Costs'!$A:$A,,MATCH(G$4,'Non-margin Costs'!$2:$2,0)-1,,),'Non-margin Costs'!$A:$A,$B7)*1000,(SUMIFS(OFFSET('Non-margin Costs'!$A:$A,,MATCH(G$4,'Non-margin Costs'!$2:$2,0)-1,,),'Non-margin Costs'!$A:$A,$B7)*1000)/'2020 Assumptions'!$B$4)</f>
        <v>0</v>
      </c>
      <c r="I7" s="73">
        <f ca="1">OFFSET('Allocation %'!$A$1,MATCH(I$4,'Allocation %'!$A:$A,0)-1,MATCH($D7,'Allocation %'!$5:$5,0)-1)*$F7</f>
        <v>0</v>
      </c>
      <c r="J7" s="73">
        <f ca="1">OFFSET('Allocation %'!$A$1,MATCH(J$4,'Allocation %'!$A:$A,0)-1,MATCH($D7,'Allocation %'!$5:$5,0)-1)*$F7</f>
        <v>1.8011592634282259E-5</v>
      </c>
      <c r="K7" s="73">
        <f ca="1">OFFSET('Allocation %'!$A$1,MATCH(K$4,'Allocation %'!$A:$A,0)-1,MATCH($D7,'Allocation %'!$5:$5,0)-1)*$F7</f>
        <v>5.6704223238173764E-6</v>
      </c>
      <c r="L7" s="73">
        <f ca="1">OFFSET('Allocation %'!$A$1,MATCH(L$4,'Allocation %'!$A:$A,0)-1,MATCH($D7,'Allocation %'!$5:$5,0)-1)*$F7</f>
        <v>6.1291013192677434E-6</v>
      </c>
      <c r="M7" s="73">
        <f ca="1">OFFSET('Allocation %'!$A$1,MATCH(M$4,'Allocation %'!$A:$A,0)-1,MATCH($D7,'Allocation %'!$5:$5,0)-1)*$F7</f>
        <v>9.977890657433847E-6</v>
      </c>
      <c r="N7" s="73">
        <f ca="1">OFFSET('Allocation %'!$A$1,MATCH(N$4,'Allocation %'!$A:$A,0)-1,MATCH($D7,'Allocation %'!$5:$5,0)-1)*$F7</f>
        <v>8.7314451639349012E-6</v>
      </c>
      <c r="O7" s="73">
        <f ca="1">OFFSET('Allocation %'!$A$1,MATCH(O$4,'Allocation %'!$A:$A,0)-1,MATCH($D7,'Allocation %'!$5:$5,0)-1)*$F7</f>
        <v>2.0414281688902955E-5</v>
      </c>
      <c r="P7" s="73">
        <f ca="1">OFFSET('Allocation %'!$A$1,MATCH(P$4,'Allocation %'!$A:$A,0)-1,MATCH($D7,'Allocation %'!$5:$5,0)-1)*$F7</f>
        <v>2.9642215131402101E-6</v>
      </c>
      <c r="Q7" s="73">
        <f ca="1">OFFSET('Allocation %'!$A$1,MATCH(Q$4,'Allocation %'!$A:$A,0)-1,MATCH($D7,'Allocation %'!$5:$5,0)-1)*$F7</f>
        <v>6.4687364596648724E-6</v>
      </c>
      <c r="R7" s="73">
        <f ca="1">OFFSET('Allocation %'!$A$1,MATCH(R$4,'Allocation %'!$A:$A,0)-1,MATCH($D7,'Allocation %'!$5:$5,0)-1)*$F7</f>
        <v>5.970053318264697E-6</v>
      </c>
      <c r="S7" s="73">
        <f ca="1">OFFSET('Allocation %'!$A$1,MATCH(S$4,'Allocation %'!$A:$A,0)-1,MATCH($D7,'Allocation %'!$5:$5,0)-1)*$F7</f>
        <v>5.7421785833183003E-6</v>
      </c>
      <c r="T7" s="73">
        <f ca="1">OFFSET('Allocation %'!$A$1,MATCH(T$4,'Allocation %'!$A:$A,0)-1,MATCH($D7,'Allocation %'!$5:$5,0)-1)*$F7</f>
        <v>2.0609238128213144E-5</v>
      </c>
      <c r="U7" s="73">
        <f ca="1">OFFSET('Allocation %'!$A$1,MATCH(U$4,'Allocation %'!$A:$A,0)-1,MATCH($D7,'Allocation %'!$5:$5,0)-1)*$F7</f>
        <v>1.3182719081461254E-5</v>
      </c>
      <c r="V7" s="73">
        <f ca="1">OFFSET('Allocation %'!$A$1,MATCH(V$4,'Allocation %'!$A:$A,0)-1,MATCH($D7,'Allocation %'!$5:$5,0)-1)*$F7</f>
        <v>1.3990523805000878E-5</v>
      </c>
      <c r="W7" s="73">
        <f ca="1">OFFSET('Allocation %'!$A$1,MATCH(W$4,'Allocation %'!$A:$A,0)-1,MATCH($D7,'Allocation %'!$5:$5,0)-1)*$F7</f>
        <v>2.2656848315644176E-5</v>
      </c>
      <c r="X7" s="73">
        <f ca="1">OFFSET('Allocation %'!$A$1,MATCH(X$4,'Allocation %'!$A:$A,0)-1,MATCH($D7,'Allocation %'!$5:$5,0)-1)*$F7</f>
        <v>5.2474862891197871E-7</v>
      </c>
      <c r="Y7" s="73">
        <f ca="1">OFFSET('Allocation %'!$A$1,MATCH(Y$4,'Allocation %'!$A:$A,0)-1,MATCH($D7,'Allocation %'!$5:$5,0)-1)*$F7</f>
        <v>4.1405844086869994E-7</v>
      </c>
      <c r="Z7" s="73">
        <f ca="1">OFFSET('Allocation %'!$A$1,MATCH(Z$4,'Allocation %'!$A:$A,0)-1,MATCH($D7,'Allocation %'!$5:$5,0)-1)*$F7</f>
        <v>1.207461038934643E-6</v>
      </c>
      <c r="AA7" s="73">
        <f ca="1">OFFSET('Allocation %'!$A$1,MATCH(AA$4,'Allocation %'!$A:$A,0)-1,MATCH($D7,'Allocation %'!$5:$5,0)-1)*$F7</f>
        <v>1.1017141862284511E-6</v>
      </c>
      <c r="AB7" s="73">
        <f ca="1">OFFSET('Allocation %'!$A$1,MATCH(AB$4,'Allocation %'!$A:$A,0)-1,MATCH($D7,'Allocation %'!$5:$5,0)-1)*$F7</f>
        <v>1.066050121211072E-6</v>
      </c>
      <c r="AC7" s="73">
        <f ca="1">OFFSET('Allocation %'!$A$1,MATCH(AC$4,'Allocation %'!$A:$A,0)-1,MATCH($D7,'Allocation %'!$5:$5,0)-1)*$F7</f>
        <v>1.2060079674676384E-6</v>
      </c>
      <c r="AD7" s="73">
        <f ca="1">OFFSET('Allocation %'!$A$1,MATCH(AD$4,'Allocation %'!$A:$A,0)-1,MATCH($D7,'Allocation %'!$5:$5,0)-1)*$F7</f>
        <v>2.6650779814275578E-6</v>
      </c>
      <c r="AE7" s="73">
        <f ca="1">OFFSET('Allocation %'!$A$1,MATCH(AE$4,'Allocation %'!$A:$A,0)-1,MATCH($D7,'Allocation %'!$5:$5,0)-1)*$F7</f>
        <v>2.5511753890467035E-6</v>
      </c>
      <c r="AF7" s="73">
        <f ca="1">OFFSET('Allocation %'!$A$1,MATCH(AF$4,'Allocation %'!$A:$A,0)-1,MATCH($D7,'Allocation %'!$5:$5,0)-1)*$F7</f>
        <v>1.2577306941631327E-5</v>
      </c>
      <c r="AG7" s="73">
        <f ca="1">OFFSET('Allocation %'!$A$1,MATCH(AG$4,'Allocation %'!$A:$A,0)-1,MATCH($D7,'Allocation %'!$5:$5,0)-1)*$F7</f>
        <v>1.9793958789714806E-5</v>
      </c>
      <c r="AH7" s="73">
        <f ca="1">OFFSET('Allocation %'!$A$1,MATCH(AH$4,'Allocation %'!$A:$A,0)-1,MATCH($D7,'Allocation %'!$5:$5,0)-1)*$F7</f>
        <v>1.7508255807847852E-4</v>
      </c>
      <c r="AI7" s="73">
        <f ca="1">OFFSET('Allocation %'!$A$1,MATCH(AI$4,'Allocation %'!$A:$A,0)-1,MATCH($D7,'Allocation %'!$5:$5,0)-1)*$F7</f>
        <v>1.0398666527651635E-6</v>
      </c>
      <c r="AJ7" s="73">
        <f ca="1">OFFSET('Allocation %'!$A$1,MATCH(AJ$4,'Allocation %'!$A:$A,0)-1,MATCH($D7,'Allocation %'!$5:$5,0)-1)*$F7</f>
        <v>2.4353962984701124E-5</v>
      </c>
      <c r="AK7" s="73">
        <f ca="1">OFFSET('Allocation %'!$A$1,MATCH(AK$4,'Allocation %'!$A:$A,0)-1,MATCH($D7,'Allocation %'!$5:$5,0)-1)*$F7</f>
        <v>2.1917902855773224E-5</v>
      </c>
      <c r="AL7" s="73">
        <f ca="1">OFFSET('Allocation %'!$A$1,MATCH(AL$4,'Allocation %'!$A:$A,0)-1,MATCH($D7,'Allocation %'!$5:$5,0)-1)*$F7</f>
        <v>0</v>
      </c>
      <c r="AM7" s="73">
        <f ca="1">OFFSET('Allocation %'!$A$1,MATCH(AM$4,'Allocation %'!$A:$A,0)-1,MATCH($D7,'Allocation %'!$5:$5,0)-1)*$F7</f>
        <v>2.8736341208463773E-6</v>
      </c>
      <c r="AN7" s="73">
        <f ca="1">OFFSET('Allocation %'!$A$1,MATCH(AN$4,'Allocation %'!$A:$A,0)-1,MATCH($D7,'Allocation %'!$5:$5,0)-1)*$F7</f>
        <v>0</v>
      </c>
      <c r="AO7" s="73">
        <f ca="1">OFFSET('Allocation %'!$A$1,MATCH(AO$4,'Allocation %'!$A:$A,0)-1,MATCH($D7,'Allocation %'!$5:$5,0)-1)*$F7</f>
        <v>2.3629785801373783E-5</v>
      </c>
      <c r="AP7" s="73">
        <f ca="1">OFFSET('Allocation %'!$A$1,MATCH(AP$4,'Allocation %'!$A:$A,0)-1,MATCH($D7,'Allocation %'!$5:$5,0)-1)*$F7</f>
        <v>4.9105025063251084E-6</v>
      </c>
      <c r="AQ7" s="73">
        <f ca="1">OFFSET('Allocation %'!$A$1,MATCH(AQ$4,'Allocation %'!$A:$A,0)-1,MATCH($D7,'Allocation %'!$5:$5,0)-1)*$F7</f>
        <v>2.171619169755173E-5</v>
      </c>
      <c r="AR7" s="73">
        <f ca="1">OFFSET('Allocation %'!$A$1,MATCH(AR$4,'Allocation %'!$A:$A,0)-1,MATCH($D7,'Allocation %'!$5:$5,0)-1)*$F7</f>
        <v>5.4493173877554305E-7</v>
      </c>
      <c r="AS7" s="73">
        <f ca="1">OFFSET('Allocation %'!$A$1,MATCH(AS$4,'Allocation %'!$A:$A,0)-1,MATCH($D7,'Allocation %'!$5:$5,0)-1)*$F7</f>
        <v>3.991570017122841E-5</v>
      </c>
      <c r="AT7" s="73">
        <f ca="1">OFFSET('Allocation %'!$A$1,MATCH(AT$4,'Allocation %'!$A:$A,0)-1,MATCH($D7,'Allocation %'!$5:$5,0)-1)*$F7</f>
        <v>2.3502516100232866E-5</v>
      </c>
      <c r="AU7" s="73">
        <f ca="1">OFFSET('Allocation %'!$A$1,MATCH(AU$4,'Allocation %'!$A:$A,0)-1,MATCH($D7,'Allocation %'!$5:$5,0)-1)*$F7</f>
        <v>2.809283760999294E-5</v>
      </c>
      <c r="AV7" s="73">
        <f ca="1">OFFSET('Allocation %'!$A$1,MATCH(AV$4,'Allocation %'!$A:$A,0)-1,MATCH($D7,'Allocation %'!$5:$5,0)-1)*$F7</f>
        <v>4.3278779061892934E-5</v>
      </c>
      <c r="AW7" s="73">
        <f ca="1">OFFSET('Allocation %'!$A$1,MATCH(AW$4,'Allocation %'!$A:$A,0)-1,MATCH($D7,'Allocation %'!$5:$5,0)-1)*$F7</f>
        <v>1.6541269011201691E-4</v>
      </c>
      <c r="AX7" s="73">
        <f ca="1">OFFSET('Allocation %'!$A$1,MATCH(AX$4,'Allocation %'!$A:$A,0)-1,MATCH($D7,'Allocation %'!$5:$5,0)-1)*$F7</f>
        <v>2.885453432780068E-6</v>
      </c>
      <c r="AY7" s="73">
        <f ca="1">OFFSET('Allocation %'!$A$1,MATCH(AY$4,'Allocation %'!$A:$A,0)-1,MATCH($D7,'Allocation %'!$5:$5,0)-1)*$F7</f>
        <v>0</v>
      </c>
      <c r="AZ7" s="73">
        <f ca="1">OFFSET('Allocation %'!$A$1,MATCH(AZ$4,'Allocation %'!$A:$A,0)-1,MATCH($D7,'Allocation %'!$5:$5,0)-1)*$F7</f>
        <v>3.9376394295474902E-3</v>
      </c>
      <c r="BA7" s="73">
        <f ca="1">OFFSET('Allocation %'!$A$1,MATCH(BA$4,'Allocation %'!$A:$A,0)-1,MATCH($D7,'Allocation %'!$5:$5,0)-1)*$F7</f>
        <v>7.7942348499442473E-4</v>
      </c>
      <c r="BB7" s="73">
        <f ca="1">OFFSET('Allocation %'!$A$1,MATCH(BB$4,'Allocation %'!$A:$A,0)-1,MATCH($D7,'Allocation %'!$5:$5,0)-1)*$F7</f>
        <v>5.0813275868763518E-4</v>
      </c>
      <c r="BC7" s="73">
        <f ca="1">OFFSET('Allocation %'!$A$1,MATCH(BC$4,'Allocation %'!$A:$A,0)-1,MATCH($D7,'Allocation %'!$5:$5,0)-1)*$F7</f>
        <v>1.5756113127682762E-5</v>
      </c>
      <c r="BD7" s="73">
        <f ca="1">OFFSET('Allocation %'!$A$1,MATCH(BD$4,'Allocation %'!$A:$A,0)-1,MATCH($D7,'Allocation %'!$5:$5,0)-1)*$F7</f>
        <v>3.0324587648502513E-4</v>
      </c>
      <c r="BE7" s="73">
        <f ca="1">OFFSET('Allocation %'!$A$1,MATCH(BE$4,'Allocation %'!$A:$A,0)-1,MATCH($D7,'Allocation %'!$5:$5,0)-1)*$F7</f>
        <v>1.1123873532520186E-3</v>
      </c>
      <c r="BG7" s="76">
        <f t="shared" ca="1" si="0"/>
        <v>7.4393691414967999E-3</v>
      </c>
      <c r="BH7" s="349">
        <f t="shared" ca="1" si="1"/>
        <v>0</v>
      </c>
      <c r="BJ7" s="76">
        <f t="shared" ref="BJ7:BJ62" ca="1" si="2">SUM(J7:AY7,BB7:BE7)</f>
        <v>2.7223062269548857E-3</v>
      </c>
    </row>
    <row r="8" spans="2:62" x14ac:dyDescent="0.25">
      <c r="B8" s="172" t="s">
        <v>220</v>
      </c>
      <c r="C8" s="131" t="str">
        <f>INDEX(ACTUALS!$E:$E,MATCH($B8,ACTUALS!$A:$A,0))</f>
        <v>CAD</v>
      </c>
      <c r="D8" s="159" t="str">
        <f ca="1">OFFSET(ACTUALS!$O$2,MATCH($B8,ACTUALS!$A:$A,0)-2,MATCH($E$4,ACTUALS!$P$2:$P$2,0))</f>
        <v>ALL</v>
      </c>
      <c r="E8" s="173">
        <f ca="1">IF($C8=E$3,SUMIFS(OFFSET(ACTUALS!$A:$A,,MATCH(E$4,ACTUALS!$2:$2,0)-1,,),ACTUALS!$A:$A,$B8)*-1000,F8*'2020 Assumptions'!$B$4)</f>
        <v>121559.90999999997</v>
      </c>
      <c r="F8" s="73">
        <f ca="1">IF($C8=F$3,SUMIFS(OFFSET(ACTUALS!$A:$A,,MATCH(F$4,ACTUALS!$2:$2,0)-1,,),ACTUALS!$A:$A,$B8)*-1000,E8/'2020 Assumptions'!$B$4)</f>
        <v>90432.904329712823</v>
      </c>
      <c r="G8" s="73">
        <f ca="1">IF($C8=G$3,SUMIFS(OFFSET('Non-margin Costs'!$A:$A,,MATCH(G$4,'Non-margin Costs'!$2:$2,0)-1,,),'Non-margin Costs'!$A:$A,$B8)*1000,(SUMIFS(OFFSET('Non-margin Costs'!$A:$A,,MATCH(G$4,'Non-margin Costs'!$2:$2,0)-1,,),'Non-margin Costs'!$A:$A,$B8)*1000)/'2020 Assumptions'!$B$4)</f>
        <v>41162.69156375539</v>
      </c>
      <c r="I8" s="73">
        <f ca="1">OFFSET('Allocation %'!$A$1,MATCH(I$4,'Allocation %'!$A:$A,0)-1,MATCH($D8,'Allocation %'!$5:$5,0)-1)*$F8</f>
        <v>0</v>
      </c>
      <c r="J8" s="73">
        <f ca="1">OFFSET('Allocation %'!$A$1,MATCH(J$4,'Allocation %'!$A:$A,0)-1,MATCH($D8,'Allocation %'!$5:$5,0)-1)*$F8</f>
        <v>218.94875795800141</v>
      </c>
      <c r="K8" s="73">
        <f ca="1">OFFSET('Allocation %'!$A$1,MATCH(K$4,'Allocation %'!$A:$A,0)-1,MATCH($D8,'Allocation %'!$5:$5,0)-1)*$F8</f>
        <v>68.929602734523101</v>
      </c>
      <c r="L8" s="73">
        <f ca="1">OFFSET('Allocation %'!$A$1,MATCH(L$4,'Allocation %'!$A:$A,0)-1,MATCH($D8,'Allocation %'!$5:$5,0)-1)*$F8</f>
        <v>74.505300475106793</v>
      </c>
      <c r="M8" s="73">
        <f ca="1">OFFSET('Allocation %'!$A$1,MATCH(M$4,'Allocation %'!$A:$A,0)-1,MATCH($D8,'Allocation %'!$5:$5,0)-1)*$F8</f>
        <v>121.29114903074992</v>
      </c>
      <c r="N8" s="73">
        <f ca="1">OFFSET('Allocation %'!$A$1,MATCH(N$4,'Allocation %'!$A:$A,0)-1,MATCH($D8,'Allocation %'!$5:$5,0)-1)*$F8</f>
        <v>106.13936882978618</v>
      </c>
      <c r="O8" s="73">
        <f ca="1">OFFSET('Allocation %'!$A$1,MATCH(O$4,'Allocation %'!$A:$A,0)-1,MATCH($D8,'Allocation %'!$5:$5,0)-1)*$F8</f>
        <v>248.15582448176909</v>
      </c>
      <c r="P8" s="73">
        <f ca="1">OFFSET('Allocation %'!$A$1,MATCH(P$4,'Allocation %'!$A:$A,0)-1,MATCH($D8,'Allocation %'!$5:$5,0)-1)*$F8</f>
        <v>36.033050035738775</v>
      </c>
      <c r="Q8" s="73">
        <f ca="1">OFFSET('Allocation %'!$A$1,MATCH(Q$4,'Allocation %'!$A:$A,0)-1,MATCH($D8,'Allocation %'!$5:$5,0)-1)*$F8</f>
        <v>78.633902185058034</v>
      </c>
      <c r="R8" s="73">
        <f ca="1">OFFSET('Allocation %'!$A$1,MATCH(R$4,'Allocation %'!$A:$A,0)-1,MATCH($D8,'Allocation %'!$5:$5,0)-1)*$F8</f>
        <v>72.571914406345783</v>
      </c>
      <c r="S8" s="73">
        <f ca="1">OFFSET('Allocation %'!$A$1,MATCH(S$4,'Allocation %'!$A:$A,0)-1,MATCH($D8,'Allocation %'!$5:$5,0)-1)*$F8</f>
        <v>69.801871179209996</v>
      </c>
      <c r="T8" s="73">
        <f ca="1">OFFSET('Allocation %'!$A$1,MATCH(T$4,'Allocation %'!$A:$A,0)-1,MATCH($D8,'Allocation %'!$5:$5,0)-1)*$F8</f>
        <v>250.52571320341579</v>
      </c>
      <c r="U8" s="73">
        <f ca="1">OFFSET('Allocation %'!$A$1,MATCH(U$4,'Allocation %'!$A:$A,0)-1,MATCH($D8,'Allocation %'!$5:$5,0)-1)*$F8</f>
        <v>160.24901450977126</v>
      </c>
      <c r="V8" s="73">
        <f ca="1">OFFSET('Allocation %'!$A$1,MATCH(V$4,'Allocation %'!$A:$A,0)-1,MATCH($D8,'Allocation %'!$5:$5,0)-1)*$F8</f>
        <v>170.0686814588764</v>
      </c>
      <c r="W8" s="73">
        <f ca="1">OFFSET('Allocation %'!$A$1,MATCH(W$4,'Allocation %'!$A:$A,0)-1,MATCH($D8,'Allocation %'!$5:$5,0)-1)*$F8</f>
        <v>275.41644421333575</v>
      </c>
      <c r="X8" s="73">
        <f ca="1">OFFSET('Allocation %'!$A$1,MATCH(X$4,'Allocation %'!$A:$A,0)-1,MATCH($D8,'Allocation %'!$5:$5,0)-1)*$F8</f>
        <v>6.3788396103163523</v>
      </c>
      <c r="Y8" s="73">
        <f ca="1">OFFSET('Allocation %'!$A$1,MATCH(Y$4,'Allocation %'!$A:$A,0)-1,MATCH($D8,'Allocation %'!$5:$5,0)-1)*$F8</f>
        <v>5.0332906806739484</v>
      </c>
      <c r="Z8" s="73">
        <f ca="1">OFFSET('Allocation %'!$A$1,MATCH(Z$4,'Allocation %'!$A:$A,0)-1,MATCH($D8,'Allocation %'!$5:$5,0)-1)*$F8</f>
        <v>14.677885522140167</v>
      </c>
      <c r="AA8" s="73">
        <f ca="1">OFFSET('Allocation %'!$A$1,MATCH(AA$4,'Allocation %'!$A:$A,0)-1,MATCH($D8,'Allocation %'!$5:$5,0)-1)*$F8</f>
        <v>13.392427732365375</v>
      </c>
      <c r="AB8" s="73">
        <f ca="1">OFFSET('Allocation %'!$A$1,MATCH(AB$4,'Allocation %'!$A:$A,0)-1,MATCH($D8,'Allocation %'!$5:$5,0)-1)*$F8</f>
        <v>12.958895678990698</v>
      </c>
      <c r="AC8" s="73">
        <f ca="1">OFFSET('Allocation %'!$A$1,MATCH(AC$4,'Allocation %'!$A:$A,0)-1,MATCH($D8,'Allocation %'!$5:$5,0)-1)*$F8</f>
        <v>14.660221998464904</v>
      </c>
      <c r="AD8" s="73">
        <f ca="1">OFFSET('Allocation %'!$A$1,MATCH(AD$4,'Allocation %'!$A:$A,0)-1,MATCH($D8,'Allocation %'!$5:$5,0)-1)*$F8</f>
        <v>32.396663956531555</v>
      </c>
      <c r="AE8" s="73">
        <f ca="1">OFFSET('Allocation %'!$A$1,MATCH(AE$4,'Allocation %'!$A:$A,0)-1,MATCH($D8,'Allocation %'!$5:$5,0)-1)*$F8</f>
        <v>31.01206506867322</v>
      </c>
      <c r="AF8" s="73">
        <f ca="1">OFFSET('Allocation %'!$A$1,MATCH(AF$4,'Allocation %'!$A:$A,0)-1,MATCH($D8,'Allocation %'!$5:$5,0)-1)*$F8</f>
        <v>152.88962998670792</v>
      </c>
      <c r="AG8" s="73">
        <f ca="1">OFFSET('Allocation %'!$A$1,MATCH(AG$4,'Allocation %'!$A:$A,0)-1,MATCH($D8,'Allocation %'!$5:$5,0)-1)*$F8</f>
        <v>240.61518490214405</v>
      </c>
      <c r="AH8" s="73">
        <f ca="1">OFFSET('Allocation %'!$A$1,MATCH(AH$4,'Allocation %'!$A:$A,0)-1,MATCH($D8,'Allocation %'!$5:$5,0)-1)*$F8</f>
        <v>2128.3020002589619</v>
      </c>
      <c r="AI8" s="73">
        <f ca="1">OFFSET('Allocation %'!$A$1,MATCH(AI$4,'Allocation %'!$A:$A,0)-1,MATCH($D8,'Allocation %'!$5:$5,0)-1)*$F8</f>
        <v>12.640609672213452</v>
      </c>
      <c r="AJ8" s="73">
        <f ca="1">OFFSET('Allocation %'!$A$1,MATCH(AJ$4,'Allocation %'!$A:$A,0)-1,MATCH($D8,'Allocation %'!$5:$5,0)-1)*$F8</f>
        <v>296.04655485635999</v>
      </c>
      <c r="AK8" s="73">
        <f ca="1">OFFSET('Allocation %'!$A$1,MATCH(AK$4,'Allocation %'!$A:$A,0)-1,MATCH($D8,'Allocation %'!$5:$5,0)-1)*$F8</f>
        <v>266.43382985365361</v>
      </c>
      <c r="AL8" s="73">
        <f ca="1">OFFSET('Allocation %'!$A$1,MATCH(AL$4,'Allocation %'!$A:$A,0)-1,MATCH($D8,'Allocation %'!$5:$5,0)-1)*$F8</f>
        <v>0</v>
      </c>
      <c r="AM8" s="73">
        <f ca="1">OFFSET('Allocation %'!$A$1,MATCH(AM$4,'Allocation %'!$A:$A,0)-1,MATCH($D8,'Allocation %'!$5:$5,0)-1)*$F8</f>
        <v>34.931870510301472</v>
      </c>
      <c r="AN8" s="73">
        <f ca="1">OFFSET('Allocation %'!$A$1,MATCH(AN$4,'Allocation %'!$A:$A,0)-1,MATCH($D8,'Allocation %'!$5:$5,0)-1)*$F8</f>
        <v>0</v>
      </c>
      <c r="AO8" s="73">
        <f ca="1">OFFSET('Allocation %'!$A$1,MATCH(AO$4,'Allocation %'!$A:$A,0)-1,MATCH($D8,'Allocation %'!$5:$5,0)-1)*$F8</f>
        <v>287.24346353342747</v>
      </c>
      <c r="AP8" s="73">
        <f ca="1">OFFSET('Allocation %'!$A$1,MATCH(AP$4,'Allocation %'!$A:$A,0)-1,MATCH($D8,'Allocation %'!$5:$5,0)-1)*$F8</f>
        <v>59.692024272365458</v>
      </c>
      <c r="AQ8" s="73">
        <f ca="1">OFFSET('Allocation %'!$A$1,MATCH(AQ$4,'Allocation %'!$A:$A,0)-1,MATCH($D8,'Allocation %'!$5:$5,0)-1)*$F8</f>
        <v>263.98183082971349</v>
      </c>
      <c r="AR8" s="73">
        <f ca="1">OFFSET('Allocation %'!$A$1,MATCH(AR$4,'Allocation %'!$A:$A,0)-1,MATCH($D8,'Allocation %'!$5:$5,0)-1)*$F8</f>
        <v>6.6241853121698515</v>
      </c>
      <c r="AS8" s="73">
        <f ca="1">OFFSET('Allocation %'!$A$1,MATCH(AS$4,'Allocation %'!$A:$A,0)-1,MATCH($D8,'Allocation %'!$5:$5,0)-1)*$F8</f>
        <v>485.21489204015091</v>
      </c>
      <c r="AT8" s="73">
        <f ca="1">OFFSET('Allocation %'!$A$1,MATCH(AT$4,'Allocation %'!$A:$A,0)-1,MATCH($D8,'Allocation %'!$5:$5,0)-1)*$F8</f>
        <v>285.69637419178576</v>
      </c>
      <c r="AU8" s="73">
        <f ca="1">OFFSET('Allocation %'!$A$1,MATCH(AU$4,'Allocation %'!$A:$A,0)-1,MATCH($D8,'Allocation %'!$5:$5,0)-1)*$F8</f>
        <v>341.49628115153564</v>
      </c>
      <c r="AV8" s="73">
        <f ca="1">OFFSET('Allocation %'!$A$1,MATCH(AV$4,'Allocation %'!$A:$A,0)-1,MATCH($D8,'Allocation %'!$5:$5,0)-1)*$F8</f>
        <v>526.09644876735888</v>
      </c>
      <c r="AW8" s="73">
        <f ca="1">OFFSET('Allocation %'!$A$1,MATCH(AW$4,'Allocation %'!$A:$A,0)-1,MATCH($D8,'Allocation %'!$5:$5,0)-1)*$F8</f>
        <v>2010.7551722874664</v>
      </c>
      <c r="AX8" s="73">
        <f ca="1">OFFSET('Allocation %'!$A$1,MATCH(AX$4,'Allocation %'!$A:$A,0)-1,MATCH($D8,'Allocation %'!$5:$5,0)-1)*$F8</f>
        <v>35.075545959793608</v>
      </c>
      <c r="AY8" s="73">
        <f ca="1">OFFSET('Allocation %'!$A$1,MATCH(AY$4,'Allocation %'!$A:$A,0)-1,MATCH($D8,'Allocation %'!$5:$5,0)-1)*$F8</f>
        <v>0</v>
      </c>
      <c r="AZ8" s="73">
        <f ca="1">OFFSET('Allocation %'!$A$1,MATCH(AZ$4,'Allocation %'!$A:$A,0)-1,MATCH($D8,'Allocation %'!$5:$5,0)-1)*$F8</f>
        <v>47865.909466824414</v>
      </c>
      <c r="BA8" s="73">
        <f ca="1">OFFSET('Allocation %'!$A$1,MATCH(BA$4,'Allocation %'!$A:$A,0)-1,MATCH($D8,'Allocation %'!$5:$5,0)-1)*$F8</f>
        <v>9474.6648687808611</v>
      </c>
      <c r="BB8" s="73">
        <f ca="1">OFFSET('Allocation %'!$A$1,MATCH(BB$4,'Allocation %'!$A:$A,0)-1,MATCH($D8,'Allocation %'!$5:$5,0)-1)*$F8</f>
        <v>6176.8572414120636</v>
      </c>
      <c r="BC8" s="73">
        <f ca="1">OFFSET('Allocation %'!$A$1,MATCH(BC$4,'Allocation %'!$A:$A,0)-1,MATCH($D8,'Allocation %'!$5:$5,0)-1)*$F8</f>
        <v>191.5311693750935</v>
      </c>
      <c r="BD8" s="73">
        <f ca="1">OFFSET('Allocation %'!$A$1,MATCH(BD$4,'Allocation %'!$A:$A,0)-1,MATCH($D8,'Allocation %'!$5:$5,0)-1)*$F8</f>
        <v>3686.2541453390763</v>
      </c>
      <c r="BE8" s="73">
        <f ca="1">OFFSET('Allocation %'!$A$1,MATCH(BE$4,'Allocation %'!$A:$A,0)-1,MATCH($D8,'Allocation %'!$5:$5,0)-1)*$F8</f>
        <v>13522.170654645357</v>
      </c>
      <c r="BG8" s="76">
        <f t="shared" ca="1" si="0"/>
        <v>90432.904329712823</v>
      </c>
      <c r="BH8" s="349">
        <f t="shared" ca="1" si="1"/>
        <v>0</v>
      </c>
      <c r="BJ8" s="76">
        <f t="shared" ca="1" si="2"/>
        <v>33092.329994107538</v>
      </c>
    </row>
    <row r="9" spans="2:62" x14ac:dyDescent="0.25">
      <c r="B9" s="172" t="s">
        <v>301</v>
      </c>
      <c r="C9" s="131" t="str">
        <f>INDEX(ACTUALS!$E:$E,MATCH($B9,ACTUALS!$A:$A,0))</f>
        <v>CAD</v>
      </c>
      <c r="D9" s="159" t="str">
        <f ca="1">OFFSET(ACTUALS!$O$2,MATCH($B9,ACTUALS!$A:$A,0)-2,MATCH($E$4,ACTUALS!$P$2:$P$2,0))</f>
        <v>ALL</v>
      </c>
      <c r="E9" s="173">
        <f ca="1">IF($C9=E$3,SUMIFS(OFFSET(ACTUALS!$A:$A,,MATCH(E$4,ACTUALS!$2:$2,0)-1,,),ACTUALS!$A:$A,$B9)*-1000,F9*'2020 Assumptions'!$B$4)</f>
        <v>0</v>
      </c>
      <c r="F9" s="73">
        <f ca="1">IF($C9=F$3,SUMIFS(OFFSET(ACTUALS!$A:$A,,MATCH(F$4,ACTUALS!$2:$2,0)-1,,),ACTUALS!$A:$A,$B9)*-1000,E9/'2020 Assumptions'!$B$4)</f>
        <v>0</v>
      </c>
      <c r="G9" s="73">
        <f ca="1">IF($C9=G$3,SUMIFS(OFFSET('Non-margin Costs'!$A:$A,,MATCH(G$4,'Non-margin Costs'!$2:$2,0)-1,,),'Non-margin Costs'!$A:$A,$B9)*1000,(SUMIFS(OFFSET('Non-margin Costs'!$A:$A,,MATCH(G$4,'Non-margin Costs'!$2:$2,0)-1,,),'Non-margin Costs'!$A:$A,$B9)*1000)/'2020 Assumptions'!$B$4)</f>
        <v>0</v>
      </c>
      <c r="I9" s="73">
        <f ca="1">OFFSET('Allocation %'!$A$1,MATCH(I$4,'Allocation %'!$A:$A,0)-1,MATCH($D9,'Allocation %'!$5:$5,0)-1)*$F9</f>
        <v>0</v>
      </c>
      <c r="J9" s="73">
        <f ca="1">OFFSET('Allocation %'!$A$1,MATCH(J$4,'Allocation %'!$A:$A,0)-1,MATCH($D9,'Allocation %'!$5:$5,0)-1)*$F9</f>
        <v>0</v>
      </c>
      <c r="K9" s="73">
        <f ca="1">OFFSET('Allocation %'!$A$1,MATCH(K$4,'Allocation %'!$A:$A,0)-1,MATCH($D9,'Allocation %'!$5:$5,0)-1)*$F9</f>
        <v>0</v>
      </c>
      <c r="L9" s="73">
        <f ca="1">OFFSET('Allocation %'!$A$1,MATCH(L$4,'Allocation %'!$A:$A,0)-1,MATCH($D9,'Allocation %'!$5:$5,0)-1)*$F9</f>
        <v>0</v>
      </c>
      <c r="M9" s="73">
        <f ca="1">OFFSET('Allocation %'!$A$1,MATCH(M$4,'Allocation %'!$A:$A,0)-1,MATCH($D9,'Allocation %'!$5:$5,0)-1)*$F9</f>
        <v>0</v>
      </c>
      <c r="N9" s="73">
        <f ca="1">OFFSET('Allocation %'!$A$1,MATCH(N$4,'Allocation %'!$A:$A,0)-1,MATCH($D9,'Allocation %'!$5:$5,0)-1)*$F9</f>
        <v>0</v>
      </c>
      <c r="O9" s="73">
        <f ca="1">OFFSET('Allocation %'!$A$1,MATCH(O$4,'Allocation %'!$A:$A,0)-1,MATCH($D9,'Allocation %'!$5:$5,0)-1)*$F9</f>
        <v>0</v>
      </c>
      <c r="P9" s="73">
        <f ca="1">OFFSET('Allocation %'!$A$1,MATCH(P$4,'Allocation %'!$A:$A,0)-1,MATCH($D9,'Allocation %'!$5:$5,0)-1)*$F9</f>
        <v>0</v>
      </c>
      <c r="Q9" s="73">
        <f ca="1">OFFSET('Allocation %'!$A$1,MATCH(Q$4,'Allocation %'!$A:$A,0)-1,MATCH($D9,'Allocation %'!$5:$5,0)-1)*$F9</f>
        <v>0</v>
      </c>
      <c r="R9" s="73">
        <f ca="1">OFFSET('Allocation %'!$A$1,MATCH(R$4,'Allocation %'!$A:$A,0)-1,MATCH($D9,'Allocation %'!$5:$5,0)-1)*$F9</f>
        <v>0</v>
      </c>
      <c r="S9" s="73">
        <f ca="1">OFFSET('Allocation %'!$A$1,MATCH(S$4,'Allocation %'!$A:$A,0)-1,MATCH($D9,'Allocation %'!$5:$5,0)-1)*$F9</f>
        <v>0</v>
      </c>
      <c r="T9" s="73">
        <f ca="1">OFFSET('Allocation %'!$A$1,MATCH(T$4,'Allocation %'!$A:$A,0)-1,MATCH($D9,'Allocation %'!$5:$5,0)-1)*$F9</f>
        <v>0</v>
      </c>
      <c r="U9" s="73">
        <f ca="1">OFFSET('Allocation %'!$A$1,MATCH(U$4,'Allocation %'!$A:$A,0)-1,MATCH($D9,'Allocation %'!$5:$5,0)-1)*$F9</f>
        <v>0</v>
      </c>
      <c r="V9" s="73">
        <f ca="1">OFFSET('Allocation %'!$A$1,MATCH(V$4,'Allocation %'!$A:$A,0)-1,MATCH($D9,'Allocation %'!$5:$5,0)-1)*$F9</f>
        <v>0</v>
      </c>
      <c r="W9" s="73">
        <f ca="1">OFFSET('Allocation %'!$A$1,MATCH(W$4,'Allocation %'!$A:$A,0)-1,MATCH($D9,'Allocation %'!$5:$5,0)-1)*$F9</f>
        <v>0</v>
      </c>
      <c r="X9" s="73">
        <f ca="1">OFFSET('Allocation %'!$A$1,MATCH(X$4,'Allocation %'!$A:$A,0)-1,MATCH($D9,'Allocation %'!$5:$5,0)-1)*$F9</f>
        <v>0</v>
      </c>
      <c r="Y9" s="73">
        <f ca="1">OFFSET('Allocation %'!$A$1,MATCH(Y$4,'Allocation %'!$A:$A,0)-1,MATCH($D9,'Allocation %'!$5:$5,0)-1)*$F9</f>
        <v>0</v>
      </c>
      <c r="Z9" s="73">
        <f ca="1">OFFSET('Allocation %'!$A$1,MATCH(Z$4,'Allocation %'!$A:$A,0)-1,MATCH($D9,'Allocation %'!$5:$5,0)-1)*$F9</f>
        <v>0</v>
      </c>
      <c r="AA9" s="73">
        <f ca="1">OFFSET('Allocation %'!$A$1,MATCH(AA$4,'Allocation %'!$A:$A,0)-1,MATCH($D9,'Allocation %'!$5:$5,0)-1)*$F9</f>
        <v>0</v>
      </c>
      <c r="AB9" s="73">
        <f ca="1">OFFSET('Allocation %'!$A$1,MATCH(AB$4,'Allocation %'!$A:$A,0)-1,MATCH($D9,'Allocation %'!$5:$5,0)-1)*$F9</f>
        <v>0</v>
      </c>
      <c r="AC9" s="73">
        <f ca="1">OFFSET('Allocation %'!$A$1,MATCH(AC$4,'Allocation %'!$A:$A,0)-1,MATCH($D9,'Allocation %'!$5:$5,0)-1)*$F9</f>
        <v>0</v>
      </c>
      <c r="AD9" s="73">
        <f ca="1">OFFSET('Allocation %'!$A$1,MATCH(AD$4,'Allocation %'!$A:$A,0)-1,MATCH($D9,'Allocation %'!$5:$5,0)-1)*$F9</f>
        <v>0</v>
      </c>
      <c r="AE9" s="73">
        <f ca="1">OFFSET('Allocation %'!$A$1,MATCH(AE$4,'Allocation %'!$A:$A,0)-1,MATCH($D9,'Allocation %'!$5:$5,0)-1)*$F9</f>
        <v>0</v>
      </c>
      <c r="AF9" s="73">
        <f ca="1">OFFSET('Allocation %'!$A$1,MATCH(AF$4,'Allocation %'!$A:$A,0)-1,MATCH($D9,'Allocation %'!$5:$5,0)-1)*$F9</f>
        <v>0</v>
      </c>
      <c r="AG9" s="73">
        <f ca="1">OFFSET('Allocation %'!$A$1,MATCH(AG$4,'Allocation %'!$A:$A,0)-1,MATCH($D9,'Allocation %'!$5:$5,0)-1)*$F9</f>
        <v>0</v>
      </c>
      <c r="AH9" s="73">
        <f ca="1">OFFSET('Allocation %'!$A$1,MATCH(AH$4,'Allocation %'!$A:$A,0)-1,MATCH($D9,'Allocation %'!$5:$5,0)-1)*$F9</f>
        <v>0</v>
      </c>
      <c r="AI9" s="73">
        <f ca="1">OFFSET('Allocation %'!$A$1,MATCH(AI$4,'Allocation %'!$A:$A,0)-1,MATCH($D9,'Allocation %'!$5:$5,0)-1)*$F9</f>
        <v>0</v>
      </c>
      <c r="AJ9" s="73">
        <f ca="1">OFFSET('Allocation %'!$A$1,MATCH(AJ$4,'Allocation %'!$A:$A,0)-1,MATCH($D9,'Allocation %'!$5:$5,0)-1)*$F9</f>
        <v>0</v>
      </c>
      <c r="AK9" s="73">
        <f ca="1">OFFSET('Allocation %'!$A$1,MATCH(AK$4,'Allocation %'!$A:$A,0)-1,MATCH($D9,'Allocation %'!$5:$5,0)-1)*$F9</f>
        <v>0</v>
      </c>
      <c r="AL9" s="73">
        <f ca="1">OFFSET('Allocation %'!$A$1,MATCH(AL$4,'Allocation %'!$A:$A,0)-1,MATCH($D9,'Allocation %'!$5:$5,0)-1)*$F9</f>
        <v>0</v>
      </c>
      <c r="AM9" s="73">
        <f ca="1">OFFSET('Allocation %'!$A$1,MATCH(AM$4,'Allocation %'!$A:$A,0)-1,MATCH($D9,'Allocation %'!$5:$5,0)-1)*$F9</f>
        <v>0</v>
      </c>
      <c r="AN9" s="73">
        <f ca="1">OFFSET('Allocation %'!$A$1,MATCH(AN$4,'Allocation %'!$A:$A,0)-1,MATCH($D9,'Allocation %'!$5:$5,0)-1)*$F9</f>
        <v>0</v>
      </c>
      <c r="AO9" s="73">
        <f ca="1">OFFSET('Allocation %'!$A$1,MATCH(AO$4,'Allocation %'!$A:$A,0)-1,MATCH($D9,'Allocation %'!$5:$5,0)-1)*$F9</f>
        <v>0</v>
      </c>
      <c r="AP9" s="73">
        <f ca="1">OFFSET('Allocation %'!$A$1,MATCH(AP$4,'Allocation %'!$A:$A,0)-1,MATCH($D9,'Allocation %'!$5:$5,0)-1)*$F9</f>
        <v>0</v>
      </c>
      <c r="AQ9" s="73">
        <f ca="1">OFFSET('Allocation %'!$A$1,MATCH(AQ$4,'Allocation %'!$A:$A,0)-1,MATCH($D9,'Allocation %'!$5:$5,0)-1)*$F9</f>
        <v>0</v>
      </c>
      <c r="AR9" s="73">
        <f ca="1">OFFSET('Allocation %'!$A$1,MATCH(AR$4,'Allocation %'!$A:$A,0)-1,MATCH($D9,'Allocation %'!$5:$5,0)-1)*$F9</f>
        <v>0</v>
      </c>
      <c r="AS9" s="73">
        <f ca="1">OFFSET('Allocation %'!$A$1,MATCH(AS$4,'Allocation %'!$A:$A,0)-1,MATCH($D9,'Allocation %'!$5:$5,0)-1)*$F9</f>
        <v>0</v>
      </c>
      <c r="AT9" s="73">
        <f ca="1">OFFSET('Allocation %'!$A$1,MATCH(AT$4,'Allocation %'!$A:$A,0)-1,MATCH($D9,'Allocation %'!$5:$5,0)-1)*$F9</f>
        <v>0</v>
      </c>
      <c r="AU9" s="73">
        <f ca="1">OFFSET('Allocation %'!$A$1,MATCH(AU$4,'Allocation %'!$A:$A,0)-1,MATCH($D9,'Allocation %'!$5:$5,0)-1)*$F9</f>
        <v>0</v>
      </c>
      <c r="AV9" s="73">
        <f ca="1">OFFSET('Allocation %'!$A$1,MATCH(AV$4,'Allocation %'!$A:$A,0)-1,MATCH($D9,'Allocation %'!$5:$5,0)-1)*$F9</f>
        <v>0</v>
      </c>
      <c r="AW9" s="73">
        <f ca="1">OFFSET('Allocation %'!$A$1,MATCH(AW$4,'Allocation %'!$A:$A,0)-1,MATCH($D9,'Allocation %'!$5:$5,0)-1)*$F9</f>
        <v>0</v>
      </c>
      <c r="AX9" s="73">
        <f ca="1">OFFSET('Allocation %'!$A$1,MATCH(AX$4,'Allocation %'!$A:$A,0)-1,MATCH($D9,'Allocation %'!$5:$5,0)-1)*$F9</f>
        <v>0</v>
      </c>
      <c r="AY9" s="73">
        <f ca="1">OFFSET('Allocation %'!$A$1,MATCH(AY$4,'Allocation %'!$A:$A,0)-1,MATCH($D9,'Allocation %'!$5:$5,0)-1)*$F9</f>
        <v>0</v>
      </c>
      <c r="AZ9" s="73">
        <f ca="1">OFFSET('Allocation %'!$A$1,MATCH(AZ$4,'Allocation %'!$A:$A,0)-1,MATCH($D9,'Allocation %'!$5:$5,0)-1)*$F9</f>
        <v>0</v>
      </c>
      <c r="BA9" s="73">
        <f ca="1">OFFSET('Allocation %'!$A$1,MATCH(BA$4,'Allocation %'!$A:$A,0)-1,MATCH($D9,'Allocation %'!$5:$5,0)-1)*$F9</f>
        <v>0</v>
      </c>
      <c r="BB9" s="73">
        <f ca="1">OFFSET('Allocation %'!$A$1,MATCH(BB$4,'Allocation %'!$A:$A,0)-1,MATCH($D9,'Allocation %'!$5:$5,0)-1)*$F9</f>
        <v>0</v>
      </c>
      <c r="BC9" s="73">
        <f ca="1">OFFSET('Allocation %'!$A$1,MATCH(BC$4,'Allocation %'!$A:$A,0)-1,MATCH($D9,'Allocation %'!$5:$5,0)-1)*$F9</f>
        <v>0</v>
      </c>
      <c r="BD9" s="73">
        <f ca="1">OFFSET('Allocation %'!$A$1,MATCH(BD$4,'Allocation %'!$A:$A,0)-1,MATCH($D9,'Allocation %'!$5:$5,0)-1)*$F9</f>
        <v>0</v>
      </c>
      <c r="BE9" s="73">
        <f ca="1">OFFSET('Allocation %'!$A$1,MATCH(BE$4,'Allocation %'!$A:$A,0)-1,MATCH($D9,'Allocation %'!$5:$5,0)-1)*$F9</f>
        <v>0</v>
      </c>
      <c r="BG9" s="76">
        <f t="shared" ca="1" si="0"/>
        <v>0</v>
      </c>
      <c r="BH9" s="349">
        <f t="shared" ca="1" si="1"/>
        <v>0</v>
      </c>
      <c r="BJ9" s="76">
        <f t="shared" ca="1" si="2"/>
        <v>0</v>
      </c>
    </row>
    <row r="10" spans="2:62" x14ac:dyDescent="0.25">
      <c r="B10" s="172" t="s">
        <v>221</v>
      </c>
      <c r="C10" s="131" t="str">
        <f>INDEX(ACTUALS!$E:$E,MATCH($B10,ACTUALS!$A:$A,0))</f>
        <v>CAD</v>
      </c>
      <c r="D10" s="159" t="str">
        <f ca="1">OFFSET(ACTUALS!$O$2,MATCH($B10,ACTUALS!$A:$A,0)-2,MATCH($E$4,ACTUALS!$P$2:$P$2,0))</f>
        <v>ALL</v>
      </c>
      <c r="E10" s="173">
        <f ca="1">IF($C10=E$3,SUMIFS(OFFSET(ACTUALS!$A:$A,,MATCH(E$4,ACTUALS!$2:$2,0)-1,,),ACTUALS!$A:$A,$B10)*-1000,F10*'2020 Assumptions'!$B$4)</f>
        <v>260823.68000000002</v>
      </c>
      <c r="F10" s="73">
        <f ca="1">IF($C10=F$3,SUMIFS(OFFSET(ACTUALS!$A:$A,,MATCH(F$4,ACTUALS!$2:$2,0)-1,,),ACTUALS!$A:$A,$B10)*-1000,E10/'2020 Assumptions'!$B$4)</f>
        <v>194036.36363636365</v>
      </c>
      <c r="G10" s="73">
        <f ca="1">IF($C10=G$3,SUMIFS(OFFSET('Non-margin Costs'!$A:$A,,MATCH(G$4,'Non-margin Costs'!$2:$2,0)-1,,),'Non-margin Costs'!$A:$A,$B10)*1000,(SUMIFS(OFFSET('Non-margin Costs'!$A:$A,,MATCH(G$4,'Non-margin Costs'!$2:$2,0)-1,,),'Non-margin Costs'!$A:$A,$B10)*1000)/'2020 Assumptions'!$B$4)</f>
        <v>44864.179437583691</v>
      </c>
      <c r="I10" s="73">
        <f ca="1">OFFSET('Allocation %'!$A$1,MATCH(I$4,'Allocation %'!$A:$A,0)-1,MATCH($D10,'Allocation %'!$5:$5,0)-1)*$F10</f>
        <v>0</v>
      </c>
      <c r="J10" s="73">
        <f ca="1">OFFSET('Allocation %'!$A$1,MATCH(J$4,'Allocation %'!$A:$A,0)-1,MATCH($D10,'Allocation %'!$5:$5,0)-1)*$F10</f>
        <v>469.78498735343936</v>
      </c>
      <c r="K10" s="73">
        <f ca="1">OFFSET('Allocation %'!$A$1,MATCH(K$4,'Allocation %'!$A:$A,0)-1,MATCH($D10,'Allocation %'!$5:$5,0)-1)*$F10</f>
        <v>147.89804176522</v>
      </c>
      <c r="L10" s="73">
        <f ca="1">OFFSET('Allocation %'!$A$1,MATCH(L$4,'Allocation %'!$A:$A,0)-1,MATCH($D10,'Allocation %'!$5:$5,0)-1)*$F10</f>
        <v>159.86147611842679</v>
      </c>
      <c r="M10" s="73">
        <f ca="1">OFFSET('Allocation %'!$A$1,MATCH(M$4,'Allocation %'!$A:$A,0)-1,MATCH($D10,'Allocation %'!$5:$5,0)-1)*$F10</f>
        <v>260.24701599095158</v>
      </c>
      <c r="N10" s="73">
        <f ca="1">OFFSET('Allocation %'!$A$1,MATCH(N$4,'Allocation %'!$A:$A,0)-1,MATCH($D10,'Allocation %'!$5:$5,0)-1)*$F10</f>
        <v>227.73676593757045</v>
      </c>
      <c r="O10" s="73">
        <f ca="1">OFFSET('Allocation %'!$A$1,MATCH(O$4,'Allocation %'!$A:$A,0)-1,MATCH($D10,'Allocation %'!$5:$5,0)-1)*$F10</f>
        <v>532.45280746562844</v>
      </c>
      <c r="P10" s="73">
        <f ca="1">OFFSET('Allocation %'!$A$1,MATCH(P$4,'Allocation %'!$A:$A,0)-1,MATCH($D10,'Allocation %'!$5:$5,0)-1)*$F10</f>
        <v>77.31391633923981</v>
      </c>
      <c r="Q10" s="73">
        <f ca="1">OFFSET('Allocation %'!$A$1,MATCH(Q$4,'Allocation %'!$A:$A,0)-1,MATCH($D10,'Allocation %'!$5:$5,0)-1)*$F10</f>
        <v>168.71996483599636</v>
      </c>
      <c r="R10" s="73">
        <f ca="1">OFFSET('Allocation %'!$A$1,MATCH(R$4,'Allocation %'!$A:$A,0)-1,MATCH($D10,'Allocation %'!$5:$5,0)-1)*$F10</f>
        <v>155.71312762660096</v>
      </c>
      <c r="S10" s="73">
        <f ca="1">OFFSET('Allocation %'!$A$1,MATCH(S$4,'Allocation %'!$A:$A,0)-1,MATCH($D10,'Allocation %'!$5:$5,0)-1)*$F10</f>
        <v>149.76961493182657</v>
      </c>
      <c r="T10" s="73">
        <f ca="1">OFFSET('Allocation %'!$A$1,MATCH(T$4,'Allocation %'!$A:$A,0)-1,MATCH($D10,'Allocation %'!$5:$5,0)-1)*$F10</f>
        <v>537.53773305968639</v>
      </c>
      <c r="U10" s="73">
        <f ca="1">OFFSET('Allocation %'!$A$1,MATCH(U$4,'Allocation %'!$A:$A,0)-1,MATCH($D10,'Allocation %'!$5:$5,0)-1)*$F10</f>
        <v>343.83653032329443</v>
      </c>
      <c r="V10" s="73">
        <f ca="1">OFFSET('Allocation %'!$A$1,MATCH(V$4,'Allocation %'!$A:$A,0)-1,MATCH($D10,'Allocation %'!$5:$5,0)-1)*$F10</f>
        <v>364.90599039479315</v>
      </c>
      <c r="W10" s="73">
        <f ca="1">OFFSET('Allocation %'!$A$1,MATCH(W$4,'Allocation %'!$A:$A,0)-1,MATCH($D10,'Allocation %'!$5:$5,0)-1)*$F10</f>
        <v>590.94425548881168</v>
      </c>
      <c r="X10" s="73">
        <f ca="1">OFFSET('Allocation %'!$A$1,MATCH(X$4,'Allocation %'!$A:$A,0)-1,MATCH($D10,'Allocation %'!$5:$5,0)-1)*$F10</f>
        <v>13.68668684677767</v>
      </c>
      <c r="Y10" s="73">
        <f ca="1">OFFSET('Allocation %'!$A$1,MATCH(Y$4,'Allocation %'!$A:$A,0)-1,MATCH($D10,'Allocation %'!$5:$5,0)-1)*$F10</f>
        <v>10.799624628243672</v>
      </c>
      <c r="Z10" s="73">
        <f ca="1">OFFSET('Allocation %'!$A$1,MATCH(Z$4,'Allocation %'!$A:$A,0)-1,MATCH($D10,'Allocation %'!$5:$5,0)-1)*$F10</f>
        <v>31.493443163155689</v>
      </c>
      <c r="AA10" s="73">
        <f ca="1">OFFSET('Allocation %'!$A$1,MATCH(AA$4,'Allocation %'!$A:$A,0)-1,MATCH($D10,'Allocation %'!$5:$5,0)-1)*$F10</f>
        <v>28.735314836030998</v>
      </c>
      <c r="AB10" s="73">
        <f ca="1">OFFSET('Allocation %'!$A$1,MATCH(AB$4,'Allocation %'!$A:$A,0)-1,MATCH($D10,'Allocation %'!$5:$5,0)-1)*$F10</f>
        <v>27.805111567871791</v>
      </c>
      <c r="AC10" s="73">
        <f ca="1">OFFSET('Allocation %'!$A$1,MATCH(AC$4,'Allocation %'!$A:$A,0)-1,MATCH($D10,'Allocation %'!$5:$5,0)-1)*$F10</f>
        <v>31.455543618422979</v>
      </c>
      <c r="AD10" s="73">
        <f ca="1">OFFSET('Allocation %'!$A$1,MATCH(AD$4,'Allocation %'!$A:$A,0)-1,MATCH($D10,'Allocation %'!$5:$5,0)-1)*$F10</f>
        <v>69.511544660290724</v>
      </c>
      <c r="AE10" s="73">
        <f ca="1">OFFSET('Allocation %'!$A$1,MATCH(AE$4,'Allocation %'!$A:$A,0)-1,MATCH($D10,'Allocation %'!$5:$5,0)-1)*$F10</f>
        <v>66.5406953296593</v>
      </c>
      <c r="AF10" s="73">
        <f ca="1">OFFSET('Allocation %'!$A$1,MATCH(AF$4,'Allocation %'!$A:$A,0)-1,MATCH($D10,'Allocation %'!$5:$5,0)-1)*$F10</f>
        <v>328.04594810058285</v>
      </c>
      <c r="AG10" s="73">
        <f ca="1">OFFSET('Allocation %'!$A$1,MATCH(AG$4,'Allocation %'!$A:$A,0)-1,MATCH($D10,'Allocation %'!$5:$5,0)-1)*$F10</f>
        <v>516.27331733017627</v>
      </c>
      <c r="AH10" s="73">
        <f ca="1">OFFSET('Allocation %'!$A$1,MATCH(AH$4,'Allocation %'!$A:$A,0)-1,MATCH($D10,'Allocation %'!$5:$5,0)-1)*$F10</f>
        <v>4566.5677101842502</v>
      </c>
      <c r="AI10" s="73">
        <f ca="1">OFFSET('Allocation %'!$A$1,MATCH(AI$4,'Allocation %'!$A:$A,0)-1,MATCH($D10,'Allocation %'!$5:$5,0)-1)*$F10</f>
        <v>27.122184708349216</v>
      </c>
      <c r="AJ10" s="73">
        <f ca="1">OFFSET('Allocation %'!$A$1,MATCH(AJ$4,'Allocation %'!$A:$A,0)-1,MATCH($D10,'Allocation %'!$5:$5,0)-1)*$F10</f>
        <v>635.20902482535314</v>
      </c>
      <c r="AK10" s="73">
        <f ca="1">OFFSET('Allocation %'!$A$1,MATCH(AK$4,'Allocation %'!$A:$A,0)-1,MATCH($D10,'Allocation %'!$5:$5,0)-1)*$F10</f>
        <v>571.67080807252819</v>
      </c>
      <c r="AL10" s="73">
        <f ca="1">OFFSET('Allocation %'!$A$1,MATCH(AL$4,'Allocation %'!$A:$A,0)-1,MATCH($D10,'Allocation %'!$5:$5,0)-1)*$F10</f>
        <v>0</v>
      </c>
      <c r="AM10" s="73">
        <f ca="1">OFFSET('Allocation %'!$A$1,MATCH(AM$4,'Allocation %'!$A:$A,0)-1,MATCH($D10,'Allocation %'!$5:$5,0)-1)*$F10</f>
        <v>74.9511826372717</v>
      </c>
      <c r="AN10" s="73">
        <f ca="1">OFFSET('Allocation %'!$A$1,MATCH(AN$4,'Allocation %'!$A:$A,0)-1,MATCH($D10,'Allocation %'!$5:$5,0)-1)*$F10</f>
        <v>0</v>
      </c>
      <c r="AO10" s="73">
        <f ca="1">OFFSET('Allocation %'!$A$1,MATCH(AO$4,'Allocation %'!$A:$A,0)-1,MATCH($D10,'Allocation %'!$5:$5,0)-1)*$F10</f>
        <v>616.32076903260599</v>
      </c>
      <c r="AP10" s="73">
        <f ca="1">OFFSET('Allocation %'!$A$1,MATCH(AP$4,'Allocation %'!$A:$A,0)-1,MATCH($D10,'Allocation %'!$5:$5,0)-1)*$F10</f>
        <v>128.07753343489384</v>
      </c>
      <c r="AQ10" s="73">
        <f ca="1">OFFSET('Allocation %'!$A$1,MATCH(AQ$4,'Allocation %'!$A:$A,0)-1,MATCH($D10,'Allocation %'!$5:$5,0)-1)*$F10</f>
        <v>566.40970341408888</v>
      </c>
      <c r="AR10" s="73">
        <f ca="1">OFFSET('Allocation %'!$A$1,MATCH(AR$4,'Allocation %'!$A:$A,0)-1,MATCH($D10,'Allocation %'!$5:$5,0)-1)*$F10</f>
        <v>14.213110145623585</v>
      </c>
      <c r="AS10" s="73">
        <f ca="1">OFFSET('Allocation %'!$A$1,MATCH(AS$4,'Allocation %'!$A:$A,0)-1,MATCH($D10,'Allocation %'!$5:$5,0)-1)*$F10</f>
        <v>1041.0959808436426</v>
      </c>
      <c r="AT10" s="73">
        <f ca="1">OFFSET('Allocation %'!$A$1,MATCH(AT$4,'Allocation %'!$A:$A,0)-1,MATCH($D10,'Allocation %'!$5:$5,0)-1)*$F10</f>
        <v>613.00127385219855</v>
      </c>
      <c r="AU10" s="73">
        <f ca="1">OFFSET('Allocation %'!$A$1,MATCH(AU$4,'Allocation %'!$A:$A,0)-1,MATCH($D10,'Allocation %'!$5:$5,0)-1)*$F10</f>
        <v>732.72772870807648</v>
      </c>
      <c r="AV10" s="73">
        <f ca="1">OFFSET('Allocation %'!$A$1,MATCH(AV$4,'Allocation %'!$A:$A,0)-1,MATCH($D10,'Allocation %'!$5:$5,0)-1)*$F10</f>
        <v>1128.8130420829864</v>
      </c>
      <c r="AW10" s="73">
        <f ca="1">OFFSET('Allocation %'!$A$1,MATCH(AW$4,'Allocation %'!$A:$A,0)-1,MATCH($D10,'Allocation %'!$5:$5,0)-1)*$F10</f>
        <v>4314.3546553715869</v>
      </c>
      <c r="AX10" s="73">
        <f ca="1">OFFSET('Allocation %'!$A$1,MATCH(AX$4,'Allocation %'!$A:$A,0)-1,MATCH($D10,'Allocation %'!$5:$5,0)-1)*$F10</f>
        <v>75.259458280632998</v>
      </c>
      <c r="AY10" s="73">
        <f ca="1">OFFSET('Allocation %'!$A$1,MATCH(AY$4,'Allocation %'!$A:$A,0)-1,MATCH($D10,'Allocation %'!$5:$5,0)-1)*$F10</f>
        <v>0</v>
      </c>
      <c r="AZ10" s="73">
        <f ca="1">OFFSET('Allocation %'!$A$1,MATCH(AZ$4,'Allocation %'!$A:$A,0)-1,MATCH($D10,'Allocation %'!$5:$5,0)-1)*$F10</f>
        <v>102702.96065276771</v>
      </c>
      <c r="BA10" s="73">
        <f ca="1">OFFSET('Allocation %'!$A$1,MATCH(BA$4,'Allocation %'!$A:$A,0)-1,MATCH($D10,'Allocation %'!$5:$5,0)-1)*$F10</f>
        <v>20329.210163467065</v>
      </c>
      <c r="BB10" s="73">
        <f ca="1">OFFSET('Allocation %'!$A$1,MATCH(BB$4,'Allocation %'!$A:$A,0)-1,MATCH($D10,'Allocation %'!$5:$5,0)-1)*$F10</f>
        <v>13253.305604946097</v>
      </c>
      <c r="BC10" s="73">
        <f ca="1">OFFSET('Allocation %'!$A$1,MATCH(BC$4,'Allocation %'!$A:$A,0)-1,MATCH($D10,'Allocation %'!$5:$5,0)-1)*$F10</f>
        <v>410.95674084585283</v>
      </c>
      <c r="BD10" s="73">
        <f ca="1">OFFSET('Allocation %'!$A$1,MATCH(BD$4,'Allocation %'!$A:$A,0)-1,MATCH($D10,'Allocation %'!$5:$5,0)-1)*$F10</f>
        <v>7909.3705449649724</v>
      </c>
      <c r="BE10" s="73">
        <f ca="1">OFFSET('Allocation %'!$A$1,MATCH(BE$4,'Allocation %'!$A:$A,0)-1,MATCH($D10,'Allocation %'!$5:$5,0)-1)*$F10</f>
        <v>29013.696306065151</v>
      </c>
      <c r="BG10" s="76">
        <f t="shared" ca="1" si="0"/>
        <v>194036.36363636362</v>
      </c>
      <c r="BH10" s="349">
        <f t="shared" ca="1" si="1"/>
        <v>0</v>
      </c>
      <c r="BJ10" s="76">
        <f t="shared" ca="1" si="2"/>
        <v>71004.192820128854</v>
      </c>
    </row>
    <row r="11" spans="2:62" x14ac:dyDescent="0.25">
      <c r="B11" s="172" t="s">
        <v>222</v>
      </c>
      <c r="C11" s="131" t="str">
        <f>INDEX(ACTUALS!$E:$E,MATCH($B11,ACTUALS!$A:$A,0))</f>
        <v>CAD</v>
      </c>
      <c r="D11" s="159" t="str">
        <f ca="1">OFFSET(ACTUALS!$O$2,MATCH($B11,ACTUALS!$A:$A,0)-2,MATCH($E$4,ACTUALS!$P$2:$P$2,0))</f>
        <v>ALL</v>
      </c>
      <c r="E11" s="173">
        <f ca="1">IF($C11=E$3,SUMIFS(OFFSET(ACTUALS!$A:$A,,MATCH(E$4,ACTUALS!$2:$2,0)-1,,),ACTUALS!$A:$A,$B11)*-1000,F11*'2020 Assumptions'!$B$4)</f>
        <v>49509.280000000006</v>
      </c>
      <c r="F11" s="73">
        <f ca="1">IF($C11=F$3,SUMIFS(OFFSET(ACTUALS!$A:$A,,MATCH(F$4,ACTUALS!$2:$2,0)-1,,),ACTUALS!$A:$A,$B11)*-1000,E11/'2020 Assumptions'!$B$4)</f>
        <v>36831.78098497248</v>
      </c>
      <c r="G11" s="73">
        <f ca="1">IF($C11=G$3,SUMIFS(OFFSET('Non-margin Costs'!$A:$A,,MATCH(G$4,'Non-margin Costs'!$2:$2,0)-1,,),'Non-margin Costs'!$A:$A,$B11)*1000,(SUMIFS(OFFSET('Non-margin Costs'!$A:$A,,MATCH(G$4,'Non-margin Costs'!$2:$2,0)-1,,),'Non-margin Costs'!$A:$A,$B11)*1000)/'2020 Assumptions'!$B$4)</f>
        <v>9540.6412736199964</v>
      </c>
      <c r="I11" s="73">
        <f ca="1">OFFSET('Allocation %'!$A$1,MATCH(I$4,'Allocation %'!$A:$A,0)-1,MATCH($D11,'Allocation %'!$5:$5,0)-1)*$F11</f>
        <v>0</v>
      </c>
      <c r="J11" s="73">
        <f ca="1">OFFSET('Allocation %'!$A$1,MATCH(J$4,'Allocation %'!$A:$A,0)-1,MATCH($D11,'Allocation %'!$5:$5,0)-1)*$F11</f>
        <v>89.174098297661814</v>
      </c>
      <c r="K11" s="73">
        <f ca="1">OFFSET('Allocation %'!$A$1,MATCH(K$4,'Allocation %'!$A:$A,0)-1,MATCH($D11,'Allocation %'!$5:$5,0)-1)*$F11</f>
        <v>28.073852654812523</v>
      </c>
      <c r="L11" s="73">
        <f ca="1">OFFSET('Allocation %'!$A$1,MATCH(L$4,'Allocation %'!$A:$A,0)-1,MATCH($D11,'Allocation %'!$5:$5,0)-1)*$F11</f>
        <v>30.344739336399616</v>
      </c>
      <c r="M11" s="73">
        <f ca="1">OFFSET('Allocation %'!$A$1,MATCH(M$4,'Allocation %'!$A:$A,0)-1,MATCH($D11,'Allocation %'!$5:$5,0)-1)*$F11</f>
        <v>49.399818236827656</v>
      </c>
      <c r="N11" s="73">
        <f ca="1">OFFSET('Allocation %'!$A$1,MATCH(N$4,'Allocation %'!$A:$A,0)-1,MATCH($D11,'Allocation %'!$5:$5,0)-1)*$F11</f>
        <v>43.228756342589904</v>
      </c>
      <c r="O11" s="73">
        <f ca="1">OFFSET('Allocation %'!$A$1,MATCH(O$4,'Allocation %'!$A:$A,0)-1,MATCH($D11,'Allocation %'!$5:$5,0)-1)*$F11</f>
        <v>101.06963881347694</v>
      </c>
      <c r="P11" s="73">
        <f ca="1">OFFSET('Allocation %'!$A$1,MATCH(P$4,'Allocation %'!$A:$A,0)-1,MATCH($D11,'Allocation %'!$5:$5,0)-1)*$F11</f>
        <v>14.675647287608237</v>
      </c>
      <c r="Q11" s="73">
        <f ca="1">OFFSET('Allocation %'!$A$1,MATCH(Q$4,'Allocation %'!$A:$A,0)-1,MATCH($D11,'Allocation %'!$5:$5,0)-1)*$F11</f>
        <v>32.02624846277569</v>
      </c>
      <c r="R11" s="73">
        <f ca="1">OFFSET('Allocation %'!$A$1,MATCH(R$4,'Allocation %'!$A:$A,0)-1,MATCH($D11,'Allocation %'!$5:$5,0)-1)*$F11</f>
        <v>29.557304134889609</v>
      </c>
      <c r="S11" s="73">
        <f ca="1">OFFSET('Allocation %'!$A$1,MATCH(S$4,'Allocation %'!$A:$A,0)-1,MATCH($D11,'Allocation %'!$5:$5,0)-1)*$F11</f>
        <v>28.429112729150908</v>
      </c>
      <c r="T11" s="73">
        <f ca="1">OFFSET('Allocation %'!$A$1,MATCH(T$4,'Allocation %'!$A:$A,0)-1,MATCH($D11,'Allocation %'!$5:$5,0)-1)*$F11</f>
        <v>102.03485410763805</v>
      </c>
      <c r="U11" s="73">
        <f ca="1">OFFSET('Allocation %'!$A$1,MATCH(U$4,'Allocation %'!$A:$A,0)-1,MATCH($D11,'Allocation %'!$5:$5,0)-1)*$F11</f>
        <v>65.266693016540813</v>
      </c>
      <c r="V11" s="73">
        <f ca="1">OFFSET('Allocation %'!$A$1,MATCH(V$4,'Allocation %'!$A:$A,0)-1,MATCH($D11,'Allocation %'!$5:$5,0)-1)*$F11</f>
        <v>69.266076040845391</v>
      </c>
      <c r="W11" s="73">
        <f ca="1">OFFSET('Allocation %'!$A$1,MATCH(W$4,'Allocation %'!$A:$A,0)-1,MATCH($D11,'Allocation %'!$5:$5,0)-1)*$F11</f>
        <v>112.17242471767561</v>
      </c>
      <c r="X11" s="73">
        <f ca="1">OFFSET('Allocation %'!$A$1,MATCH(X$4,'Allocation %'!$A:$A,0)-1,MATCH($D11,'Allocation %'!$5:$5,0)-1)*$F11</f>
        <v>2.5979926798419255</v>
      </c>
      <c r="Y11" s="73">
        <f ca="1">OFFSET('Allocation %'!$A$1,MATCH(Y$4,'Allocation %'!$A:$A,0)-1,MATCH($D11,'Allocation %'!$5:$5,0)-1)*$F11</f>
        <v>2.0499735285331915</v>
      </c>
      <c r="Z11" s="73">
        <f ca="1">OFFSET('Allocation %'!$A$1,MATCH(Z$4,'Allocation %'!$A:$A,0)-1,MATCH($D11,'Allocation %'!$5:$5,0)-1)*$F11</f>
        <v>5.9780526665706155</v>
      </c>
      <c r="AA11" s="73">
        <f ca="1">OFFSET('Allocation %'!$A$1,MATCH(AA$4,'Allocation %'!$A:$A,0)-1,MATCH($D11,'Allocation %'!$5:$5,0)-1)*$F11</f>
        <v>5.4545076125956546</v>
      </c>
      <c r="AB11" s="73">
        <f ca="1">OFFSET('Allocation %'!$A$1,MATCH(AB$4,'Allocation %'!$A:$A,0)-1,MATCH($D11,'Allocation %'!$5:$5,0)-1)*$F11</f>
        <v>5.2779373945072914</v>
      </c>
      <c r="AC11" s="73">
        <f ca="1">OFFSET('Allocation %'!$A$1,MATCH(AC$4,'Allocation %'!$A:$A,0)-1,MATCH($D11,'Allocation %'!$5:$5,0)-1)*$F11</f>
        <v>5.9708586143586215</v>
      </c>
      <c r="AD11" s="73">
        <f ca="1">OFFSET('Allocation %'!$A$1,MATCH(AD$4,'Allocation %'!$A:$A,0)-1,MATCH($D11,'Allocation %'!$5:$5,0)-1)*$F11</f>
        <v>13.194609200433177</v>
      </c>
      <c r="AE11" s="73">
        <f ca="1">OFFSET('Allocation %'!$A$1,MATCH(AE$4,'Allocation %'!$A:$A,0)-1,MATCH($D11,'Allocation %'!$5:$5,0)-1)*$F11</f>
        <v>12.63068566654222</v>
      </c>
      <c r="AF11" s="73">
        <f ca="1">OFFSET('Allocation %'!$A$1,MATCH(AF$4,'Allocation %'!$A:$A,0)-1,MATCH($D11,'Allocation %'!$5:$5,0)-1)*$F11</f>
        <v>62.269341101916915</v>
      </c>
      <c r="AG11" s="73">
        <f ca="1">OFFSET('Allocation %'!$A$1,MATCH(AG$4,'Allocation %'!$A:$A,0)-1,MATCH($D11,'Allocation %'!$5:$5,0)-1)*$F11</f>
        <v>97.998464802845163</v>
      </c>
      <c r="AH11" s="73">
        <f ca="1">OFFSET('Allocation %'!$A$1,MATCH(AH$4,'Allocation %'!$A:$A,0)-1,MATCH($D11,'Allocation %'!$5:$5,0)-1)*$F11</f>
        <v>866.82113910236569</v>
      </c>
      <c r="AI11" s="73">
        <f ca="1">OFFSET('Allocation %'!$A$1,MATCH(AI$4,'Allocation %'!$A:$A,0)-1,MATCH($D11,'Allocation %'!$5:$5,0)-1)*$F11</f>
        <v>5.1483049274413268</v>
      </c>
      <c r="AJ11" s="73">
        <f ca="1">OFFSET('Allocation %'!$A$1,MATCH(AJ$4,'Allocation %'!$A:$A,0)-1,MATCH($D11,'Allocation %'!$5:$5,0)-1)*$F11</f>
        <v>120.5747172519204</v>
      </c>
      <c r="AK11" s="73">
        <f ca="1">OFFSET('Allocation %'!$A$1,MATCH(AK$4,'Allocation %'!$A:$A,0)-1,MATCH($D11,'Allocation %'!$5:$5,0)-1)*$F11</f>
        <v>108.51395894992764</v>
      </c>
      <c r="AL11" s="73">
        <f ca="1">OFFSET('Allocation %'!$A$1,MATCH(AL$4,'Allocation %'!$A:$A,0)-1,MATCH($D11,'Allocation %'!$5:$5,0)-1)*$F11</f>
        <v>0</v>
      </c>
      <c r="AM11" s="73">
        <f ca="1">OFFSET('Allocation %'!$A$1,MATCH(AM$4,'Allocation %'!$A:$A,0)-1,MATCH($D11,'Allocation %'!$5:$5,0)-1)*$F11</f>
        <v>14.227155630653716</v>
      </c>
      <c r="AN11" s="73">
        <f ca="1">OFFSET('Allocation %'!$A$1,MATCH(AN$4,'Allocation %'!$A:$A,0)-1,MATCH($D11,'Allocation %'!$5:$5,0)-1)*$F11</f>
        <v>0</v>
      </c>
      <c r="AO11" s="73">
        <f ca="1">OFFSET('Allocation %'!$A$1,MATCH(AO$4,'Allocation %'!$A:$A,0)-1,MATCH($D11,'Allocation %'!$5:$5,0)-1)*$F11</f>
        <v>116.98936815802392</v>
      </c>
      <c r="AP11" s="73">
        <f ca="1">OFFSET('Allocation %'!$A$1,MATCH(AP$4,'Allocation %'!$A:$A,0)-1,MATCH($D11,'Allocation %'!$5:$5,0)-1)*$F11</f>
        <v>24.311544352635163</v>
      </c>
      <c r="AQ11" s="73">
        <f ca="1">OFFSET('Allocation %'!$A$1,MATCH(AQ$4,'Allocation %'!$A:$A,0)-1,MATCH($D11,'Allocation %'!$5:$5,0)-1)*$F11</f>
        <v>107.5153015287764</v>
      </c>
      <c r="AR11" s="73">
        <f ca="1">OFFSET('Allocation %'!$A$1,MATCH(AR$4,'Allocation %'!$A:$A,0)-1,MATCH($D11,'Allocation %'!$5:$5,0)-1)*$F11</f>
        <v>2.6979178035925222</v>
      </c>
      <c r="AS11" s="73">
        <f ca="1">OFFSET('Allocation %'!$A$1,MATCH(AS$4,'Allocation %'!$A:$A,0)-1,MATCH($D11,'Allocation %'!$5:$5,0)-1)*$F11</f>
        <v>197.61975761733956</v>
      </c>
      <c r="AT11" s="73">
        <f ca="1">OFFSET('Allocation %'!$A$1,MATCH(AT$4,'Allocation %'!$A:$A,0)-1,MATCH($D11,'Allocation %'!$5:$5,0)-1)*$F11</f>
        <v>116.35926503109373</v>
      </c>
      <c r="AU11" s="73">
        <f ca="1">OFFSET('Allocation %'!$A$1,MATCH(AU$4,'Allocation %'!$A:$A,0)-1,MATCH($D11,'Allocation %'!$5:$5,0)-1)*$F11</f>
        <v>139.08561632276715</v>
      </c>
      <c r="AV11" s="73">
        <f ca="1">OFFSET('Allocation %'!$A$1,MATCH(AV$4,'Allocation %'!$A:$A,0)-1,MATCH($D11,'Allocation %'!$5:$5,0)-1)*$F11</f>
        <v>214.27011906333948</v>
      </c>
      <c r="AW11" s="73">
        <f ca="1">OFFSET('Allocation %'!$A$1,MATCH(AW$4,'Allocation %'!$A:$A,0)-1,MATCH($D11,'Allocation %'!$5:$5,0)-1)*$F11</f>
        <v>818.94631903090783</v>
      </c>
      <c r="AX11" s="73">
        <f ca="1">OFFSET('Allocation %'!$A$1,MATCH(AX$4,'Allocation %'!$A:$A,0)-1,MATCH($D11,'Allocation %'!$5:$5,0)-1)*$F11</f>
        <v>14.28567219304696</v>
      </c>
      <c r="AY11" s="73">
        <f ca="1">OFFSET('Allocation %'!$A$1,MATCH(AY$4,'Allocation %'!$A:$A,0)-1,MATCH($D11,'Allocation %'!$5:$5,0)-1)*$F11</f>
        <v>0</v>
      </c>
      <c r="AZ11" s="73">
        <f ca="1">OFFSET('Allocation %'!$A$1,MATCH(AZ$4,'Allocation %'!$A:$A,0)-1,MATCH($D11,'Allocation %'!$5:$5,0)-1)*$F11</f>
        <v>19494.969305650699</v>
      </c>
      <c r="BA11" s="73">
        <f ca="1">OFFSET('Allocation %'!$A$1,MATCH(BA$4,'Allocation %'!$A:$A,0)-1,MATCH($D11,'Allocation %'!$5:$5,0)-1)*$F11</f>
        <v>3858.8695557164779</v>
      </c>
      <c r="BB11" s="73">
        <f ca="1">OFFSET('Allocation %'!$A$1,MATCH(BB$4,'Allocation %'!$A:$A,0)-1,MATCH($D11,'Allocation %'!$5:$5,0)-1)*$F11</f>
        <v>2515.7287027038565</v>
      </c>
      <c r="BC11" s="73">
        <f ca="1">OFFSET('Allocation %'!$A$1,MATCH(BC$4,'Allocation %'!$A:$A,0)-1,MATCH($D11,'Allocation %'!$5:$5,0)-1)*$F11</f>
        <v>78.007381655012182</v>
      </c>
      <c r="BD11" s="73">
        <f ca="1">OFFSET('Allocation %'!$A$1,MATCH(BD$4,'Allocation %'!$A:$A,0)-1,MATCH($D11,'Allocation %'!$5:$5,0)-1)*$F11</f>
        <v>1501.3485007742527</v>
      </c>
      <c r="BE11" s="73">
        <f ca="1">OFFSET('Allocation %'!$A$1,MATCH(BE$4,'Allocation %'!$A:$A,0)-1,MATCH($D11,'Allocation %'!$5:$5,0)-1)*$F11</f>
        <v>5507.3496940613113</v>
      </c>
      <c r="BG11" s="76">
        <f t="shared" ca="1" si="0"/>
        <v>36831.780984972487</v>
      </c>
      <c r="BH11" s="349">
        <f t="shared" ca="1" si="1"/>
        <v>0</v>
      </c>
      <c r="BJ11" s="76">
        <f t="shared" ca="1" si="2"/>
        <v>13477.942123605302</v>
      </c>
    </row>
    <row r="12" spans="2:62" x14ac:dyDescent="0.25">
      <c r="B12" s="172" t="s">
        <v>223</v>
      </c>
      <c r="C12" s="131" t="str">
        <f>INDEX(ACTUALS!$E:$E,MATCH($B12,ACTUALS!$A:$A,0))</f>
        <v>CAD</v>
      </c>
      <c r="D12" s="159" t="str">
        <f ca="1">OFFSET(ACTUALS!$O$2,MATCH($B12,ACTUALS!$A:$A,0)-2,MATCH($E$4,ACTUALS!$P$2:$P$2,0))</f>
        <v>ALL + Tribus</v>
      </c>
      <c r="E12" s="173">
        <f ca="1">IF($C12=E$3,SUMIFS(OFFSET(ACTUALS!$A:$A,,MATCH(E$4,ACTUALS!$2:$2,0)-1,,),ACTUALS!$A:$A,$B12)*-1000,F12*'2020 Assumptions'!$B$4)</f>
        <v>774819.56</v>
      </c>
      <c r="F12" s="73">
        <f ca="1">IF($C12=F$3,SUMIFS(OFFSET(ACTUALS!$A:$A,,MATCH(F$4,ACTUALS!$2:$2,0)-1,,),ACTUALS!$A:$A,$B12)*-1000,E12/'2020 Assumptions'!$B$4)</f>
        <v>576416.8724892129</v>
      </c>
      <c r="G12" s="73">
        <f ca="1">IF($C12=G$3,SUMIFS(OFFSET('Non-margin Costs'!$A:$A,,MATCH(G$4,'Non-margin Costs'!$2:$2,0)-1,,),'Non-margin Costs'!$A:$A,$B12)*1000,(SUMIFS(OFFSET('Non-margin Costs'!$A:$A,,MATCH(G$4,'Non-margin Costs'!$2:$2,0)-1,,),'Non-margin Costs'!$A:$A,$B12)*1000)/'2020 Assumptions'!$B$4)</f>
        <v>158464.87873828298</v>
      </c>
      <c r="I12" s="73">
        <f ca="1">OFFSET('Allocation %'!$A$1,MATCH(I$4,'Allocation %'!$A:$A,0)-1,MATCH($D12,'Allocation %'!$5:$5,0)-1)*$F12</f>
        <v>11528.337449784258</v>
      </c>
      <c r="J12" s="73">
        <f ca="1">OFFSET('Allocation %'!$A$1,MATCH(J$4,'Allocation %'!$A:$A,0)-1,MATCH($D12,'Allocation %'!$5:$5,0)-1)*$F12</f>
        <v>1367.6619594197944</v>
      </c>
      <c r="K12" s="73">
        <f ca="1">OFFSET('Allocation %'!$A$1,MATCH(K$4,'Allocation %'!$A:$A,0)-1,MATCH($D12,'Allocation %'!$5:$5,0)-1)*$F12</f>
        <v>430.56830473552702</v>
      </c>
      <c r="L12" s="73">
        <f ca="1">OFFSET('Allocation %'!$A$1,MATCH(L$4,'Allocation %'!$A:$A,0)-1,MATCH($D12,'Allocation %'!$5:$5,0)-1)*$F12</f>
        <v>465.39686356426432</v>
      </c>
      <c r="M12" s="73">
        <f ca="1">OFFSET('Allocation %'!$A$1,MATCH(M$4,'Allocation %'!$A:$A,0)-1,MATCH($D12,'Allocation %'!$5:$5,0)-1)*$F12</f>
        <v>757.64435519425854</v>
      </c>
      <c r="N12" s="73">
        <f ca="1">OFFSET('Allocation %'!$A$1,MATCH(N$4,'Allocation %'!$A:$A,0)-1,MATCH($D12,'Allocation %'!$5:$5,0)-1)*$F12</f>
        <v>662.99886100824847</v>
      </c>
      <c r="O12" s="73">
        <f ca="1">OFFSET('Allocation %'!$A$1,MATCH(O$4,'Allocation %'!$A:$A,0)-1,MATCH($D12,'Allocation %'!$5:$5,0)-1)*$F12</f>
        <v>1550.1037060793606</v>
      </c>
      <c r="P12" s="73">
        <f ca="1">OFFSET('Allocation %'!$A$1,MATCH(P$4,'Allocation %'!$A:$A,0)-1,MATCH($D12,'Allocation %'!$5:$5,0)-1)*$F12</f>
        <v>225.08020723827553</v>
      </c>
      <c r="Q12" s="73">
        <f ca="1">OFFSET('Allocation %'!$A$1,MATCH(Q$4,'Allocation %'!$A:$A,0)-1,MATCH($D12,'Allocation %'!$5:$5,0)-1)*$F12</f>
        <v>491.18614666848242</v>
      </c>
      <c r="R12" s="73">
        <f ca="1">OFFSET('Allocation %'!$A$1,MATCH(R$4,'Allocation %'!$A:$A,0)-1,MATCH($D12,'Allocation %'!$5:$5,0)-1)*$F12</f>
        <v>453.3199803529705</v>
      </c>
      <c r="S12" s="73">
        <f ca="1">OFFSET('Allocation %'!$A$1,MATCH(S$4,'Allocation %'!$A:$A,0)-1,MATCH($D12,'Allocation %'!$5:$5,0)-1)*$F12</f>
        <v>436.01692377007464</v>
      </c>
      <c r="T12" s="73">
        <f ca="1">OFFSET('Allocation %'!$A$1,MATCH(T$4,'Allocation %'!$A:$A,0)-1,MATCH($D12,'Allocation %'!$5:$5,0)-1)*$F12</f>
        <v>1564.9072002068585</v>
      </c>
      <c r="U12" s="73">
        <f ca="1">OFFSET('Allocation %'!$A$1,MATCH(U$4,'Allocation %'!$A:$A,0)-1,MATCH($D12,'Allocation %'!$5:$5,0)-1)*$F12</f>
        <v>1000.9944026335386</v>
      </c>
      <c r="V12" s="73">
        <f ca="1">OFFSET('Allocation %'!$A$1,MATCH(V$4,'Allocation %'!$A:$A,0)-1,MATCH($D12,'Allocation %'!$5:$5,0)-1)*$F12</f>
        <v>1062.33288687851</v>
      </c>
      <c r="W12" s="73">
        <f ca="1">OFFSET('Allocation %'!$A$1,MATCH(W$4,'Allocation %'!$A:$A,0)-1,MATCH($D12,'Allocation %'!$5:$5,0)-1)*$F12</f>
        <v>1720.386985805588</v>
      </c>
      <c r="X12" s="73">
        <f ca="1">OFFSET('Allocation %'!$A$1,MATCH(X$4,'Allocation %'!$A:$A,0)-1,MATCH($D12,'Allocation %'!$5:$5,0)-1)*$F12</f>
        <v>39.845379172889899</v>
      </c>
      <c r="Y12" s="73">
        <f ca="1">OFFSET('Allocation %'!$A$1,MATCH(Y$4,'Allocation %'!$A:$A,0)-1,MATCH($D12,'Allocation %'!$5:$5,0)-1)*$F12</f>
        <v>31.440416738880867</v>
      </c>
      <c r="Z12" s="73">
        <f ca="1">OFFSET('Allocation %'!$A$1,MATCH(Z$4,'Allocation %'!$A:$A,0)-1,MATCH($D12,'Allocation %'!$5:$5,0)-1)*$F12</f>
        <v>91.685314228639328</v>
      </c>
      <c r="AA12" s="73">
        <f ca="1">OFFSET('Allocation %'!$A$1,MATCH(AA$4,'Allocation %'!$A:$A,0)-1,MATCH($D12,'Allocation %'!$5:$5,0)-1)*$F12</f>
        <v>83.655710699890079</v>
      </c>
      <c r="AB12" s="73">
        <f ca="1">OFFSET('Allocation %'!$A$1,MATCH(AB$4,'Allocation %'!$A:$A,0)-1,MATCH($D12,'Allocation %'!$5:$5,0)-1)*$F12</f>
        <v>80.947655613761526</v>
      </c>
      <c r="AC12" s="73">
        <f ca="1">OFFSET('Allocation %'!$A$1,MATCH(AC$4,'Allocation %'!$A:$A,0)-1,MATCH($D12,'Allocation %'!$5:$5,0)-1)*$F12</f>
        <v>91.57497914555745</v>
      </c>
      <c r="AD12" s="73">
        <f ca="1">OFFSET('Allocation %'!$A$1,MATCH(AD$4,'Allocation %'!$A:$A,0)-1,MATCH($D12,'Allocation %'!$5:$5,0)-1)*$F12</f>
        <v>202.36554579566806</v>
      </c>
      <c r="AE12" s="73">
        <f ca="1">OFFSET('Allocation %'!$A$1,MATCH(AE$4,'Allocation %'!$A:$A,0)-1,MATCH($D12,'Allocation %'!$5:$5,0)-1)*$F12</f>
        <v>193.71665805755154</v>
      </c>
      <c r="AF12" s="73">
        <f ca="1">OFFSET('Allocation %'!$A$1,MATCH(AF$4,'Allocation %'!$A:$A,0)-1,MATCH($D12,'Allocation %'!$5:$5,0)-1)*$F12</f>
        <v>955.02405618897365</v>
      </c>
      <c r="AG12" s="73">
        <f ca="1">OFFSET('Allocation %'!$A$1,MATCH(AG$4,'Allocation %'!$A:$A,0)-1,MATCH($D12,'Allocation %'!$5:$5,0)-1)*$F12</f>
        <v>1503.001151130286</v>
      </c>
      <c r="AH12" s="73">
        <f ca="1">OFFSET('Allocation %'!$A$1,MATCH(AH$4,'Allocation %'!$A:$A,0)-1,MATCH($D12,'Allocation %'!$5:$5,0)-1)*$F12</f>
        <v>13294.424280176034</v>
      </c>
      <c r="AI12" s="73">
        <f ca="1">OFFSET('Allocation %'!$A$1,MATCH(AI$4,'Allocation %'!$A:$A,0)-1,MATCH($D12,'Allocation %'!$5:$5,0)-1)*$F12</f>
        <v>78.959484190709318</v>
      </c>
      <c r="AJ12" s="73">
        <f ca="1">OFFSET('Allocation %'!$A$1,MATCH(AJ$4,'Allocation %'!$A:$A,0)-1,MATCH($D12,'Allocation %'!$5:$5,0)-1)*$F12</f>
        <v>1849.2528346381164</v>
      </c>
      <c r="AK12" s="73">
        <f ca="1">OFFSET('Allocation %'!$A$1,MATCH(AK$4,'Allocation %'!$A:$A,0)-1,MATCH($D12,'Allocation %'!$5:$5,0)-1)*$F12</f>
        <v>1664.2771449896295</v>
      </c>
      <c r="AL12" s="73">
        <f ca="1">OFFSET('Allocation %'!$A$1,MATCH(AL$4,'Allocation %'!$A:$A,0)-1,MATCH($D12,'Allocation %'!$5:$5,0)-1)*$F12</f>
        <v>0</v>
      </c>
      <c r="AM12" s="73">
        <f ca="1">OFFSET('Allocation %'!$A$1,MATCH(AM$4,'Allocation %'!$A:$A,0)-1,MATCH($D12,'Allocation %'!$5:$5,0)-1)*$F12</f>
        <v>218.20169666128731</v>
      </c>
      <c r="AN12" s="73">
        <f ca="1">OFFSET('Allocation %'!$A$1,MATCH(AN$4,'Allocation %'!$A:$A,0)-1,MATCH($D12,'Allocation %'!$5:$5,0)-1)*$F12</f>
        <v>0</v>
      </c>
      <c r="AO12" s="73">
        <f ca="1">OFFSET('Allocation %'!$A$1,MATCH(AO$4,'Allocation %'!$A:$A,0)-1,MATCH($D12,'Allocation %'!$5:$5,0)-1)*$F12</f>
        <v>1794.2643832764388</v>
      </c>
      <c r="AP12" s="73">
        <f ca="1">OFFSET('Allocation %'!$A$1,MATCH(AP$4,'Allocation %'!$A:$A,0)-1,MATCH($D12,'Allocation %'!$5:$5,0)-1)*$F12</f>
        <v>372.86583235031236</v>
      </c>
      <c r="AQ12" s="73">
        <f ca="1">OFFSET('Allocation %'!$A$1,MATCH(AQ$4,'Allocation %'!$A:$A,0)-1,MATCH($D12,'Allocation %'!$5:$5,0)-1)*$F12</f>
        <v>1648.9607494053228</v>
      </c>
      <c r="AR12" s="73">
        <f ca="1">OFFSET('Allocation %'!$A$1,MATCH(AR$4,'Allocation %'!$A:$A,0)-1,MATCH($D12,'Allocation %'!$5:$5,0)-1)*$F12</f>
        <v>41.377929466673912</v>
      </c>
      <c r="AS12" s="73">
        <f ca="1">OFFSET('Allocation %'!$A$1,MATCH(AS$4,'Allocation %'!$A:$A,0)-1,MATCH($D12,'Allocation %'!$5:$5,0)-1)*$F12</f>
        <v>3030.8915938887858</v>
      </c>
      <c r="AT12" s="73">
        <f ca="1">OFFSET('Allocation %'!$A$1,MATCH(AT$4,'Allocation %'!$A:$A,0)-1,MATCH($D12,'Allocation %'!$5:$5,0)-1)*$F12</f>
        <v>1784.600500000184</v>
      </c>
      <c r="AU12" s="73">
        <f ca="1">OFFSET('Allocation %'!$A$1,MATCH(AU$4,'Allocation %'!$A:$A,0)-1,MATCH($D12,'Allocation %'!$5:$5,0)-1)*$F12</f>
        <v>2133.1542474603657</v>
      </c>
      <c r="AV12" s="73">
        <f ca="1">OFFSET('Allocation %'!$A$1,MATCH(AV$4,'Allocation %'!$A:$A,0)-1,MATCH($D12,'Allocation %'!$5:$5,0)-1)*$F12</f>
        <v>3286.257965907163</v>
      </c>
      <c r="AW12" s="73">
        <f ca="1">OFFSET('Allocation %'!$A$1,MATCH(AW$4,'Allocation %'!$A:$A,0)-1,MATCH($D12,'Allocation %'!$5:$5,0)-1)*$F12</f>
        <v>12560.168801558912</v>
      </c>
      <c r="AX12" s="73">
        <f ca="1">OFFSET('Allocation %'!$A$1,MATCH(AX$4,'Allocation %'!$A:$A,0)-1,MATCH($D12,'Allocation %'!$5:$5,0)-1)*$F12</f>
        <v>219.0991644003399</v>
      </c>
      <c r="AY12" s="73">
        <f ca="1">OFFSET('Allocation %'!$A$1,MATCH(AY$4,'Allocation %'!$A:$A,0)-1,MATCH($D12,'Allocation %'!$5:$5,0)-1)*$F12</f>
        <v>0</v>
      </c>
      <c r="AZ12" s="73">
        <f ca="1">OFFSET('Allocation %'!$A$1,MATCH(AZ$4,'Allocation %'!$A:$A,0)-1,MATCH($D12,'Allocation %'!$5:$5,0)-1)*$F12</f>
        <v>298994.08492358244</v>
      </c>
      <c r="BA12" s="73">
        <f ca="1">OFFSET('Allocation %'!$A$1,MATCH(BA$4,'Allocation %'!$A:$A,0)-1,MATCH($D12,'Allocation %'!$5:$5,0)-1)*$F12</f>
        <v>59183.431046310587</v>
      </c>
      <c r="BB12" s="73">
        <f ca="1">OFFSET('Allocation %'!$A$1,MATCH(BB$4,'Allocation %'!$A:$A,0)-1,MATCH($D12,'Allocation %'!$5:$5,0)-1)*$F12</f>
        <v>38583.697649778085</v>
      </c>
      <c r="BC12" s="73">
        <f ca="1">OFFSET('Allocation %'!$A$1,MATCH(BC$4,'Allocation %'!$A:$A,0)-1,MATCH($D12,'Allocation %'!$5:$5,0)-1)*$F12</f>
        <v>1196.3981748083354</v>
      </c>
      <c r="BD12" s="73">
        <f ca="1">OFFSET('Allocation %'!$A$1,MATCH(BD$4,'Allocation %'!$A:$A,0)-1,MATCH($D12,'Allocation %'!$5:$5,0)-1)*$F12</f>
        <v>23026.161985814269</v>
      </c>
      <c r="BE12" s="73">
        <f ca="1">OFFSET('Allocation %'!$A$1,MATCH(BE$4,'Allocation %'!$A:$A,0)-1,MATCH($D12,'Allocation %'!$5:$5,0)-1)*$F12</f>
        <v>84466.149000436781</v>
      </c>
      <c r="BG12" s="76">
        <f t="shared" ca="1" si="0"/>
        <v>576416.8724892129</v>
      </c>
      <c r="BH12" s="349">
        <f t="shared" ca="1" si="1"/>
        <v>0</v>
      </c>
      <c r="BJ12" s="76">
        <f t="shared" ca="1" si="2"/>
        <v>206711.01906953557</v>
      </c>
    </row>
    <row r="13" spans="2:62" x14ac:dyDescent="0.25">
      <c r="B13" s="172" t="s">
        <v>224</v>
      </c>
      <c r="C13" s="131" t="str">
        <f>INDEX(ACTUALS!$E:$E,MATCH($B13,ACTUALS!$A:$A,0))</f>
        <v>CAD</v>
      </c>
      <c r="D13" s="159" t="str">
        <f ca="1">OFFSET(ACTUALS!$O$2,MATCH($B13,ACTUALS!$A:$A,0)-2,MATCH($E$4,ACTUALS!$P$2:$P$2,0))</f>
        <v>ALL</v>
      </c>
      <c r="E13" s="173">
        <f ca="1">IF($C13=E$3,SUMIFS(OFFSET(ACTUALS!$A:$A,,MATCH(E$4,ACTUALS!$2:$2,0)-1,,),ACTUALS!$A:$A,$B13)*-1000,F13*'2020 Assumptions'!$B$4)</f>
        <v>660080.99000000011</v>
      </c>
      <c r="F13" s="73">
        <f ca="1">IF($C13=F$3,SUMIFS(OFFSET(ACTUALS!$A:$A,,MATCH(F$4,ACTUALS!$2:$2,0)-1,,),ACTUALS!$A:$A,$B13)*-1000,E13/'2020 Assumptions'!$B$4)</f>
        <v>491058.61478946591</v>
      </c>
      <c r="G13" s="73">
        <f ca="1">IF($C13=G$3,SUMIFS(OFFSET('Non-margin Costs'!$A:$A,,MATCH(G$4,'Non-margin Costs'!$2:$2,0)-1,,),'Non-margin Costs'!$A:$A,$B13)*1000,(SUMIFS(OFFSET('Non-margin Costs'!$A:$A,,MATCH(G$4,'Non-margin Costs'!$2:$2,0)-1,,),'Non-margin Costs'!$A:$A,$B13)*1000)/'2020 Assumptions'!$B$4)</f>
        <v>330487.73991965479</v>
      </c>
      <c r="I13" s="73">
        <f ca="1">OFFSET('Allocation %'!$A$1,MATCH(I$4,'Allocation %'!$A:$A,0)-1,MATCH($D13,'Allocation %'!$5:$5,0)-1)*$F13</f>
        <v>0</v>
      </c>
      <c r="J13" s="73">
        <f ca="1">OFFSET('Allocation %'!$A$1,MATCH(J$4,'Allocation %'!$A:$A,0)-1,MATCH($D13,'Allocation %'!$5:$5,0)-1)*$F13</f>
        <v>1188.9109897513742</v>
      </c>
      <c r="K13" s="73">
        <f ca="1">OFFSET('Allocation %'!$A$1,MATCH(K$4,'Allocation %'!$A:$A,0)-1,MATCH($D13,'Allocation %'!$5:$5,0)-1)*$F13</f>
        <v>374.29379812234748</v>
      </c>
      <c r="L13" s="73">
        <f ca="1">OFFSET('Allocation %'!$A$1,MATCH(L$4,'Allocation %'!$A:$A,0)-1,MATCH($D13,'Allocation %'!$5:$5,0)-1)*$F13</f>
        <v>404.57032666325586</v>
      </c>
      <c r="M13" s="73">
        <f ca="1">OFFSET('Allocation %'!$A$1,MATCH(M$4,'Allocation %'!$A:$A,0)-1,MATCH($D13,'Allocation %'!$5:$5,0)-1)*$F13</f>
        <v>658.62159432706858</v>
      </c>
      <c r="N13" s="73">
        <f ca="1">OFFSET('Allocation %'!$A$1,MATCH(N$4,'Allocation %'!$A:$A,0)-1,MATCH($D13,'Allocation %'!$5:$5,0)-1)*$F13</f>
        <v>576.34609679408629</v>
      </c>
      <c r="O13" s="73">
        <f ca="1">OFFSET('Allocation %'!$A$1,MATCH(O$4,'Allocation %'!$A:$A,0)-1,MATCH($D13,'Allocation %'!$5:$5,0)-1)*$F13</f>
        <v>1347.5079267349936</v>
      </c>
      <c r="P13" s="73">
        <f ca="1">OFFSET('Allocation %'!$A$1,MATCH(P$4,'Allocation %'!$A:$A,0)-1,MATCH($D13,'Allocation %'!$5:$5,0)-1)*$F13</f>
        <v>195.66262709728883</v>
      </c>
      <c r="Q13" s="73">
        <f ca="1">OFFSET('Allocation %'!$A$1,MATCH(Q$4,'Allocation %'!$A:$A,0)-1,MATCH($D13,'Allocation %'!$5:$5,0)-1)*$F13</f>
        <v>426.98899663446844</v>
      </c>
      <c r="R13" s="73">
        <f ca="1">OFFSET('Allocation %'!$A$1,MATCH(R$4,'Allocation %'!$A:$A,0)-1,MATCH($D13,'Allocation %'!$5:$5,0)-1)*$F13</f>
        <v>394.07187046729473</v>
      </c>
      <c r="S13" s="73">
        <f ca="1">OFFSET('Allocation %'!$A$1,MATCH(S$4,'Allocation %'!$A:$A,0)-1,MATCH($D13,'Allocation %'!$5:$5,0)-1)*$F13</f>
        <v>379.03029240335417</v>
      </c>
      <c r="T13" s="73">
        <f ca="1">OFFSET('Allocation %'!$A$1,MATCH(T$4,'Allocation %'!$A:$A,0)-1,MATCH($D13,'Allocation %'!$5:$5,0)-1)*$F13</f>
        <v>1360.3766306816681</v>
      </c>
      <c r="U13" s="73">
        <f ca="1">OFFSET('Allocation %'!$A$1,MATCH(U$4,'Allocation %'!$A:$A,0)-1,MATCH($D13,'Allocation %'!$5:$5,0)-1)*$F13</f>
        <v>870.16622621828367</v>
      </c>
      <c r="V13" s="73">
        <f ca="1">OFFSET('Allocation %'!$A$1,MATCH(V$4,'Allocation %'!$A:$A,0)-1,MATCH($D13,'Allocation %'!$5:$5,0)-1)*$F13</f>
        <v>923.48788038235477</v>
      </c>
      <c r="W13" s="73">
        <f ca="1">OFFSET('Allocation %'!$A$1,MATCH(W$4,'Allocation %'!$A:$A,0)-1,MATCH($D13,'Allocation %'!$5:$5,0)-1)*$F13</f>
        <v>1495.5354866470243</v>
      </c>
      <c r="X13" s="73">
        <f ca="1">OFFSET('Allocation %'!$A$1,MATCH(X$4,'Allocation %'!$A:$A,0)-1,MATCH($D13,'Allocation %'!$5:$5,0)-1)*$F13</f>
        <v>34.637659447336162</v>
      </c>
      <c r="Y13" s="73">
        <f ca="1">OFFSET('Allocation %'!$A$1,MATCH(Y$4,'Allocation %'!$A:$A,0)-1,MATCH($D13,'Allocation %'!$5:$5,0)-1)*$F13</f>
        <v>27.331210556646795</v>
      </c>
      <c r="Z13" s="73">
        <f ca="1">OFFSET('Allocation %'!$A$1,MATCH(Z$4,'Allocation %'!$A:$A,0)-1,MATCH($D13,'Allocation %'!$5:$5,0)-1)*$F13</f>
        <v>79.702207796640778</v>
      </c>
      <c r="AA13" s="73">
        <f ca="1">OFFSET('Allocation %'!$A$1,MATCH(AA$4,'Allocation %'!$A:$A,0)-1,MATCH($D13,'Allocation %'!$5:$5,0)-1)*$F13</f>
        <v>72.722059074272053</v>
      </c>
      <c r="AB13" s="73">
        <f ca="1">OFFSET('Allocation %'!$A$1,MATCH(AB$4,'Allocation %'!$A:$A,0)-1,MATCH($D13,'Allocation %'!$5:$5,0)-1)*$F13</f>
        <v>70.367941939862447</v>
      </c>
      <c r="AC13" s="73">
        <f ca="1">OFFSET('Allocation %'!$A$1,MATCH(AC$4,'Allocation %'!$A:$A,0)-1,MATCH($D13,'Allocation %'!$5:$5,0)-1)*$F13</f>
        <v>79.606293311392676</v>
      </c>
      <c r="AD13" s="73">
        <f ca="1">OFFSET('Allocation %'!$A$1,MATCH(AD$4,'Allocation %'!$A:$A,0)-1,MATCH($D13,'Allocation %'!$5:$5,0)-1)*$F13</f>
        <v>175.91673124079043</v>
      </c>
      <c r="AE13" s="73">
        <f ca="1">OFFSET('Allocation %'!$A$1,MATCH(AE$4,'Allocation %'!$A:$A,0)-1,MATCH($D13,'Allocation %'!$5:$5,0)-1)*$F13</f>
        <v>168.39823764655836</v>
      </c>
      <c r="AF13" s="73">
        <f ca="1">OFFSET('Allocation %'!$A$1,MATCH(AF$4,'Allocation %'!$A:$A,0)-1,MATCH($D13,'Allocation %'!$5:$5,0)-1)*$F13</f>
        <v>830.20412175658794</v>
      </c>
      <c r="AG13" s="73">
        <f ca="1">OFFSET('Allocation %'!$A$1,MATCH(AG$4,'Allocation %'!$A:$A,0)-1,MATCH($D13,'Allocation %'!$5:$5,0)-1)*$F13</f>
        <v>1306.5615913934153</v>
      </c>
      <c r="AH13" s="73">
        <f ca="1">OFFSET('Allocation %'!$A$1,MATCH(AH$4,'Allocation %'!$A:$A,0)-1,MATCH($D13,'Allocation %'!$5:$5,0)-1)*$F13</f>
        <v>11556.866826817462</v>
      </c>
      <c r="AI13" s="73">
        <f ca="1">OFFSET('Allocation %'!$A$1,MATCH(AI$4,'Allocation %'!$A:$A,0)-1,MATCH($D13,'Allocation %'!$5:$5,0)-1)*$F13</f>
        <v>68.639620962521548</v>
      </c>
      <c r="AJ13" s="73">
        <f ca="1">OFFSET('Allocation %'!$A$1,MATCH(AJ$4,'Allocation %'!$A:$A,0)-1,MATCH($D13,'Allocation %'!$5:$5,0)-1)*$F13</f>
        <v>1607.5587997364876</v>
      </c>
      <c r="AK13" s="73">
        <f ca="1">OFFSET('Allocation %'!$A$1,MATCH(AK$4,'Allocation %'!$A:$A,0)-1,MATCH($D13,'Allocation %'!$5:$5,0)-1)*$F13</f>
        <v>1446.7591015762621</v>
      </c>
      <c r="AL13" s="73">
        <f ca="1">OFFSET('Allocation %'!$A$1,MATCH(AL$4,'Allocation %'!$A:$A,0)-1,MATCH($D13,'Allocation %'!$5:$5,0)-1)*$F13</f>
        <v>0</v>
      </c>
      <c r="AM13" s="73">
        <f ca="1">OFFSET('Allocation %'!$A$1,MATCH(AM$4,'Allocation %'!$A:$A,0)-1,MATCH($D13,'Allocation %'!$5:$5,0)-1)*$F13</f>
        <v>189.68312553860568</v>
      </c>
      <c r="AN13" s="73">
        <f ca="1">OFFSET('Allocation %'!$A$1,MATCH(AN$4,'Allocation %'!$A:$A,0)-1,MATCH($D13,'Allocation %'!$5:$5,0)-1)*$F13</f>
        <v>0</v>
      </c>
      <c r="AO13" s="73">
        <f ca="1">OFFSET('Allocation %'!$A$1,MATCH(AO$4,'Allocation %'!$A:$A,0)-1,MATCH($D13,'Allocation %'!$5:$5,0)-1)*$F13</f>
        <v>1559.7572405258752</v>
      </c>
      <c r="AP13" s="73">
        <f ca="1">OFFSET('Allocation %'!$A$1,MATCH(AP$4,'Allocation %'!$A:$A,0)-1,MATCH($D13,'Allocation %'!$5:$5,0)-1)*$F13</f>
        <v>324.13293557725598</v>
      </c>
      <c r="AQ13" s="73">
        <f ca="1">OFFSET('Allocation %'!$A$1,MATCH(AQ$4,'Allocation %'!$A:$A,0)-1,MATCH($D13,'Allocation %'!$5:$5,0)-1)*$F13</f>
        <v>1433.4445314749728</v>
      </c>
      <c r="AR13" s="73">
        <f ca="1">OFFSET('Allocation %'!$A$1,MATCH(AR$4,'Allocation %'!$A:$A,0)-1,MATCH($D13,'Allocation %'!$5:$5,0)-1)*$F13</f>
        <v>35.969908161338189</v>
      </c>
      <c r="AS13" s="73">
        <f ca="1">OFFSET('Allocation %'!$A$1,MATCH(AS$4,'Allocation %'!$A:$A,0)-1,MATCH($D13,'Allocation %'!$5:$5,0)-1)*$F13</f>
        <v>2634.7594885567623</v>
      </c>
      <c r="AT13" s="73">
        <f ca="1">OFFSET('Allocation %'!$A$1,MATCH(AT$4,'Allocation %'!$A:$A,0)-1,MATCH($D13,'Allocation %'!$5:$5,0)-1)*$F13</f>
        <v>1551.3564094932653</v>
      </c>
      <c r="AU13" s="73">
        <f ca="1">OFFSET('Allocation %'!$A$1,MATCH(AU$4,'Allocation %'!$A:$A,0)-1,MATCH($D13,'Allocation %'!$5:$5,0)-1)*$F13</f>
        <v>1854.3548061513377</v>
      </c>
      <c r="AV13" s="73">
        <f ca="1">OFFSET('Allocation %'!$A$1,MATCH(AV$4,'Allocation %'!$A:$A,0)-1,MATCH($D13,'Allocation %'!$5:$5,0)-1)*$F13</f>
        <v>2856.7499329165562</v>
      </c>
      <c r="AW13" s="73">
        <f ca="1">OFFSET('Allocation %'!$A$1,MATCH(AW$4,'Allocation %'!$A:$A,0)-1,MATCH($D13,'Allocation %'!$5:$5,0)-1)*$F13</f>
        <v>10918.577224770335</v>
      </c>
      <c r="AX13" s="73">
        <f ca="1">OFFSET('Allocation %'!$A$1,MATCH(AX$4,'Allocation %'!$A:$A,0)-1,MATCH($D13,'Allocation %'!$5:$5,0)-1)*$F13</f>
        <v>190.4632958508366</v>
      </c>
      <c r="AY13" s="73">
        <f ca="1">OFFSET('Allocation %'!$A$1,MATCH(AY$4,'Allocation %'!$A:$A,0)-1,MATCH($D13,'Allocation %'!$5:$5,0)-1)*$F13</f>
        <v>0</v>
      </c>
      <c r="AZ13" s="73">
        <f ca="1">OFFSET('Allocation %'!$A$1,MATCH(AZ$4,'Allocation %'!$A:$A,0)-1,MATCH($D13,'Allocation %'!$5:$5,0)-1)*$F13</f>
        <v>259916.09329187428</v>
      </c>
      <c r="BA13" s="73">
        <f ca="1">OFFSET('Allocation %'!$A$1,MATCH(BA$4,'Allocation %'!$A:$A,0)-1,MATCH($D13,'Allocation %'!$5:$5,0)-1)*$F13</f>
        <v>51448.262560437011</v>
      </c>
      <c r="BB13" s="73">
        <f ca="1">OFFSET('Allocation %'!$A$1,MATCH(BB$4,'Allocation %'!$A:$A,0)-1,MATCH($D13,'Allocation %'!$5:$5,0)-1)*$F13</f>
        <v>33540.877440596538</v>
      </c>
      <c r="BC13" s="73">
        <f ca="1">OFFSET('Allocation %'!$A$1,MATCH(BC$4,'Allocation %'!$A:$A,0)-1,MATCH($D13,'Allocation %'!$5:$5,0)-1)*$F13</f>
        <v>1040.0310751872837</v>
      </c>
      <c r="BD13" s="73">
        <f ca="1">OFFSET('Allocation %'!$A$1,MATCH(BD$4,'Allocation %'!$A:$A,0)-1,MATCH($D13,'Allocation %'!$5:$5,0)-1)*$F13</f>
        <v>20016.683836365311</v>
      </c>
      <c r="BE13" s="73">
        <f ca="1">OFFSET('Allocation %'!$A$1,MATCH(BE$4,'Allocation %'!$A:$A,0)-1,MATCH($D13,'Allocation %'!$5:$5,0)-1)*$F13</f>
        <v>73426.574539807232</v>
      </c>
      <c r="BG13" s="76">
        <f t="shared" ca="1" si="0"/>
        <v>491058.61478946585</v>
      </c>
      <c r="BH13" s="349">
        <f t="shared" ca="1" si="1"/>
        <v>0</v>
      </c>
      <c r="BJ13" s="76">
        <f t="shared" ca="1" si="2"/>
        <v>179694.25893715461</v>
      </c>
    </row>
    <row r="14" spans="2:62" x14ac:dyDescent="0.25">
      <c r="B14" s="172" t="s">
        <v>225</v>
      </c>
      <c r="C14" s="131" t="str">
        <f>INDEX(ACTUALS!$E:$E,MATCH($B14,ACTUALS!$A:$A,0))</f>
        <v>CAD</v>
      </c>
      <c r="D14" s="159" t="str">
        <f ca="1">OFFSET(ACTUALS!$O$2,MATCH($B14,ACTUALS!$A:$A,0)-2,MATCH($E$4,ACTUALS!$P$2:$P$2,0))</f>
        <v>ALL</v>
      </c>
      <c r="E14" s="173">
        <f ca="1">IF($C14=E$3,SUMIFS(OFFSET(ACTUALS!$A:$A,,MATCH(E$4,ACTUALS!$2:$2,0)-1,,),ACTUALS!$A:$A,$B14)*-1000,F14*'2020 Assumptions'!$B$4)</f>
        <v>101156.96999999999</v>
      </c>
      <c r="F14" s="73">
        <f ca="1">IF($C14=F$3,SUMIFS(OFFSET(ACTUALS!$A:$A,,MATCH(F$4,ACTUALS!$2:$2,0)-1,,),ACTUALS!$A:$A,$B14)*-1000,E14/'2020 Assumptions'!$B$4)</f>
        <v>75254.404106531758</v>
      </c>
      <c r="G14" s="73">
        <f ca="1">IF($C14=G$3,SUMIFS(OFFSET('Non-margin Costs'!$A:$A,,MATCH(G$4,'Non-margin Costs'!$2:$2,0)-1,,),'Non-margin Costs'!$A:$A,$B14)*1000,(SUMIFS(OFFSET('Non-margin Costs'!$A:$A,,MATCH(G$4,'Non-margin Costs'!$2:$2,0)-1,,),'Non-margin Costs'!$A:$A,$B14)*1000)/'2020 Assumptions'!$B$4)</f>
        <v>25357.476565987206</v>
      </c>
      <c r="I14" s="73">
        <f ca="1">OFFSET('Allocation %'!$A$1,MATCH(I$4,'Allocation %'!$A:$A,0)-1,MATCH($D14,'Allocation %'!$5:$5,0)-1)*$F14</f>
        <v>0</v>
      </c>
      <c r="J14" s="73">
        <f ca="1">OFFSET('Allocation %'!$A$1,MATCH(J$4,'Allocation %'!$A:$A,0)-1,MATCH($D14,'Allocation %'!$5:$5,0)-1)*$F14</f>
        <v>182.19981357583114</v>
      </c>
      <c r="K14" s="73">
        <f ca="1">OFFSET('Allocation %'!$A$1,MATCH(K$4,'Allocation %'!$A:$A,0)-1,MATCH($D14,'Allocation %'!$5:$5,0)-1)*$F14</f>
        <v>57.36027408977246</v>
      </c>
      <c r="L14" s="73">
        <f ca="1">OFFSET('Allocation %'!$A$1,MATCH(L$4,'Allocation %'!$A:$A,0)-1,MATCH($D14,'Allocation %'!$5:$5,0)-1)*$F14</f>
        <v>62.000131828012748</v>
      </c>
      <c r="M14" s="73">
        <f ca="1">OFFSET('Allocation %'!$A$1,MATCH(M$4,'Allocation %'!$A:$A,0)-1,MATCH($D14,'Allocation %'!$5:$5,0)-1)*$F14</f>
        <v>100.9333185897316</v>
      </c>
      <c r="N14" s="73">
        <f ca="1">OFFSET('Allocation %'!$A$1,MATCH(N$4,'Allocation %'!$A:$A,0)-1,MATCH($D14,'Allocation %'!$5:$5,0)-1)*$F14</f>
        <v>88.324653650480784</v>
      </c>
      <c r="O14" s="73">
        <f ca="1">OFFSET('Allocation %'!$A$1,MATCH(O$4,'Allocation %'!$A:$A,0)-1,MATCH($D14,'Allocation %'!$5:$5,0)-1)*$F14</f>
        <v>206.50468803759054</v>
      </c>
      <c r="P14" s="73">
        <f ca="1">OFFSET('Allocation %'!$A$1,MATCH(P$4,'Allocation %'!$A:$A,0)-1,MATCH($D14,'Allocation %'!$5:$5,0)-1)*$F14</f>
        <v>29.985166667807885</v>
      </c>
      <c r="Q14" s="73">
        <f ca="1">OFFSET('Allocation %'!$A$1,MATCH(Q$4,'Allocation %'!$A:$A,0)-1,MATCH($D14,'Allocation %'!$5:$5,0)-1)*$F14</f>
        <v>65.435777998822559</v>
      </c>
      <c r="R14" s="73">
        <f ca="1">OFFSET('Allocation %'!$A$1,MATCH(R$4,'Allocation %'!$A:$A,0)-1,MATCH($D14,'Allocation %'!$5:$5,0)-1)*$F14</f>
        <v>60.391250441410243</v>
      </c>
      <c r="S14" s="73">
        <f ca="1">OFFSET('Allocation %'!$A$1,MATCH(S$4,'Allocation %'!$A:$A,0)-1,MATCH($D14,'Allocation %'!$5:$5,0)-1)*$F14</f>
        <v>58.086138668737171</v>
      </c>
      <c r="T14" s="73">
        <f ca="1">OFFSET('Allocation %'!$A$1,MATCH(T$4,'Allocation %'!$A:$A,0)-1,MATCH($D14,'Allocation %'!$5:$5,0)-1)*$F14</f>
        <v>208.47680830585131</v>
      </c>
      <c r="U14" s="73">
        <f ca="1">OFFSET('Allocation %'!$A$1,MATCH(U$4,'Allocation %'!$A:$A,0)-1,MATCH($D14,'Allocation %'!$5:$5,0)-1)*$F14</f>
        <v>133.35239186418036</v>
      </c>
      <c r="V14" s="73">
        <f ca="1">OFFSET('Allocation %'!$A$1,MATCH(V$4,'Allocation %'!$A:$A,0)-1,MATCH($D14,'Allocation %'!$5:$5,0)-1)*$F14</f>
        <v>141.52389968267596</v>
      </c>
      <c r="W14" s="73">
        <f ca="1">OFFSET('Allocation %'!$A$1,MATCH(W$4,'Allocation %'!$A:$A,0)-1,MATCH($D14,'Allocation %'!$5:$5,0)-1)*$F14</f>
        <v>229.18981253601683</v>
      </c>
      <c r="X14" s="73">
        <f ca="1">OFFSET('Allocation %'!$A$1,MATCH(X$4,'Allocation %'!$A:$A,0)-1,MATCH($D14,'Allocation %'!$5:$5,0)-1)*$F14</f>
        <v>5.3081981312390161</v>
      </c>
      <c r="Y14" s="73">
        <f ca="1">OFFSET('Allocation %'!$A$1,MATCH(Y$4,'Allocation %'!$A:$A,0)-1,MATCH($D14,'Allocation %'!$5:$5,0)-1)*$F14</f>
        <v>4.1884897281201852</v>
      </c>
      <c r="Z14" s="73">
        <f ca="1">OFFSET('Allocation %'!$A$1,MATCH(Z$4,'Allocation %'!$A:$A,0)-1,MATCH($D14,'Allocation %'!$5:$5,0)-1)*$F14</f>
        <v>12.214310009168051</v>
      </c>
      <c r="AA14" s="73">
        <f ca="1">OFFSET('Allocation %'!$A$1,MATCH(AA$4,'Allocation %'!$A:$A,0)-1,MATCH($D14,'Allocation %'!$5:$5,0)-1)*$F14</f>
        <v>11.144606888488584</v>
      </c>
      <c r="AB14" s="73">
        <f ca="1">OFFSET('Allocation %'!$A$1,MATCH(AB$4,'Allocation %'!$A:$A,0)-1,MATCH($D14,'Allocation %'!$5:$5,0)-1)*$F14</f>
        <v>10.783840012984477</v>
      </c>
      <c r="AC14" s="73">
        <f ca="1">OFFSET('Allocation %'!$A$1,MATCH(AC$4,'Allocation %'!$A:$A,0)-1,MATCH($D14,'Allocation %'!$5:$5,0)-1)*$F14</f>
        <v>12.199611178488487</v>
      </c>
      <c r="AD14" s="73">
        <f ca="1">OFFSET('Allocation %'!$A$1,MATCH(AD$4,'Allocation %'!$A:$A,0)-1,MATCH($D14,'Allocation %'!$5:$5,0)-1)*$F14</f>
        <v>26.9591213414928</v>
      </c>
      <c r="AE14" s="73">
        <f ca="1">OFFSET('Allocation %'!$A$1,MATCH(AE$4,'Allocation %'!$A:$A,0)-1,MATCH($D14,'Allocation %'!$5:$5,0)-1)*$F14</f>
        <v>25.806917229453568</v>
      </c>
      <c r="AF14" s="73">
        <f ca="1">OFFSET('Allocation %'!$A$1,MATCH(AF$4,'Allocation %'!$A:$A,0)-1,MATCH($D14,'Allocation %'!$5:$5,0)-1)*$F14</f>
        <v>127.22822609753918</v>
      </c>
      <c r="AG14" s="73">
        <f ca="1">OFFSET('Allocation %'!$A$1,MATCH(AG$4,'Allocation %'!$A:$A,0)-1,MATCH($D14,'Allocation %'!$5:$5,0)-1)*$F14</f>
        <v>200.22968954724169</v>
      </c>
      <c r="AH14" s="73">
        <f ca="1">OFFSET('Allocation %'!$A$1,MATCH(AH$4,'Allocation %'!$A:$A,0)-1,MATCH($D14,'Allocation %'!$5:$5,0)-1)*$F14</f>
        <v>1771.0821075067909</v>
      </c>
      <c r="AI14" s="73">
        <f ca="1">OFFSET('Allocation %'!$A$1,MATCH(AI$4,'Allocation %'!$A:$A,0)-1,MATCH($D14,'Allocation %'!$5:$5,0)-1)*$F14</f>
        <v>10.518975979776606</v>
      </c>
      <c r="AJ14" s="73">
        <f ca="1">OFFSET('Allocation %'!$A$1,MATCH(AJ$4,'Allocation %'!$A:$A,0)-1,MATCH($D14,'Allocation %'!$5:$5,0)-1)*$F14</f>
        <v>246.35731030245222</v>
      </c>
      <c r="AK14" s="73">
        <f ca="1">OFFSET('Allocation %'!$A$1,MATCH(AK$4,'Allocation %'!$A:$A,0)-1,MATCH($D14,'Allocation %'!$5:$5,0)-1)*$F14</f>
        <v>221.71486416443662</v>
      </c>
      <c r="AL14" s="73">
        <f ca="1">OFFSET('Allocation %'!$A$1,MATCH(AL$4,'Allocation %'!$A:$A,0)-1,MATCH($D14,'Allocation %'!$5:$5,0)-1)*$F14</f>
        <v>0</v>
      </c>
      <c r="AM14" s="73">
        <f ca="1">OFFSET('Allocation %'!$A$1,MATCH(AM$4,'Allocation %'!$A:$A,0)-1,MATCH($D14,'Allocation %'!$5:$5,0)-1)*$F14</f>
        <v>29.068812055343336</v>
      </c>
      <c r="AN14" s="73">
        <f ca="1">OFFSET('Allocation %'!$A$1,MATCH(AN$4,'Allocation %'!$A:$A,0)-1,MATCH($D14,'Allocation %'!$5:$5,0)-1)*$F14</f>
        <v>0</v>
      </c>
      <c r="AO14" s="73">
        <f ca="1">OFFSET('Allocation %'!$A$1,MATCH(AO$4,'Allocation %'!$A:$A,0)-1,MATCH($D14,'Allocation %'!$5:$5,0)-1)*$F14</f>
        <v>239.03175334159937</v>
      </c>
      <c r="AP14" s="73">
        <f ca="1">OFFSET('Allocation %'!$A$1,MATCH(AP$4,'Allocation %'!$A:$A,0)-1,MATCH($D14,'Allocation %'!$5:$5,0)-1)*$F14</f>
        <v>49.67315547172538</v>
      </c>
      <c r="AQ14" s="73">
        <f ca="1">OFFSET('Allocation %'!$A$1,MATCH(AQ$4,'Allocation %'!$A:$A,0)-1,MATCH($D14,'Allocation %'!$5:$5,0)-1)*$F14</f>
        <v>219.6744152063489</v>
      </c>
      <c r="AR14" s="73">
        <f ca="1">OFFSET('Allocation %'!$A$1,MATCH(AR$4,'Allocation %'!$A:$A,0)-1,MATCH($D14,'Allocation %'!$5:$5,0)-1)*$F14</f>
        <v>5.512364355136544</v>
      </c>
      <c r="AS14" s="73">
        <f ca="1">OFFSET('Allocation %'!$A$1,MATCH(AS$4,'Allocation %'!$A:$A,0)-1,MATCH($D14,'Allocation %'!$5:$5,0)-1)*$F14</f>
        <v>403.77512847499469</v>
      </c>
      <c r="AT14" s="73">
        <f ca="1">OFFSET('Allocation %'!$A$1,MATCH(AT$4,'Allocation %'!$A:$A,0)-1,MATCH($D14,'Allocation %'!$5:$5,0)-1)*$F14</f>
        <v>237.74433160757729</v>
      </c>
      <c r="AU14" s="73">
        <f ca="1">OFFSET('Allocation %'!$A$1,MATCH(AU$4,'Allocation %'!$A:$A,0)-1,MATCH($D14,'Allocation %'!$5:$5,0)-1)*$F14</f>
        <v>284.17863313289274</v>
      </c>
      <c r="AV14" s="73">
        <f ca="1">OFFSET('Allocation %'!$A$1,MATCH(AV$4,'Allocation %'!$A:$A,0)-1,MATCH($D14,'Allocation %'!$5:$5,0)-1)*$F14</f>
        <v>437.79501552005308</v>
      </c>
      <c r="AW14" s="73">
        <f ca="1">OFFSET('Allocation %'!$A$1,MATCH(AW$4,'Allocation %'!$A:$A,0)-1,MATCH($D14,'Allocation %'!$5:$5,0)-1)*$F14</f>
        <v>1673.2646531280591</v>
      </c>
      <c r="AX14" s="73">
        <f ca="1">OFFSET('Allocation %'!$A$1,MATCH(AX$4,'Allocation %'!$A:$A,0)-1,MATCH($D14,'Allocation %'!$5:$5,0)-1)*$F14</f>
        <v>29.188372633613032</v>
      </c>
      <c r="AY14" s="73">
        <f ca="1">OFFSET('Allocation %'!$A$1,MATCH(AY$4,'Allocation %'!$A:$A,0)-1,MATCH($D14,'Allocation %'!$5:$5,0)-1)*$F14</f>
        <v>0</v>
      </c>
      <c r="AZ14" s="73">
        <f ca="1">OFFSET('Allocation %'!$A$1,MATCH(AZ$4,'Allocation %'!$A:$A,0)-1,MATCH($D14,'Allocation %'!$5:$5,0)-1)*$F14</f>
        <v>39831.967364555254</v>
      </c>
      <c r="BA14" s="73">
        <f ca="1">OFFSET('Allocation %'!$A$1,MATCH(BA$4,'Allocation %'!$A:$A,0)-1,MATCH($D14,'Allocation %'!$5:$5,0)-1)*$F14</f>
        <v>7884.4118088876467</v>
      </c>
      <c r="BB14" s="73">
        <f ca="1">OFFSET('Allocation %'!$A$1,MATCH(BB$4,'Allocation %'!$A:$A,0)-1,MATCH($D14,'Allocation %'!$5:$5,0)-1)*$F14</f>
        <v>5140.1170226582344</v>
      </c>
      <c r="BC14" s="73">
        <f ca="1">OFFSET('Allocation %'!$A$1,MATCH(BC$4,'Allocation %'!$A:$A,0)-1,MATCH($D14,'Allocation %'!$5:$5,0)-1)*$F14</f>
        <v>159.38406629736113</v>
      </c>
      <c r="BD14" s="73">
        <f ca="1">OFFSET('Allocation %'!$A$1,MATCH(BD$4,'Allocation %'!$A:$A,0)-1,MATCH($D14,'Allocation %'!$5:$5,0)-1)*$F14</f>
        <v>3067.543403021939</v>
      </c>
      <c r="BE14" s="73">
        <f ca="1">OFFSET('Allocation %'!$A$1,MATCH(BE$4,'Allocation %'!$A:$A,0)-1,MATCH($D14,'Allocation %'!$5:$5,0)-1)*$F14</f>
        <v>11252.573412129384</v>
      </c>
      <c r="BG14" s="76">
        <f t="shared" ca="1" si="0"/>
        <v>75254.404106531758</v>
      </c>
      <c r="BH14" s="349">
        <f t="shared" ca="1" si="1"/>
        <v>0</v>
      </c>
      <c r="BJ14" s="76">
        <f t="shared" ca="1" si="2"/>
        <v>27538.024933088855</v>
      </c>
    </row>
    <row r="15" spans="2:62" x14ac:dyDescent="0.25">
      <c r="B15" s="172" t="s">
        <v>283</v>
      </c>
      <c r="C15" s="131" t="str">
        <f>INDEX(ACTUALS!$E:$E,MATCH($B15,ACTUALS!$A:$A,0))</f>
        <v>CAD</v>
      </c>
      <c r="D15" s="159" t="str">
        <f ca="1">OFFSET(ACTUALS!$O$2,MATCH($B15,ACTUALS!$A:$A,0)-2,MATCH($E$4,ACTUALS!$P$2:$P$2,0))</f>
        <v>ALL</v>
      </c>
      <c r="E15" s="173">
        <f ca="1">IF($C15=E$3,SUMIFS(OFFSET(ACTUALS!$A:$A,,MATCH(E$4,ACTUALS!$2:$2,0)-1,,),ACTUALS!$A:$A,$B15)*-1000,F15*'2020 Assumptions'!$B$4)</f>
        <v>69758.759999999995</v>
      </c>
      <c r="F15" s="73">
        <f ca="1">IF($C15=F$3,SUMIFS(OFFSET(ACTUALS!$A:$A,,MATCH(F$4,ACTUALS!$2:$2,0)-1,,),ACTUALS!$A:$A,$B15)*-1000,E15/'2020 Assumptions'!$B$4)</f>
        <v>51896.116649308133</v>
      </c>
      <c r="G15" s="73">
        <f ca="1">IF($C15=G$3,SUMIFS(OFFSET('Non-margin Costs'!$A:$A,,MATCH(G$4,'Non-margin Costs'!$2:$2,0)-1,,),'Non-margin Costs'!$A:$A,$B15)*1000,(SUMIFS(OFFSET('Non-margin Costs'!$A:$A,,MATCH(G$4,'Non-margin Costs'!$2:$2,0)-1,,),'Non-margin Costs'!$A:$A,$B15)*1000)/'2020 Assumptions'!$B$4)</f>
        <v>4459.7381342062199</v>
      </c>
      <c r="I15" s="73">
        <f ca="1">OFFSET('Allocation %'!$A$1,MATCH(I$4,'Allocation %'!$A:$A,0)-1,MATCH($D15,'Allocation %'!$5:$5,0)-1)*$F15</f>
        <v>0</v>
      </c>
      <c r="J15" s="73">
        <f ca="1">OFFSET('Allocation %'!$A$1,MATCH(J$4,'Allocation %'!$A:$A,0)-1,MATCH($D15,'Allocation %'!$5:$5,0)-1)*$F15</f>
        <v>125.64663677926637</v>
      </c>
      <c r="K15" s="73">
        <f ca="1">OFFSET('Allocation %'!$A$1,MATCH(K$4,'Allocation %'!$A:$A,0)-1,MATCH($D15,'Allocation %'!$5:$5,0)-1)*$F15</f>
        <v>39.556162998581861</v>
      </c>
      <c r="L15" s="73">
        <f ca="1">OFFSET('Allocation %'!$A$1,MATCH(L$4,'Allocation %'!$A:$A,0)-1,MATCH($D15,'Allocation %'!$5:$5,0)-1)*$F15</f>
        <v>42.755850794648183</v>
      </c>
      <c r="M15" s="73">
        <f ca="1">OFFSET('Allocation %'!$A$1,MATCH(M$4,'Allocation %'!$A:$A,0)-1,MATCH($D15,'Allocation %'!$5:$5,0)-1)*$F15</f>
        <v>69.604527967816992</v>
      </c>
      <c r="N15" s="73">
        <f ca="1">OFFSET('Allocation %'!$A$1,MATCH(N$4,'Allocation %'!$A:$A,0)-1,MATCH($D15,'Allocation %'!$5:$5,0)-1)*$F15</f>
        <v>60.909478764409542</v>
      </c>
      <c r="O15" s="73">
        <f ca="1">OFFSET('Allocation %'!$A$1,MATCH(O$4,'Allocation %'!$A:$A,0)-1,MATCH($D15,'Allocation %'!$5:$5,0)-1)*$F15</f>
        <v>142.40749769085758</v>
      </c>
      <c r="P15" s="73">
        <f ca="1">OFFSET('Allocation %'!$A$1,MATCH(P$4,'Allocation %'!$A:$A,0)-1,MATCH($D15,'Allocation %'!$5:$5,0)-1)*$F15</f>
        <v>20.678041712198475</v>
      </c>
      <c r="Q15" s="73">
        <f ca="1">OFFSET('Allocation %'!$A$1,MATCH(Q$4,'Allocation %'!$A:$A,0)-1,MATCH($D15,'Allocation %'!$5:$5,0)-1)*$F15</f>
        <v>45.125103419301148</v>
      </c>
      <c r="R15" s="73">
        <f ca="1">OFFSET('Allocation %'!$A$1,MATCH(R$4,'Allocation %'!$A:$A,0)-1,MATCH($D15,'Allocation %'!$5:$5,0)-1)*$F15</f>
        <v>41.646351661603063</v>
      </c>
      <c r="S15" s="73">
        <f ca="1">OFFSET('Allocation %'!$A$1,MATCH(S$4,'Allocation %'!$A:$A,0)-1,MATCH($D15,'Allocation %'!$5:$5,0)-1)*$F15</f>
        <v>40.056725767084124</v>
      </c>
      <c r="T15" s="73">
        <f ca="1">OFFSET('Allocation %'!$A$1,MATCH(T$4,'Allocation %'!$A:$A,0)-1,MATCH($D15,'Allocation %'!$5:$5,0)-1)*$F15</f>
        <v>143.76748963688698</v>
      </c>
      <c r="U15" s="73">
        <f ca="1">OFFSET('Allocation %'!$A$1,MATCH(U$4,'Allocation %'!$A:$A,0)-1,MATCH($D15,'Allocation %'!$5:$5,0)-1)*$F15</f>
        <v>91.961013655107607</v>
      </c>
      <c r="V15" s="73">
        <f ca="1">OFFSET('Allocation %'!$A$1,MATCH(V$4,'Allocation %'!$A:$A,0)-1,MATCH($D15,'Allocation %'!$5:$5,0)-1)*$F15</f>
        <v>97.596159238734288</v>
      </c>
      <c r="W15" s="73">
        <f ca="1">OFFSET('Allocation %'!$A$1,MATCH(W$4,'Allocation %'!$A:$A,0)-1,MATCH($D15,'Allocation %'!$5:$5,0)-1)*$F15</f>
        <v>158.05136440074264</v>
      </c>
      <c r="X15" s="73">
        <f ca="1">OFFSET('Allocation %'!$A$1,MATCH(X$4,'Allocation %'!$A:$A,0)-1,MATCH($D15,'Allocation %'!$5:$5,0)-1)*$F15</f>
        <v>3.6605813664599784</v>
      </c>
      <c r="Y15" s="73">
        <f ca="1">OFFSET('Allocation %'!$A$1,MATCH(Y$4,'Allocation %'!$A:$A,0)-1,MATCH($D15,'Allocation %'!$5:$5,0)-1)*$F15</f>
        <v>2.8884203402533828</v>
      </c>
      <c r="Z15" s="73">
        <f ca="1">OFFSET('Allocation %'!$A$1,MATCH(Z$4,'Allocation %'!$A:$A,0)-1,MATCH($D15,'Allocation %'!$5:$5,0)-1)*$F15</f>
        <v>8.4230984824392419</v>
      </c>
      <c r="AA15" s="73">
        <f ca="1">OFFSET('Allocation %'!$A$1,MATCH(AA$4,'Allocation %'!$A:$A,0)-1,MATCH($D15,'Allocation %'!$5:$5,0)-1)*$F15</f>
        <v>7.6854215505705827</v>
      </c>
      <c r="AB15" s="73">
        <f ca="1">OFFSET('Allocation %'!$A$1,MATCH(AB$4,'Allocation %'!$A:$A,0)-1,MATCH($D15,'Allocation %'!$5:$5,0)-1)*$F15</f>
        <v>7.4366334553534079</v>
      </c>
      <c r="AC15" s="73">
        <f ca="1">OFFSET('Allocation %'!$A$1,MATCH(AC$4,'Allocation %'!$A:$A,0)-1,MATCH($D15,'Allocation %'!$5:$5,0)-1)*$F15</f>
        <v>8.4129620360662791</v>
      </c>
      <c r="AD15" s="73">
        <f ca="1">OFFSET('Allocation %'!$A$1,MATCH(AD$4,'Allocation %'!$A:$A,0)-1,MATCH($D15,'Allocation %'!$5:$5,0)-1)*$F15</f>
        <v>18.591253528768945</v>
      </c>
      <c r="AE15" s="73">
        <f ca="1">OFFSET('Allocation %'!$A$1,MATCH(AE$4,'Allocation %'!$A:$A,0)-1,MATCH($D15,'Allocation %'!$5:$5,0)-1)*$F15</f>
        <v>17.796683168241561</v>
      </c>
      <c r="AF15" s="73">
        <f ca="1">OFFSET('Allocation %'!$A$1,MATCH(AF$4,'Allocation %'!$A:$A,0)-1,MATCH($D15,'Allocation %'!$5:$5,0)-1)*$F15</f>
        <v>87.737733638759366</v>
      </c>
      <c r="AG15" s="73">
        <f ca="1">OFFSET('Allocation %'!$A$1,MATCH(AG$4,'Allocation %'!$A:$A,0)-1,MATCH($D15,'Allocation %'!$5:$5,0)-1)*$F15</f>
        <v>138.08020206616055</v>
      </c>
      <c r="AH15" s="73">
        <f ca="1">OFFSET('Allocation %'!$A$1,MATCH(AH$4,'Allocation %'!$A:$A,0)-1,MATCH($D15,'Allocation %'!$5:$5,0)-1)*$F15</f>
        <v>1221.3542149182645</v>
      </c>
      <c r="AI15" s="73">
        <f ca="1">OFFSET('Allocation %'!$A$1,MATCH(AI$4,'Allocation %'!$A:$A,0)-1,MATCH($D15,'Allocation %'!$5:$5,0)-1)*$F15</f>
        <v>7.2539808262248382</v>
      </c>
      <c r="AJ15" s="73">
        <f ca="1">OFFSET('Allocation %'!$A$1,MATCH(AJ$4,'Allocation %'!$A:$A,0)-1,MATCH($D15,'Allocation %'!$5:$5,0)-1)*$F15</f>
        <v>169.89022588986495</v>
      </c>
      <c r="AK15" s="73">
        <f ca="1">OFFSET('Allocation %'!$A$1,MATCH(AK$4,'Allocation %'!$A:$A,0)-1,MATCH($D15,'Allocation %'!$5:$5,0)-1)*$F15</f>
        <v>152.89657250191991</v>
      </c>
      <c r="AL15" s="73">
        <f ca="1">OFFSET('Allocation %'!$A$1,MATCH(AL$4,'Allocation %'!$A:$A,0)-1,MATCH($D15,'Allocation %'!$5:$5,0)-1)*$F15</f>
        <v>0</v>
      </c>
      <c r="AM15" s="73">
        <f ca="1">OFFSET('Allocation %'!$A$1,MATCH(AM$4,'Allocation %'!$A:$A,0)-1,MATCH($D15,'Allocation %'!$5:$5,0)-1)*$F15</f>
        <v>20.046115296393342</v>
      </c>
      <c r="AN15" s="73">
        <f ca="1">OFFSET('Allocation %'!$A$1,MATCH(AN$4,'Allocation %'!$A:$A,0)-1,MATCH($D15,'Allocation %'!$5:$5,0)-1)*$F15</f>
        <v>0</v>
      </c>
      <c r="AO15" s="73">
        <f ca="1">OFFSET('Allocation %'!$A$1,MATCH(AO$4,'Allocation %'!$A:$A,0)-1,MATCH($D15,'Allocation %'!$5:$5,0)-1)*$F15</f>
        <v>164.83845565694412</v>
      </c>
      <c r="AP15" s="73">
        <f ca="1">OFFSET('Allocation %'!$A$1,MATCH(AP$4,'Allocation %'!$A:$A,0)-1,MATCH($D15,'Allocation %'!$5:$5,0)-1)*$F15</f>
        <v>34.255056581813172</v>
      </c>
      <c r="AQ15" s="73">
        <f ca="1">OFFSET('Allocation %'!$A$1,MATCH(AQ$4,'Allocation %'!$A:$A,0)-1,MATCH($D15,'Allocation %'!$5:$5,0)-1)*$F15</f>
        <v>151.48946047435035</v>
      </c>
      <c r="AR15" s="73">
        <f ca="1">OFFSET('Allocation %'!$A$1,MATCH(AR$4,'Allocation %'!$A:$A,0)-1,MATCH($D15,'Allocation %'!$5:$5,0)-1)*$F15</f>
        <v>3.8013762381625797</v>
      </c>
      <c r="AS15" s="73">
        <f ca="1">OFFSET('Allocation %'!$A$1,MATCH(AS$4,'Allocation %'!$A:$A,0)-1,MATCH($D15,'Allocation %'!$5:$5,0)-1)*$F15</f>
        <v>278.44697484766812</v>
      </c>
      <c r="AT15" s="73">
        <f ca="1">OFFSET('Allocation %'!$A$1,MATCH(AT$4,'Allocation %'!$A:$A,0)-1,MATCH($D15,'Allocation %'!$5:$5,0)-1)*$F15</f>
        <v>163.95063800322805</v>
      </c>
      <c r="AU15" s="73">
        <f ca="1">OFFSET('Allocation %'!$A$1,MATCH(AU$4,'Allocation %'!$A:$A,0)-1,MATCH($D15,'Allocation %'!$5:$5,0)-1)*$F15</f>
        <v>195.97215165544711</v>
      </c>
      <c r="AV15" s="73">
        <f ca="1">OFFSET('Allocation %'!$A$1,MATCH(AV$4,'Allocation %'!$A:$A,0)-1,MATCH($D15,'Allocation %'!$5:$5,0)-1)*$F15</f>
        <v>301.90739616716138</v>
      </c>
      <c r="AW15" s="73">
        <f ca="1">OFFSET('Allocation %'!$A$1,MATCH(AW$4,'Allocation %'!$A:$A,0)-1,MATCH($D15,'Allocation %'!$5:$5,0)-1)*$F15</f>
        <v>1153.8984150478561</v>
      </c>
      <c r="AX15" s="73">
        <f ca="1">OFFSET('Allocation %'!$A$1,MATCH(AX$4,'Allocation %'!$A:$A,0)-1,MATCH($D15,'Allocation %'!$5:$5,0)-1)*$F15</f>
        <v>20.128565350848088</v>
      </c>
      <c r="AY15" s="73">
        <f ca="1">OFFSET('Allocation %'!$A$1,MATCH(AY$4,'Allocation %'!$A:$A,0)-1,MATCH($D15,'Allocation %'!$5:$5,0)-1)*$F15</f>
        <v>0</v>
      </c>
      <c r="AZ15" s="73">
        <f ca="1">OFFSET('Allocation %'!$A$1,MATCH(AZ$4,'Allocation %'!$A:$A,0)-1,MATCH($D15,'Allocation %'!$5:$5,0)-1)*$F15</f>
        <v>27468.484393234023</v>
      </c>
      <c r="BA15" s="73">
        <f ca="1">OFFSET('Allocation %'!$A$1,MATCH(BA$4,'Allocation %'!$A:$A,0)-1,MATCH($D15,'Allocation %'!$5:$5,0)-1)*$F15</f>
        <v>5437.1615828089671</v>
      </c>
      <c r="BB15" s="73">
        <f ca="1">OFFSET('Allocation %'!$A$1,MATCH(BB$4,'Allocation %'!$A:$A,0)-1,MATCH($D15,'Allocation %'!$5:$5,0)-1)*$F15</f>
        <v>3544.6711161428652</v>
      </c>
      <c r="BC15" s="73">
        <f ca="1">OFFSET('Allocation %'!$A$1,MATCH(BC$4,'Allocation %'!$A:$A,0)-1,MATCH($D15,'Allocation %'!$5:$5,0)-1)*$F15</f>
        <v>109.91269142068711</v>
      </c>
      <c r="BD15" s="73">
        <f ca="1">OFFSET('Allocation %'!$A$1,MATCH(BD$4,'Allocation %'!$A:$A,0)-1,MATCH($D15,'Allocation %'!$5:$5,0)-1)*$F15</f>
        <v>2115.4056318708508</v>
      </c>
      <c r="BE15" s="73">
        <f ca="1">OFFSET('Allocation %'!$A$1,MATCH(BE$4,'Allocation %'!$A:$A,0)-1,MATCH($D15,'Allocation %'!$5:$5,0)-1)*$F15</f>
        <v>7759.8762402542779</v>
      </c>
      <c r="BG15" s="76">
        <f t="shared" ca="1" si="0"/>
        <v>51896.116649308133</v>
      </c>
      <c r="BH15" s="349">
        <f t="shared" ca="1" si="1"/>
        <v>0</v>
      </c>
      <c r="BJ15" s="76">
        <f t="shared" ca="1" si="2"/>
        <v>18990.470673265139</v>
      </c>
    </row>
    <row r="16" spans="2:62" x14ac:dyDescent="0.25">
      <c r="B16" s="172" t="s">
        <v>226</v>
      </c>
      <c r="C16" s="131" t="str">
        <f>INDEX(ACTUALS!$E:$E,MATCH($B16,ACTUALS!$A:$A,0))</f>
        <v>CAD</v>
      </c>
      <c r="D16" s="159" t="str">
        <f ca="1">OFFSET(ACTUALS!$O$2,MATCH($B16,ACTUALS!$A:$A,0)-2,MATCH($E$4,ACTUALS!$P$2:$P$2,0))</f>
        <v>ALL</v>
      </c>
      <c r="E16" s="173">
        <f ca="1">IF($C16=E$3,SUMIFS(OFFSET(ACTUALS!$A:$A,,MATCH(E$4,ACTUALS!$2:$2,0)-1,,),ACTUALS!$A:$A,$B16)*-1000,F16*'2020 Assumptions'!$B$4)</f>
        <v>52772.509999999995</v>
      </c>
      <c r="F16" s="73">
        <f ca="1">IF($C16=F$3,SUMIFS(OFFSET(ACTUALS!$A:$A,,MATCH(F$4,ACTUALS!$2:$2,0)-1,,),ACTUALS!$A:$A,$B16)*-1000,E16/'2020 Assumptions'!$B$4)</f>
        <v>39259.418241333129</v>
      </c>
      <c r="G16" s="73">
        <f ca="1">IF($C16=G$3,SUMIFS(OFFSET('Non-margin Costs'!$A:$A,,MATCH(G$4,'Non-margin Costs'!$2:$2,0)-1,,),'Non-margin Costs'!$A:$A,$B16)*1000,(SUMIFS(OFFSET('Non-margin Costs'!$A:$A,,MATCH(G$4,'Non-margin Costs'!$2:$2,0)-1,,),'Non-margin Costs'!$A:$A,$B16)*1000)/'2020 Assumptions'!$B$4)</f>
        <v>3075.5914298467496</v>
      </c>
      <c r="I16" s="73">
        <f ca="1">OFFSET('Allocation %'!$A$1,MATCH(I$4,'Allocation %'!$A:$A,0)-1,MATCH($D16,'Allocation %'!$5:$5,0)-1)*$F16</f>
        <v>0</v>
      </c>
      <c r="J16" s="73">
        <f ca="1">OFFSET('Allocation %'!$A$1,MATCH(J$4,'Allocation %'!$A:$A,0)-1,MATCH($D16,'Allocation %'!$5:$5,0)-1)*$F16</f>
        <v>95.051695240858677</v>
      </c>
      <c r="K16" s="73">
        <f ca="1">OFFSET('Allocation %'!$A$1,MATCH(K$4,'Allocation %'!$A:$A,0)-1,MATCH($D16,'Allocation %'!$5:$5,0)-1)*$F16</f>
        <v>29.924241878787573</v>
      </c>
      <c r="L16" s="73">
        <f ca="1">OFFSET('Allocation %'!$A$1,MATCH(L$4,'Allocation %'!$A:$A,0)-1,MATCH($D16,'Allocation %'!$5:$5,0)-1)*$F16</f>
        <v>32.344806066207013</v>
      </c>
      <c r="M16" s="73">
        <f ca="1">OFFSET('Allocation %'!$A$1,MATCH(M$4,'Allocation %'!$A:$A,0)-1,MATCH($D16,'Allocation %'!$5:$5,0)-1)*$F16</f>
        <v>52.655833449833423</v>
      </c>
      <c r="N16" s="73">
        <f ca="1">OFFSET('Allocation %'!$A$1,MATCH(N$4,'Allocation %'!$A:$A,0)-1,MATCH($D16,'Allocation %'!$5:$5,0)-1)*$F16</f>
        <v>46.078027722820622</v>
      </c>
      <c r="O16" s="73">
        <f ca="1">OFFSET('Allocation %'!$A$1,MATCH(O$4,'Allocation %'!$A:$A,0)-1,MATCH($D16,'Allocation %'!$5:$5,0)-1)*$F16</f>
        <v>107.7312884570448</v>
      </c>
      <c r="P16" s="73">
        <f ca="1">OFFSET('Allocation %'!$A$1,MATCH(P$4,'Allocation %'!$A:$A,0)-1,MATCH($D16,'Allocation %'!$5:$5,0)-1)*$F16</f>
        <v>15.642940944440687</v>
      </c>
      <c r="Q16" s="73">
        <f ca="1">OFFSET('Allocation %'!$A$1,MATCH(Q$4,'Allocation %'!$A:$A,0)-1,MATCH($D16,'Allocation %'!$5:$5,0)-1)*$F16</f>
        <v>34.137145950502905</v>
      </c>
      <c r="R16" s="73">
        <f ca="1">OFFSET('Allocation %'!$A$1,MATCH(R$4,'Allocation %'!$A:$A,0)-1,MATCH($D16,'Allocation %'!$5:$5,0)-1)*$F16</f>
        <v>31.50546984386569</v>
      </c>
      <c r="S16" s="73">
        <f ca="1">OFFSET('Allocation %'!$A$1,MATCH(S$4,'Allocation %'!$A:$A,0)-1,MATCH($D16,'Allocation %'!$5:$5,0)-1)*$F16</f>
        <v>30.302917670995079</v>
      </c>
      <c r="T16" s="73">
        <f ca="1">OFFSET('Allocation %'!$A$1,MATCH(T$4,'Allocation %'!$A:$A,0)-1,MATCH($D16,'Allocation %'!$5:$5,0)-1)*$F16</f>
        <v>108.76012252135092</v>
      </c>
      <c r="U16" s="73">
        <f ca="1">OFFSET('Allocation %'!$A$1,MATCH(U$4,'Allocation %'!$A:$A,0)-1,MATCH($D16,'Allocation %'!$5:$5,0)-1)*$F16</f>
        <v>69.568517455360478</v>
      </c>
      <c r="V16" s="73">
        <f ca="1">OFFSET('Allocation %'!$A$1,MATCH(V$4,'Allocation %'!$A:$A,0)-1,MATCH($D16,'Allocation %'!$5:$5,0)-1)*$F16</f>
        <v>73.831505740464678</v>
      </c>
      <c r="W16" s="73">
        <f ca="1">OFFSET('Allocation %'!$A$1,MATCH(W$4,'Allocation %'!$A:$A,0)-1,MATCH($D16,'Allocation %'!$5:$5,0)-1)*$F16</f>
        <v>119.56587543058154</v>
      </c>
      <c r="X16" s="73">
        <f ca="1">OFFSET('Allocation %'!$A$1,MATCH(X$4,'Allocation %'!$A:$A,0)-1,MATCH($D16,'Allocation %'!$5:$5,0)-1)*$F16</f>
        <v>2.7692302266743685</v>
      </c>
      <c r="Y16" s="73">
        <f ca="1">OFFSET('Allocation %'!$A$1,MATCH(Y$4,'Allocation %'!$A:$A,0)-1,MATCH($D16,'Allocation %'!$5:$5,0)-1)*$F16</f>
        <v>2.1850903211327872</v>
      </c>
      <c r="Z16" s="73">
        <f ca="1">OFFSET('Allocation %'!$A$1,MATCH(Z$4,'Allocation %'!$A:$A,0)-1,MATCH($D16,'Allocation %'!$5:$5,0)-1)*$F16</f>
        <v>6.372074975178883</v>
      </c>
      <c r="AA16" s="73">
        <f ca="1">OFFSET('Allocation %'!$A$1,MATCH(AA$4,'Allocation %'!$A:$A,0)-1,MATCH($D16,'Allocation %'!$5:$5,0)-1)*$F16</f>
        <v>5.8140222909882793</v>
      </c>
      <c r="AB16" s="73">
        <f ca="1">OFFSET('Allocation %'!$A$1,MATCH(AB$4,'Allocation %'!$A:$A,0)-1,MATCH($D16,'Allocation %'!$5:$5,0)-1)*$F16</f>
        <v>5.6258140682112501</v>
      </c>
      <c r="AC16" s="73">
        <f ca="1">OFFSET('Allocation %'!$A$1,MATCH(AC$4,'Allocation %'!$A:$A,0)-1,MATCH($D16,'Allocation %'!$5:$5,0)-1)*$F16</f>
        <v>6.3644067523265617</v>
      </c>
      <c r="AD16" s="73">
        <f ca="1">OFFSET('Allocation %'!$A$1,MATCH(AD$4,'Allocation %'!$A:$A,0)-1,MATCH($D16,'Allocation %'!$5:$5,0)-1)*$F16</f>
        <v>14.064285442566559</v>
      </c>
      <c r="AE16" s="73">
        <f ca="1">OFFSET('Allocation %'!$A$1,MATCH(AE$4,'Allocation %'!$A:$A,0)-1,MATCH($D16,'Allocation %'!$5:$5,0)-1)*$F16</f>
        <v>13.463192873022104</v>
      </c>
      <c r="AF16" s="73">
        <f ca="1">OFFSET('Allocation %'!$A$1,MATCH(AF$4,'Allocation %'!$A:$A,0)-1,MATCH($D16,'Allocation %'!$5:$5,0)-1)*$F16</f>
        <v>66.373605635030856</v>
      </c>
      <c r="AG16" s="73">
        <f ca="1">OFFSET('Allocation %'!$A$1,MATCH(AG$4,'Allocation %'!$A:$A,0)-1,MATCH($D16,'Allocation %'!$5:$5,0)-1)*$F16</f>
        <v>104.45768881698125</v>
      </c>
      <c r="AH16" s="73">
        <f ca="1">OFFSET('Allocation %'!$A$1,MATCH(AH$4,'Allocation %'!$A:$A,0)-1,MATCH($D16,'Allocation %'!$5:$5,0)-1)*$F16</f>
        <v>923.95460470220883</v>
      </c>
      <c r="AI16" s="73">
        <f ca="1">OFFSET('Allocation %'!$A$1,MATCH(AI$4,'Allocation %'!$A:$A,0)-1,MATCH($D16,'Allocation %'!$5:$5,0)-1)*$F16</f>
        <v>5.4876373331716115</v>
      </c>
      <c r="AJ16" s="73">
        <f ca="1">OFFSET('Allocation %'!$A$1,MATCH(AJ$4,'Allocation %'!$A:$A,0)-1,MATCH($D16,'Allocation %'!$5:$5,0)-1)*$F16</f>
        <v>128.52197551497699</v>
      </c>
      <c r="AK16" s="73">
        <f ca="1">OFFSET('Allocation %'!$A$1,MATCH(AK$4,'Allocation %'!$A:$A,0)-1,MATCH($D16,'Allocation %'!$5:$5,0)-1)*$F16</f>
        <v>115.6662747635321</v>
      </c>
      <c r="AL16" s="73">
        <f ca="1">OFFSET('Allocation %'!$A$1,MATCH(AL$4,'Allocation %'!$A:$A,0)-1,MATCH($D16,'Allocation %'!$5:$5,0)-1)*$F16</f>
        <v>0</v>
      </c>
      <c r="AM16" s="73">
        <f ca="1">OFFSET('Allocation %'!$A$1,MATCH(AM$4,'Allocation %'!$A:$A,0)-1,MATCH($D16,'Allocation %'!$5:$5,0)-1)*$F16</f>
        <v>15.164888537870665</v>
      </c>
      <c r="AN16" s="73">
        <f ca="1">OFFSET('Allocation %'!$A$1,MATCH(AN$4,'Allocation %'!$A:$A,0)-1,MATCH($D16,'Allocation %'!$5:$5,0)-1)*$F16</f>
        <v>0</v>
      </c>
      <c r="AO16" s="73">
        <f ca="1">OFFSET('Allocation %'!$A$1,MATCH(AO$4,'Allocation %'!$A:$A,0)-1,MATCH($D16,'Allocation %'!$5:$5,0)-1)*$F16</f>
        <v>124.70031075008558</v>
      </c>
      <c r="AP16" s="73">
        <f ca="1">OFFSET('Allocation %'!$A$1,MATCH(AP$4,'Allocation %'!$A:$A,0)-1,MATCH($D16,'Allocation %'!$5:$5,0)-1)*$F16</f>
        <v>25.913954262006683</v>
      </c>
      <c r="AQ16" s="73">
        <f ca="1">OFFSET('Allocation %'!$A$1,MATCH(AQ$4,'Allocation %'!$A:$A,0)-1,MATCH($D16,'Allocation %'!$5:$5,0)-1)*$F16</f>
        <v>114.60179435209655</v>
      </c>
      <c r="AR16" s="73">
        <f ca="1">OFFSET('Allocation %'!$A$1,MATCH(AR$4,'Allocation %'!$A:$A,0)-1,MATCH($D16,'Allocation %'!$5:$5,0)-1)*$F16</f>
        <v>2.875741563384973</v>
      </c>
      <c r="AS16" s="73">
        <f ca="1">OFFSET('Allocation %'!$A$1,MATCH(AS$4,'Allocation %'!$A:$A,0)-1,MATCH($D16,'Allocation %'!$5:$5,0)-1)*$F16</f>
        <v>210.64516864431528</v>
      </c>
      <c r="AT16" s="73">
        <f ca="1">OFFSET('Allocation %'!$A$1,MATCH(AT$4,'Allocation %'!$A:$A,0)-1,MATCH($D16,'Allocation %'!$5:$5,0)-1)*$F16</f>
        <v>124.02867659246999</v>
      </c>
      <c r="AU16" s="73">
        <f ca="1">OFFSET('Allocation %'!$A$1,MATCH(AU$4,'Allocation %'!$A:$A,0)-1,MATCH($D16,'Allocation %'!$5:$5,0)-1)*$F16</f>
        <v>148.25295537017286</v>
      </c>
      <c r="AV16" s="73">
        <f ca="1">OFFSET('Allocation %'!$A$1,MATCH(AV$4,'Allocation %'!$A:$A,0)-1,MATCH($D16,'Allocation %'!$5:$5,0)-1)*$F16</f>
        <v>228.3929800831535</v>
      </c>
      <c r="AW16" s="73">
        <f ca="1">OFFSET('Allocation %'!$A$1,MATCH(AW$4,'Allocation %'!$A:$A,0)-1,MATCH($D16,'Allocation %'!$5:$5,0)-1)*$F16</f>
        <v>872.92428430633129</v>
      </c>
      <c r="AX16" s="73">
        <f ca="1">OFFSET('Allocation %'!$A$1,MATCH(AX$4,'Allocation %'!$A:$A,0)-1,MATCH($D16,'Allocation %'!$5:$5,0)-1)*$F16</f>
        <v>15.227262013592044</v>
      </c>
      <c r="AY16" s="73">
        <f ca="1">OFFSET('Allocation %'!$A$1,MATCH(AY$4,'Allocation %'!$A:$A,0)-1,MATCH($D16,'Allocation %'!$5:$5,0)-1)*$F16</f>
        <v>0</v>
      </c>
      <c r="AZ16" s="73">
        <f ca="1">OFFSET('Allocation %'!$A$1,MATCH(AZ$4,'Allocation %'!$A:$A,0)-1,MATCH($D16,'Allocation %'!$5:$5,0)-1)*$F16</f>
        <v>20779.911617218917</v>
      </c>
      <c r="BA16" s="73">
        <f ca="1">OFFSET('Allocation %'!$A$1,MATCH(BA$4,'Allocation %'!$A:$A,0)-1,MATCH($D16,'Allocation %'!$5:$5,0)-1)*$F16</f>
        <v>4113.2133656103124</v>
      </c>
      <c r="BB16" s="73">
        <f ca="1">OFFSET('Allocation %'!$A$1,MATCH(BB$4,'Allocation %'!$A:$A,0)-1,MATCH($D16,'Allocation %'!$5:$5,0)-1)*$F16</f>
        <v>2681.5441089170808</v>
      </c>
      <c r="BC16" s="73">
        <f ca="1">OFFSET('Allocation %'!$A$1,MATCH(BC$4,'Allocation %'!$A:$A,0)-1,MATCH($D16,'Allocation %'!$5:$5,0)-1)*$F16</f>
        <v>83.148963759176979</v>
      </c>
      <c r="BD16" s="73">
        <f ca="1">OFFSET('Allocation %'!$A$1,MATCH(BD$4,'Allocation %'!$A:$A,0)-1,MATCH($D16,'Allocation %'!$5:$5,0)-1)*$F16</f>
        <v>1600.3046049264751</v>
      </c>
      <c r="BE16" s="73">
        <f ca="1">OFFSET('Allocation %'!$A$1,MATCH(BE$4,'Allocation %'!$A:$A,0)-1,MATCH($D16,'Allocation %'!$5:$5,0)-1)*$F16</f>
        <v>5870.3472723365676</v>
      </c>
      <c r="BG16" s="76">
        <f t="shared" ca="1" si="0"/>
        <v>39259.418241333129</v>
      </c>
      <c r="BH16" s="349">
        <f t="shared" ca="1" si="1"/>
        <v>0</v>
      </c>
      <c r="BJ16" s="76">
        <f t="shared" ca="1" si="2"/>
        <v>14366.293258503898</v>
      </c>
    </row>
    <row r="17" spans="2:62" x14ac:dyDescent="0.25">
      <c r="B17" s="172" t="s">
        <v>227</v>
      </c>
      <c r="C17" s="131" t="str">
        <f>INDEX(ACTUALS!$E:$E,MATCH($B17,ACTUALS!$A:$A,0))</f>
        <v>CAD</v>
      </c>
      <c r="D17" s="159" t="str">
        <f ca="1">OFFSET(ACTUALS!$O$2,MATCH($B17,ACTUALS!$A:$A,0)-2,MATCH($E$4,ACTUALS!$P$2:$P$2,0))</f>
        <v>ALL + Tribus</v>
      </c>
      <c r="E17" s="173">
        <f ca="1">IF($C17=E$3,SUMIFS(OFFSET(ACTUALS!$A:$A,,MATCH(E$4,ACTUALS!$2:$2,0)-1,,),ACTUALS!$A:$A,$B17)*-1000,F17*'2020 Assumptions'!$B$4)</f>
        <v>90696.84</v>
      </c>
      <c r="F17" s="73">
        <f ca="1">IF($C17=F$3,SUMIFS(OFFSET(ACTUALS!$A:$A,,MATCH(F$4,ACTUALS!$2:$2,0)-1,,),ACTUALS!$A:$A,$B17)*-1000,E17/'2020 Assumptions'!$B$4)</f>
        <v>67472.727272727265</v>
      </c>
      <c r="G17" s="73">
        <f ca="1">IF($C17=G$3,SUMIFS(OFFSET('Non-margin Costs'!$A:$A,,MATCH(G$4,'Non-margin Costs'!$2:$2,0)-1,,),'Non-margin Costs'!$A:$A,$B17)*1000,(SUMIFS(OFFSET('Non-margin Costs'!$A:$A,,MATCH(G$4,'Non-margin Costs'!$2:$2,0)-1,,),'Non-margin Costs'!$A:$A,$B17)*1000)/'2020 Assumptions'!$B$4)</f>
        <v>5600.7513762832914</v>
      </c>
      <c r="I17" s="73">
        <f ca="1">OFFSET('Allocation %'!$A$1,MATCH(I$4,'Allocation %'!$A:$A,0)-1,MATCH($D17,'Allocation %'!$5:$5,0)-1)*$F17</f>
        <v>1349.4545454545453</v>
      </c>
      <c r="J17" s="73">
        <f ca="1">OFFSET('Allocation %'!$A$1,MATCH(J$4,'Allocation %'!$A:$A,0)-1,MATCH($D17,'Allocation %'!$5:$5,0)-1)*$F17</f>
        <v>160.0922644590743</v>
      </c>
      <c r="K17" s="73">
        <f ca="1">OFFSET('Allocation %'!$A$1,MATCH(K$4,'Allocation %'!$A:$A,0)-1,MATCH($D17,'Allocation %'!$5:$5,0)-1)*$F17</f>
        <v>50.400359851097889</v>
      </c>
      <c r="L17" s="73">
        <f ca="1">OFFSET('Allocation %'!$A$1,MATCH(L$4,'Allocation %'!$A:$A,0)-1,MATCH($D17,'Allocation %'!$5:$5,0)-1)*$F17</f>
        <v>54.477231926346704</v>
      </c>
      <c r="M17" s="73">
        <f ca="1">OFFSET('Allocation %'!$A$1,MATCH(M$4,'Allocation %'!$A:$A,0)-1,MATCH($D17,'Allocation %'!$5:$5,0)-1)*$F17</f>
        <v>88.686388944487703</v>
      </c>
      <c r="N17" s="73">
        <f ca="1">OFFSET('Allocation %'!$A$1,MATCH(N$4,'Allocation %'!$A:$A,0)-1,MATCH($D17,'Allocation %'!$5:$5,0)-1)*$F17</f>
        <v>77.607619530213398</v>
      </c>
      <c r="O17" s="73">
        <f ca="1">OFFSET('Allocation %'!$A$1,MATCH(O$4,'Allocation %'!$A:$A,0)-1,MATCH($D17,'Allocation %'!$5:$5,0)-1)*$F17</f>
        <v>181.44806232522936</v>
      </c>
      <c r="P17" s="73">
        <f ca="1">OFFSET('Allocation %'!$A$1,MATCH(P$4,'Allocation %'!$A:$A,0)-1,MATCH($D17,'Allocation %'!$5:$5,0)-1)*$F17</f>
        <v>26.346861381579881</v>
      </c>
      <c r="Q17" s="73">
        <f ca="1">OFFSET('Allocation %'!$A$1,MATCH(Q$4,'Allocation %'!$A:$A,0)-1,MATCH($D17,'Allocation %'!$5:$5,0)-1)*$F17</f>
        <v>57.496007657070351</v>
      </c>
      <c r="R17" s="73">
        <f ca="1">OFFSET('Allocation %'!$A$1,MATCH(R$4,'Allocation %'!$A:$A,0)-1,MATCH($D17,'Allocation %'!$5:$5,0)-1)*$F17</f>
        <v>53.063567118615985</v>
      </c>
      <c r="S17" s="73">
        <f ca="1">OFFSET('Allocation %'!$A$1,MATCH(S$4,'Allocation %'!$A:$A,0)-1,MATCH($D17,'Allocation %'!$5:$5,0)-1)*$F17</f>
        <v>51.038150317819358</v>
      </c>
      <c r="T17" s="73">
        <f ca="1">OFFSET('Allocation %'!$A$1,MATCH(T$4,'Allocation %'!$A:$A,0)-1,MATCH($D17,'Allocation %'!$5:$5,0)-1)*$F17</f>
        <v>183.18089175757177</v>
      </c>
      <c r="U17" s="73">
        <f ca="1">OFFSET('Allocation %'!$A$1,MATCH(U$4,'Allocation %'!$A:$A,0)-1,MATCH($D17,'Allocation %'!$5:$5,0)-1)*$F17</f>
        <v>117.17183440303135</v>
      </c>
      <c r="V17" s="73">
        <f ca="1">OFFSET('Allocation %'!$A$1,MATCH(V$4,'Allocation %'!$A:$A,0)-1,MATCH($D17,'Allocation %'!$5:$5,0)-1)*$F17</f>
        <v>124.35183730771885</v>
      </c>
      <c r="W17" s="73">
        <f ca="1">OFFSET('Allocation %'!$A$1,MATCH(W$4,'Allocation %'!$A:$A,0)-1,MATCH($D17,'Allocation %'!$5:$5,0)-1)*$F17</f>
        <v>201.38064556564842</v>
      </c>
      <c r="X17" s="73">
        <f ca="1">OFFSET('Allocation %'!$A$1,MATCH(X$4,'Allocation %'!$A:$A,0)-1,MATCH($D17,'Allocation %'!$5:$5,0)-1)*$F17</f>
        <v>4.6641181587916121</v>
      </c>
      <c r="Y17" s="73">
        <f ca="1">OFFSET('Allocation %'!$A$1,MATCH(Y$4,'Allocation %'!$A:$A,0)-1,MATCH($D17,'Allocation %'!$5:$5,0)-1)*$F17</f>
        <v>3.6802716318875581</v>
      </c>
      <c r="Z17" s="73">
        <f ca="1">OFFSET('Allocation %'!$A$1,MATCH(Z$4,'Allocation %'!$A:$A,0)-1,MATCH($D17,'Allocation %'!$5:$5,0)-1)*$F17</f>
        <v>10.732264264139928</v>
      </c>
      <c r="AA17" s="73">
        <f ca="1">OFFSET('Allocation %'!$A$1,MATCH(AA$4,'Allocation %'!$A:$A,0)-1,MATCH($D17,'Allocation %'!$5:$5,0)-1)*$F17</f>
        <v>9.7923555368610185</v>
      </c>
      <c r="AB17" s="73">
        <f ca="1">OFFSET('Allocation %'!$A$1,MATCH(AB$4,'Allocation %'!$A:$A,0)-1,MATCH($D17,'Allocation %'!$5:$5,0)-1)*$F17</f>
        <v>9.475362972995196</v>
      </c>
      <c r="AC17" s="73">
        <f ca="1">OFFSET('Allocation %'!$A$1,MATCH(AC$4,'Allocation %'!$A:$A,0)-1,MATCH($D17,'Allocation %'!$5:$5,0)-1)*$F17</f>
        <v>10.719348943085485</v>
      </c>
      <c r="AD17" s="73">
        <f ca="1">OFFSET('Allocation %'!$A$1,MATCH(AD$4,'Allocation %'!$A:$A,0)-1,MATCH($D17,'Allocation %'!$5:$5,0)-1)*$F17</f>
        <v>23.687986824367698</v>
      </c>
      <c r="AE17" s="73">
        <f ca="1">OFFSET('Allocation %'!$A$1,MATCH(AE$4,'Allocation %'!$A:$A,0)-1,MATCH($D17,'Allocation %'!$5:$5,0)-1)*$F17</f>
        <v>22.675587515086043</v>
      </c>
      <c r="AF17" s="73">
        <f ca="1">OFFSET('Allocation %'!$A$1,MATCH(AF$4,'Allocation %'!$A:$A,0)-1,MATCH($D17,'Allocation %'!$5:$5,0)-1)*$F17</f>
        <v>111.79075554097052</v>
      </c>
      <c r="AG17" s="73">
        <f ca="1">OFFSET('Allocation %'!$A$1,MATCH(AG$4,'Allocation %'!$A:$A,0)-1,MATCH($D17,'Allocation %'!$5:$5,0)-1)*$F17</f>
        <v>175.93445230510102</v>
      </c>
      <c r="AH17" s="73">
        <f ca="1">OFFSET('Allocation %'!$A$1,MATCH(AH$4,'Allocation %'!$A:$A,0)-1,MATCH($D17,'Allocation %'!$5:$5,0)-1)*$F17</f>
        <v>1556.1846061697781</v>
      </c>
      <c r="AI17" s="73">
        <f ca="1">OFFSET('Allocation %'!$A$1,MATCH(AI$4,'Allocation %'!$A:$A,0)-1,MATCH($D17,'Allocation %'!$5:$5,0)-1)*$F17</f>
        <v>9.2426367038634041</v>
      </c>
      <c r="AJ17" s="73">
        <f ca="1">OFFSET('Allocation %'!$A$1,MATCH(AJ$4,'Allocation %'!$A:$A,0)-1,MATCH($D17,'Allocation %'!$5:$5,0)-1)*$F17</f>
        <v>216.4650934505573</v>
      </c>
      <c r="AK17" s="73">
        <f ca="1">OFFSET('Allocation %'!$A$1,MATCH(AK$4,'Allocation %'!$A:$A,0)-1,MATCH($D17,'Allocation %'!$5:$5,0)-1)*$F17</f>
        <v>194.8126837876695</v>
      </c>
      <c r="AL17" s="73">
        <f ca="1">OFFSET('Allocation %'!$A$1,MATCH(AL$4,'Allocation %'!$A:$A,0)-1,MATCH($D17,'Allocation %'!$5:$5,0)-1)*$F17</f>
        <v>0</v>
      </c>
      <c r="AM17" s="73">
        <f ca="1">OFFSET('Allocation %'!$A$1,MATCH(AM$4,'Allocation %'!$A:$A,0)-1,MATCH($D17,'Allocation %'!$5:$5,0)-1)*$F17</f>
        <v>25.541694339540562</v>
      </c>
      <c r="AN17" s="73">
        <f ca="1">OFFSET('Allocation %'!$A$1,MATCH(AN$4,'Allocation %'!$A:$A,0)-1,MATCH($D17,'Allocation %'!$5:$5,0)-1)*$F17</f>
        <v>0</v>
      </c>
      <c r="AO17" s="73">
        <f ca="1">OFFSET('Allocation %'!$A$1,MATCH(AO$4,'Allocation %'!$A:$A,0)-1,MATCH($D17,'Allocation %'!$5:$5,0)-1)*$F17</f>
        <v>210.02839640202401</v>
      </c>
      <c r="AP17" s="73">
        <f ca="1">OFFSET('Allocation %'!$A$1,MATCH(AP$4,'Allocation %'!$A:$A,0)-1,MATCH($D17,'Allocation %'!$5:$5,0)-1)*$F17</f>
        <v>43.645971893305202</v>
      </c>
      <c r="AQ17" s="73">
        <f ca="1">OFFSET('Allocation %'!$A$1,MATCH(AQ$4,'Allocation %'!$A:$A,0)-1,MATCH($D17,'Allocation %'!$5:$5,0)-1)*$F17</f>
        <v>193.01981645261336</v>
      </c>
      <c r="AR17" s="73">
        <f ca="1">OFFSET('Allocation %'!$A$1,MATCH(AR$4,'Allocation %'!$A:$A,0)-1,MATCH($D17,'Allocation %'!$5:$5,0)-1)*$F17</f>
        <v>4.843511498819427</v>
      </c>
      <c r="AS17" s="73">
        <f ca="1">OFFSET('Allocation %'!$A$1,MATCH(AS$4,'Allocation %'!$A:$A,0)-1,MATCH($D17,'Allocation %'!$5:$5,0)-1)*$F17</f>
        <v>354.78233144795178</v>
      </c>
      <c r="AT17" s="73">
        <f ca="1">OFFSET('Allocation %'!$A$1,MATCH(AT$4,'Allocation %'!$A:$A,0)-1,MATCH($D17,'Allocation %'!$5:$5,0)-1)*$F17</f>
        <v>208.89718634934394</v>
      </c>
      <c r="AU17" s="73">
        <f ca="1">OFFSET('Allocation %'!$A$1,MATCH(AU$4,'Allocation %'!$A:$A,0)-1,MATCH($D17,'Allocation %'!$5:$5,0)-1)*$F17</f>
        <v>249.69729659023218</v>
      </c>
      <c r="AV17" s="73">
        <f ca="1">OFFSET('Allocation %'!$A$1,MATCH(AV$4,'Allocation %'!$A:$A,0)-1,MATCH($D17,'Allocation %'!$5:$5,0)-1)*$F17</f>
        <v>384.67435299724156</v>
      </c>
      <c r="AW17" s="73">
        <f ca="1">OFFSET('Allocation %'!$A$1,MATCH(AW$4,'Allocation %'!$A:$A,0)-1,MATCH($D17,'Allocation %'!$5:$5,0)-1)*$F17</f>
        <v>1470.2360123277997</v>
      </c>
      <c r="AX17" s="73">
        <f ca="1">OFFSET('Allocation %'!$A$1,MATCH(AX$4,'Allocation %'!$A:$A,0)-1,MATCH($D17,'Allocation %'!$5:$5,0)-1)*$F17</f>
        <v>25.646747815389848</v>
      </c>
      <c r="AY17" s="73">
        <f ca="1">OFFSET('Allocation %'!$A$1,MATCH(AY$4,'Allocation %'!$A:$A,0)-1,MATCH($D17,'Allocation %'!$5:$5,0)-1)*$F17</f>
        <v>0</v>
      </c>
      <c r="AZ17" s="73">
        <f ca="1">OFFSET('Allocation %'!$A$1,MATCH(AZ$4,'Allocation %'!$A:$A,0)-1,MATCH($D17,'Allocation %'!$5:$5,0)-1)*$F17</f>
        <v>34998.882425297277</v>
      </c>
      <c r="BA17" s="73">
        <f ca="1">OFFSET('Allocation %'!$A$1,MATCH(BA$4,'Allocation %'!$A:$A,0)-1,MATCH($D17,'Allocation %'!$5:$5,0)-1)*$F17</f>
        <v>6927.74221685661</v>
      </c>
      <c r="BB17" s="73">
        <f ca="1">OFFSET('Allocation %'!$A$1,MATCH(BB$4,'Allocation %'!$A:$A,0)-1,MATCH($D17,'Allocation %'!$5:$5,0)-1)*$F17</f>
        <v>4516.4314803182024</v>
      </c>
      <c r="BC17" s="73">
        <f ca="1">OFFSET('Allocation %'!$A$1,MATCH(BC$4,'Allocation %'!$A:$A,0)-1,MATCH($D17,'Allocation %'!$5:$5,0)-1)*$F17</f>
        <v>140.04490779360762</v>
      </c>
      <c r="BD17" s="73">
        <f ca="1">OFFSET('Allocation %'!$A$1,MATCH(BD$4,'Allocation %'!$A:$A,0)-1,MATCH($D17,'Allocation %'!$5:$5,0)-1)*$F17</f>
        <v>2695.3373885417641</v>
      </c>
      <c r="BE17" s="73">
        <f ca="1">OFFSET('Allocation %'!$A$1,MATCH(BE$4,'Allocation %'!$A:$A,0)-1,MATCH($D17,'Allocation %'!$5:$5,0)-1)*$F17</f>
        <v>9887.2217440003369</v>
      </c>
      <c r="BG17" s="76">
        <f t="shared" ca="1" si="0"/>
        <v>67472.727272727265</v>
      </c>
      <c r="BH17" s="349">
        <f t="shared" ca="1" si="1"/>
        <v>0</v>
      </c>
      <c r="BJ17" s="76">
        <f t="shared" ca="1" si="2"/>
        <v>24196.648085118832</v>
      </c>
    </row>
    <row r="18" spans="2:62" x14ac:dyDescent="0.25">
      <c r="B18" s="172" t="s">
        <v>228</v>
      </c>
      <c r="C18" s="131" t="str">
        <f>INDEX(ACTUALS!$E:$E,MATCH($B18,ACTUALS!$A:$A,0))</f>
        <v>CAD</v>
      </c>
      <c r="D18" s="159" t="str">
        <f ca="1">OFFSET(ACTUALS!$O$2,MATCH($B18,ACTUALS!$A:$A,0)-2,MATCH($E$4,ACTUALS!$P$2:$P$2,0))</f>
        <v>ALL</v>
      </c>
      <c r="E18" s="173">
        <f ca="1">IF($C18=E$3,SUMIFS(OFFSET(ACTUALS!$A:$A,,MATCH(E$4,ACTUALS!$2:$2,0)-1,,),ACTUALS!$A:$A,$B18)*-1000,F18*'2020 Assumptions'!$B$4)</f>
        <v>48990.959999999992</v>
      </c>
      <c r="F18" s="73">
        <f ca="1">IF($C18=F$3,SUMIFS(OFFSET(ACTUALS!$A:$A,,MATCH(F$4,ACTUALS!$2:$2,0)-1,,),ACTUALS!$A:$A,$B18)*-1000,E18/'2020 Assumptions'!$B$4)</f>
        <v>36446.183603630401</v>
      </c>
      <c r="G18" s="73">
        <f ca="1">IF($C18=G$3,SUMIFS(OFFSET('Non-margin Costs'!$A:$A,,MATCH(G$4,'Non-margin Costs'!$2:$2,0)-1,,),'Non-margin Costs'!$A:$A,$B18)*1000,(SUMIFS(OFFSET('Non-margin Costs'!$A:$A,,MATCH(G$4,'Non-margin Costs'!$2:$2,0)-1,,),'Non-margin Costs'!$A:$A,$B18)*1000)/'2020 Assumptions'!$B$4)</f>
        <v>21999.806576402319</v>
      </c>
      <c r="I18" s="73">
        <f ca="1">OFFSET('Allocation %'!$A$1,MATCH(I$4,'Allocation %'!$A:$A,0)-1,MATCH($D18,'Allocation %'!$5:$5,0)-1)*$F18</f>
        <v>0</v>
      </c>
      <c r="J18" s="73">
        <f ca="1">OFFSET('Allocation %'!$A$1,MATCH(J$4,'Allocation %'!$A:$A,0)-1,MATCH($D18,'Allocation %'!$5:$5,0)-1)*$F18</f>
        <v>88.240521428241649</v>
      </c>
      <c r="K18" s="73">
        <f ca="1">OFFSET('Allocation %'!$A$1,MATCH(K$4,'Allocation %'!$A:$A,0)-1,MATCH($D18,'Allocation %'!$5:$5,0)-1)*$F18</f>
        <v>27.779943324924407</v>
      </c>
      <c r="L18" s="73">
        <f ca="1">OFFSET('Allocation %'!$A$1,MATCH(L$4,'Allocation %'!$A:$A,0)-1,MATCH($D18,'Allocation %'!$5:$5,0)-1)*$F18</f>
        <v>30.027055756819315</v>
      </c>
      <c r="M18" s="73">
        <f ca="1">OFFSET('Allocation %'!$A$1,MATCH(M$4,'Allocation %'!$A:$A,0)-1,MATCH($D18,'Allocation %'!$5:$5,0)-1)*$F18</f>
        <v>48.882644208271522</v>
      </c>
      <c r="N18" s="73">
        <f ca="1">OFFSET('Allocation %'!$A$1,MATCH(N$4,'Allocation %'!$A:$A,0)-1,MATCH($D18,'Allocation %'!$5:$5,0)-1)*$F18</f>
        <v>42.776188076852812</v>
      </c>
      <c r="O18" s="73">
        <f ca="1">OFFSET('Allocation %'!$A$1,MATCH(O$4,'Allocation %'!$A:$A,0)-1,MATCH($D18,'Allocation %'!$5:$5,0)-1)*$F18</f>
        <v>100.01152576497768</v>
      </c>
      <c r="P18" s="73">
        <f ca="1">OFFSET('Allocation %'!$A$1,MATCH(P$4,'Allocation %'!$A:$A,0)-1,MATCH($D18,'Allocation %'!$5:$5,0)-1)*$F18</f>
        <v>14.522005758139148</v>
      </c>
      <c r="Q18" s="73">
        <f ca="1">OFFSET('Allocation %'!$A$1,MATCH(Q$4,'Allocation %'!$A:$A,0)-1,MATCH($D18,'Allocation %'!$5:$5,0)-1)*$F18</f>
        <v>31.690960914598328</v>
      </c>
      <c r="R18" s="73">
        <f ca="1">OFFSET('Allocation %'!$A$1,MATCH(R$4,'Allocation %'!$A:$A,0)-1,MATCH($D18,'Allocation %'!$5:$5,0)-1)*$F18</f>
        <v>29.247864331297297</v>
      </c>
      <c r="S18" s="73">
        <f ca="1">OFFSET('Allocation %'!$A$1,MATCH(S$4,'Allocation %'!$A:$A,0)-1,MATCH($D18,'Allocation %'!$5:$5,0)-1)*$F18</f>
        <v>28.131484128820343</v>
      </c>
      <c r="T18" s="73">
        <f ca="1">OFFSET('Allocation %'!$A$1,MATCH(T$4,'Allocation %'!$A:$A,0)-1,MATCH($D18,'Allocation %'!$5:$5,0)-1)*$F18</f>
        <v>100.96663607697647</v>
      </c>
      <c r="U18" s="73">
        <f ca="1">OFFSET('Allocation %'!$A$1,MATCH(U$4,'Allocation %'!$A:$A,0)-1,MATCH($D18,'Allocation %'!$5:$5,0)-1)*$F18</f>
        <v>64.583406321110488</v>
      </c>
      <c r="V18" s="73">
        <f ca="1">OFFSET('Allocation %'!$A$1,MATCH(V$4,'Allocation %'!$A:$A,0)-1,MATCH($D18,'Allocation %'!$5:$5,0)-1)*$F18</f>
        <v>68.540919210984555</v>
      </c>
      <c r="W18" s="73">
        <f ca="1">OFFSET('Allocation %'!$A$1,MATCH(W$4,'Allocation %'!$A:$A,0)-1,MATCH($D18,'Allocation %'!$5:$5,0)-1)*$F18</f>
        <v>110.9980749557791</v>
      </c>
      <c r="X18" s="73">
        <f ca="1">OFFSET('Allocation %'!$A$1,MATCH(X$4,'Allocation %'!$A:$A,0)-1,MATCH($D18,'Allocation %'!$5:$5,0)-1)*$F18</f>
        <v>2.5707939089081586</v>
      </c>
      <c r="Y18" s="73">
        <f ca="1">OFFSET('Allocation %'!$A$1,MATCH(Y$4,'Allocation %'!$A:$A,0)-1,MATCH($D18,'Allocation %'!$5:$5,0)-1)*$F18</f>
        <v>2.0285120514260839</v>
      </c>
      <c r="Z18" s="73">
        <f ca="1">OFFSET('Allocation %'!$A$1,MATCH(Z$4,'Allocation %'!$A:$A,0)-1,MATCH($D18,'Allocation %'!$5:$5,0)-1)*$F18</f>
        <v>5.9154675460005519</v>
      </c>
      <c r="AA18" s="73">
        <f ca="1">OFFSET('Allocation %'!$A$1,MATCH(AA$4,'Allocation %'!$A:$A,0)-1,MATCH($D18,'Allocation %'!$5:$5,0)-1)*$F18</f>
        <v>5.3974035628950592</v>
      </c>
      <c r="AB18" s="73">
        <f ca="1">OFFSET('Allocation %'!$A$1,MATCH(AB$4,'Allocation %'!$A:$A,0)-1,MATCH($D18,'Allocation %'!$5:$5,0)-1)*$F18</f>
        <v>5.2226818846246772</v>
      </c>
      <c r="AC18" s="73">
        <f ca="1">OFFSET('Allocation %'!$A$1,MATCH(AC$4,'Allocation %'!$A:$A,0)-1,MATCH($D18,'Allocation %'!$5:$5,0)-1)*$F18</f>
        <v>5.9083488093888361</v>
      </c>
      <c r="AD18" s="73">
        <f ca="1">OFFSET('Allocation %'!$A$1,MATCH(AD$4,'Allocation %'!$A:$A,0)-1,MATCH($D18,'Allocation %'!$5:$5,0)-1)*$F18</f>
        <v>13.056472878499818</v>
      </c>
      <c r="AE18" s="73">
        <f ca="1">OFFSET('Allocation %'!$A$1,MATCH(AE$4,'Allocation %'!$A:$A,0)-1,MATCH($D18,'Allocation %'!$5:$5,0)-1)*$F18</f>
        <v>12.498453143777146</v>
      </c>
      <c r="AF18" s="73">
        <f ca="1">OFFSET('Allocation %'!$A$1,MATCH(AF$4,'Allocation %'!$A:$A,0)-1,MATCH($D18,'Allocation %'!$5:$5,0)-1)*$F18</f>
        <v>61.617434128518255</v>
      </c>
      <c r="AG18" s="73">
        <f ca="1">OFFSET('Allocation %'!$A$1,MATCH(AG$4,'Allocation %'!$A:$A,0)-1,MATCH($D18,'Allocation %'!$5:$5,0)-1)*$F18</f>
        <v>96.972504330856623</v>
      </c>
      <c r="AH18" s="73">
        <f ca="1">OFFSET('Allocation %'!$A$1,MATCH(AH$4,'Allocation %'!$A:$A,0)-1,MATCH($D18,'Allocation %'!$5:$5,0)-1)*$F18</f>
        <v>857.74625995204156</v>
      </c>
      <c r="AI18" s="73">
        <f ca="1">OFFSET('Allocation %'!$A$1,MATCH(AI$4,'Allocation %'!$A:$A,0)-1,MATCH($D18,'Allocation %'!$5:$5,0)-1)*$F18</f>
        <v>5.0944065590952006</v>
      </c>
      <c r="AJ18" s="73">
        <f ca="1">OFFSET('Allocation %'!$A$1,MATCH(AJ$4,'Allocation %'!$A:$A,0)-1,MATCH($D18,'Allocation %'!$5:$5,0)-1)*$F18</f>
        <v>119.31240264249732</v>
      </c>
      <c r="AK18" s="73">
        <f ca="1">OFFSET('Allocation %'!$A$1,MATCH(AK$4,'Allocation %'!$A:$A,0)-1,MATCH($D18,'Allocation %'!$5:$5,0)-1)*$F18</f>
        <v>107.37791020910716</v>
      </c>
      <c r="AL18" s="73">
        <f ca="1">OFFSET('Allocation %'!$A$1,MATCH(AL$4,'Allocation %'!$A:$A,0)-1,MATCH($D18,'Allocation %'!$5:$5,0)-1)*$F18</f>
        <v>0</v>
      </c>
      <c r="AM18" s="73">
        <f ca="1">OFFSET('Allocation %'!$A$1,MATCH(AM$4,'Allocation %'!$A:$A,0)-1,MATCH($D18,'Allocation %'!$5:$5,0)-1)*$F18</f>
        <v>14.078209426902001</v>
      </c>
      <c r="AN18" s="73">
        <f ca="1">OFFSET('Allocation %'!$A$1,MATCH(AN$4,'Allocation %'!$A:$A,0)-1,MATCH($D18,'Allocation %'!$5:$5,0)-1)*$F18</f>
        <v>0</v>
      </c>
      <c r="AO18" s="73">
        <f ca="1">OFFSET('Allocation %'!$A$1,MATCH(AO$4,'Allocation %'!$A:$A,0)-1,MATCH($D18,'Allocation %'!$5:$5,0)-1)*$F18</f>
        <v>115.76458910036706</v>
      </c>
      <c r="AP18" s="73">
        <f ca="1">OFFSET('Allocation %'!$A$1,MATCH(AP$4,'Allocation %'!$A:$A,0)-1,MATCH($D18,'Allocation %'!$5:$5,0)-1)*$F18</f>
        <v>24.05702318672731</v>
      </c>
      <c r="AQ18" s="73">
        <f ca="1">OFFSET('Allocation %'!$A$1,MATCH(AQ$4,'Allocation %'!$A:$A,0)-1,MATCH($D18,'Allocation %'!$5:$5,0)-1)*$F18</f>
        <v>106.38970788070885</v>
      </c>
      <c r="AR18" s="73">
        <f ca="1">OFFSET('Allocation %'!$A$1,MATCH(AR$4,'Allocation %'!$A:$A,0)-1,MATCH($D18,'Allocation %'!$5:$5,0)-1)*$F18</f>
        <v>2.669672901708307</v>
      </c>
      <c r="AS18" s="73">
        <f ca="1">OFFSET('Allocation %'!$A$1,MATCH(AS$4,'Allocation %'!$A:$A,0)-1,MATCH($D18,'Allocation %'!$5:$5,0)-1)*$F18</f>
        <v>195.55084704606435</v>
      </c>
      <c r="AT18" s="73">
        <f ca="1">OFFSET('Allocation %'!$A$1,MATCH(AT$4,'Allocation %'!$A:$A,0)-1,MATCH($D18,'Allocation %'!$5:$5,0)-1)*$F18</f>
        <v>115.1410826165864</v>
      </c>
      <c r="AU18" s="73">
        <f ca="1">OFFSET('Allocation %'!$A$1,MATCH(AU$4,'Allocation %'!$A:$A,0)-1,MATCH($D18,'Allocation %'!$5:$5,0)-1)*$F18</f>
        <v>137.62950836376595</v>
      </c>
      <c r="AV18" s="73">
        <f ca="1">OFFSET('Allocation %'!$A$1,MATCH(AV$4,'Allocation %'!$A:$A,0)-1,MATCH($D18,'Allocation %'!$5:$5,0)-1)*$F18</f>
        <v>212.02689338700335</v>
      </c>
      <c r="AW18" s="73">
        <f ca="1">OFFSET('Allocation %'!$A$1,MATCH(AW$4,'Allocation %'!$A:$A,0)-1,MATCH($D18,'Allocation %'!$5:$5,0)-1)*$F18</f>
        <v>810.37264847702147</v>
      </c>
      <c r="AX18" s="73">
        <f ca="1">OFFSET('Allocation %'!$A$1,MATCH(AX$4,'Allocation %'!$A:$A,0)-1,MATCH($D18,'Allocation %'!$5:$5,0)-1)*$F18</f>
        <v>14.136113370719096</v>
      </c>
      <c r="AY18" s="73">
        <f ca="1">OFFSET('Allocation %'!$A$1,MATCH(AY$4,'Allocation %'!$A:$A,0)-1,MATCH($D18,'Allocation %'!$5:$5,0)-1)*$F18</f>
        <v>0</v>
      </c>
      <c r="AZ18" s="73">
        <f ca="1">OFFSET('Allocation %'!$A$1,MATCH(AZ$4,'Allocation %'!$A:$A,0)-1,MATCH($D18,'Allocation %'!$5:$5,0)-1)*$F18</f>
        <v>19290.873578738385</v>
      </c>
      <c r="BA18" s="73">
        <f ca="1">OFFSET('Allocation %'!$A$1,MATCH(BA$4,'Allocation %'!$A:$A,0)-1,MATCH($D18,'Allocation %'!$5:$5,0)-1)*$F18</f>
        <v>3818.470477642245</v>
      </c>
      <c r="BB18" s="73">
        <f ca="1">OFFSET('Allocation %'!$A$1,MATCH(BB$4,'Allocation %'!$A:$A,0)-1,MATCH($D18,'Allocation %'!$5:$5,0)-1)*$F18</f>
        <v>2489.391165555558</v>
      </c>
      <c r="BC18" s="73">
        <f ca="1">OFFSET('Allocation %'!$A$1,MATCH(BC$4,'Allocation %'!$A:$A,0)-1,MATCH($D18,'Allocation %'!$5:$5,0)-1)*$F18</f>
        <v>77.190710799378095</v>
      </c>
      <c r="BD18" s="73">
        <f ca="1">OFFSET('Allocation %'!$A$1,MATCH(BD$4,'Allocation %'!$A:$A,0)-1,MATCH($D18,'Allocation %'!$5:$5,0)-1)*$F18</f>
        <v>1485.6306605042803</v>
      </c>
      <c r="BE18" s="73">
        <f ca="1">OFFSET('Allocation %'!$A$1,MATCH(BE$4,'Allocation %'!$A:$A,0)-1,MATCH($D18,'Allocation %'!$5:$5,0)-1)*$F18</f>
        <v>5449.6924327675497</v>
      </c>
      <c r="BG18" s="76">
        <f t="shared" ca="1" si="0"/>
        <v>36446.183603630401</v>
      </c>
      <c r="BH18" s="349">
        <f t="shared" ca="1" si="1"/>
        <v>0</v>
      </c>
      <c r="BJ18" s="76">
        <f t="shared" ca="1" si="2"/>
        <v>13336.83954724977</v>
      </c>
    </row>
    <row r="19" spans="2:62" x14ac:dyDescent="0.25">
      <c r="B19" s="172" t="s">
        <v>229</v>
      </c>
      <c r="C19" s="131" t="str">
        <f>INDEX(ACTUALS!$E:$E,MATCH($B19,ACTUALS!$A:$A,0))</f>
        <v>CAD</v>
      </c>
      <c r="D19" s="159" t="str">
        <f ca="1">OFFSET(ACTUALS!$O$2,MATCH($B19,ACTUALS!$A:$A,0)-2,MATCH($E$4,ACTUALS!$P$2:$P$2,0))</f>
        <v>ALL + Tribus</v>
      </c>
      <c r="E19" s="173">
        <f ca="1">IF($C19=E$3,SUMIFS(OFFSET(ACTUALS!$A:$A,,MATCH(E$4,ACTUALS!$2:$2,0)-1,,),ACTUALS!$A:$A,$B19)*-1000,F19*'2020 Assumptions'!$B$4)</f>
        <v>41896.69</v>
      </c>
      <c r="F19" s="73">
        <f ca="1">IF($C19=F$3,SUMIFS(OFFSET(ACTUALS!$A:$A,,MATCH(F$4,ACTUALS!$2:$2,0)-1,,),ACTUALS!$A:$A,$B19)*-1000,E19/'2020 Assumptions'!$B$4)</f>
        <v>31168.494271685762</v>
      </c>
      <c r="G19" s="73">
        <f ca="1">IF($C19=G$3,SUMIFS(OFFSET('Non-margin Costs'!$A:$A,,MATCH(G$4,'Non-margin Costs'!$2:$2,0)-1,,),'Non-margin Costs'!$A:$A,$B19)*1000,(SUMIFS(OFFSET('Non-margin Costs'!$A:$A,,MATCH(G$4,'Non-margin Costs'!$2:$2,0)-1,,),'Non-margin Costs'!$A:$A,$B19)*1000)/'2020 Assumptions'!$B$4)</f>
        <v>19.729206963249514</v>
      </c>
      <c r="I19" s="73">
        <f ca="1">OFFSET('Allocation %'!$A$1,MATCH(I$4,'Allocation %'!$A:$A,0)-1,MATCH($D19,'Allocation %'!$5:$5,0)-1)*$F19</f>
        <v>623.36988543371524</v>
      </c>
      <c r="J19" s="73">
        <f ca="1">OFFSET('Allocation %'!$A$1,MATCH(J$4,'Allocation %'!$A:$A,0)-1,MATCH($D19,'Allocation %'!$5:$5,0)-1)*$F19</f>
        <v>73.953359074471109</v>
      </c>
      <c r="K19" s="73">
        <f ca="1">OFFSET('Allocation %'!$A$1,MATCH(K$4,'Allocation %'!$A:$A,0)-1,MATCH($D19,'Allocation %'!$5:$5,0)-1)*$F19</f>
        <v>23.282048774465515</v>
      </c>
      <c r="L19" s="73">
        <f ca="1">OFFSET('Allocation %'!$A$1,MATCH(L$4,'Allocation %'!$A:$A,0)-1,MATCH($D19,'Allocation %'!$5:$5,0)-1)*$F19</f>
        <v>25.165327679291263</v>
      </c>
      <c r="M19" s="73">
        <f ca="1">OFFSET('Allocation %'!$A$1,MATCH(M$4,'Allocation %'!$A:$A,0)-1,MATCH($D19,'Allocation %'!$5:$5,0)-1)*$F19</f>
        <v>40.967977989383414</v>
      </c>
      <c r="N19" s="73">
        <f ca="1">OFFSET('Allocation %'!$A$1,MATCH(N$4,'Allocation %'!$A:$A,0)-1,MATCH($D19,'Allocation %'!$5:$5,0)-1)*$F19</f>
        <v>35.850227825967217</v>
      </c>
      <c r="O19" s="73">
        <f ca="1">OFFSET('Allocation %'!$A$1,MATCH(O$4,'Allocation %'!$A:$A,0)-1,MATCH($D19,'Allocation %'!$5:$5,0)-1)*$F19</f>
        <v>83.818501486279061</v>
      </c>
      <c r="P19" s="73">
        <f ca="1">OFFSET('Allocation %'!$A$1,MATCH(P$4,'Allocation %'!$A:$A,0)-1,MATCH($D19,'Allocation %'!$5:$5,0)-1)*$F19</f>
        <v>12.170724843081901</v>
      </c>
      <c r="Q19" s="73">
        <f ca="1">OFFSET('Allocation %'!$A$1,MATCH(Q$4,'Allocation %'!$A:$A,0)-1,MATCH($D19,'Allocation %'!$5:$5,0)-1)*$F19</f>
        <v>26.559827321943114</v>
      </c>
      <c r="R19" s="73">
        <f ca="1">OFFSET('Allocation %'!$A$1,MATCH(R$4,'Allocation %'!$A:$A,0)-1,MATCH($D19,'Allocation %'!$5:$5,0)-1)*$F19</f>
        <v>24.512296369563124</v>
      </c>
      <c r="S19" s="73">
        <f ca="1">OFFSET('Allocation %'!$A$1,MATCH(S$4,'Allocation %'!$A:$A,0)-1,MATCH($D19,'Allocation %'!$5:$5,0)-1)*$F19</f>
        <v>23.576671050932749</v>
      </c>
      <c r="T19" s="73">
        <f ca="1">OFFSET('Allocation %'!$A$1,MATCH(T$4,'Allocation %'!$A:$A,0)-1,MATCH($D19,'Allocation %'!$5:$5,0)-1)*$F19</f>
        <v>84.618968377404784</v>
      </c>
      <c r="U19" s="73">
        <f ca="1">OFFSET('Allocation %'!$A$1,MATCH(U$4,'Allocation %'!$A:$A,0)-1,MATCH($D19,'Allocation %'!$5:$5,0)-1)*$F19</f>
        <v>54.126604881880567</v>
      </c>
      <c r="V19" s="73">
        <f ca="1">OFFSET('Allocation %'!$A$1,MATCH(V$4,'Allocation %'!$A:$A,0)-1,MATCH($D19,'Allocation %'!$5:$5,0)-1)*$F19</f>
        <v>57.443350601982736</v>
      </c>
      <c r="W19" s="73">
        <f ca="1">OFFSET('Allocation %'!$A$1,MATCH(W$4,'Allocation %'!$A:$A,0)-1,MATCH($D19,'Allocation %'!$5:$5,0)-1)*$F19</f>
        <v>93.026201125241499</v>
      </c>
      <c r="X19" s="73">
        <f ca="1">OFFSET('Allocation %'!$A$1,MATCH(X$4,'Allocation %'!$A:$A,0)-1,MATCH($D19,'Allocation %'!$5:$5,0)-1)*$F19</f>
        <v>2.1545526020781205</v>
      </c>
      <c r="Y19" s="73">
        <f ca="1">OFFSET('Allocation %'!$A$1,MATCH(Y$4,'Allocation %'!$A:$A,0)-1,MATCH($D19,'Allocation %'!$5:$5,0)-1)*$F19</f>
        <v>1.7000724576180068</v>
      </c>
      <c r="Z19" s="73">
        <f ca="1">OFFSET('Allocation %'!$A$1,MATCH(Z$4,'Allocation %'!$A:$A,0)-1,MATCH($D19,'Allocation %'!$5:$5,0)-1)*$F19</f>
        <v>4.9576848418616217</v>
      </c>
      <c r="AA19" s="73">
        <f ca="1">OFFSET('Allocation %'!$A$1,MATCH(AA$4,'Allocation %'!$A:$A,0)-1,MATCH($D19,'Allocation %'!$5:$5,0)-1)*$F19</f>
        <v>4.523501417443538</v>
      </c>
      <c r="AB19" s="73">
        <f ca="1">OFFSET('Allocation %'!$A$1,MATCH(AB$4,'Allocation %'!$A:$A,0)-1,MATCH($D19,'Allocation %'!$5:$5,0)-1)*$F19</f>
        <v>4.3770692023785855</v>
      </c>
      <c r="AC19" s="73">
        <f ca="1">OFFSET('Allocation %'!$A$1,MATCH(AC$4,'Allocation %'!$A:$A,0)-1,MATCH($D19,'Allocation %'!$5:$5,0)-1)*$F19</f>
        <v>4.9517187111511305</v>
      </c>
      <c r="AD19" s="73">
        <f ca="1">OFFSET('Allocation %'!$A$1,MATCH(AD$4,'Allocation %'!$A:$A,0)-1,MATCH($D19,'Allocation %'!$5:$5,0)-1)*$F19</f>
        <v>10.942478709342222</v>
      </c>
      <c r="AE19" s="73">
        <f ca="1">OFFSET('Allocation %'!$A$1,MATCH(AE$4,'Allocation %'!$A:$A,0)-1,MATCH($D19,'Allocation %'!$5:$5,0)-1)*$F19</f>
        <v>10.474808832230874</v>
      </c>
      <c r="AF19" s="73">
        <f ca="1">OFFSET('Allocation %'!$A$1,MATCH(AF$4,'Allocation %'!$A:$A,0)-1,MATCH($D19,'Allocation %'!$5:$5,0)-1)*$F19</f>
        <v>51.640857936900836</v>
      </c>
      <c r="AG19" s="73">
        <f ca="1">OFFSET('Allocation %'!$A$1,MATCH(AG$4,'Allocation %'!$A:$A,0)-1,MATCH($D19,'Allocation %'!$5:$5,0)-1)*$F19</f>
        <v>81.27153281797473</v>
      </c>
      <c r="AH19" s="73">
        <f ca="1">OFFSET('Allocation %'!$A$1,MATCH(AH$4,'Allocation %'!$A:$A,0)-1,MATCH($D19,'Allocation %'!$5:$5,0)-1)*$F19</f>
        <v>718.86720670165903</v>
      </c>
      <c r="AI19" s="73">
        <f ca="1">OFFSET('Allocation %'!$A$1,MATCH(AI$4,'Allocation %'!$A:$A,0)-1,MATCH($D19,'Allocation %'!$5:$5,0)-1)*$F19</f>
        <v>4.2695631376394907</v>
      </c>
      <c r="AJ19" s="73">
        <f ca="1">OFFSET('Allocation %'!$A$1,MATCH(AJ$4,'Allocation %'!$A:$A,0)-1,MATCH($D19,'Allocation %'!$5:$5,0)-1)*$F19</f>
        <v>99.994342869266788</v>
      </c>
      <c r="AK19" s="73">
        <f ca="1">OFFSET('Allocation %'!$A$1,MATCH(AK$4,'Allocation %'!$A:$A,0)-1,MATCH($D19,'Allocation %'!$5:$5,0)-1)*$F19</f>
        <v>89.992182977047676</v>
      </c>
      <c r="AL19" s="73">
        <f ca="1">OFFSET('Allocation %'!$A$1,MATCH(AL$4,'Allocation %'!$A:$A,0)-1,MATCH($D19,'Allocation %'!$5:$5,0)-1)*$F19</f>
        <v>0</v>
      </c>
      <c r="AM19" s="73">
        <f ca="1">OFFSET('Allocation %'!$A$1,MATCH(AM$4,'Allocation %'!$A:$A,0)-1,MATCH($D19,'Allocation %'!$5:$5,0)-1)*$F19</f>
        <v>11.798784277583275</v>
      </c>
      <c r="AN19" s="73">
        <f ca="1">OFFSET('Allocation %'!$A$1,MATCH(AN$4,'Allocation %'!$A:$A,0)-1,MATCH($D19,'Allocation %'!$5:$5,0)-1)*$F19</f>
        <v>0</v>
      </c>
      <c r="AO19" s="73">
        <f ca="1">OFFSET('Allocation %'!$A$1,MATCH(AO$4,'Allocation %'!$A:$A,0)-1,MATCH($D19,'Allocation %'!$5:$5,0)-1)*$F19</f>
        <v>97.020961427682778</v>
      </c>
      <c r="AP19" s="73">
        <f ca="1">OFFSET('Allocation %'!$A$1,MATCH(AP$4,'Allocation %'!$A:$A,0)-1,MATCH($D19,'Allocation %'!$5:$5,0)-1)*$F19</f>
        <v>20.161912522669162</v>
      </c>
      <c r="AQ19" s="73">
        <f ca="1">OFFSET('Allocation %'!$A$1,MATCH(AQ$4,'Allocation %'!$A:$A,0)-1,MATCH($D19,'Allocation %'!$5:$5,0)-1)*$F19</f>
        <v>89.16398205022405</v>
      </c>
      <c r="AR19" s="73">
        <f ca="1">OFFSET('Allocation %'!$A$1,MATCH(AR$4,'Allocation %'!$A:$A,0)-1,MATCH($D19,'Allocation %'!$5:$5,0)-1)*$F19</f>
        <v>2.2374219408027107</v>
      </c>
      <c r="AS19" s="73">
        <f ca="1">OFFSET('Allocation %'!$A$1,MATCH(AS$4,'Allocation %'!$A:$A,0)-1,MATCH($D19,'Allocation %'!$5:$5,0)-1)*$F19</f>
        <v>163.88890018827655</v>
      </c>
      <c r="AT19" s="73">
        <f ca="1">OFFSET('Allocation %'!$A$1,MATCH(AT$4,'Allocation %'!$A:$A,0)-1,MATCH($D19,'Allocation %'!$5:$5,0)-1)*$F19</f>
        <v>96.498407864603621</v>
      </c>
      <c r="AU19" s="73">
        <f ca="1">OFFSET('Allocation %'!$A$1,MATCH(AU$4,'Allocation %'!$A:$A,0)-1,MATCH($D19,'Allocation %'!$5:$5,0)-1)*$F19</f>
        <v>115.3456970394891</v>
      </c>
      <c r="AV19" s="73">
        <f ca="1">OFFSET('Allocation %'!$A$1,MATCH(AV$4,'Allocation %'!$A:$A,0)-1,MATCH($D19,'Allocation %'!$5:$5,0)-1)*$F19</f>
        <v>177.69728381359266</v>
      </c>
      <c r="AW19" s="73">
        <f ca="1">OFFSET('Allocation %'!$A$1,MATCH(AW$4,'Allocation %'!$A:$A,0)-1,MATCH($D19,'Allocation %'!$5:$5,0)-1)*$F19</f>
        <v>679.16393156954541</v>
      </c>
      <c r="AX19" s="73">
        <f ca="1">OFFSET('Allocation %'!$A$1,MATCH(AX$4,'Allocation %'!$A:$A,0)-1,MATCH($D19,'Allocation %'!$5:$5,0)-1)*$F19</f>
        <v>11.84731290229699</v>
      </c>
      <c r="AY19" s="73">
        <f ca="1">OFFSET('Allocation %'!$A$1,MATCH(AY$4,'Allocation %'!$A:$A,0)-1,MATCH($D19,'Allocation %'!$5:$5,0)-1)*$F19</f>
        <v>0</v>
      </c>
      <c r="AZ19" s="73">
        <f ca="1">OFFSET('Allocation %'!$A$1,MATCH(AZ$4,'Allocation %'!$A:$A,0)-1,MATCH($D19,'Allocation %'!$5:$5,0)-1)*$F19</f>
        <v>16167.457734129748</v>
      </c>
      <c r="BA19" s="73">
        <f ca="1">OFFSET('Allocation %'!$A$1,MATCH(BA$4,'Allocation %'!$A:$A,0)-1,MATCH($D19,'Allocation %'!$5:$5,0)-1)*$F19</f>
        <v>3200.2158846940447</v>
      </c>
      <c r="BB19" s="73">
        <f ca="1">OFFSET('Allocation %'!$A$1,MATCH(BB$4,'Allocation %'!$A:$A,0)-1,MATCH($D19,'Allocation %'!$5:$5,0)-1)*$F19</f>
        <v>2086.3299056189044</v>
      </c>
      <c r="BC19" s="73">
        <f ca="1">OFFSET('Allocation %'!$A$1,MATCH(BC$4,'Allocation %'!$A:$A,0)-1,MATCH($D19,'Allocation %'!$5:$5,0)-1)*$F19</f>
        <v>64.692640756914614</v>
      </c>
      <c r="BD19" s="73">
        <f ca="1">OFFSET('Allocation %'!$A$1,MATCH(BD$4,'Allocation %'!$A:$A,0)-1,MATCH($D19,'Allocation %'!$5:$5,0)-1)*$F19</f>
        <v>1245.0898511253961</v>
      </c>
      <c r="BE19" s="73">
        <f ca="1">OFFSET('Allocation %'!$A$1,MATCH(BE$4,'Allocation %'!$A:$A,0)-1,MATCH($D19,'Allocation %'!$5:$5,0)-1)*$F19</f>
        <v>4567.3241137137911</v>
      </c>
      <c r="BG19" s="76">
        <f t="shared" ca="1" si="0"/>
        <v>31168.494271685759</v>
      </c>
      <c r="BH19" s="349">
        <f t="shared" ca="1" si="1"/>
        <v>0</v>
      </c>
      <c r="BJ19" s="76">
        <f t="shared" ca="1" si="2"/>
        <v>11177.450767428254</v>
      </c>
    </row>
    <row r="20" spans="2:62" x14ac:dyDescent="0.25">
      <c r="B20" s="172" t="s">
        <v>284</v>
      </c>
      <c r="C20" s="131" t="str">
        <f>INDEX(ACTUALS!$E:$E,MATCH($B20,ACTUALS!$A:$A,0))</f>
        <v>CAD</v>
      </c>
      <c r="D20" s="159" t="str">
        <f ca="1">OFFSET(ACTUALS!$O$2,MATCH($B20,ACTUALS!$A:$A,0)-2,MATCH($E$4,ACTUALS!$P$2:$P$2,0))</f>
        <v>ALL</v>
      </c>
      <c r="E20" s="173">
        <f ca="1">IF($C20=E$3,SUMIFS(OFFSET(ACTUALS!$A:$A,,MATCH(E$4,ACTUALS!$2:$2,0)-1,,),ACTUALS!$A:$A,$B20)*-1000,F20*'2020 Assumptions'!$B$4)</f>
        <v>205774.73</v>
      </c>
      <c r="F20" s="73">
        <f ca="1">IF($C20=F$3,SUMIFS(OFFSET(ACTUALS!$A:$A,,MATCH(F$4,ACTUALS!$2:$2,0)-1,,),ACTUALS!$A:$A,$B20)*-1000,E20/'2020 Assumptions'!$B$4)</f>
        <v>153083.4176461836</v>
      </c>
      <c r="G20" s="73">
        <f ca="1">IF($C20=G$3,SUMIFS(OFFSET('Non-margin Costs'!$A:$A,,MATCH(G$4,'Non-margin Costs'!$2:$2,0)-1,,),'Non-margin Costs'!$A:$A,$B20)*1000,(SUMIFS(OFFSET('Non-margin Costs'!$A:$A,,MATCH(G$4,'Non-margin Costs'!$2:$2,0)-1,,),'Non-margin Costs'!$A:$A,$B20)*1000)/'2020 Assumptions'!$B$4)</f>
        <v>4686.0437434905525</v>
      </c>
      <c r="I20" s="73">
        <f ca="1">OFFSET('Allocation %'!$A$1,MATCH(I$4,'Allocation %'!$A:$A,0)-1,MATCH($D20,'Allocation %'!$5:$5,0)-1)*$F20</f>
        <v>0</v>
      </c>
      <c r="J20" s="73">
        <f ca="1">OFFSET('Allocation %'!$A$1,MATCH(J$4,'Allocation %'!$A:$A,0)-1,MATCH($D20,'Allocation %'!$5:$5,0)-1)*$F20</f>
        <v>370.63306111894207</v>
      </c>
      <c r="K20" s="73">
        <f ca="1">OFFSET('Allocation %'!$A$1,MATCH(K$4,'Allocation %'!$A:$A,0)-1,MATCH($D20,'Allocation %'!$5:$5,0)-1)*$F20</f>
        <v>116.68296226694933</v>
      </c>
      <c r="L20" s="73">
        <f ca="1">OFFSET('Allocation %'!$A$1,MATCH(L$4,'Allocation %'!$A:$A,0)-1,MATCH($D20,'Allocation %'!$5:$5,0)-1)*$F20</f>
        <v>126.12141691149637</v>
      </c>
      <c r="M20" s="73">
        <f ca="1">OFFSET('Allocation %'!$A$1,MATCH(M$4,'Allocation %'!$A:$A,0)-1,MATCH($D20,'Allocation %'!$5:$5,0)-1)*$F20</f>
        <v>205.31977560029725</v>
      </c>
      <c r="N20" s="73">
        <f ca="1">OFFSET('Allocation %'!$A$1,MATCH(N$4,'Allocation %'!$A:$A,0)-1,MATCH($D20,'Allocation %'!$5:$5,0)-1)*$F20</f>
        <v>179.67107711185102</v>
      </c>
      <c r="O20" s="73">
        <f ca="1">OFFSET('Allocation %'!$A$1,MATCH(O$4,'Allocation %'!$A:$A,0)-1,MATCH($D20,'Allocation %'!$5:$5,0)-1)*$F20</f>
        <v>420.07433026779495</v>
      </c>
      <c r="P20" s="73">
        <f ca="1">OFFSET('Allocation %'!$A$1,MATCH(P$4,'Allocation %'!$A:$A,0)-1,MATCH($D20,'Allocation %'!$5:$5,0)-1)*$F20</f>
        <v>60.996188152661823</v>
      </c>
      <c r="Q20" s="73">
        <f ca="1">OFFSET('Allocation %'!$A$1,MATCH(Q$4,'Allocation %'!$A:$A,0)-1,MATCH($D20,'Allocation %'!$5:$5,0)-1)*$F20</f>
        <v>133.11024984286951</v>
      </c>
      <c r="R20" s="73">
        <f ca="1">OFFSET('Allocation %'!$A$1,MATCH(R$4,'Allocation %'!$A:$A,0)-1,MATCH($D20,'Allocation %'!$5:$5,0)-1)*$F20</f>
        <v>122.84861096515222</v>
      </c>
      <c r="S20" s="73">
        <f ca="1">OFFSET('Allocation %'!$A$1,MATCH(S$4,'Allocation %'!$A:$A,0)-1,MATCH($D20,'Allocation %'!$5:$5,0)-1)*$F20</f>
        <v>118.15952475941057</v>
      </c>
      <c r="T20" s="73">
        <f ca="1">OFFSET('Allocation %'!$A$1,MATCH(T$4,'Allocation %'!$A:$A,0)-1,MATCH($D20,'Allocation %'!$5:$5,0)-1)*$F20</f>
        <v>424.08604113387651</v>
      </c>
      <c r="U20" s="73">
        <f ca="1">OFFSET('Allocation %'!$A$1,MATCH(U$4,'Allocation %'!$A:$A,0)-1,MATCH($D20,'Allocation %'!$5:$5,0)-1)*$F20</f>
        <v>271.26704596535376</v>
      </c>
      <c r="V20" s="73">
        <f ca="1">OFFSET('Allocation %'!$A$1,MATCH(V$4,'Allocation %'!$A:$A,0)-1,MATCH($D20,'Allocation %'!$5:$5,0)-1)*$F20</f>
        <v>287.88962585326283</v>
      </c>
      <c r="W20" s="73">
        <f ca="1">OFFSET('Allocation %'!$A$1,MATCH(W$4,'Allocation %'!$A:$A,0)-1,MATCH($D20,'Allocation %'!$5:$5,0)-1)*$F20</f>
        <v>466.22068448026357</v>
      </c>
      <c r="X20" s="73">
        <f ca="1">OFFSET('Allocation %'!$A$1,MATCH(X$4,'Allocation %'!$A:$A,0)-1,MATCH($D20,'Allocation %'!$5:$5,0)-1)*$F20</f>
        <v>10.798000743223263</v>
      </c>
      <c r="Y20" s="73">
        <f ca="1">OFFSET('Allocation %'!$A$1,MATCH(Y$4,'Allocation %'!$A:$A,0)-1,MATCH($D20,'Allocation %'!$5:$5,0)-1)*$F20</f>
        <v>8.5202763873977698</v>
      </c>
      <c r="Z20" s="73">
        <f ca="1">OFFSET('Allocation %'!$A$1,MATCH(Z$4,'Allocation %'!$A:$A,0)-1,MATCH($D20,'Allocation %'!$5:$5,0)-1)*$F20</f>
        <v>24.846496927229566</v>
      </c>
      <c r="AA20" s="73">
        <f ca="1">OFFSET('Allocation %'!$A$1,MATCH(AA$4,'Allocation %'!$A:$A,0)-1,MATCH($D20,'Allocation %'!$5:$5,0)-1)*$F20</f>
        <v>22.670493920832925</v>
      </c>
      <c r="AB20" s="73">
        <f ca="1">OFFSET('Allocation %'!$A$1,MATCH(AB$4,'Allocation %'!$A:$A,0)-1,MATCH($D20,'Allocation %'!$5:$5,0)-1)*$F20</f>
        <v>21.936617585867562</v>
      </c>
      <c r="AC20" s="73">
        <f ca="1">OFFSET('Allocation %'!$A$1,MATCH(AC$4,'Allocation %'!$A:$A,0)-1,MATCH($D20,'Allocation %'!$5:$5,0)-1)*$F20</f>
        <v>24.816596388350209</v>
      </c>
      <c r="AD20" s="73">
        <f ca="1">OFFSET('Allocation %'!$A$1,MATCH(AD$4,'Allocation %'!$A:$A,0)-1,MATCH($D20,'Allocation %'!$5:$5,0)-1)*$F20</f>
        <v>54.84057020572007</v>
      </c>
      <c r="AE20" s="73">
        <f ca="1">OFFSET('Allocation %'!$A$1,MATCH(AE$4,'Allocation %'!$A:$A,0)-1,MATCH($D20,'Allocation %'!$5:$5,0)-1)*$F20</f>
        <v>52.49674268637304</v>
      </c>
      <c r="AF20" s="73">
        <f ca="1">OFFSET('Allocation %'!$A$1,MATCH(AF$4,'Allocation %'!$A:$A,0)-1,MATCH($D20,'Allocation %'!$5:$5,0)-1)*$F20</f>
        <v>258.8091940041312</v>
      </c>
      <c r="AG20" s="73">
        <f ca="1">OFFSET('Allocation %'!$A$1,MATCH(AG$4,'Allocation %'!$A:$A,0)-1,MATCH($D20,'Allocation %'!$5:$5,0)-1)*$F20</f>
        <v>407.30965255846911</v>
      </c>
      <c r="AH20" s="73">
        <f ca="1">OFFSET('Allocation %'!$A$1,MATCH(AH$4,'Allocation %'!$A:$A,0)-1,MATCH($D20,'Allocation %'!$5:$5,0)-1)*$F20</f>
        <v>3602.756611630824</v>
      </c>
      <c r="AI20" s="73">
        <f ca="1">OFFSET('Allocation %'!$A$1,MATCH(AI$4,'Allocation %'!$A:$A,0)-1,MATCH($D20,'Allocation %'!$5:$5,0)-1)*$F20</f>
        <v>21.397827970875529</v>
      </c>
      <c r="AJ20" s="73">
        <f ca="1">OFFSET('Allocation %'!$A$1,MATCH(AJ$4,'Allocation %'!$A:$A,0)-1,MATCH($D20,'Allocation %'!$5:$5,0)-1)*$F20</f>
        <v>501.14301576068686</v>
      </c>
      <c r="AK20" s="73">
        <f ca="1">OFFSET('Allocation %'!$A$1,MATCH(AK$4,'Allocation %'!$A:$A,0)-1,MATCH($D20,'Allocation %'!$5:$5,0)-1)*$F20</f>
        <v>451.01505423129646</v>
      </c>
      <c r="AL20" s="73">
        <f ca="1">OFFSET('Allocation %'!$A$1,MATCH(AL$4,'Allocation %'!$A:$A,0)-1,MATCH($D20,'Allocation %'!$5:$5,0)-1)*$F20</f>
        <v>0</v>
      </c>
      <c r="AM20" s="73">
        <f ca="1">OFFSET('Allocation %'!$A$1,MATCH(AM$4,'Allocation %'!$A:$A,0)-1,MATCH($D20,'Allocation %'!$5:$5,0)-1)*$F20</f>
        <v>59.132128533595072</v>
      </c>
      <c r="AN20" s="73">
        <f ca="1">OFFSET('Allocation %'!$A$1,MATCH(AN$4,'Allocation %'!$A:$A,0)-1,MATCH($D20,'Allocation %'!$5:$5,0)-1)*$F20</f>
        <v>0</v>
      </c>
      <c r="AO20" s="73">
        <f ca="1">OFFSET('Allocation %'!$A$1,MATCH(AO$4,'Allocation %'!$A:$A,0)-1,MATCH($D20,'Allocation %'!$5:$5,0)-1)*$F20</f>
        <v>486.24127932355242</v>
      </c>
      <c r="AP20" s="73">
        <f ca="1">OFFSET('Allocation %'!$A$1,MATCH(AP$4,'Allocation %'!$A:$A,0)-1,MATCH($D20,'Allocation %'!$5:$5,0)-1)*$F20</f>
        <v>101.04573274033726</v>
      </c>
      <c r="AQ20" s="73">
        <f ca="1">OFFSET('Allocation %'!$A$1,MATCH(AQ$4,'Allocation %'!$A:$A,0)-1,MATCH($D20,'Allocation %'!$5:$5,0)-1)*$F20</f>
        <v>446.86434831919485</v>
      </c>
      <c r="AR20" s="73">
        <f ca="1">OFFSET('Allocation %'!$A$1,MATCH(AR$4,'Allocation %'!$A:$A,0)-1,MATCH($D20,'Allocation %'!$5:$5,0)-1)*$F20</f>
        <v>11.21331814149679</v>
      </c>
      <c r="AS20" s="73">
        <f ca="1">OFFSET('Allocation %'!$A$1,MATCH(AS$4,'Allocation %'!$A:$A,0)-1,MATCH($D20,'Allocation %'!$5:$5,0)-1)*$F20</f>
        <v>821.36424254954795</v>
      </c>
      <c r="AT20" s="73">
        <f ca="1">OFFSET('Allocation %'!$A$1,MATCH(AT$4,'Allocation %'!$A:$A,0)-1,MATCH($D20,'Allocation %'!$5:$5,0)-1)*$F20</f>
        <v>483.62239048460714</v>
      </c>
      <c r="AU20" s="73">
        <f ca="1">OFFSET('Allocation %'!$A$1,MATCH(AU$4,'Allocation %'!$A:$A,0)-1,MATCH($D20,'Allocation %'!$5:$5,0)-1)*$F20</f>
        <v>578.07960741301429</v>
      </c>
      <c r="AV20" s="73">
        <f ca="1">OFFSET('Allocation %'!$A$1,MATCH(AV$4,'Allocation %'!$A:$A,0)-1,MATCH($D20,'Allocation %'!$5:$5,0)-1)*$F20</f>
        <v>890.56790761906711</v>
      </c>
      <c r="AW20" s="73">
        <f ca="1">OFFSET('Allocation %'!$A$1,MATCH(AW$4,'Allocation %'!$A:$A,0)-1,MATCH($D20,'Allocation %'!$5:$5,0)-1)*$F20</f>
        <v>3403.7751646373954</v>
      </c>
      <c r="AX20" s="73">
        <f ca="1">OFFSET('Allocation %'!$A$1,MATCH(AX$4,'Allocation %'!$A:$A,0)-1,MATCH($D20,'Allocation %'!$5:$5,0)-1)*$F20</f>
        <v>59.375340105789164</v>
      </c>
      <c r="AY20" s="73">
        <f ca="1">OFFSET('Allocation %'!$A$1,MATCH(AY$4,'Allocation %'!$A:$A,0)-1,MATCH($D20,'Allocation %'!$5:$5,0)-1)*$F20</f>
        <v>0</v>
      </c>
      <c r="AZ20" s="73">
        <f ca="1">OFFSET('Allocation %'!$A$1,MATCH(AZ$4,'Allocation %'!$A:$A,0)-1,MATCH($D20,'Allocation %'!$5:$5,0)-1)*$F20</f>
        <v>81026.669045248884</v>
      </c>
      <c r="BA20" s="73">
        <f ca="1">OFFSET('Allocation %'!$A$1,MATCH(BA$4,'Allocation %'!$A:$A,0)-1,MATCH($D20,'Allocation %'!$5:$5,0)-1)*$F20</f>
        <v>16038.565718038681</v>
      </c>
      <c r="BB20" s="73">
        <f ca="1">OFFSET('Allocation %'!$A$1,MATCH(BB$4,'Allocation %'!$A:$A,0)-1,MATCH($D20,'Allocation %'!$5:$5,0)-1)*$F20</f>
        <v>10456.088122310328</v>
      </c>
      <c r="BC20" s="73">
        <f ca="1">OFFSET('Allocation %'!$A$1,MATCH(BC$4,'Allocation %'!$A:$A,0)-1,MATCH($D20,'Allocation %'!$5:$5,0)-1)*$F20</f>
        <v>324.2209924698376</v>
      </c>
      <c r="BD20" s="73">
        <f ca="1">OFFSET('Allocation %'!$A$1,MATCH(BD$4,'Allocation %'!$A:$A,0)-1,MATCH($D20,'Allocation %'!$5:$5,0)-1)*$F20</f>
        <v>6240.0338357319397</v>
      </c>
      <c r="BE20" s="73">
        <f ca="1">OFFSET('Allocation %'!$A$1,MATCH(BE$4,'Allocation %'!$A:$A,0)-1,MATCH($D20,'Allocation %'!$5:$5,0)-1)*$F20</f>
        <v>22890.120727084875</v>
      </c>
      <c r="BG20" s="76">
        <f t="shared" ca="1" si="0"/>
        <v>153083.4176461836</v>
      </c>
      <c r="BH20" s="349">
        <f t="shared" ca="1" si="1"/>
        <v>0</v>
      </c>
      <c r="BJ20" s="76">
        <f t="shared" ca="1" si="2"/>
        <v>56018.182882896028</v>
      </c>
    </row>
    <row r="21" spans="2:62" x14ac:dyDescent="0.25">
      <c r="B21" s="294" t="s">
        <v>230</v>
      </c>
      <c r="C21" s="131" t="str">
        <f>INDEX(ACTUALS!$E:$E,MATCH($B21,ACTUALS!$A:$A,0))</f>
        <v>CAD</v>
      </c>
      <c r="D21" s="159" t="str">
        <f ca="1">OFFSET(ACTUALS!$O$2,MATCH($B21,ACTUALS!$A:$A,0)-2,MATCH($E$4,ACTUALS!$P$2:$P$2,0))</f>
        <v>Canada Only</v>
      </c>
      <c r="E21" s="303">
        <f ca="1">IF($C21=E$3,SUMIFS(OFFSET(ACTUALS!$A:$A,,MATCH(E$4,ACTUALS!$2:$2,0)-1,,),ACTUALS!$A:$A,$B21)*-1000,F21*'2020 Assumptions'!$B$4)</f>
        <v>81185.88</v>
      </c>
      <c r="F21" s="73">
        <f ca="1">IF($C21=F$3,SUMIFS(OFFSET(ACTUALS!$A:$A,,MATCH(F$4,ACTUALS!$2:$2,0)-1,,),ACTUALS!$A:$A,$B21)*-1000,E21/'2020 Assumptions'!$B$4)</f>
        <v>60397.173039726229</v>
      </c>
      <c r="G21" s="73">
        <f ca="1">IF($C21=G$3,SUMIFS(OFFSET('Non-margin Costs'!$A:$A,,MATCH(G$4,'Non-margin Costs'!$2:$2,0)-1,,),'Non-margin Costs'!$A:$A,$B21)*1000,(SUMIFS(OFFSET('Non-margin Costs'!$A:$A,,MATCH(G$4,'Non-margin Costs'!$2:$2,0)-1,,),'Non-margin Costs'!$A:$A,$B21)*1000)/'2020 Assumptions'!$B$4)</f>
        <v>-4272.9578931706592</v>
      </c>
      <c r="I21" s="73">
        <f ca="1">OFFSET('Allocation %'!$A$1,MATCH(I$4,'Allocation %'!$A:$A,0)-1,MATCH($D21,'Allocation %'!$5:$5,0)-1)*$F21</f>
        <v>0</v>
      </c>
      <c r="J21" s="73">
        <f ca="1">OFFSET('Allocation %'!$A$1,MATCH(J$4,'Allocation %'!$A:$A,0)-1,MATCH($D21,'Allocation %'!$5:$5,0)-1)*$F21</f>
        <v>1577.8162557971746</v>
      </c>
      <c r="K21" s="73">
        <f ca="1">OFFSET('Allocation %'!$A$1,MATCH(K$4,'Allocation %'!$A:$A,0)-1,MATCH($D21,'Allocation %'!$5:$5,0)-1)*$F21</f>
        <v>431.13341841346215</v>
      </c>
      <c r="L21" s="73">
        <f ca="1">OFFSET('Allocation %'!$A$1,MATCH(L$4,'Allocation %'!$A:$A,0)-1,MATCH($D21,'Allocation %'!$5:$5,0)-1)*$F21</f>
        <v>430.27820195210768</v>
      </c>
      <c r="M21" s="73">
        <f ca="1">OFFSET('Allocation %'!$A$1,MATCH(M$4,'Allocation %'!$A:$A,0)-1,MATCH($D21,'Allocation %'!$5:$5,0)-1)*$F21</f>
        <v>1033.6705445424207</v>
      </c>
      <c r="N21" s="73">
        <f ca="1">OFFSET('Allocation %'!$A$1,MATCH(N$4,'Allocation %'!$A:$A,0)-1,MATCH($D21,'Allocation %'!$5:$5,0)-1)*$F21</f>
        <v>704.23944070073628</v>
      </c>
      <c r="O21" s="73">
        <f ca="1">OFFSET('Allocation %'!$A$1,MATCH(O$4,'Allocation %'!$A:$A,0)-1,MATCH($D21,'Allocation %'!$5:$5,0)-1)*$F21</f>
        <v>2018.5210804527401</v>
      </c>
      <c r="P21" s="73">
        <f ca="1">OFFSET('Allocation %'!$A$1,MATCH(P$4,'Allocation %'!$A:$A,0)-1,MATCH($D21,'Allocation %'!$5:$5,0)-1)*$F21</f>
        <v>325.82039281005018</v>
      </c>
      <c r="Q21" s="73">
        <f ca="1">OFFSET('Allocation %'!$A$1,MATCH(Q$4,'Allocation %'!$A:$A,0)-1,MATCH($D21,'Allocation %'!$5:$5,0)-1)*$F21</f>
        <v>710.24492452722666</v>
      </c>
      <c r="R21" s="73">
        <f ca="1">OFFSET('Allocation %'!$A$1,MATCH(R$4,'Allocation %'!$A:$A,0)-1,MATCH($D21,'Allocation %'!$5:$5,0)-1)*$F21</f>
        <v>688.86140121776248</v>
      </c>
      <c r="S21" s="73">
        <f ca="1">OFFSET('Allocation %'!$A$1,MATCH(S$4,'Allocation %'!$A:$A,0)-1,MATCH($D21,'Allocation %'!$5:$5,0)-1)*$F21</f>
        <v>635.70697322353772</v>
      </c>
      <c r="T21" s="73">
        <f ca="1">OFFSET('Allocation %'!$A$1,MATCH(T$4,'Allocation %'!$A:$A,0)-1,MATCH($D21,'Allocation %'!$5:$5,0)-1)*$F21</f>
        <v>2347.7777410947297</v>
      </c>
      <c r="U21" s="73">
        <f ca="1">OFFSET('Allocation %'!$A$1,MATCH(U$4,'Allocation %'!$A:$A,0)-1,MATCH($D21,'Allocation %'!$5:$5,0)-1)*$F21</f>
        <v>1420.2160329185772</v>
      </c>
      <c r="V21" s="73">
        <f ca="1">OFFSET('Allocation %'!$A$1,MATCH(V$4,'Allocation %'!$A:$A,0)-1,MATCH($D21,'Allocation %'!$5:$5,0)-1)*$F21</f>
        <v>1031.2352626644608</v>
      </c>
      <c r="W21" s="73">
        <f ca="1">OFFSET('Allocation %'!$A$1,MATCH(W$4,'Allocation %'!$A:$A,0)-1,MATCH($D21,'Allocation %'!$5:$5,0)-1)*$F21</f>
        <v>1741.1884691585822</v>
      </c>
      <c r="X21" s="73">
        <f ca="1">OFFSET('Allocation %'!$A$1,MATCH(X$4,'Allocation %'!$A:$A,0)-1,MATCH($D21,'Allocation %'!$5:$5,0)-1)*$F21</f>
        <v>56.308000761165808</v>
      </c>
      <c r="Y21" s="73">
        <f ca="1">OFFSET('Allocation %'!$A$1,MATCH(Y$4,'Allocation %'!$A:$A,0)-1,MATCH($D21,'Allocation %'!$5:$5,0)-1)*$F21</f>
        <v>39.05839550464885</v>
      </c>
      <c r="Z21" s="73">
        <f ca="1">OFFSET('Allocation %'!$A$1,MATCH(Z$4,'Allocation %'!$A:$A,0)-1,MATCH($D21,'Allocation %'!$5:$5,0)-1)*$F21</f>
        <v>109.73740685088021</v>
      </c>
      <c r="AA21" s="73">
        <f ca="1">OFFSET('Allocation %'!$A$1,MATCH(AA$4,'Allocation %'!$A:$A,0)-1,MATCH($D21,'Allocation %'!$5:$5,0)-1)*$F21</f>
        <v>94.872804865338281</v>
      </c>
      <c r="AB21" s="73">
        <f ca="1">OFFSET('Allocation %'!$A$1,MATCH(AB$4,'Allocation %'!$A:$A,0)-1,MATCH($D21,'Allocation %'!$5:$5,0)-1)*$F21</f>
        <v>75.204380047309527</v>
      </c>
      <c r="AC21" s="73">
        <f ca="1">OFFSET('Allocation %'!$A$1,MATCH(AC$4,'Allocation %'!$A:$A,0)-1,MATCH($D21,'Allocation %'!$5:$5,0)-1)*$F21</f>
        <v>113.39025489699515</v>
      </c>
      <c r="AD21" s="73">
        <f ca="1">OFFSET('Allocation %'!$A$1,MATCH(AD$4,'Allocation %'!$A:$A,0)-1,MATCH($D21,'Allocation %'!$5:$5,0)-1)*$F21</f>
        <v>187.02601167904572</v>
      </c>
      <c r="AE21" s="73">
        <f ca="1">OFFSET('Allocation %'!$A$1,MATCH(AE$4,'Allocation %'!$A:$A,0)-1,MATCH($D21,'Allocation %'!$5:$5,0)-1)*$F21</f>
        <v>263.68720385650255</v>
      </c>
      <c r="AF21" s="73">
        <f ca="1">OFFSET('Allocation %'!$A$1,MATCH(AF$4,'Allocation %'!$A:$A,0)-1,MATCH($D21,'Allocation %'!$5:$5,0)-1)*$F21</f>
        <v>1399.6814042051942</v>
      </c>
      <c r="AG21" s="73">
        <f ca="1">OFFSET('Allocation %'!$A$1,MATCH(AG$4,'Allocation %'!$A:$A,0)-1,MATCH($D21,'Allocation %'!$5:$5,0)-1)*$F21</f>
        <v>1097.8818682334163</v>
      </c>
      <c r="AH21" s="73">
        <f ca="1">OFFSET('Allocation %'!$A$1,MATCH(AH$4,'Allocation %'!$A:$A,0)-1,MATCH($D21,'Allocation %'!$5:$5,0)-1)*$F21</f>
        <v>15574.339122412046</v>
      </c>
      <c r="AI21" s="73">
        <f ca="1">OFFSET('Allocation %'!$A$1,MATCH(AI$4,'Allocation %'!$A:$A,0)-1,MATCH($D21,'Allocation %'!$5:$5,0)-1)*$F21</f>
        <v>127.5848143916176</v>
      </c>
      <c r="AJ21" s="73">
        <f ca="1">OFFSET('Allocation %'!$A$1,MATCH(AJ$4,'Allocation %'!$A:$A,0)-1,MATCH($D21,'Allocation %'!$5:$5,0)-1)*$F21</f>
        <v>2500.3507069353241</v>
      </c>
      <c r="AK21" s="73">
        <f ca="1">OFFSET('Allocation %'!$A$1,MATCH(AK$4,'Allocation %'!$A:$A,0)-1,MATCH($D21,'Allocation %'!$5:$5,0)-1)*$F21</f>
        <v>2111.1406480262112</v>
      </c>
      <c r="AL21" s="73">
        <f ca="1">OFFSET('Allocation %'!$A$1,MATCH(AL$4,'Allocation %'!$A:$A,0)-1,MATCH($D21,'Allocation %'!$5:$5,0)-1)*$F21</f>
        <v>0</v>
      </c>
      <c r="AM21" s="73">
        <f ca="1">OFFSET('Allocation %'!$A$1,MATCH(AM$4,'Allocation %'!$A:$A,0)-1,MATCH($D21,'Allocation %'!$5:$5,0)-1)*$F21</f>
        <v>266.4607563569121</v>
      </c>
      <c r="AN21" s="73">
        <f ca="1">OFFSET('Allocation %'!$A$1,MATCH(AN$4,'Allocation %'!$A:$A,0)-1,MATCH($D21,'Allocation %'!$5:$5,0)-1)*$F21</f>
        <v>0</v>
      </c>
      <c r="AO21" s="73">
        <f ca="1">OFFSET('Allocation %'!$A$1,MATCH(AO$4,'Allocation %'!$A:$A,0)-1,MATCH($D21,'Allocation %'!$5:$5,0)-1)*$F21</f>
        <v>2083.3103254065518</v>
      </c>
      <c r="AP21" s="73">
        <f ca="1">OFFSET('Allocation %'!$A$1,MATCH(AP$4,'Allocation %'!$A:$A,0)-1,MATCH($D21,'Allocation %'!$5:$5,0)-1)*$F21</f>
        <v>489.32966766216185</v>
      </c>
      <c r="AQ21" s="73">
        <f ca="1">OFFSET('Allocation %'!$A$1,MATCH(AQ$4,'Allocation %'!$A:$A,0)-1,MATCH($D21,'Allocation %'!$5:$5,0)-1)*$F21</f>
        <v>1244.340151258428</v>
      </c>
      <c r="AR21" s="73">
        <f ca="1">OFFSET('Allocation %'!$A$1,MATCH(AR$4,'Allocation %'!$A:$A,0)-1,MATCH($D21,'Allocation %'!$5:$5,0)-1)*$F21</f>
        <v>45.034863558900014</v>
      </c>
      <c r="AS21" s="73">
        <f ca="1">OFFSET('Allocation %'!$A$1,MATCH(AS$4,'Allocation %'!$A:$A,0)-1,MATCH($D21,'Allocation %'!$5:$5,0)-1)*$F21</f>
        <v>2241.3932764511651</v>
      </c>
      <c r="AT21" s="73">
        <f ca="1">OFFSET('Allocation %'!$A$1,MATCH(AT$4,'Allocation %'!$A:$A,0)-1,MATCH($D21,'Allocation %'!$5:$5,0)-1)*$F21</f>
        <v>1302.6140346758509</v>
      </c>
      <c r="AU21" s="73">
        <f ca="1">OFFSET('Allocation %'!$A$1,MATCH(AU$4,'Allocation %'!$A:$A,0)-1,MATCH($D21,'Allocation %'!$5:$5,0)-1)*$F21</f>
        <v>1672.8807555239748</v>
      </c>
      <c r="AV21" s="73">
        <f ca="1">OFFSET('Allocation %'!$A$1,MATCH(AV$4,'Allocation %'!$A:$A,0)-1,MATCH($D21,'Allocation %'!$5:$5,0)-1)*$F21</f>
        <v>2563.9623352543804</v>
      </c>
      <c r="AW21" s="73">
        <f ca="1">OFFSET('Allocation %'!$A$1,MATCH(AW$4,'Allocation %'!$A:$A,0)-1,MATCH($D21,'Allocation %'!$5:$5,0)-1)*$F21</f>
        <v>9438.3825081120576</v>
      </c>
      <c r="AX21" s="73">
        <f ca="1">OFFSET('Allocation %'!$A$1,MATCH(AX$4,'Allocation %'!$A:$A,0)-1,MATCH($D21,'Allocation %'!$5:$5,0)-1)*$F21</f>
        <v>202.49120332659072</v>
      </c>
      <c r="AY21" s="73">
        <f ca="1">OFFSET('Allocation %'!$A$1,MATCH(AY$4,'Allocation %'!$A:$A,0)-1,MATCH($D21,'Allocation %'!$5:$5,0)-1)*$F21</f>
        <v>0</v>
      </c>
      <c r="AZ21" s="317">
        <f ca="1">OFFSET('Allocation %'!$A$1,MATCH(AZ$4,'Allocation %'!$A:$A,0)-1,MATCH($D21,'Allocation %'!$5:$5,0)-1)*$F21</f>
        <v>0</v>
      </c>
      <c r="BA21" s="317">
        <f ca="1">OFFSET('Allocation %'!$A$1,MATCH(BA$4,'Allocation %'!$A:$A,0)-1,MATCH($D21,'Allocation %'!$5:$5,0)-1)*$F21</f>
        <v>0</v>
      </c>
      <c r="BB21" s="317">
        <f ca="1">OFFSET('Allocation %'!$A$1,MATCH(BB$4,'Allocation %'!$A:$A,0)-1,MATCH($D21,'Allocation %'!$5:$5,0)-1)*$F21</f>
        <v>0</v>
      </c>
      <c r="BC21" s="317">
        <f ca="1">OFFSET('Allocation %'!$A$1,MATCH(BC$4,'Allocation %'!$A:$A,0)-1,MATCH($D21,'Allocation %'!$5:$5,0)-1)*$F21</f>
        <v>0</v>
      </c>
      <c r="BD21" s="317">
        <f ca="1">OFFSET('Allocation %'!$A$1,MATCH(BD$4,'Allocation %'!$A:$A,0)-1,MATCH($D21,'Allocation %'!$5:$5,0)-1)*$F21</f>
        <v>0</v>
      </c>
      <c r="BE21" s="317">
        <f ca="1">OFFSET('Allocation %'!$A$1,MATCH(BE$4,'Allocation %'!$A:$A,0)-1,MATCH($D21,'Allocation %'!$5:$5,0)-1)*$F21</f>
        <v>0</v>
      </c>
      <c r="BG21" s="76">
        <f t="shared" ca="1" si="0"/>
        <v>60397.173039726236</v>
      </c>
      <c r="BH21" s="349">
        <f t="shared" ca="1" si="1"/>
        <v>0</v>
      </c>
      <c r="BJ21" s="76">
        <f t="shared" ca="1" si="2"/>
        <v>60397.173039726236</v>
      </c>
    </row>
    <row r="22" spans="2:62" x14ac:dyDescent="0.25">
      <c r="B22" s="294" t="s">
        <v>289</v>
      </c>
      <c r="C22" s="131" t="str">
        <f>INDEX(ACTUALS!$E:$E,MATCH($B22,ACTUALS!$A:$A,0))</f>
        <v>CAD</v>
      </c>
      <c r="D22" s="159" t="str">
        <f ca="1">OFFSET(ACTUALS!$O$2,MATCH($B22,ACTUALS!$A:$A,0)-2,MATCH($E$4,ACTUALS!$P$2:$P$2,0))</f>
        <v>Canada Only</v>
      </c>
      <c r="E22" s="303">
        <f ca="1">IF($C22=E$3,SUMIFS(OFFSET(ACTUALS!$A:$A,,MATCH(E$4,ACTUALS!$2:$2,0)-1,,),ACTUALS!$A:$A,$B22)*-1000,F22*'2020 Assumptions'!$B$4)</f>
        <v>0</v>
      </c>
      <c r="F22" s="73">
        <f ca="1">IF($C22=F$3,SUMIFS(OFFSET(ACTUALS!$A:$A,,MATCH(F$4,ACTUALS!$2:$2,0)-1,,),ACTUALS!$A:$A,$B22)*-1000,E22/'2020 Assumptions'!$B$4)</f>
        <v>0</v>
      </c>
      <c r="G22" s="73">
        <f ca="1">IF($C22=G$3,SUMIFS(OFFSET('Non-margin Costs'!$A:$A,,MATCH(G$4,'Non-margin Costs'!$2:$2,0)-1,,),'Non-margin Costs'!$A:$A,$B22)*1000,(SUMIFS(OFFSET('Non-margin Costs'!$A:$A,,MATCH(G$4,'Non-margin Costs'!$2:$2,0)-1,,),'Non-margin Costs'!$A:$A,$B22)*1000)/'2020 Assumptions'!$B$4)</f>
        <v>0</v>
      </c>
      <c r="I22" s="73">
        <f ca="1">OFFSET('Allocation %'!$A$1,MATCH(I$4,'Allocation %'!$A:$A,0)-1,MATCH($D22,'Allocation %'!$5:$5,0)-1)*$F22</f>
        <v>0</v>
      </c>
      <c r="J22" s="73">
        <f ca="1">OFFSET('Allocation %'!$A$1,MATCH(J$4,'Allocation %'!$A:$A,0)-1,MATCH($D22,'Allocation %'!$5:$5,0)-1)*$F22</f>
        <v>0</v>
      </c>
      <c r="K22" s="73">
        <f ca="1">OFFSET('Allocation %'!$A$1,MATCH(K$4,'Allocation %'!$A:$A,0)-1,MATCH($D22,'Allocation %'!$5:$5,0)-1)*$F22</f>
        <v>0</v>
      </c>
      <c r="L22" s="73">
        <f ca="1">OFFSET('Allocation %'!$A$1,MATCH(L$4,'Allocation %'!$A:$A,0)-1,MATCH($D22,'Allocation %'!$5:$5,0)-1)*$F22</f>
        <v>0</v>
      </c>
      <c r="M22" s="73">
        <f ca="1">OFFSET('Allocation %'!$A$1,MATCH(M$4,'Allocation %'!$A:$A,0)-1,MATCH($D22,'Allocation %'!$5:$5,0)-1)*$F22</f>
        <v>0</v>
      </c>
      <c r="N22" s="73">
        <f ca="1">OFFSET('Allocation %'!$A$1,MATCH(N$4,'Allocation %'!$A:$A,0)-1,MATCH($D22,'Allocation %'!$5:$5,0)-1)*$F22</f>
        <v>0</v>
      </c>
      <c r="O22" s="73">
        <f ca="1">OFFSET('Allocation %'!$A$1,MATCH(O$4,'Allocation %'!$A:$A,0)-1,MATCH($D22,'Allocation %'!$5:$5,0)-1)*$F22</f>
        <v>0</v>
      </c>
      <c r="P22" s="73">
        <f ca="1">OFFSET('Allocation %'!$A$1,MATCH(P$4,'Allocation %'!$A:$A,0)-1,MATCH($D22,'Allocation %'!$5:$5,0)-1)*$F22</f>
        <v>0</v>
      </c>
      <c r="Q22" s="73">
        <f ca="1">OFFSET('Allocation %'!$A$1,MATCH(Q$4,'Allocation %'!$A:$A,0)-1,MATCH($D22,'Allocation %'!$5:$5,0)-1)*$F22</f>
        <v>0</v>
      </c>
      <c r="R22" s="73">
        <f ca="1">OFFSET('Allocation %'!$A$1,MATCH(R$4,'Allocation %'!$A:$A,0)-1,MATCH($D22,'Allocation %'!$5:$5,0)-1)*$F22</f>
        <v>0</v>
      </c>
      <c r="S22" s="73">
        <f ca="1">OFFSET('Allocation %'!$A$1,MATCH(S$4,'Allocation %'!$A:$A,0)-1,MATCH($D22,'Allocation %'!$5:$5,0)-1)*$F22</f>
        <v>0</v>
      </c>
      <c r="T22" s="73">
        <f ca="1">OFFSET('Allocation %'!$A$1,MATCH(T$4,'Allocation %'!$A:$A,0)-1,MATCH($D22,'Allocation %'!$5:$5,0)-1)*$F22</f>
        <v>0</v>
      </c>
      <c r="U22" s="73">
        <f ca="1">OFFSET('Allocation %'!$A$1,MATCH(U$4,'Allocation %'!$A:$A,0)-1,MATCH($D22,'Allocation %'!$5:$5,0)-1)*$F22</f>
        <v>0</v>
      </c>
      <c r="V22" s="73">
        <f ca="1">OFFSET('Allocation %'!$A$1,MATCH(V$4,'Allocation %'!$A:$A,0)-1,MATCH($D22,'Allocation %'!$5:$5,0)-1)*$F22</f>
        <v>0</v>
      </c>
      <c r="W22" s="73">
        <f ca="1">OFFSET('Allocation %'!$A$1,MATCH(W$4,'Allocation %'!$A:$A,0)-1,MATCH($D22,'Allocation %'!$5:$5,0)-1)*$F22</f>
        <v>0</v>
      </c>
      <c r="X22" s="73">
        <f ca="1">OFFSET('Allocation %'!$A$1,MATCH(X$4,'Allocation %'!$A:$A,0)-1,MATCH($D22,'Allocation %'!$5:$5,0)-1)*$F22</f>
        <v>0</v>
      </c>
      <c r="Y22" s="73">
        <f ca="1">OFFSET('Allocation %'!$A$1,MATCH(Y$4,'Allocation %'!$A:$A,0)-1,MATCH($D22,'Allocation %'!$5:$5,0)-1)*$F22</f>
        <v>0</v>
      </c>
      <c r="Z22" s="73">
        <f ca="1">OFFSET('Allocation %'!$A$1,MATCH(Z$4,'Allocation %'!$A:$A,0)-1,MATCH($D22,'Allocation %'!$5:$5,0)-1)*$F22</f>
        <v>0</v>
      </c>
      <c r="AA22" s="73">
        <f ca="1">OFFSET('Allocation %'!$A$1,MATCH(AA$4,'Allocation %'!$A:$A,0)-1,MATCH($D22,'Allocation %'!$5:$5,0)-1)*$F22</f>
        <v>0</v>
      </c>
      <c r="AB22" s="73">
        <f ca="1">OFFSET('Allocation %'!$A$1,MATCH(AB$4,'Allocation %'!$A:$A,0)-1,MATCH($D22,'Allocation %'!$5:$5,0)-1)*$F22</f>
        <v>0</v>
      </c>
      <c r="AC22" s="73">
        <f ca="1">OFFSET('Allocation %'!$A$1,MATCH(AC$4,'Allocation %'!$A:$A,0)-1,MATCH($D22,'Allocation %'!$5:$5,0)-1)*$F22</f>
        <v>0</v>
      </c>
      <c r="AD22" s="73">
        <f ca="1">OFFSET('Allocation %'!$A$1,MATCH(AD$4,'Allocation %'!$A:$A,0)-1,MATCH($D22,'Allocation %'!$5:$5,0)-1)*$F22</f>
        <v>0</v>
      </c>
      <c r="AE22" s="73">
        <f ca="1">OFFSET('Allocation %'!$A$1,MATCH(AE$4,'Allocation %'!$A:$A,0)-1,MATCH($D22,'Allocation %'!$5:$5,0)-1)*$F22</f>
        <v>0</v>
      </c>
      <c r="AF22" s="73">
        <f ca="1">OFFSET('Allocation %'!$A$1,MATCH(AF$4,'Allocation %'!$A:$A,0)-1,MATCH($D22,'Allocation %'!$5:$5,0)-1)*$F22</f>
        <v>0</v>
      </c>
      <c r="AG22" s="73">
        <f ca="1">OFFSET('Allocation %'!$A$1,MATCH(AG$4,'Allocation %'!$A:$A,0)-1,MATCH($D22,'Allocation %'!$5:$5,0)-1)*$F22</f>
        <v>0</v>
      </c>
      <c r="AH22" s="73">
        <f ca="1">OFFSET('Allocation %'!$A$1,MATCH(AH$4,'Allocation %'!$A:$A,0)-1,MATCH($D22,'Allocation %'!$5:$5,0)-1)*$F22</f>
        <v>0</v>
      </c>
      <c r="AI22" s="73">
        <f ca="1">OFFSET('Allocation %'!$A$1,MATCH(AI$4,'Allocation %'!$A:$A,0)-1,MATCH($D22,'Allocation %'!$5:$5,0)-1)*$F22</f>
        <v>0</v>
      </c>
      <c r="AJ22" s="73">
        <f ca="1">OFFSET('Allocation %'!$A$1,MATCH(AJ$4,'Allocation %'!$A:$A,0)-1,MATCH($D22,'Allocation %'!$5:$5,0)-1)*$F22</f>
        <v>0</v>
      </c>
      <c r="AK22" s="73">
        <f ca="1">OFFSET('Allocation %'!$A$1,MATCH(AK$4,'Allocation %'!$A:$A,0)-1,MATCH($D22,'Allocation %'!$5:$5,0)-1)*$F22</f>
        <v>0</v>
      </c>
      <c r="AL22" s="73">
        <f ca="1">OFFSET('Allocation %'!$A$1,MATCH(AL$4,'Allocation %'!$A:$A,0)-1,MATCH($D22,'Allocation %'!$5:$5,0)-1)*$F22</f>
        <v>0</v>
      </c>
      <c r="AM22" s="73">
        <f ca="1">OFFSET('Allocation %'!$A$1,MATCH(AM$4,'Allocation %'!$A:$A,0)-1,MATCH($D22,'Allocation %'!$5:$5,0)-1)*$F22</f>
        <v>0</v>
      </c>
      <c r="AN22" s="73">
        <f ca="1">OFFSET('Allocation %'!$A$1,MATCH(AN$4,'Allocation %'!$A:$A,0)-1,MATCH($D22,'Allocation %'!$5:$5,0)-1)*$F22</f>
        <v>0</v>
      </c>
      <c r="AO22" s="73">
        <f ca="1">OFFSET('Allocation %'!$A$1,MATCH(AO$4,'Allocation %'!$A:$A,0)-1,MATCH($D22,'Allocation %'!$5:$5,0)-1)*$F22</f>
        <v>0</v>
      </c>
      <c r="AP22" s="73">
        <f ca="1">OFFSET('Allocation %'!$A$1,MATCH(AP$4,'Allocation %'!$A:$A,0)-1,MATCH($D22,'Allocation %'!$5:$5,0)-1)*$F22</f>
        <v>0</v>
      </c>
      <c r="AQ22" s="73">
        <f ca="1">OFFSET('Allocation %'!$A$1,MATCH(AQ$4,'Allocation %'!$A:$A,0)-1,MATCH($D22,'Allocation %'!$5:$5,0)-1)*$F22</f>
        <v>0</v>
      </c>
      <c r="AR22" s="73">
        <f ca="1">OFFSET('Allocation %'!$A$1,MATCH(AR$4,'Allocation %'!$A:$A,0)-1,MATCH($D22,'Allocation %'!$5:$5,0)-1)*$F22</f>
        <v>0</v>
      </c>
      <c r="AS22" s="73">
        <f ca="1">OFFSET('Allocation %'!$A$1,MATCH(AS$4,'Allocation %'!$A:$A,0)-1,MATCH($D22,'Allocation %'!$5:$5,0)-1)*$F22</f>
        <v>0</v>
      </c>
      <c r="AT22" s="73">
        <f ca="1">OFFSET('Allocation %'!$A$1,MATCH(AT$4,'Allocation %'!$A:$A,0)-1,MATCH($D22,'Allocation %'!$5:$5,0)-1)*$F22</f>
        <v>0</v>
      </c>
      <c r="AU22" s="73">
        <f ca="1">OFFSET('Allocation %'!$A$1,MATCH(AU$4,'Allocation %'!$A:$A,0)-1,MATCH($D22,'Allocation %'!$5:$5,0)-1)*$F22</f>
        <v>0</v>
      </c>
      <c r="AV22" s="73">
        <f ca="1">OFFSET('Allocation %'!$A$1,MATCH(AV$4,'Allocation %'!$A:$A,0)-1,MATCH($D22,'Allocation %'!$5:$5,0)-1)*$F22</f>
        <v>0</v>
      </c>
      <c r="AW22" s="73">
        <f ca="1">OFFSET('Allocation %'!$A$1,MATCH(AW$4,'Allocation %'!$A:$A,0)-1,MATCH($D22,'Allocation %'!$5:$5,0)-1)*$F22</f>
        <v>0</v>
      </c>
      <c r="AX22" s="73">
        <f ca="1">OFFSET('Allocation %'!$A$1,MATCH(AX$4,'Allocation %'!$A:$A,0)-1,MATCH($D22,'Allocation %'!$5:$5,0)-1)*$F22</f>
        <v>0</v>
      </c>
      <c r="AY22" s="73">
        <f ca="1">OFFSET('Allocation %'!$A$1,MATCH(AY$4,'Allocation %'!$A:$A,0)-1,MATCH($D22,'Allocation %'!$5:$5,0)-1)*$F22</f>
        <v>0</v>
      </c>
      <c r="AZ22" s="317">
        <f ca="1">OFFSET('Allocation %'!$A$1,MATCH(AZ$4,'Allocation %'!$A:$A,0)-1,MATCH($D22,'Allocation %'!$5:$5,0)-1)*$F22</f>
        <v>0</v>
      </c>
      <c r="BA22" s="317">
        <f ca="1">OFFSET('Allocation %'!$A$1,MATCH(BA$4,'Allocation %'!$A:$A,0)-1,MATCH($D22,'Allocation %'!$5:$5,0)-1)*$F22</f>
        <v>0</v>
      </c>
      <c r="BB22" s="317">
        <f ca="1">OFFSET('Allocation %'!$A$1,MATCH(BB$4,'Allocation %'!$A:$A,0)-1,MATCH($D22,'Allocation %'!$5:$5,0)-1)*$F22</f>
        <v>0</v>
      </c>
      <c r="BC22" s="317">
        <f ca="1">OFFSET('Allocation %'!$A$1,MATCH(BC$4,'Allocation %'!$A:$A,0)-1,MATCH($D22,'Allocation %'!$5:$5,0)-1)*$F22</f>
        <v>0</v>
      </c>
      <c r="BD22" s="317">
        <f ca="1">OFFSET('Allocation %'!$A$1,MATCH(BD$4,'Allocation %'!$A:$A,0)-1,MATCH($D22,'Allocation %'!$5:$5,0)-1)*$F22</f>
        <v>0</v>
      </c>
      <c r="BE22" s="317">
        <f ca="1">OFFSET('Allocation %'!$A$1,MATCH(BE$4,'Allocation %'!$A:$A,0)-1,MATCH($D22,'Allocation %'!$5:$5,0)-1)*$F22</f>
        <v>0</v>
      </c>
      <c r="BG22" s="76">
        <f t="shared" ref="BG22:BG63" ca="1" si="3">SUM(I22:BF22)</f>
        <v>0</v>
      </c>
      <c r="BH22" s="349">
        <f t="shared" ref="BH22:BH63" ca="1" si="4">BG22-F22</f>
        <v>0</v>
      </c>
      <c r="BJ22" s="76">
        <f t="shared" ca="1" si="2"/>
        <v>0</v>
      </c>
    </row>
    <row r="23" spans="2:62" x14ac:dyDescent="0.25">
      <c r="B23" s="294" t="s">
        <v>231</v>
      </c>
      <c r="C23" s="131" t="str">
        <f>INDEX(ACTUALS!$E:$E,MATCH($B23,ACTUALS!$A:$A,0))</f>
        <v>CAD</v>
      </c>
      <c r="D23" s="159" t="str">
        <f ca="1">OFFSET(ACTUALS!$O$2,MATCH($B23,ACTUALS!$A:$A,0)-2,MATCH($E$4,ACTUALS!$P$2:$P$2,0))</f>
        <v>Canada Only</v>
      </c>
      <c r="E23" s="303">
        <f ca="1">IF($C23=E$3,SUMIFS(OFFSET(ACTUALS!$A:$A,,MATCH(E$4,ACTUALS!$2:$2,0)-1,,),ACTUALS!$A:$A,$B23)*-1000,F23*'2020 Assumptions'!$B$4)</f>
        <v>126947.06999999999</v>
      </c>
      <c r="F23" s="73">
        <f ca="1">IF($C23=F$3,SUMIFS(OFFSET(ACTUALS!$A:$A,,MATCH(F$4,ACTUALS!$2:$2,0)-1,,),ACTUALS!$A:$A,$B23)*-1000,E23/'2020 Assumptions'!$B$4)</f>
        <v>94440.611516143428</v>
      </c>
      <c r="G23" s="73">
        <f ca="1">IF($C23=G$3,SUMIFS(OFFSET('Non-margin Costs'!$A:$A,,MATCH(G$4,'Non-margin Costs'!$2:$2,0)-1,,),'Non-margin Costs'!$A:$A,$B23)*1000,(SUMIFS(OFFSET('Non-margin Costs'!$A:$A,,MATCH(G$4,'Non-margin Costs'!$2:$2,0)-1,,),'Non-margin Costs'!$A:$A,$B23)*1000)/'2020 Assumptions'!$B$4)</f>
        <v>51044.77756286267</v>
      </c>
      <c r="I23" s="73">
        <f ca="1">OFFSET('Allocation %'!$A$1,MATCH(I$4,'Allocation %'!$A:$A,0)-1,MATCH($D23,'Allocation %'!$5:$5,0)-1)*$F23</f>
        <v>0</v>
      </c>
      <c r="J23" s="73">
        <f ca="1">OFFSET('Allocation %'!$A$1,MATCH(J$4,'Allocation %'!$A:$A,0)-1,MATCH($D23,'Allocation %'!$5:$5,0)-1)*$F23</f>
        <v>2467.1673285036982</v>
      </c>
      <c r="K23" s="73">
        <f ca="1">OFFSET('Allocation %'!$A$1,MATCH(K$4,'Allocation %'!$A:$A,0)-1,MATCH($D23,'Allocation %'!$5:$5,0)-1)*$F23</f>
        <v>674.14585204561524</v>
      </c>
      <c r="L23" s="73">
        <f ca="1">OFFSET('Allocation %'!$A$1,MATCH(L$4,'Allocation %'!$A:$A,0)-1,MATCH($D23,'Allocation %'!$5:$5,0)-1)*$F23</f>
        <v>672.80858472789043</v>
      </c>
      <c r="M23" s="73">
        <f ca="1">OFFSET('Allocation %'!$A$1,MATCH(M$4,'Allocation %'!$A:$A,0)-1,MATCH($D23,'Allocation %'!$5:$5,0)-1)*$F23</f>
        <v>1616.3087346588445</v>
      </c>
      <c r="N23" s="73">
        <f ca="1">OFFSET('Allocation %'!$A$1,MATCH(N$4,'Allocation %'!$A:$A,0)-1,MATCH($D23,'Allocation %'!$5:$5,0)-1)*$F23</f>
        <v>1101.1906697987042</v>
      </c>
      <c r="O23" s="73">
        <f ca="1">OFFSET('Allocation %'!$A$1,MATCH(O$4,'Allocation %'!$A:$A,0)-1,MATCH($D23,'Allocation %'!$5:$5,0)-1)*$F23</f>
        <v>3156.2796005501154</v>
      </c>
      <c r="P23" s="73">
        <f ca="1">OFFSET('Allocation %'!$A$1,MATCH(P$4,'Allocation %'!$A:$A,0)-1,MATCH($D23,'Allocation %'!$5:$5,0)-1)*$F23</f>
        <v>509.47214236619646</v>
      </c>
      <c r="Q23" s="73">
        <f ca="1">OFFSET('Allocation %'!$A$1,MATCH(Q$4,'Allocation %'!$A:$A,0)-1,MATCH($D23,'Allocation %'!$5:$5,0)-1)*$F23</f>
        <v>1110.5812014491012</v>
      </c>
      <c r="R23" s="73">
        <f ca="1">OFFSET('Allocation %'!$A$1,MATCH(R$4,'Allocation %'!$A:$A,0)-1,MATCH($D23,'Allocation %'!$5:$5,0)-1)*$F23</f>
        <v>1077.1446527485984</v>
      </c>
      <c r="S23" s="73">
        <f ca="1">OFFSET('Allocation %'!$A$1,MATCH(S$4,'Allocation %'!$A:$A,0)-1,MATCH($D23,'Allocation %'!$5:$5,0)-1)*$F23</f>
        <v>994.02922810341602</v>
      </c>
      <c r="T23" s="73">
        <f ca="1">OFFSET('Allocation %'!$A$1,MATCH(T$4,'Allocation %'!$A:$A,0)-1,MATCH($D23,'Allocation %'!$5:$5,0)-1)*$F23</f>
        <v>3671.1248956492745</v>
      </c>
      <c r="U23" s="73">
        <f ca="1">OFFSET('Allocation %'!$A$1,MATCH(U$4,'Allocation %'!$A:$A,0)-1,MATCH($D23,'Allocation %'!$5:$5,0)-1)*$F23</f>
        <v>2220.7342477046122</v>
      </c>
      <c r="V23" s="73">
        <f ca="1">OFFSET('Allocation %'!$A$1,MATCH(V$4,'Allocation %'!$A:$A,0)-1,MATCH($D23,'Allocation %'!$5:$5,0)-1)*$F23</f>
        <v>1612.5007830910213</v>
      </c>
      <c r="W23" s="73">
        <f ca="1">OFFSET('Allocation %'!$A$1,MATCH(W$4,'Allocation %'!$A:$A,0)-1,MATCH($D23,'Allocation %'!$5:$5,0)-1)*$F23</f>
        <v>2722.6258368754193</v>
      </c>
      <c r="X23" s="73">
        <f ca="1">OFFSET('Allocation %'!$A$1,MATCH(X$4,'Allocation %'!$A:$A,0)-1,MATCH($D23,'Allocation %'!$5:$5,0)-1)*$F23</f>
        <v>88.046538562959086</v>
      </c>
      <c r="Y23" s="73">
        <f ca="1">OFFSET('Allocation %'!$A$1,MATCH(Y$4,'Allocation %'!$A:$A,0)-1,MATCH($D23,'Allocation %'!$5:$5,0)-1)*$F23</f>
        <v>61.074029969452106</v>
      </c>
      <c r="Z23" s="73">
        <f ca="1">OFFSET('Allocation %'!$A$1,MATCH(Z$4,'Allocation %'!$A:$A,0)-1,MATCH($D23,'Allocation %'!$5:$5,0)-1)*$F23</f>
        <v>171.59193531088371</v>
      </c>
      <c r="AA23" s="73">
        <f ca="1">OFFSET('Allocation %'!$A$1,MATCH(AA$4,'Allocation %'!$A:$A,0)-1,MATCH($D23,'Allocation %'!$5:$5,0)-1)*$F23</f>
        <v>148.3487596653068</v>
      </c>
      <c r="AB23" s="73">
        <f ca="1">OFFSET('Allocation %'!$A$1,MATCH(AB$4,'Allocation %'!$A:$A,0)-1,MATCH($D23,'Allocation %'!$5:$5,0)-1)*$F23</f>
        <v>117.59404096097013</v>
      </c>
      <c r="AC23" s="73">
        <f ca="1">OFFSET('Allocation %'!$A$1,MATCH(AC$4,'Allocation %'!$A:$A,0)-1,MATCH($D23,'Allocation %'!$5:$5,0)-1)*$F23</f>
        <v>177.30374574651017</v>
      </c>
      <c r="AD23" s="73">
        <f ca="1">OFFSET('Allocation %'!$A$1,MATCH(AD$4,'Allocation %'!$A:$A,0)-1,MATCH($D23,'Allocation %'!$5:$5,0)-1)*$F23</f>
        <v>292.4449940856789</v>
      </c>
      <c r="AE23" s="73">
        <f ca="1">OFFSET('Allocation %'!$A$1,MATCH(AE$4,'Allocation %'!$A:$A,0)-1,MATCH($D23,'Allocation %'!$5:$5,0)-1)*$F23</f>
        <v>412.31699312830881</v>
      </c>
      <c r="AF23" s="73">
        <f ca="1">OFFSET('Allocation %'!$A$1,MATCH(AF$4,'Allocation %'!$A:$A,0)-1,MATCH($D23,'Allocation %'!$5:$5,0)-1)*$F23</f>
        <v>2188.6250810773386</v>
      </c>
      <c r="AG23" s="73">
        <f ca="1">OFFSET('Allocation %'!$A$1,MATCH(AG$4,'Allocation %'!$A:$A,0)-1,MATCH($D23,'Allocation %'!$5:$5,0)-1)*$F23</f>
        <v>1716.7133789565164</v>
      </c>
      <c r="AH23" s="73">
        <f ca="1">OFFSET('Allocation %'!$A$1,MATCH(AH$4,'Allocation %'!$A:$A,0)-1,MATCH($D23,'Allocation %'!$5:$5,0)-1)*$F23</f>
        <v>24352.962840047807</v>
      </c>
      <c r="AI23" s="73">
        <f ca="1">OFFSET('Allocation %'!$A$1,MATCH(AI$4,'Allocation %'!$A:$A,0)-1,MATCH($D23,'Allocation %'!$5:$5,0)-1)*$F23</f>
        <v>199.49920310662009</v>
      </c>
      <c r="AJ23" s="73">
        <f ca="1">OFFSET('Allocation %'!$A$1,MATCH(AJ$4,'Allocation %'!$A:$A,0)-1,MATCH($D23,'Allocation %'!$5:$5,0)-1)*$F23</f>
        <v>3909.6970583784778</v>
      </c>
      <c r="AK23" s="73">
        <f ca="1">OFFSET('Allocation %'!$A$1,MATCH(AK$4,'Allocation %'!$A:$A,0)-1,MATCH($D23,'Allocation %'!$5:$5,0)-1)*$F23</f>
        <v>3301.1050643883982</v>
      </c>
      <c r="AL23" s="73">
        <f ca="1">OFFSET('Allocation %'!$A$1,MATCH(AL$4,'Allocation %'!$A:$A,0)-1,MATCH($D23,'Allocation %'!$5:$5,0)-1)*$F23</f>
        <v>0</v>
      </c>
      <c r="AM23" s="73">
        <f ca="1">OFFSET('Allocation %'!$A$1,MATCH(AM$4,'Allocation %'!$A:$A,0)-1,MATCH($D23,'Allocation %'!$5:$5,0)-1)*$F23</f>
        <v>416.65388475796368</v>
      </c>
      <c r="AN23" s="73">
        <f ca="1">OFFSET('Allocation %'!$A$1,MATCH(AN$4,'Allocation %'!$A:$A,0)-1,MATCH($D23,'Allocation %'!$5:$5,0)-1)*$F23</f>
        <v>0</v>
      </c>
      <c r="AO23" s="73">
        <f ca="1">OFFSET('Allocation %'!$A$1,MATCH(AO$4,'Allocation %'!$A:$A,0)-1,MATCH($D23,'Allocation %'!$5:$5,0)-1)*$F23</f>
        <v>3257.5879169026475</v>
      </c>
      <c r="AP23" s="73">
        <f ca="1">OFFSET('Allocation %'!$A$1,MATCH(AP$4,'Allocation %'!$A:$A,0)-1,MATCH($D23,'Allocation %'!$5:$5,0)-1)*$F23</f>
        <v>765.14496823567345</v>
      </c>
      <c r="AQ23" s="73">
        <f ca="1">OFFSET('Allocation %'!$A$1,MATCH(AQ$4,'Allocation %'!$A:$A,0)-1,MATCH($D23,'Allocation %'!$5:$5,0)-1)*$F23</f>
        <v>1945.7242600020379</v>
      </c>
      <c r="AR23" s="73">
        <f ca="1">OFFSET('Allocation %'!$A$1,MATCH(AR$4,'Allocation %'!$A:$A,0)-1,MATCH($D23,'Allocation %'!$5:$5,0)-1)*$F23</f>
        <v>70.419190832840997</v>
      </c>
      <c r="AS23" s="73">
        <f ca="1">OFFSET('Allocation %'!$A$1,MATCH(AS$4,'Allocation %'!$A:$A,0)-1,MATCH($D23,'Allocation %'!$5:$5,0)-1)*$F23</f>
        <v>3504.7758201694114</v>
      </c>
      <c r="AT23" s="73">
        <f ca="1">OFFSET('Allocation %'!$A$1,MATCH(AT$4,'Allocation %'!$A:$A,0)-1,MATCH($D23,'Allocation %'!$5:$5,0)-1)*$F23</f>
        <v>2036.8447695951274</v>
      </c>
      <c r="AU23" s="73">
        <f ca="1">OFFSET('Allocation %'!$A$1,MATCH(AU$4,'Allocation %'!$A:$A,0)-1,MATCH($D23,'Allocation %'!$5:$5,0)-1)*$F23</f>
        <v>2615.8158336542629</v>
      </c>
      <c r="AV23" s="73">
        <f ca="1">OFFSET('Allocation %'!$A$1,MATCH(AV$4,'Allocation %'!$A:$A,0)-1,MATCH($D23,'Allocation %'!$5:$5,0)-1)*$F23</f>
        <v>4009.1639833293834</v>
      </c>
      <c r="AW23" s="73">
        <f ca="1">OFFSET('Allocation %'!$A$1,MATCH(AW$4,'Allocation %'!$A:$A,0)-1,MATCH($D23,'Allocation %'!$5:$5,0)-1)*$F23</f>
        <v>14758.416179563206</v>
      </c>
      <c r="AX23" s="73">
        <f ca="1">OFFSET('Allocation %'!$A$1,MATCH(AX$4,'Allocation %'!$A:$A,0)-1,MATCH($D23,'Allocation %'!$5:$5,0)-1)*$F23</f>
        <v>316.6272874431483</v>
      </c>
      <c r="AY23" s="73">
        <f ca="1">OFFSET('Allocation %'!$A$1,MATCH(AY$4,'Allocation %'!$A:$A,0)-1,MATCH($D23,'Allocation %'!$5:$5,0)-1)*$F23</f>
        <v>0</v>
      </c>
      <c r="AZ23" s="317">
        <f ca="1">OFFSET('Allocation %'!$A$1,MATCH(AZ$4,'Allocation %'!$A:$A,0)-1,MATCH($D23,'Allocation %'!$5:$5,0)-1)*$F23</f>
        <v>0</v>
      </c>
      <c r="BA23" s="317">
        <f ca="1">OFFSET('Allocation %'!$A$1,MATCH(BA$4,'Allocation %'!$A:$A,0)-1,MATCH($D23,'Allocation %'!$5:$5,0)-1)*$F23</f>
        <v>0</v>
      </c>
      <c r="BB23" s="317">
        <f ca="1">OFFSET('Allocation %'!$A$1,MATCH(BB$4,'Allocation %'!$A:$A,0)-1,MATCH($D23,'Allocation %'!$5:$5,0)-1)*$F23</f>
        <v>0</v>
      </c>
      <c r="BC23" s="317">
        <f ca="1">OFFSET('Allocation %'!$A$1,MATCH(BC$4,'Allocation %'!$A:$A,0)-1,MATCH($D23,'Allocation %'!$5:$5,0)-1)*$F23</f>
        <v>0</v>
      </c>
      <c r="BD23" s="317">
        <f ca="1">OFFSET('Allocation %'!$A$1,MATCH(BD$4,'Allocation %'!$A:$A,0)-1,MATCH($D23,'Allocation %'!$5:$5,0)-1)*$F23</f>
        <v>0</v>
      </c>
      <c r="BE23" s="317">
        <f ca="1">OFFSET('Allocation %'!$A$1,MATCH(BE$4,'Allocation %'!$A:$A,0)-1,MATCH($D23,'Allocation %'!$5:$5,0)-1)*$F23</f>
        <v>0</v>
      </c>
      <c r="BG23" s="76">
        <f t="shared" ca="1" si="3"/>
        <v>94440.611516143457</v>
      </c>
      <c r="BH23" s="349">
        <f t="shared" ca="1" si="4"/>
        <v>0</v>
      </c>
      <c r="BJ23" s="76">
        <f t="shared" ca="1" si="2"/>
        <v>94440.611516143457</v>
      </c>
    </row>
    <row r="24" spans="2:62" x14ac:dyDescent="0.25">
      <c r="B24" s="294" t="s">
        <v>232</v>
      </c>
      <c r="C24" s="131" t="str">
        <f>INDEX(ACTUALS!$E:$E,MATCH($B24,ACTUALS!$A:$A,0))</f>
        <v>CAD</v>
      </c>
      <c r="D24" s="159" t="str">
        <f ca="1">OFFSET(ACTUALS!$O$2,MATCH($B24,ACTUALS!$A:$A,0)-2,MATCH($E$4,ACTUALS!$P$2:$P$2,0))</f>
        <v>Canada Only</v>
      </c>
      <c r="E24" s="303">
        <f ca="1">IF($C24=E$3,SUMIFS(OFFSET(ACTUALS!$A:$A,,MATCH(E$4,ACTUALS!$2:$2,0)-1,,),ACTUALS!$A:$A,$B24)*-1000,F24*'2020 Assumptions'!$B$4)</f>
        <v>125887.90000000001</v>
      </c>
      <c r="F24" s="73">
        <f ca="1">IF($C24=F$3,SUMIFS(OFFSET(ACTUALS!$A:$A,,MATCH(F$4,ACTUALS!$2:$2,0)-1,,),ACTUALS!$A:$A,$B24)*-1000,E24/'2020 Assumptions'!$B$4)</f>
        <v>93652.655854783516</v>
      </c>
      <c r="G24" s="73">
        <f ca="1">IF($C24=G$3,SUMIFS(OFFSET('Non-margin Costs'!$A:$A,,MATCH(G$4,'Non-margin Costs'!$2:$2,0)-1,,),'Non-margin Costs'!$A:$A,$B24)*1000,(SUMIFS(OFFSET('Non-margin Costs'!$A:$A,,MATCH(G$4,'Non-margin Costs'!$2:$2,0)-1,,),'Non-margin Costs'!$A:$A,$B24)*1000)/'2020 Assumptions'!$B$4)</f>
        <v>1079.4078262163366</v>
      </c>
      <c r="I24" s="73">
        <f ca="1">OFFSET('Allocation %'!$A$1,MATCH(I$4,'Allocation %'!$A:$A,0)-1,MATCH($D24,'Allocation %'!$5:$5,0)-1)*$F24</f>
        <v>0</v>
      </c>
      <c r="J24" s="73">
        <f ca="1">OFFSET('Allocation %'!$A$1,MATCH(J$4,'Allocation %'!$A:$A,0)-1,MATCH($D24,'Allocation %'!$5:$5,0)-1)*$F24</f>
        <v>2446.5827681878809</v>
      </c>
      <c r="K24" s="73">
        <f ca="1">OFFSET('Allocation %'!$A$1,MATCH(K$4,'Allocation %'!$A:$A,0)-1,MATCH($D24,'Allocation %'!$5:$5,0)-1)*$F24</f>
        <v>668.5211845199201</v>
      </c>
      <c r="L24" s="73">
        <f ca="1">OFFSET('Allocation %'!$A$1,MATCH(L$4,'Allocation %'!$A:$A,0)-1,MATCH($D24,'Allocation %'!$5:$5,0)-1)*$F24</f>
        <v>667.19507455639746</v>
      </c>
      <c r="M24" s="73">
        <f ca="1">OFFSET('Allocation %'!$A$1,MATCH(M$4,'Allocation %'!$A:$A,0)-1,MATCH($D24,'Allocation %'!$5:$5,0)-1)*$F24</f>
        <v>1602.8232267027443</v>
      </c>
      <c r="N24" s="73">
        <f ca="1">OFFSET('Allocation %'!$A$1,MATCH(N$4,'Allocation %'!$A:$A,0)-1,MATCH($D24,'Allocation %'!$5:$5,0)-1)*$F24</f>
        <v>1092.0029971589915</v>
      </c>
      <c r="O24" s="73">
        <f ca="1">OFFSET('Allocation %'!$A$1,MATCH(O$4,'Allocation %'!$A:$A,0)-1,MATCH($D24,'Allocation %'!$5:$5,0)-1)*$F24</f>
        <v>3129.9455019016423</v>
      </c>
      <c r="P24" s="73">
        <f ca="1">OFFSET('Allocation %'!$A$1,MATCH(P$4,'Allocation %'!$A:$A,0)-1,MATCH($D24,'Allocation %'!$5:$5,0)-1)*$F24</f>
        <v>505.22141323136884</v>
      </c>
      <c r="Q24" s="73">
        <f ca="1">OFFSET('Allocation %'!$A$1,MATCH(Q$4,'Allocation %'!$A:$A,0)-1,MATCH($D24,'Allocation %'!$5:$5,0)-1)*$F24</f>
        <v>1101.3151798612155</v>
      </c>
      <c r="R24" s="73">
        <f ca="1">OFFSET('Allocation %'!$A$1,MATCH(R$4,'Allocation %'!$A:$A,0)-1,MATCH($D24,'Allocation %'!$5:$5,0)-1)*$F24</f>
        <v>1068.1576056127194</v>
      </c>
      <c r="S24" s="73">
        <f ca="1">OFFSET('Allocation %'!$A$1,MATCH(S$4,'Allocation %'!$A:$A,0)-1,MATCH($D24,'Allocation %'!$5:$5,0)-1)*$F24</f>
        <v>985.73564608115839</v>
      </c>
      <c r="T24" s="73">
        <f ca="1">OFFSET('Allocation %'!$A$1,MATCH(T$4,'Allocation %'!$A:$A,0)-1,MATCH($D24,'Allocation %'!$5:$5,0)-1)*$F24</f>
        <v>3640.4952375112425</v>
      </c>
      <c r="U24" s="73">
        <f ca="1">OFFSET('Allocation %'!$A$1,MATCH(U$4,'Allocation %'!$A:$A,0)-1,MATCH($D24,'Allocation %'!$5:$5,0)-1)*$F24</f>
        <v>2202.2057767982628</v>
      </c>
      <c r="V24" s="73">
        <f ca="1">OFFSET('Allocation %'!$A$1,MATCH(V$4,'Allocation %'!$A:$A,0)-1,MATCH($D24,'Allocation %'!$5:$5,0)-1)*$F24</f>
        <v>1599.0470463925178</v>
      </c>
      <c r="W24" s="73">
        <f ca="1">OFFSET('Allocation %'!$A$1,MATCH(W$4,'Allocation %'!$A:$A,0)-1,MATCH($D24,'Allocation %'!$5:$5,0)-1)*$F24</f>
        <v>2699.9098844107953</v>
      </c>
      <c r="X24" s="73">
        <f ca="1">OFFSET('Allocation %'!$A$1,MATCH(X$4,'Allocation %'!$A:$A,0)-1,MATCH($D24,'Allocation %'!$5:$5,0)-1)*$F24</f>
        <v>87.311931200617224</v>
      </c>
      <c r="Y24" s="73">
        <f ca="1">OFFSET('Allocation %'!$A$1,MATCH(Y$4,'Allocation %'!$A:$A,0)-1,MATCH($D24,'Allocation %'!$5:$5,0)-1)*$F24</f>
        <v>60.56446499624915</v>
      </c>
      <c r="Z24" s="73">
        <f ca="1">OFFSET('Allocation %'!$A$1,MATCH(Z$4,'Allocation %'!$A:$A,0)-1,MATCH($D24,'Allocation %'!$5:$5,0)-1)*$F24</f>
        <v>170.16027540630122</v>
      </c>
      <c r="AA24" s="73">
        <f ca="1">OFFSET('Allocation %'!$A$1,MATCH(AA$4,'Allocation %'!$A:$A,0)-1,MATCH($D24,'Allocation %'!$5:$5,0)-1)*$F24</f>
        <v>147.11102683874608</v>
      </c>
      <c r="AB24" s="73">
        <f ca="1">OFFSET('Allocation %'!$A$1,MATCH(AB$4,'Allocation %'!$A:$A,0)-1,MATCH($D24,'Allocation %'!$5:$5,0)-1)*$F24</f>
        <v>116.61290700990982</v>
      </c>
      <c r="AC24" s="73">
        <f ca="1">OFFSET('Allocation %'!$A$1,MATCH(AC$4,'Allocation %'!$A:$A,0)-1,MATCH($D24,'Allocation %'!$5:$5,0)-1)*$F24</f>
        <v>175.8244299310106</v>
      </c>
      <c r="AD24" s="73">
        <f ca="1">OFFSET('Allocation %'!$A$1,MATCH(AD$4,'Allocation %'!$A:$A,0)-1,MATCH($D24,'Allocation %'!$5:$5,0)-1)*$F24</f>
        <v>290.00500894552778</v>
      </c>
      <c r="AE24" s="73">
        <f ca="1">OFFSET('Allocation %'!$A$1,MATCH(AE$4,'Allocation %'!$A:$A,0)-1,MATCH($D24,'Allocation %'!$5:$5,0)-1)*$F24</f>
        <v>408.87686812493763</v>
      </c>
      <c r="AF24" s="73">
        <f ca="1">OFFSET('Allocation %'!$A$1,MATCH(AF$4,'Allocation %'!$A:$A,0)-1,MATCH($D24,'Allocation %'!$5:$5,0)-1)*$F24</f>
        <v>2170.3645097453286</v>
      </c>
      <c r="AG24" s="73">
        <f ca="1">OFFSET('Allocation %'!$A$1,MATCH(AG$4,'Allocation %'!$A:$A,0)-1,MATCH($D24,'Allocation %'!$5:$5,0)-1)*$F24</f>
        <v>1702.3901550365838</v>
      </c>
      <c r="AH24" s="73">
        <f ca="1">OFFSET('Allocation %'!$A$1,MATCH(AH$4,'Allocation %'!$A:$A,0)-1,MATCH($D24,'Allocation %'!$5:$5,0)-1)*$F24</f>
        <v>24149.776365154819</v>
      </c>
      <c r="AI24" s="73">
        <f ca="1">OFFSET('Allocation %'!$A$1,MATCH(AI$4,'Allocation %'!$A:$A,0)-1,MATCH($D24,'Allocation %'!$5:$5,0)-1)*$F24</f>
        <v>197.83470174432446</v>
      </c>
      <c r="AJ24" s="73">
        <f ca="1">OFFSET('Allocation %'!$A$1,MATCH(AJ$4,'Allocation %'!$A:$A,0)-1,MATCH($D24,'Allocation %'!$5:$5,0)-1)*$F24</f>
        <v>3877.0768976034187</v>
      </c>
      <c r="AK24" s="73">
        <f ca="1">OFFSET('Allocation %'!$A$1,MATCH(AK$4,'Allocation %'!$A:$A,0)-1,MATCH($D24,'Allocation %'!$5:$5,0)-1)*$F24</f>
        <v>3273.5626291746653</v>
      </c>
      <c r="AL24" s="73">
        <f ca="1">OFFSET('Allocation %'!$A$1,MATCH(AL$4,'Allocation %'!$A:$A,0)-1,MATCH($D24,'Allocation %'!$5:$5,0)-1)*$F24</f>
        <v>0</v>
      </c>
      <c r="AM24" s="73">
        <f ca="1">OFFSET('Allocation %'!$A$1,MATCH(AM$4,'Allocation %'!$A:$A,0)-1,MATCH($D24,'Allocation %'!$5:$5,0)-1)*$F24</f>
        <v>413.1775753392501</v>
      </c>
      <c r="AN24" s="73">
        <f ca="1">OFFSET('Allocation %'!$A$1,MATCH(AN$4,'Allocation %'!$A:$A,0)-1,MATCH($D24,'Allocation %'!$5:$5,0)-1)*$F24</f>
        <v>0</v>
      </c>
      <c r="AO24" s="73">
        <f ca="1">OFFSET('Allocation %'!$A$1,MATCH(AO$4,'Allocation %'!$A:$A,0)-1,MATCH($D24,'Allocation %'!$5:$5,0)-1)*$F24</f>
        <v>3230.4085625942275</v>
      </c>
      <c r="AP24" s="73">
        <f ca="1">OFFSET('Allocation %'!$A$1,MATCH(AP$4,'Allocation %'!$A:$A,0)-1,MATCH($D24,'Allocation %'!$5:$5,0)-1)*$F24</f>
        <v>758.76105881573824</v>
      </c>
      <c r="AQ24" s="73">
        <f ca="1">OFFSET('Allocation %'!$A$1,MATCH(AQ$4,'Allocation %'!$A:$A,0)-1,MATCH($D24,'Allocation %'!$5:$5,0)-1)*$F24</f>
        <v>1929.4903070288315</v>
      </c>
      <c r="AR24" s="73">
        <f ca="1">OFFSET('Allocation %'!$A$1,MATCH(AR$4,'Allocation %'!$A:$A,0)-1,MATCH($D24,'Allocation %'!$5:$5,0)-1)*$F24</f>
        <v>69.831655458023604</v>
      </c>
      <c r="AS24" s="73">
        <f ca="1">OFFSET('Allocation %'!$A$1,MATCH(AS$4,'Allocation %'!$A:$A,0)-1,MATCH($D24,'Allocation %'!$5:$5,0)-1)*$F24</f>
        <v>3475.5340786668403</v>
      </c>
      <c r="AT24" s="73">
        <f ca="1">OFFSET('Allocation %'!$A$1,MATCH(AT$4,'Allocation %'!$A:$A,0)-1,MATCH($D24,'Allocation %'!$5:$5,0)-1)*$F24</f>
        <v>2019.8505618941379</v>
      </c>
      <c r="AU24" s="73">
        <f ca="1">OFFSET('Allocation %'!$A$1,MATCH(AU$4,'Allocation %'!$A:$A,0)-1,MATCH($D24,'Allocation %'!$5:$5,0)-1)*$F24</f>
        <v>2593.9910396158371</v>
      </c>
      <c r="AV24" s="73">
        <f ca="1">OFFSET('Allocation %'!$A$1,MATCH(AV$4,'Allocation %'!$A:$A,0)-1,MATCH($D24,'Allocation %'!$5:$5,0)-1)*$F24</f>
        <v>3975.7139303567315</v>
      </c>
      <c r="AW24" s="73">
        <f ca="1">OFFSET('Allocation %'!$A$1,MATCH(AW$4,'Allocation %'!$A:$A,0)-1,MATCH($D24,'Allocation %'!$5:$5,0)-1)*$F24</f>
        <v>14635.280831382994</v>
      </c>
      <c r="AX24" s="73">
        <f ca="1">OFFSET('Allocation %'!$A$1,MATCH(AX$4,'Allocation %'!$A:$A,0)-1,MATCH($D24,'Allocation %'!$5:$5,0)-1)*$F24</f>
        <v>313.98553979161795</v>
      </c>
      <c r="AY24" s="73">
        <f ca="1">OFFSET('Allocation %'!$A$1,MATCH(AY$4,'Allocation %'!$A:$A,0)-1,MATCH($D24,'Allocation %'!$5:$5,0)-1)*$F24</f>
        <v>0</v>
      </c>
      <c r="AZ24" s="317">
        <f ca="1">OFFSET('Allocation %'!$A$1,MATCH(AZ$4,'Allocation %'!$A:$A,0)-1,MATCH($D24,'Allocation %'!$5:$5,0)-1)*$F24</f>
        <v>0</v>
      </c>
      <c r="BA24" s="317">
        <f ca="1">OFFSET('Allocation %'!$A$1,MATCH(BA$4,'Allocation %'!$A:$A,0)-1,MATCH($D24,'Allocation %'!$5:$5,0)-1)*$F24</f>
        <v>0</v>
      </c>
      <c r="BB24" s="317">
        <f ca="1">OFFSET('Allocation %'!$A$1,MATCH(BB$4,'Allocation %'!$A:$A,0)-1,MATCH($D24,'Allocation %'!$5:$5,0)-1)*$F24</f>
        <v>0</v>
      </c>
      <c r="BC24" s="317">
        <f ca="1">OFFSET('Allocation %'!$A$1,MATCH(BC$4,'Allocation %'!$A:$A,0)-1,MATCH($D24,'Allocation %'!$5:$5,0)-1)*$F24</f>
        <v>0</v>
      </c>
      <c r="BD24" s="317">
        <f ca="1">OFFSET('Allocation %'!$A$1,MATCH(BD$4,'Allocation %'!$A:$A,0)-1,MATCH($D24,'Allocation %'!$5:$5,0)-1)*$F24</f>
        <v>0</v>
      </c>
      <c r="BE24" s="317">
        <f ca="1">OFFSET('Allocation %'!$A$1,MATCH(BE$4,'Allocation %'!$A:$A,0)-1,MATCH($D24,'Allocation %'!$5:$5,0)-1)*$F24</f>
        <v>0</v>
      </c>
      <c r="BG24" s="76">
        <f t="shared" ca="1" si="3"/>
        <v>93652.655854783516</v>
      </c>
      <c r="BH24" s="349">
        <f t="shared" ca="1" si="4"/>
        <v>0</v>
      </c>
      <c r="BJ24" s="76">
        <f t="shared" ca="1" si="2"/>
        <v>93652.655854783516</v>
      </c>
    </row>
    <row r="25" spans="2:62" ht="30" x14ac:dyDescent="0.25">
      <c r="B25" s="294" t="s">
        <v>233</v>
      </c>
      <c r="C25" s="131" t="str">
        <f>INDEX(ACTUALS!$E:$E,MATCH($B25,ACTUALS!$A:$A,0))</f>
        <v>CAD</v>
      </c>
      <c r="D25" s="159" t="str">
        <f ca="1">OFFSET(ACTUALS!$O$2,MATCH($B25,ACTUALS!$A:$A,0)-2,MATCH($E$4,ACTUALS!$P$2:$P$2,0))</f>
        <v>Contract Shared Services - Composite</v>
      </c>
      <c r="E25" s="303">
        <f ca="1">IF($C25=E$3,SUMIFS(OFFSET(ACTUALS!$A:$A,,MATCH(E$4,ACTUALS!$2:$2,0)-1,,),ACTUALS!$A:$A,$B25)*-1000,F25*'2020 Assumptions'!$B$4)</f>
        <v>1096902.96</v>
      </c>
      <c r="F25" s="73">
        <f ca="1">IF($C25=F$3,SUMIFS(OFFSET(ACTUALS!$A:$A,,MATCH(F$4,ACTUALS!$2:$2,0)-1,,),ACTUALS!$A:$A,$B25)*-1000,E25/'2020 Assumptions'!$B$4)</f>
        <v>816026.60318404995</v>
      </c>
      <c r="G25" s="73">
        <f ca="1">IF($C25=G$3,SUMIFS(OFFSET('Non-margin Costs'!$A:$A,,MATCH(G$4,'Non-margin Costs'!$2:$2,0)-1,,),'Non-margin Costs'!$A:$A,$B25)*1000,(SUMIFS(OFFSET('Non-margin Costs'!$A:$A,,MATCH(G$4,'Non-margin Costs'!$2:$2,0)-1,,),'Non-margin Costs'!$A:$A,$B25)*1000)/'2020 Assumptions'!$B$4)</f>
        <v>140787.92590388336</v>
      </c>
      <c r="I25" s="73">
        <f ca="1">OFFSET('Allocation %'!$A$1,MATCH(I$4,'Allocation %'!$A:$A,0)-1,MATCH($D25,'Allocation %'!$5:$5,0)-1)*$F25</f>
        <v>0</v>
      </c>
      <c r="J25" s="73">
        <f ca="1">OFFSET('Allocation %'!$A$1,MATCH(J$4,'Allocation %'!$A:$A,0)-1,MATCH($D25,'Allocation %'!$5:$5,0)-1)*$F25</f>
        <v>5303.8583561255336</v>
      </c>
      <c r="K25" s="73">
        <f ca="1">OFFSET('Allocation %'!$A$1,MATCH(K$4,'Allocation %'!$A:$A,0)-1,MATCH($D25,'Allocation %'!$5:$5,0)-1)*$F25</f>
        <v>1633.0677991154964</v>
      </c>
      <c r="L25" s="73">
        <f ca="1">OFFSET('Allocation %'!$A$1,MATCH(L$4,'Allocation %'!$A:$A,0)-1,MATCH($D25,'Allocation %'!$5:$5,0)-1)*$F25</f>
        <v>1745.17788083559</v>
      </c>
      <c r="M25" s="73">
        <f ca="1">OFFSET('Allocation %'!$A$1,MATCH(M$4,'Allocation %'!$A:$A,0)-1,MATCH($D25,'Allocation %'!$5:$5,0)-1)*$F25</f>
        <v>3027.4707741427183</v>
      </c>
      <c r="N25" s="73">
        <f ca="1">OFFSET('Allocation %'!$A$1,MATCH(N$4,'Allocation %'!$A:$A,0)-1,MATCH($D25,'Allocation %'!$5:$5,0)-1)*$F25</f>
        <v>2537.2195564378362</v>
      </c>
      <c r="O25" s="73">
        <f ca="1">OFFSET('Allocation %'!$A$1,MATCH(O$4,'Allocation %'!$A:$A,0)-1,MATCH($D25,'Allocation %'!$5:$5,0)-1)*$F25</f>
        <v>6067.3130538103514</v>
      </c>
      <c r="P25" s="73">
        <f ca="1">OFFSET('Allocation %'!$A$1,MATCH(P$4,'Allocation %'!$A:$A,0)-1,MATCH($D25,'Allocation %'!$5:$5,0)-1)*$F25</f>
        <v>894.9931083080088</v>
      </c>
      <c r="Q25" s="73">
        <f ca="1">OFFSET('Allocation %'!$A$1,MATCH(Q$4,'Allocation %'!$A:$A,0)-1,MATCH($D25,'Allocation %'!$5:$5,0)-1)*$F25</f>
        <v>1952.7828092762427</v>
      </c>
      <c r="R25" s="73">
        <f ca="1">OFFSET('Allocation %'!$A$1,MATCH(R$4,'Allocation %'!$A:$A,0)-1,MATCH($D25,'Allocation %'!$5:$5,0)-1)*$F25</f>
        <v>1816.5156292839893</v>
      </c>
      <c r="S25" s="73">
        <f ca="1">OFFSET('Allocation %'!$A$1,MATCH(S$4,'Allocation %'!$A:$A,0)-1,MATCH($D25,'Allocation %'!$5:$5,0)-1)*$F25</f>
        <v>1735.6891664342425</v>
      </c>
      <c r="T25" s="73">
        <f ca="1">OFFSET('Allocation %'!$A$1,MATCH(T$4,'Allocation %'!$A:$A,0)-1,MATCH($D25,'Allocation %'!$5:$5,0)-1)*$F25</f>
        <v>6257.8613624041755</v>
      </c>
      <c r="U25" s="73">
        <f ca="1">OFFSET('Allocation %'!$A$1,MATCH(U$4,'Allocation %'!$A:$A,0)-1,MATCH($D25,'Allocation %'!$5:$5,0)-1)*$F25</f>
        <v>3967.9643094521157</v>
      </c>
      <c r="V25" s="73">
        <f ca="1">OFFSET('Allocation %'!$A$1,MATCH(V$4,'Allocation %'!$A:$A,0)-1,MATCH($D25,'Allocation %'!$5:$5,0)-1)*$F25</f>
        <v>4179.1923148860142</v>
      </c>
      <c r="W25" s="73">
        <f ca="1">OFFSET('Allocation %'!$A$1,MATCH(W$4,'Allocation %'!$A:$A,0)-1,MATCH($D25,'Allocation %'!$5:$5,0)-1)*$F25</f>
        <v>6811.7099230346084</v>
      </c>
      <c r="X25" s="73">
        <f ca="1">OFFSET('Allocation %'!$A$1,MATCH(X$4,'Allocation %'!$A:$A,0)-1,MATCH($D25,'Allocation %'!$5:$5,0)-1)*$F25</f>
        <v>154.80591275243503</v>
      </c>
      <c r="Y25" s="73">
        <f ca="1">OFFSET('Allocation %'!$A$1,MATCH(Y$4,'Allocation %'!$A:$A,0)-1,MATCH($D25,'Allocation %'!$5:$5,0)-1)*$F25</f>
        <v>119.74964441585803</v>
      </c>
      <c r="Z25" s="73">
        <f ca="1">OFFSET('Allocation %'!$A$1,MATCH(Z$4,'Allocation %'!$A:$A,0)-1,MATCH($D25,'Allocation %'!$5:$5,0)-1)*$F25</f>
        <v>347.34806855244636</v>
      </c>
      <c r="AA25" s="73">
        <f ca="1">OFFSET('Allocation %'!$A$1,MATCH(AA$4,'Allocation %'!$A:$A,0)-1,MATCH($D25,'Allocation %'!$5:$5,0)-1)*$F25</f>
        <v>314.57922317075071</v>
      </c>
      <c r="AB25" s="73">
        <f ca="1">OFFSET('Allocation %'!$A$1,MATCH(AB$4,'Allocation %'!$A:$A,0)-1,MATCH($D25,'Allocation %'!$5:$5,0)-1)*$F25</f>
        <v>296.97594870262037</v>
      </c>
      <c r="AC25" s="73">
        <f ca="1">OFFSET('Allocation %'!$A$1,MATCH(AC$4,'Allocation %'!$A:$A,0)-1,MATCH($D25,'Allocation %'!$5:$5,0)-1)*$F25</f>
        <v>348.62212978509746</v>
      </c>
      <c r="AD25" s="73">
        <f ca="1">OFFSET('Allocation %'!$A$1,MATCH(AD$4,'Allocation %'!$A:$A,0)-1,MATCH($D25,'Allocation %'!$5:$5,0)-1)*$F25</f>
        <v>741.98785935052626</v>
      </c>
      <c r="AE25" s="73">
        <f ca="1">OFFSET('Allocation %'!$A$1,MATCH(AE$4,'Allocation %'!$A:$A,0)-1,MATCH($D25,'Allocation %'!$5:$5,0)-1)*$F25</f>
        <v>748.12134224930276</v>
      </c>
      <c r="AF25" s="73">
        <f ca="1">OFFSET('Allocation %'!$A$1,MATCH(AF$4,'Allocation %'!$A:$A,0)-1,MATCH($D25,'Allocation %'!$5:$5,0)-1)*$F25</f>
        <v>3867.7279843199067</v>
      </c>
      <c r="AG25" s="73">
        <f ca="1">OFFSET('Allocation %'!$A$1,MATCH(AG$4,'Allocation %'!$A:$A,0)-1,MATCH($D25,'Allocation %'!$5:$5,0)-1)*$F25</f>
        <v>6067.1435849929167</v>
      </c>
      <c r="AH25" s="73">
        <f ca="1">OFFSET('Allocation %'!$A$1,MATCH(AH$4,'Allocation %'!$A:$A,0)-1,MATCH($D25,'Allocation %'!$5:$5,0)-1)*$F25</f>
        <v>50974.452974225496</v>
      </c>
      <c r="AI25" s="73">
        <f ca="1">OFFSET('Allocation %'!$A$1,MATCH(AI$4,'Allocation %'!$A:$A,0)-1,MATCH($D25,'Allocation %'!$5:$5,0)-1)*$F25</f>
        <v>313.92458549588702</v>
      </c>
      <c r="AJ25" s="73">
        <f ca="1">OFFSET('Allocation %'!$A$1,MATCH(AJ$4,'Allocation %'!$A:$A,0)-1,MATCH($D25,'Allocation %'!$5:$5,0)-1)*$F25</f>
        <v>7400.4682530429673</v>
      </c>
      <c r="AK25" s="73">
        <f ca="1">OFFSET('Allocation %'!$A$1,MATCH(AK$4,'Allocation %'!$A:$A,0)-1,MATCH($D25,'Allocation %'!$5:$5,0)-1)*$F25</f>
        <v>6601.3892905018429</v>
      </c>
      <c r="AL25" s="73">
        <f ca="1">OFFSET('Allocation %'!$A$1,MATCH(AL$4,'Allocation %'!$A:$A,0)-1,MATCH($D25,'Allocation %'!$5:$5,0)-1)*$F25</f>
        <v>0</v>
      </c>
      <c r="AM25" s="73">
        <f ca="1">OFFSET('Allocation %'!$A$1,MATCH(AM$4,'Allocation %'!$A:$A,0)-1,MATCH($D25,'Allocation %'!$5:$5,0)-1)*$F25</f>
        <v>829.02099372702787</v>
      </c>
      <c r="AN25" s="73">
        <f ca="1">OFFSET('Allocation %'!$A$1,MATCH(AN$4,'Allocation %'!$A:$A,0)-1,MATCH($D25,'Allocation %'!$5:$5,0)-1)*$F25</f>
        <v>0</v>
      </c>
      <c r="AO25" s="73">
        <f ca="1">OFFSET('Allocation %'!$A$1,MATCH(AO$4,'Allocation %'!$A:$A,0)-1,MATCH($D25,'Allocation %'!$5:$5,0)-1)*$F25</f>
        <v>7035.4822744254625</v>
      </c>
      <c r="AP25" s="73">
        <f ca="1">OFFSET('Allocation %'!$A$1,MATCH(AP$4,'Allocation %'!$A:$A,0)-1,MATCH($D25,'Allocation %'!$5:$5,0)-1)*$F25</f>
        <v>1485.8938533446399</v>
      </c>
      <c r="AQ25" s="73">
        <f ca="1">OFFSET('Allocation %'!$A$1,MATCH(AQ$4,'Allocation %'!$A:$A,0)-1,MATCH($D25,'Allocation %'!$5:$5,0)-1)*$F25</f>
        <v>6575.9618631070352</v>
      </c>
      <c r="AR25" s="73">
        <f ca="1">OFFSET('Allocation %'!$A$1,MATCH(AR$4,'Allocation %'!$A:$A,0)-1,MATCH($D25,'Allocation %'!$5:$5,0)-1)*$F25</f>
        <v>154.75219980276759</v>
      </c>
      <c r="AS25" s="73">
        <f ca="1">OFFSET('Allocation %'!$A$1,MATCH(AS$4,'Allocation %'!$A:$A,0)-1,MATCH($D25,'Allocation %'!$5:$5,0)-1)*$F25</f>
        <v>12133.320324800643</v>
      </c>
      <c r="AT25" s="73">
        <f ca="1">OFFSET('Allocation %'!$A$1,MATCH(AT$4,'Allocation %'!$A:$A,0)-1,MATCH($D25,'Allocation %'!$5:$5,0)-1)*$F25</f>
        <v>7174.291904634445</v>
      </c>
      <c r="AU25" s="73">
        <f ca="1">OFFSET('Allocation %'!$A$1,MATCH(AU$4,'Allocation %'!$A:$A,0)-1,MATCH($D25,'Allocation %'!$5:$5,0)-1)*$F25</f>
        <v>8434.448932140258</v>
      </c>
      <c r="AV25" s="73">
        <f ca="1">OFFSET('Allocation %'!$A$1,MATCH(AV$4,'Allocation %'!$A:$A,0)-1,MATCH($D25,'Allocation %'!$5:$5,0)-1)*$F25</f>
        <v>12938.115419551941</v>
      </c>
      <c r="AW25" s="73">
        <f ca="1">OFFSET('Allocation %'!$A$1,MATCH(AW$4,'Allocation %'!$A:$A,0)-1,MATCH($D25,'Allocation %'!$5:$5,0)-1)*$F25</f>
        <v>50191.294868720688</v>
      </c>
      <c r="AX25" s="73">
        <f ca="1">OFFSET('Allocation %'!$A$1,MATCH(AX$4,'Allocation %'!$A:$A,0)-1,MATCH($D25,'Allocation %'!$5:$5,0)-1)*$F25</f>
        <v>803.34287805615782</v>
      </c>
      <c r="AY25" s="73">
        <f ca="1">OFFSET('Allocation %'!$A$1,MATCH(AY$4,'Allocation %'!$A:$A,0)-1,MATCH($D25,'Allocation %'!$5:$5,0)-1)*$F25</f>
        <v>0</v>
      </c>
      <c r="AZ25" s="73">
        <f ca="1">OFFSET('Allocation %'!$A$1,MATCH(AZ$4,'Allocation %'!$A:$A,0)-1,MATCH($D25,'Allocation %'!$5:$5,0)-1)*$F25</f>
        <v>0</v>
      </c>
      <c r="BA25" s="73">
        <f ca="1">OFFSET('Allocation %'!$A$1,MATCH(BA$4,'Allocation %'!$A:$A,0)-1,MATCH($D25,'Allocation %'!$5:$5,0)-1)*$F25</f>
        <v>0</v>
      </c>
      <c r="BB25" s="73">
        <f ca="1">OFFSET('Allocation %'!$A$1,MATCH(BB$4,'Allocation %'!$A:$A,0)-1,MATCH($D25,'Allocation %'!$5:$5,0)-1)*$F25</f>
        <v>154574.12271380649</v>
      </c>
      <c r="BC25" s="73">
        <f ca="1">OFFSET('Allocation %'!$A$1,MATCH(BC$4,'Allocation %'!$A:$A,0)-1,MATCH($D25,'Allocation %'!$5:$5,0)-1)*$F25</f>
        <v>4662.9848852583755</v>
      </c>
      <c r="BD25" s="73">
        <f ca="1">OFFSET('Allocation %'!$A$1,MATCH(BD$4,'Allocation %'!$A:$A,0)-1,MATCH($D25,'Allocation %'!$5:$5,0)-1)*$F25</f>
        <v>88350.714086843655</v>
      </c>
      <c r="BE25" s="73">
        <f ca="1">OFFSET('Allocation %'!$A$1,MATCH(BE$4,'Allocation %'!$A:$A,0)-1,MATCH($D25,'Allocation %'!$5:$5,0)-1)*$F25</f>
        <v>334454.74314072542</v>
      </c>
      <c r="BG25" s="76">
        <f t="shared" ca="1" si="3"/>
        <v>816026.60318404995</v>
      </c>
      <c r="BH25" s="349">
        <f t="shared" ca="1" si="4"/>
        <v>0</v>
      </c>
      <c r="BJ25" s="76">
        <f t="shared" ca="1" si="2"/>
        <v>816026.60318404995</v>
      </c>
    </row>
    <row r="26" spans="2:62" x14ac:dyDescent="0.25">
      <c r="B26" s="294" t="s">
        <v>234</v>
      </c>
      <c r="C26" s="131" t="str">
        <f>INDEX(ACTUALS!$E:$E,MATCH($B26,ACTUALS!$A:$A,0))</f>
        <v>CAD</v>
      </c>
      <c r="D26" s="159" t="str">
        <f ca="1">OFFSET(ACTUALS!$O$2,MATCH($B26,ACTUALS!$A:$A,0)-2,MATCH($E$4,ACTUALS!$P$2:$P$2,0))</f>
        <v>Canada Only</v>
      </c>
      <c r="E26" s="303">
        <f ca="1">IF($C26=E$3,SUMIFS(OFFSET(ACTUALS!$A:$A,,MATCH(E$4,ACTUALS!$2:$2,0)-1,,),ACTUALS!$A:$A,$B26)*-1000,F26*'2020 Assumptions'!$B$4)</f>
        <v>73306.98</v>
      </c>
      <c r="F26" s="73">
        <f ca="1">IF($C26=F$3,SUMIFS(OFFSET(ACTUALS!$A:$A,,MATCH(F$4,ACTUALS!$2:$2,0)-1,,),ACTUALS!$A:$A,$B26)*-1000,E26/'2020 Assumptions'!$B$4)</f>
        <v>54535.768486832312</v>
      </c>
      <c r="G26" s="73">
        <f ca="1">IF($C26=G$3,SUMIFS(OFFSET('Non-margin Costs'!$A:$A,,MATCH(G$4,'Non-margin Costs'!$2:$2,0)-1,,),'Non-margin Costs'!$A:$A,$B26)*1000,(SUMIFS(OFFSET('Non-margin Costs'!$A:$A,,MATCH(G$4,'Non-margin Costs'!$2:$2,0)-1,,),'Non-margin Costs'!$A:$A,$B26)*1000)/'2020 Assumptions'!$B$4)</f>
        <v>727.76372563606606</v>
      </c>
      <c r="I26" s="73">
        <f ca="1">OFFSET('Allocation %'!$A$1,MATCH(I$4,'Allocation %'!$A:$A,0)-1,MATCH($D26,'Allocation %'!$5:$5,0)-1)*$F26</f>
        <v>0</v>
      </c>
      <c r="J26" s="73">
        <f ca="1">OFFSET('Allocation %'!$A$1,MATCH(J$4,'Allocation %'!$A:$A,0)-1,MATCH($D26,'Allocation %'!$5:$5,0)-1)*$F26</f>
        <v>1424.6928740243791</v>
      </c>
      <c r="K26" s="73">
        <f ca="1">OFFSET('Allocation %'!$A$1,MATCH(K$4,'Allocation %'!$A:$A,0)-1,MATCH($D26,'Allocation %'!$5:$5,0)-1)*$F26</f>
        <v>389.29292730419752</v>
      </c>
      <c r="L26" s="73">
        <f ca="1">OFFSET('Allocation %'!$A$1,MATCH(L$4,'Allocation %'!$A:$A,0)-1,MATCH($D26,'Allocation %'!$5:$5,0)-1)*$F26</f>
        <v>388.52070760259193</v>
      </c>
      <c r="M26" s="73">
        <f ca="1">OFFSET('Allocation %'!$A$1,MATCH(M$4,'Allocation %'!$A:$A,0)-1,MATCH($D26,'Allocation %'!$5:$5,0)-1)*$F26</f>
        <v>933.3552328971532</v>
      </c>
      <c r="N26" s="73">
        <f ca="1">OFFSET('Allocation %'!$A$1,MATCH(N$4,'Allocation %'!$A:$A,0)-1,MATCH($D26,'Allocation %'!$5:$5,0)-1)*$F26</f>
        <v>635.89464811689004</v>
      </c>
      <c r="O26" s="73">
        <f ca="1">OFFSET('Allocation %'!$A$1,MATCH(O$4,'Allocation %'!$A:$A,0)-1,MATCH($D26,'Allocation %'!$5:$5,0)-1)*$F26</f>
        <v>1822.6283249541348</v>
      </c>
      <c r="P26" s="73">
        <f ca="1">OFFSET('Allocation %'!$A$1,MATCH(P$4,'Allocation %'!$A:$A,0)-1,MATCH($D26,'Allocation %'!$5:$5,0)-1)*$F26</f>
        <v>294.20028481945991</v>
      </c>
      <c r="Q26" s="73">
        <f ca="1">OFFSET('Allocation %'!$A$1,MATCH(Q$4,'Allocation %'!$A:$A,0)-1,MATCH($D26,'Allocation %'!$5:$5,0)-1)*$F26</f>
        <v>641.31731376710957</v>
      </c>
      <c r="R26" s="73">
        <f ca="1">OFFSET('Allocation %'!$A$1,MATCH(R$4,'Allocation %'!$A:$A,0)-1,MATCH($D26,'Allocation %'!$5:$5,0)-1)*$F26</f>
        <v>622.00901144192176</v>
      </c>
      <c r="S26" s="73">
        <f ca="1">OFFSET('Allocation %'!$A$1,MATCH(S$4,'Allocation %'!$A:$A,0)-1,MATCH($D26,'Allocation %'!$5:$5,0)-1)*$F26</f>
        <v>574.01309651331496</v>
      </c>
      <c r="T26" s="73">
        <f ca="1">OFFSET('Allocation %'!$A$1,MATCH(T$4,'Allocation %'!$A:$A,0)-1,MATCH($D26,'Allocation %'!$5:$5,0)-1)*$F26</f>
        <v>2119.9313958397265</v>
      </c>
      <c r="U26" s="73">
        <f ca="1">OFFSET('Allocation %'!$A$1,MATCH(U$4,'Allocation %'!$A:$A,0)-1,MATCH($D26,'Allocation %'!$5:$5,0)-1)*$F26</f>
        <v>1282.3873846146826</v>
      </c>
      <c r="V26" s="73">
        <f ca="1">OFFSET('Allocation %'!$A$1,MATCH(V$4,'Allocation %'!$A:$A,0)-1,MATCH($D26,'Allocation %'!$5:$5,0)-1)*$F26</f>
        <v>931.15628943651745</v>
      </c>
      <c r="W26" s="73">
        <f ca="1">OFFSET('Allocation %'!$A$1,MATCH(W$4,'Allocation %'!$A:$A,0)-1,MATCH($D26,'Allocation %'!$5:$5,0)-1)*$F26</f>
        <v>1572.2101957241678</v>
      </c>
      <c r="X26" s="73">
        <f ca="1">OFFSET('Allocation %'!$A$1,MATCH(X$4,'Allocation %'!$A:$A,0)-1,MATCH($D26,'Allocation %'!$5:$5,0)-1)*$F26</f>
        <v>50.843440825409125</v>
      </c>
      <c r="Y26" s="73">
        <f ca="1">OFFSET('Allocation %'!$A$1,MATCH(Y$4,'Allocation %'!$A:$A,0)-1,MATCH($D26,'Allocation %'!$5:$5,0)-1)*$F26</f>
        <v>35.267869463155201</v>
      </c>
      <c r="Z26" s="73">
        <f ca="1">OFFSET('Allocation %'!$A$1,MATCH(Z$4,'Allocation %'!$A:$A,0)-1,MATCH($D26,'Allocation %'!$5:$5,0)-1)*$F26</f>
        <v>99.087647867699872</v>
      </c>
      <c r="AA26" s="73">
        <f ca="1">OFFSET('Allocation %'!$A$1,MATCH(AA$4,'Allocation %'!$A:$A,0)-1,MATCH($D26,'Allocation %'!$5:$5,0)-1)*$F26</f>
        <v>85.665620780451661</v>
      </c>
      <c r="AB26" s="73">
        <f ca="1">OFFSET('Allocation %'!$A$1,MATCH(AB$4,'Allocation %'!$A:$A,0)-1,MATCH($D26,'Allocation %'!$5:$5,0)-1)*$F26</f>
        <v>67.905970644655426</v>
      </c>
      <c r="AC26" s="73">
        <f ca="1">OFFSET('Allocation %'!$A$1,MATCH(AC$4,'Allocation %'!$A:$A,0)-1,MATCH($D26,'Allocation %'!$5:$5,0)-1)*$F26</f>
        <v>102.38599554416265</v>
      </c>
      <c r="AD26" s="73">
        <f ca="1">OFFSET('Allocation %'!$A$1,MATCH(AD$4,'Allocation %'!$A:$A,0)-1,MATCH($D26,'Allocation %'!$5:$5,0)-1)*$F26</f>
        <v>168.87557414707547</v>
      </c>
      <c r="AE26" s="73">
        <f ca="1">OFFSET('Allocation %'!$A$1,MATCH(AE$4,'Allocation %'!$A:$A,0)-1,MATCH($D26,'Allocation %'!$5:$5,0)-1)*$F26</f>
        <v>238.09697670782845</v>
      </c>
      <c r="AF26" s="73">
        <f ca="1">OFFSET('Allocation %'!$A$1,MATCH(AF$4,'Allocation %'!$A:$A,0)-1,MATCH($D26,'Allocation %'!$5:$5,0)-1)*$F26</f>
        <v>1263.8455936480836</v>
      </c>
      <c r="AG26" s="73">
        <f ca="1">OFFSET('Allocation %'!$A$1,MATCH(AG$4,'Allocation %'!$A:$A,0)-1,MATCH($D26,'Allocation %'!$5:$5,0)-1)*$F26</f>
        <v>991.33499762458302</v>
      </c>
      <c r="AH26" s="73">
        <f ca="1">OFFSET('Allocation %'!$A$1,MATCH(AH$4,'Allocation %'!$A:$A,0)-1,MATCH($D26,'Allocation %'!$5:$5,0)-1)*$F26</f>
        <v>14062.885892964112</v>
      </c>
      <c r="AI26" s="73">
        <f ca="1">OFFSET('Allocation %'!$A$1,MATCH(AI$4,'Allocation %'!$A:$A,0)-1,MATCH($D26,'Allocation %'!$5:$5,0)-1)*$F26</f>
        <v>115.20300619898464</v>
      </c>
      <c r="AJ26" s="73">
        <f ca="1">OFFSET('Allocation %'!$A$1,MATCH(AJ$4,'Allocation %'!$A:$A,0)-1,MATCH($D26,'Allocation %'!$5:$5,0)-1)*$F26</f>
        <v>2257.6975117630514</v>
      </c>
      <c r="AK26" s="73">
        <f ca="1">OFFSET('Allocation %'!$A$1,MATCH(AK$4,'Allocation %'!$A:$A,0)-1,MATCH($D26,'Allocation %'!$5:$5,0)-1)*$F26</f>
        <v>1906.2593798582277</v>
      </c>
      <c r="AL26" s="73">
        <f ca="1">OFFSET('Allocation %'!$A$1,MATCH(AL$4,'Allocation %'!$A:$A,0)-1,MATCH($D26,'Allocation %'!$5:$5,0)-1)*$F26</f>
        <v>0</v>
      </c>
      <c r="AM26" s="73">
        <f ca="1">OFFSET('Allocation %'!$A$1,MATCH(AM$4,'Allocation %'!$A:$A,0)-1,MATCH($D26,'Allocation %'!$5:$5,0)-1)*$F26</f>
        <v>240.60136241722117</v>
      </c>
      <c r="AN26" s="73">
        <f ca="1">OFFSET('Allocation %'!$A$1,MATCH(AN$4,'Allocation %'!$A:$A,0)-1,MATCH($D26,'Allocation %'!$5:$5,0)-1)*$F26</f>
        <v>0</v>
      </c>
      <c r="AO26" s="73">
        <f ca="1">OFFSET('Allocation %'!$A$1,MATCH(AO$4,'Allocation %'!$A:$A,0)-1,MATCH($D26,'Allocation %'!$5:$5,0)-1)*$F26</f>
        <v>1881.1299250358752</v>
      </c>
      <c r="AP26" s="73">
        <f ca="1">OFFSET('Allocation %'!$A$1,MATCH(AP$4,'Allocation %'!$A:$A,0)-1,MATCH($D26,'Allocation %'!$5:$5,0)-1)*$F26</f>
        <v>441.84136651246183</v>
      </c>
      <c r="AQ26" s="73">
        <f ca="1">OFFSET('Allocation %'!$A$1,MATCH(AQ$4,'Allocation %'!$A:$A,0)-1,MATCH($D26,'Allocation %'!$5:$5,0)-1)*$F26</f>
        <v>1123.5798464153934</v>
      </c>
      <c r="AR26" s="73">
        <f ca="1">OFFSET('Allocation %'!$A$1,MATCH(AR$4,'Allocation %'!$A:$A,0)-1,MATCH($D26,'Allocation %'!$5:$5,0)-1)*$F26</f>
        <v>40.664335254049249</v>
      </c>
      <c r="AS26" s="73">
        <f ca="1">OFFSET('Allocation %'!$A$1,MATCH(AS$4,'Allocation %'!$A:$A,0)-1,MATCH($D26,'Allocation %'!$5:$5,0)-1)*$F26</f>
        <v>2023.8712949707515</v>
      </c>
      <c r="AT26" s="73">
        <f ca="1">OFFSET('Allocation %'!$A$1,MATCH(AT$4,'Allocation %'!$A:$A,0)-1,MATCH($D26,'Allocation %'!$5:$5,0)-1)*$F26</f>
        <v>1176.1983855776632</v>
      </c>
      <c r="AU26" s="73">
        <f ca="1">OFFSET('Allocation %'!$A$1,MATCH(AU$4,'Allocation %'!$A:$A,0)-1,MATCH($D26,'Allocation %'!$5:$5,0)-1)*$F26</f>
        <v>1510.5315861277961</v>
      </c>
      <c r="AV26" s="73">
        <f ca="1">OFFSET('Allocation %'!$A$1,MATCH(AV$4,'Allocation %'!$A:$A,0)-1,MATCH($D26,'Allocation %'!$5:$5,0)-1)*$F26</f>
        <v>2315.1357801534723</v>
      </c>
      <c r="AW26" s="73">
        <f ca="1">OFFSET('Allocation %'!$A$1,MATCH(AW$4,'Allocation %'!$A:$A,0)-1,MATCH($D26,'Allocation %'!$5:$5,0)-1)*$F26</f>
        <v>8522.4095342012733</v>
      </c>
      <c r="AX26" s="73">
        <f ca="1">OFFSET('Allocation %'!$A$1,MATCH(AX$4,'Allocation %'!$A:$A,0)-1,MATCH($D26,'Allocation %'!$5:$5,0)-1)*$F26</f>
        <v>182.83990507263479</v>
      </c>
      <c r="AY26" s="73">
        <f ca="1">OFFSET('Allocation %'!$A$1,MATCH(AY$4,'Allocation %'!$A:$A,0)-1,MATCH($D26,'Allocation %'!$5:$5,0)-1)*$F26</f>
        <v>0</v>
      </c>
      <c r="AZ26" s="317">
        <f ca="1">OFFSET('Allocation %'!$A$1,MATCH(AZ$4,'Allocation %'!$A:$A,0)-1,MATCH($D26,'Allocation %'!$5:$5,0)-1)*$F26</f>
        <v>0</v>
      </c>
      <c r="BA26" s="317">
        <f ca="1">OFFSET('Allocation %'!$A$1,MATCH(BA$4,'Allocation %'!$A:$A,0)-1,MATCH($D26,'Allocation %'!$5:$5,0)-1)*$F26</f>
        <v>0</v>
      </c>
      <c r="BB26" s="317">
        <f ca="1">OFFSET('Allocation %'!$A$1,MATCH(BB$4,'Allocation %'!$A:$A,0)-1,MATCH($D26,'Allocation %'!$5:$5,0)-1)*$F26</f>
        <v>0</v>
      </c>
      <c r="BC26" s="317">
        <f ca="1">OFFSET('Allocation %'!$A$1,MATCH(BC$4,'Allocation %'!$A:$A,0)-1,MATCH($D26,'Allocation %'!$5:$5,0)-1)*$F26</f>
        <v>0</v>
      </c>
      <c r="BD26" s="317">
        <f ca="1">OFFSET('Allocation %'!$A$1,MATCH(BD$4,'Allocation %'!$A:$A,0)-1,MATCH($D26,'Allocation %'!$5:$5,0)-1)*$F26</f>
        <v>0</v>
      </c>
      <c r="BE26" s="317">
        <f ca="1">OFFSET('Allocation %'!$A$1,MATCH(BE$4,'Allocation %'!$A:$A,0)-1,MATCH($D26,'Allocation %'!$5:$5,0)-1)*$F26</f>
        <v>0</v>
      </c>
      <c r="BG26" s="76">
        <f t="shared" ca="1" si="3"/>
        <v>54535.768486832319</v>
      </c>
      <c r="BH26" s="349">
        <f t="shared" ca="1" si="4"/>
        <v>0</v>
      </c>
      <c r="BJ26" s="76">
        <f t="shared" ca="1" si="2"/>
        <v>54535.768486832319</v>
      </c>
    </row>
    <row r="27" spans="2:62" x14ac:dyDescent="0.25">
      <c r="B27" s="294" t="s">
        <v>302</v>
      </c>
      <c r="C27" s="131" t="str">
        <f>INDEX(ACTUALS!$E:$E,MATCH($B27,ACTUALS!$A:$A,0))</f>
        <v>CAD</v>
      </c>
      <c r="D27" s="159" t="s">
        <v>188</v>
      </c>
      <c r="E27" s="303">
        <f ca="1">IF($C27=E$3,SUMIFS(OFFSET(ACTUALS!$A:$A,,MATCH(E$4,ACTUALS!$2:$2,0)-1,,),ACTUALS!$A:$A,$B27)*-1000,F27*'2020 Assumptions'!$B$4)</f>
        <v>34143.909999999996</v>
      </c>
      <c r="F27" s="73">
        <f ca="1">IF($C27=F$3,SUMIFS(OFFSET(ACTUALS!$A:$A,,MATCH(F$4,ACTUALS!$2:$2,0)-1,,),ACTUALS!$A:$A,$B27)*-1000,E27/'2020 Assumptions'!$B$4)</f>
        <v>25400.915042404402</v>
      </c>
      <c r="G27" s="73">
        <f ca="1">IF($C27=G$3,SUMIFS(OFFSET('Non-margin Costs'!$A:$A,,MATCH(G$4,'Non-margin Costs'!$2:$2,0)-1,,),'Non-margin Costs'!$A:$A,$B27)*1000,(SUMIFS(OFFSET('Non-margin Costs'!$A:$A,,MATCH(G$4,'Non-margin Costs'!$2:$2,0)-1,,),'Non-margin Costs'!$A:$A,$B27)*1000)/'2020 Assumptions'!$B$4)</f>
        <v>9607.5137628329121</v>
      </c>
      <c r="I27" s="73">
        <f ca="1">OFFSET('Allocation %'!$A$1,MATCH(I$4,'Allocation %'!$A:$A,0)-1,MATCH($D27,'Allocation %'!$5:$5,0)-1)*$F27</f>
        <v>0</v>
      </c>
      <c r="J27" s="73">
        <f ca="1">OFFSET('Allocation %'!$A$1,MATCH(J$4,'Allocation %'!$A:$A,0)-1,MATCH($D27,'Allocation %'!$5:$5,0)-1)*$F27</f>
        <v>663.57371792331003</v>
      </c>
      <c r="K27" s="73">
        <f ca="1">OFFSET('Allocation %'!$A$1,MATCH(K$4,'Allocation %'!$A:$A,0)-1,MATCH($D27,'Allocation %'!$5:$5,0)-1)*$F27</f>
        <v>181.31946880789607</v>
      </c>
      <c r="L27" s="73">
        <f ca="1">OFFSET('Allocation %'!$A$1,MATCH(L$4,'Allocation %'!$A:$A,0)-1,MATCH($D27,'Allocation %'!$5:$5,0)-1)*$F27</f>
        <v>180.95979500886838</v>
      </c>
      <c r="M27" s="73">
        <f ca="1">OFFSET('Allocation %'!$A$1,MATCH(M$4,'Allocation %'!$A:$A,0)-1,MATCH($D27,'Allocation %'!$5:$5,0)-1)*$F27</f>
        <v>434.72527541128329</v>
      </c>
      <c r="N27" s="73">
        <f ca="1">OFFSET('Allocation %'!$A$1,MATCH(N$4,'Allocation %'!$A:$A,0)-1,MATCH($D27,'Allocation %'!$5:$5,0)-1)*$F27</f>
        <v>296.17820342325876</v>
      </c>
      <c r="O27" s="73">
        <f ca="1">OFFSET('Allocation %'!$A$1,MATCH(O$4,'Allocation %'!$A:$A,0)-1,MATCH($D27,'Allocation %'!$5:$5,0)-1)*$F27</f>
        <v>848.91858170510818</v>
      </c>
      <c r="P27" s="73">
        <f ca="1">OFFSET('Allocation %'!$A$1,MATCH(P$4,'Allocation %'!$A:$A,0)-1,MATCH($D27,'Allocation %'!$5:$5,0)-1)*$F27</f>
        <v>137.02853462044141</v>
      </c>
      <c r="Q27" s="73">
        <f ca="1">OFFSET('Allocation %'!$A$1,MATCH(Q$4,'Allocation %'!$A:$A,0)-1,MATCH($D27,'Allocation %'!$5:$5,0)-1)*$F27</f>
        <v>298.70389753753261</v>
      </c>
      <c r="R27" s="73">
        <f ca="1">OFFSET('Allocation %'!$A$1,MATCH(R$4,'Allocation %'!$A:$A,0)-1,MATCH($D27,'Allocation %'!$5:$5,0)-1)*$F27</f>
        <v>289.71074385906974</v>
      </c>
      <c r="S27" s="73">
        <f ca="1">OFFSET('Allocation %'!$A$1,MATCH(S$4,'Allocation %'!$A:$A,0)-1,MATCH($D27,'Allocation %'!$5:$5,0)-1)*$F27</f>
        <v>267.35587124407448</v>
      </c>
      <c r="T27" s="73">
        <f ca="1">OFFSET('Allocation %'!$A$1,MATCH(T$4,'Allocation %'!$A:$A,0)-1,MATCH($D27,'Allocation %'!$5:$5,0)-1)*$F27</f>
        <v>987.39228905250218</v>
      </c>
      <c r="U27" s="73">
        <f ca="1">OFFSET('Allocation %'!$A$1,MATCH(U$4,'Allocation %'!$A:$A,0)-1,MATCH($D27,'Allocation %'!$5:$5,0)-1)*$F27</f>
        <v>597.29263769178749</v>
      </c>
      <c r="V27" s="73">
        <f ca="1">OFFSET('Allocation %'!$A$1,MATCH(V$4,'Allocation %'!$A:$A,0)-1,MATCH($D27,'Allocation %'!$5:$5,0)-1)*$F27</f>
        <v>433.70108197683771</v>
      </c>
      <c r="W27" s="73">
        <f ca="1">OFFSET('Allocation %'!$A$1,MATCH(W$4,'Allocation %'!$A:$A,0)-1,MATCH($D27,'Allocation %'!$5:$5,0)-1)*$F27</f>
        <v>732.28229322621621</v>
      </c>
      <c r="X27" s="73">
        <f ca="1">OFFSET('Allocation %'!$A$1,MATCH(X$4,'Allocation %'!$A:$A,0)-1,MATCH($D27,'Allocation %'!$5:$5,0)-1)*$F27</f>
        <v>23.681153795083294</v>
      </c>
      <c r="Y27" s="73">
        <f ca="1">OFFSET('Allocation %'!$A$1,MATCH(Y$4,'Allocation %'!$A:$A,0)-1,MATCH($D27,'Allocation %'!$5:$5,0)-1)*$F27</f>
        <v>16.426579854220151</v>
      </c>
      <c r="Z27" s="73">
        <f ca="1">OFFSET('Allocation %'!$A$1,MATCH(Z$4,'Allocation %'!$A:$A,0)-1,MATCH($D27,'Allocation %'!$5:$5,0)-1)*$F27</f>
        <v>46.151672472477195</v>
      </c>
      <c r="AA27" s="73">
        <f ca="1">OFFSET('Allocation %'!$A$1,MATCH(AA$4,'Allocation %'!$A:$A,0)-1,MATCH($D27,'Allocation %'!$5:$5,0)-1)*$F27</f>
        <v>39.900146562058232</v>
      </c>
      <c r="AB27" s="73">
        <f ca="1">OFFSET('Allocation %'!$A$1,MATCH(AB$4,'Allocation %'!$A:$A,0)-1,MATCH($D27,'Allocation %'!$5:$5,0)-1)*$F27</f>
        <v>31.628302654859834</v>
      </c>
      <c r="AC27" s="73">
        <f ca="1">OFFSET('Allocation %'!$A$1,MATCH(AC$4,'Allocation %'!$A:$A,0)-1,MATCH($D27,'Allocation %'!$5:$5,0)-1)*$F27</f>
        <v>47.687931178180996</v>
      </c>
      <c r="AD27" s="73">
        <f ca="1">OFFSET('Allocation %'!$A$1,MATCH(AD$4,'Allocation %'!$A:$A,0)-1,MATCH($D27,'Allocation %'!$5:$5,0)-1)*$F27</f>
        <v>78.656526361829009</v>
      </c>
      <c r="AE27" s="73">
        <f ca="1">OFFSET('Allocation %'!$A$1,MATCH(AE$4,'Allocation %'!$A:$A,0)-1,MATCH($D27,'Allocation %'!$5:$5,0)-1)*$F27</f>
        <v>110.89751267865886</v>
      </c>
      <c r="AF27" s="73">
        <f ca="1">OFFSET('Allocation %'!$A$1,MATCH(AF$4,'Allocation %'!$A:$A,0)-1,MATCH($D27,'Allocation %'!$5:$5,0)-1)*$F27</f>
        <v>588.65649905939017</v>
      </c>
      <c r="AG27" s="73">
        <f ca="1">OFFSET('Allocation %'!$A$1,MATCH(AG$4,'Allocation %'!$A:$A,0)-1,MATCH($D27,'Allocation %'!$5:$5,0)-1)*$F27</f>
        <v>461.73028733067406</v>
      </c>
      <c r="AH27" s="73">
        <f ca="1">OFFSET('Allocation %'!$A$1,MATCH(AH$4,'Allocation %'!$A:$A,0)-1,MATCH($D27,'Allocation %'!$5:$5,0)-1)*$F27</f>
        <v>6550.0162504257614</v>
      </c>
      <c r="AI27" s="73">
        <f ca="1">OFFSET('Allocation %'!$A$1,MATCH(AI$4,'Allocation %'!$A:$A,0)-1,MATCH($D27,'Allocation %'!$5:$5,0)-1)*$F27</f>
        <v>53.657660912884062</v>
      </c>
      <c r="AJ27" s="73">
        <f ca="1">OFFSET('Allocation %'!$A$1,MATCH(AJ$4,'Allocation %'!$A:$A,0)-1,MATCH($D27,'Allocation %'!$5:$5,0)-1)*$F27</f>
        <v>1051.5590827621268</v>
      </c>
      <c r="AK27" s="73">
        <f ca="1">OFFSET('Allocation %'!$A$1,MATCH(AK$4,'Allocation %'!$A:$A,0)-1,MATCH($D27,'Allocation %'!$5:$5,0)-1)*$F27</f>
        <v>887.8710963476484</v>
      </c>
      <c r="AL27" s="73">
        <f ca="1">OFFSET('Allocation %'!$A$1,MATCH(AL$4,'Allocation %'!$A:$A,0)-1,MATCH($D27,'Allocation %'!$5:$5,0)-1)*$F27</f>
        <v>0</v>
      </c>
      <c r="AM27" s="73">
        <f ca="1">OFFSET('Allocation %'!$A$1,MATCH(AM$4,'Allocation %'!$A:$A,0)-1,MATCH($D27,'Allocation %'!$5:$5,0)-1)*$F27</f>
        <v>112.06397077401063</v>
      </c>
      <c r="AN27" s="73">
        <f ca="1">OFFSET('Allocation %'!$A$1,MATCH(AN$4,'Allocation %'!$A:$A,0)-1,MATCH($D27,'Allocation %'!$5:$5,0)-1)*$F27</f>
        <v>0</v>
      </c>
      <c r="AO27" s="73">
        <f ca="1">OFFSET('Allocation %'!$A$1,MATCH(AO$4,'Allocation %'!$A:$A,0)-1,MATCH($D27,'Allocation %'!$5:$5,0)-1)*$F27</f>
        <v>876.1666468695297</v>
      </c>
      <c r="AP27" s="73">
        <f ca="1">OFFSET('Allocation %'!$A$1,MATCH(AP$4,'Allocation %'!$A:$A,0)-1,MATCH($D27,'Allocation %'!$5:$5,0)-1)*$F27</f>
        <v>205.79475313917598</v>
      </c>
      <c r="AQ27" s="73">
        <f ca="1">OFFSET('Allocation %'!$A$1,MATCH(AQ$4,'Allocation %'!$A:$A,0)-1,MATCH($D27,'Allocation %'!$5:$5,0)-1)*$F27</f>
        <v>523.32546169302043</v>
      </c>
      <c r="AR27" s="73">
        <f ca="1">OFFSET('Allocation %'!$A$1,MATCH(AR$4,'Allocation %'!$A:$A,0)-1,MATCH($D27,'Allocation %'!$5:$5,0)-1)*$F27</f>
        <v>18.940070960829168</v>
      </c>
      <c r="AS27" s="73">
        <f ca="1">OFFSET('Allocation %'!$A$1,MATCH(AS$4,'Allocation %'!$A:$A,0)-1,MATCH($D27,'Allocation %'!$5:$5,0)-1)*$F27</f>
        <v>942.65074549606038</v>
      </c>
      <c r="AT27" s="73">
        <f ca="1">OFFSET('Allocation %'!$A$1,MATCH(AT$4,'Allocation %'!$A:$A,0)-1,MATCH($D27,'Allocation %'!$5:$5,0)-1)*$F27</f>
        <v>547.83339621014306</v>
      </c>
      <c r="AU27" s="73">
        <f ca="1">OFFSET('Allocation %'!$A$1,MATCH(AU$4,'Allocation %'!$A:$A,0)-1,MATCH($D27,'Allocation %'!$5:$5,0)-1)*$F27</f>
        <v>703.55448456483566</v>
      </c>
      <c r="AV27" s="73">
        <f ca="1">OFFSET('Allocation %'!$A$1,MATCH(AV$4,'Allocation %'!$A:$A,0)-1,MATCH($D27,'Allocation %'!$5:$5,0)-1)*$F27</f>
        <v>1078.3118840162279</v>
      </c>
      <c r="AW27" s="73">
        <f ca="1">OFFSET('Allocation %'!$A$1,MATCH(AW$4,'Allocation %'!$A:$A,0)-1,MATCH($D27,'Allocation %'!$5:$5,0)-1)*$F27</f>
        <v>3969.4498957522214</v>
      </c>
      <c r="AX27" s="73">
        <f ca="1">OFFSET('Allocation %'!$A$1,MATCH(AX$4,'Allocation %'!$A:$A,0)-1,MATCH($D27,'Allocation %'!$5:$5,0)-1)*$F27</f>
        <v>85.160639044311822</v>
      </c>
      <c r="AY27" s="73">
        <f ca="1">OFFSET('Allocation %'!$A$1,MATCH(AY$4,'Allocation %'!$A:$A,0)-1,MATCH($D27,'Allocation %'!$5:$5,0)-1)*$F27</f>
        <v>0</v>
      </c>
      <c r="AZ27" s="317">
        <f ca="1">OFFSET('Allocation %'!$A$1,MATCH(AZ$4,'Allocation %'!$A:$A,0)-1,MATCH($D27,'Allocation %'!$5:$5,0)-1)*$F27</f>
        <v>0</v>
      </c>
      <c r="BA27" s="317">
        <f ca="1">OFFSET('Allocation %'!$A$1,MATCH(BA$4,'Allocation %'!$A:$A,0)-1,MATCH($D27,'Allocation %'!$5:$5,0)-1)*$F27</f>
        <v>0</v>
      </c>
      <c r="BB27" s="317">
        <f ca="1">OFFSET('Allocation %'!$A$1,MATCH(BB$4,'Allocation %'!$A:$A,0)-1,MATCH($D27,'Allocation %'!$5:$5,0)-1)*$F27</f>
        <v>0</v>
      </c>
      <c r="BC27" s="317">
        <f ca="1">OFFSET('Allocation %'!$A$1,MATCH(BC$4,'Allocation %'!$A:$A,0)-1,MATCH($D27,'Allocation %'!$5:$5,0)-1)*$F27</f>
        <v>0</v>
      </c>
      <c r="BD27" s="317">
        <f ca="1">OFFSET('Allocation %'!$A$1,MATCH(BD$4,'Allocation %'!$A:$A,0)-1,MATCH($D27,'Allocation %'!$5:$5,0)-1)*$F27</f>
        <v>0</v>
      </c>
      <c r="BE27" s="317">
        <f ca="1">OFFSET('Allocation %'!$A$1,MATCH(BE$4,'Allocation %'!$A:$A,0)-1,MATCH($D27,'Allocation %'!$5:$5,0)-1)*$F27</f>
        <v>0</v>
      </c>
      <c r="BG27" s="76">
        <f t="shared" ca="1" si="3"/>
        <v>25400.915042404409</v>
      </c>
      <c r="BH27" s="349">
        <f t="shared" ca="1" si="4"/>
        <v>0</v>
      </c>
      <c r="BJ27" s="76">
        <f t="shared" ca="1" si="2"/>
        <v>25400.915042404409</v>
      </c>
    </row>
    <row r="28" spans="2:62" ht="45" x14ac:dyDescent="0.25">
      <c r="B28" s="294" t="s">
        <v>235</v>
      </c>
      <c r="C28" s="131" t="str">
        <f>INDEX(ACTUALS!$E:$E,MATCH($B28,ACTUALS!$A:$A,0))</f>
        <v>CAD</v>
      </c>
      <c r="D28" s="159" t="str">
        <f ca="1">OFFSET(ACTUALS!$O$2,MATCH($B28,ACTUALS!$A:$A,0)-2,MATCH($E$4,ACTUALS!$P$2:$P$2,0))</f>
        <v>Canadian Contract Shared Services - Headcount</v>
      </c>
      <c r="E28" s="303">
        <f ca="1">IF($C28=E$3,SUMIFS(OFFSET(ACTUALS!$A:$A,,MATCH(E$4,ACTUALS!$2:$2,0)-1,,),ACTUALS!$A:$A,$B28)*-1000,F28*'2020 Assumptions'!$B$4)</f>
        <v>33387.520000000004</v>
      </c>
      <c r="F28" s="73">
        <f ca="1">IF($C28=F$3,SUMIFS(OFFSET(ACTUALS!$A:$A,,MATCH(F$4,ACTUALS!$2:$2,0)-1,,),ACTUALS!$A:$A,$B28)*-1000,E28/'2020 Assumptions'!$B$4)</f>
        <v>24838.208599910729</v>
      </c>
      <c r="G28" s="73">
        <f ca="1">IF($C28=G$3,SUMIFS(OFFSET('Non-margin Costs'!$A:$A,,MATCH(G$4,'Non-margin Costs'!$2:$2,0)-1,,),'Non-margin Costs'!$A:$A,$B28)*1000,(SUMIFS(OFFSET('Non-margin Costs'!$A:$A,,MATCH(G$4,'Non-margin Costs'!$2:$2,0)-1,,),'Non-margin Costs'!$A:$A,$B28)*1000)/'2020 Assumptions'!$B$4)</f>
        <v>4277.2429697961607</v>
      </c>
      <c r="I28" s="73">
        <f ca="1">OFFSET('Allocation %'!$A$1,MATCH(I$4,'Allocation %'!$A:$A,0)-1,MATCH($D28,'Allocation %'!$5:$5,0)-1)*$F28</f>
        <v>0</v>
      </c>
      <c r="J28" s="73">
        <f ca="1">OFFSET('Allocation %'!$A$1,MATCH(J$4,'Allocation %'!$A:$A,0)-1,MATCH($D28,'Allocation %'!$5:$5,0)-1)*$F28</f>
        <v>340.03685501690904</v>
      </c>
      <c r="K28" s="73">
        <f ca="1">OFFSET('Allocation %'!$A$1,MATCH(K$4,'Allocation %'!$A:$A,0)-1,MATCH($D28,'Allocation %'!$5:$5,0)-1)*$F28</f>
        <v>90.876770370182456</v>
      </c>
      <c r="L28" s="73">
        <f ca="1">OFFSET('Allocation %'!$A$1,MATCH(L$4,'Allocation %'!$A:$A,0)-1,MATCH($D28,'Allocation %'!$5:$5,0)-1)*$F28</f>
        <v>89.417996184488899</v>
      </c>
      <c r="M28" s="73">
        <f ca="1">OFFSET('Allocation %'!$A$1,MATCH(M$4,'Allocation %'!$A:$A,0)-1,MATCH($D28,'Allocation %'!$5:$5,0)-1)*$F28</f>
        <v>227.72444693006398</v>
      </c>
      <c r="N28" s="73">
        <f ca="1">OFFSET('Allocation %'!$A$1,MATCH(N$4,'Allocation %'!$A:$A,0)-1,MATCH($D28,'Allocation %'!$5:$5,0)-1)*$F28</f>
        <v>149.88819393221701</v>
      </c>
      <c r="O28" s="73">
        <f ca="1">OFFSET('Allocation %'!$A$1,MATCH(O$4,'Allocation %'!$A:$A,0)-1,MATCH($D28,'Allocation %'!$5:$5,0)-1)*$F28</f>
        <v>332.8846192824135</v>
      </c>
      <c r="P28" s="73">
        <f ca="1">OFFSET('Allocation %'!$A$1,MATCH(P$4,'Allocation %'!$A:$A,0)-1,MATCH($D28,'Allocation %'!$5:$5,0)-1)*$F28</f>
        <v>49.943363678171487</v>
      </c>
      <c r="Q28" s="73">
        <f ca="1">OFFSET('Allocation %'!$A$1,MATCH(Q$4,'Allocation %'!$A:$A,0)-1,MATCH($D28,'Allocation %'!$5:$5,0)-1)*$F28</f>
        <v>108.95149122757363</v>
      </c>
      <c r="R28" s="73">
        <f ca="1">OFFSET('Allocation %'!$A$1,MATCH(R$4,'Allocation %'!$A:$A,0)-1,MATCH($D28,'Allocation %'!$5:$5,0)-1)*$F28</f>
        <v>102.19141137569848</v>
      </c>
      <c r="S28" s="73">
        <f ca="1">OFFSET('Allocation %'!$A$1,MATCH(S$4,'Allocation %'!$A:$A,0)-1,MATCH($D28,'Allocation %'!$5:$5,0)-1)*$F28</f>
        <v>96.971408688409312</v>
      </c>
      <c r="T28" s="73">
        <f ca="1">OFFSET('Allocation %'!$A$1,MATCH(T$4,'Allocation %'!$A:$A,0)-1,MATCH($D28,'Allocation %'!$5:$5,0)-1)*$F28</f>
        <v>351.2897550487894</v>
      </c>
      <c r="U28" s="73">
        <f ca="1">OFFSET('Allocation %'!$A$1,MATCH(U$4,'Allocation %'!$A:$A,0)-1,MATCH($D28,'Allocation %'!$5:$5,0)-1)*$F28</f>
        <v>220.69750659495182</v>
      </c>
      <c r="V28" s="73">
        <f ca="1">OFFSET('Allocation %'!$A$1,MATCH(V$4,'Allocation %'!$A:$A,0)-1,MATCH($D28,'Allocation %'!$5:$5,0)-1)*$F28</f>
        <v>468.37632568095671</v>
      </c>
      <c r="W28" s="73">
        <f ca="1">OFFSET('Allocation %'!$A$1,MATCH(W$4,'Allocation %'!$A:$A,0)-1,MATCH($D28,'Allocation %'!$5:$5,0)-1)*$F28</f>
        <v>781.96076119311556</v>
      </c>
      <c r="X28" s="73">
        <f ca="1">OFFSET('Allocation %'!$A$1,MATCH(X$4,'Allocation %'!$A:$A,0)-1,MATCH($D28,'Allocation %'!$5:$5,0)-1)*$F28</f>
        <v>4.2057057011207428</v>
      </c>
      <c r="Y28" s="73">
        <f ca="1">OFFSET('Allocation %'!$A$1,MATCH(Y$4,'Allocation %'!$A:$A,0)-1,MATCH($D28,'Allocation %'!$5:$5,0)-1)*$F28</f>
        <v>2.8994400472966793</v>
      </c>
      <c r="Z28" s="73">
        <f ca="1">OFFSET('Allocation %'!$A$1,MATCH(Z$4,'Allocation %'!$A:$A,0)-1,MATCH($D28,'Allocation %'!$5:$5,0)-1)*$F28</f>
        <v>8.1304310920229348</v>
      </c>
      <c r="AA28" s="73">
        <f ca="1">OFFSET('Allocation %'!$A$1,MATCH(AA$4,'Allocation %'!$A:$A,0)-1,MATCH($D28,'Allocation %'!$5:$5,0)-1)*$F28</f>
        <v>7.0084744503680847</v>
      </c>
      <c r="AB28" s="73">
        <f ca="1">OFFSET('Allocation %'!$A$1,MATCH(AB$4,'Allocation %'!$A:$A,0)-1,MATCH($D28,'Allocation %'!$5:$5,0)-1)*$F28</f>
        <v>5.4867102907017866</v>
      </c>
      <c r="AC28" s="73">
        <f ca="1">OFFSET('Allocation %'!$A$1,MATCH(AC$4,'Allocation %'!$A:$A,0)-1,MATCH($D28,'Allocation %'!$5:$5,0)-1)*$F28</f>
        <v>8.415938890621435</v>
      </c>
      <c r="AD28" s="73">
        <f ca="1">OFFSET('Allocation %'!$A$1,MATCH(AD$4,'Allocation %'!$A:$A,0)-1,MATCH($D28,'Allocation %'!$5:$5,0)-1)*$F28</f>
        <v>13.639949394035632</v>
      </c>
      <c r="AE28" s="73">
        <f ca="1">OFFSET('Allocation %'!$A$1,MATCH(AE$4,'Allocation %'!$A:$A,0)-1,MATCH($D28,'Allocation %'!$5:$5,0)-1)*$F28</f>
        <v>19.661591911109138</v>
      </c>
      <c r="AF28" s="73">
        <f ca="1">OFFSET('Allocation %'!$A$1,MATCH(AF$4,'Allocation %'!$A:$A,0)-1,MATCH($D28,'Allocation %'!$5:$5,0)-1)*$F28</f>
        <v>307.05706410837183</v>
      </c>
      <c r="AG28" s="73">
        <f ca="1">OFFSET('Allocation %'!$A$1,MATCH(AG$4,'Allocation %'!$A:$A,0)-1,MATCH($D28,'Allocation %'!$5:$5,0)-1)*$F28</f>
        <v>1108.1558855378619</v>
      </c>
      <c r="AH28" s="73">
        <f ca="1">OFFSET('Allocation %'!$A$1,MATCH(AH$4,'Allocation %'!$A:$A,0)-1,MATCH($D28,'Allocation %'!$5:$5,0)-1)*$F28</f>
        <v>2292.0310995210934</v>
      </c>
      <c r="AI28" s="73">
        <f ca="1">OFFSET('Allocation %'!$A$1,MATCH(AI$4,'Allocation %'!$A:$A,0)-1,MATCH($D28,'Allocation %'!$5:$5,0)-1)*$F28</f>
        <v>9.582691193288845</v>
      </c>
      <c r="AJ28" s="73">
        <f ca="1">OFFSET('Allocation %'!$A$1,MATCH(AJ$4,'Allocation %'!$A:$A,0)-1,MATCH($D28,'Allocation %'!$5:$5,0)-1)*$F28</f>
        <v>585.79051106371526</v>
      </c>
      <c r="AK28" s="73">
        <f ca="1">OFFSET('Allocation %'!$A$1,MATCH(AK$4,'Allocation %'!$A:$A,0)-1,MATCH($D28,'Allocation %'!$5:$5,0)-1)*$F28</f>
        <v>521.3791050906226</v>
      </c>
      <c r="AL28" s="73">
        <f ca="1">OFFSET('Allocation %'!$A$1,MATCH(AL$4,'Allocation %'!$A:$A,0)-1,MATCH($D28,'Allocation %'!$5:$5,0)-1)*$F28</f>
        <v>0</v>
      </c>
      <c r="AM28" s="73">
        <f ca="1">OFFSET('Allocation %'!$A$1,MATCH(AM$4,'Allocation %'!$A:$A,0)-1,MATCH($D28,'Allocation %'!$5:$5,0)-1)*$F28</f>
        <v>19.762853511928935</v>
      </c>
      <c r="AN28" s="73">
        <f ca="1">OFFSET('Allocation %'!$A$1,MATCH(AN$4,'Allocation %'!$A:$A,0)-1,MATCH($D28,'Allocation %'!$5:$5,0)-1)*$F28</f>
        <v>0</v>
      </c>
      <c r="AO28" s="73">
        <f ca="1">OFFSET('Allocation %'!$A$1,MATCH(AO$4,'Allocation %'!$A:$A,0)-1,MATCH($D28,'Allocation %'!$5:$5,0)-1)*$F28</f>
        <v>554.04300466250459</v>
      </c>
      <c r="AP28" s="73">
        <f ca="1">OFFSET('Allocation %'!$A$1,MATCH(AP$4,'Allocation %'!$A:$A,0)-1,MATCH($D28,'Allocation %'!$5:$5,0)-1)*$F28</f>
        <v>117.49370254035226</v>
      </c>
      <c r="AQ28" s="73">
        <f ca="1">OFFSET('Allocation %'!$A$1,MATCH(AQ$4,'Allocation %'!$A:$A,0)-1,MATCH($D28,'Allocation %'!$5:$5,0)-1)*$F28</f>
        <v>1071.6182667184362</v>
      </c>
      <c r="AR28" s="73">
        <f ca="1">OFFSET('Allocation %'!$A$1,MATCH(AR$4,'Allocation %'!$A:$A,0)-1,MATCH($D28,'Allocation %'!$5:$5,0)-1)*$F28</f>
        <v>3.3189887399708042</v>
      </c>
      <c r="AS28" s="73">
        <f ca="1">OFFSET('Allocation %'!$A$1,MATCH(AS$4,'Allocation %'!$A:$A,0)-1,MATCH($D28,'Allocation %'!$5:$5,0)-1)*$F28</f>
        <v>2066.2617547605428</v>
      </c>
      <c r="AT28" s="73">
        <f ca="1">OFFSET('Allocation %'!$A$1,MATCH(AT$4,'Allocation %'!$A:$A,0)-1,MATCH($D28,'Allocation %'!$5:$5,0)-1)*$F28</f>
        <v>1271.9849733962046</v>
      </c>
      <c r="AU28" s="73">
        <f ca="1">OFFSET('Allocation %'!$A$1,MATCH(AU$4,'Allocation %'!$A:$A,0)-1,MATCH($D28,'Allocation %'!$5:$5,0)-1)*$F28</f>
        <v>1240.202366587481</v>
      </c>
      <c r="AV28" s="73">
        <f ca="1">OFFSET('Allocation %'!$A$1,MATCH(AV$4,'Allocation %'!$A:$A,0)-1,MATCH($D28,'Allocation %'!$5:$5,0)-1)*$F28</f>
        <v>1834.9257942598183</v>
      </c>
      <c r="AW28" s="73">
        <f ca="1">OFFSET('Allocation %'!$A$1,MATCH(AW$4,'Allocation %'!$A:$A,0)-1,MATCH($D28,'Allocation %'!$5:$5,0)-1)*$F28</f>
        <v>8339.1735536444849</v>
      </c>
      <c r="AX28" s="73">
        <f ca="1">OFFSET('Allocation %'!$A$1,MATCH(AX$4,'Allocation %'!$A:$A,0)-1,MATCH($D28,'Allocation %'!$5:$5,0)-1)*$F28</f>
        <v>14.767837592836427</v>
      </c>
      <c r="AY28" s="73">
        <f ca="1">OFFSET('Allocation %'!$A$1,MATCH(AY$4,'Allocation %'!$A:$A,0)-1,MATCH($D28,'Allocation %'!$5:$5,0)-1)*$F28</f>
        <v>0</v>
      </c>
      <c r="AZ28" s="317">
        <f ca="1">OFFSET('Allocation %'!$A$1,MATCH(AZ$4,'Allocation %'!$A:$A,0)-1,MATCH($D28,'Allocation %'!$5:$5,0)-1)*$F28</f>
        <v>0</v>
      </c>
      <c r="BA28" s="317">
        <f ca="1">OFFSET('Allocation %'!$A$1,MATCH(BA$4,'Allocation %'!$A:$A,0)-1,MATCH($D28,'Allocation %'!$5:$5,0)-1)*$F28</f>
        <v>0</v>
      </c>
      <c r="BB28" s="317">
        <f ca="1">OFFSET('Allocation %'!$A$1,MATCH(BB$4,'Allocation %'!$A:$A,0)-1,MATCH($D28,'Allocation %'!$5:$5,0)-1)*$F28</f>
        <v>0</v>
      </c>
      <c r="BC28" s="317">
        <f ca="1">OFFSET('Allocation %'!$A$1,MATCH(BC$4,'Allocation %'!$A:$A,0)-1,MATCH($D28,'Allocation %'!$5:$5,0)-1)*$F28</f>
        <v>0</v>
      </c>
      <c r="BD28" s="317">
        <f ca="1">OFFSET('Allocation %'!$A$1,MATCH(BD$4,'Allocation %'!$A:$A,0)-1,MATCH($D28,'Allocation %'!$5:$5,0)-1)*$F28</f>
        <v>0</v>
      </c>
      <c r="BE28" s="317">
        <f ca="1">OFFSET('Allocation %'!$A$1,MATCH(BE$4,'Allocation %'!$A:$A,0)-1,MATCH($D28,'Allocation %'!$5:$5,0)-1)*$F28</f>
        <v>0</v>
      </c>
      <c r="BG28" s="76">
        <f t="shared" ca="1" si="3"/>
        <v>24838.208599910729</v>
      </c>
      <c r="BH28" s="349">
        <f t="shared" ca="1" si="4"/>
        <v>0</v>
      </c>
      <c r="BJ28" s="76">
        <f t="shared" ca="1" si="2"/>
        <v>24838.208599910729</v>
      </c>
    </row>
    <row r="29" spans="2:62" x14ac:dyDescent="0.25">
      <c r="B29" s="294" t="s">
        <v>236</v>
      </c>
      <c r="C29" s="131" t="str">
        <f>INDEX(ACTUALS!$E:$E,MATCH($B29,ACTUALS!$A:$A,0))</f>
        <v>CAD</v>
      </c>
      <c r="D29" s="159" t="str">
        <f ca="1">OFFSET(ACTUALS!$O$2,MATCH($B29,ACTUALS!$A:$A,0)-2,MATCH($E$4,ACTUALS!$P$2:$P$2,0))</f>
        <v>Canada Only</v>
      </c>
      <c r="E29" s="303">
        <f ca="1">IF($C29=E$3,SUMIFS(OFFSET(ACTUALS!$A:$A,,MATCH(E$4,ACTUALS!$2:$2,0)-1,,),ACTUALS!$A:$A,$B29)*-1000,F29*'2020 Assumptions'!$B$4)</f>
        <v>72788.209999999992</v>
      </c>
      <c r="F29" s="73">
        <f ca="1">IF($C29=F$3,SUMIFS(OFFSET(ACTUALS!$A:$A,,MATCH(F$4,ACTUALS!$2:$2,0)-1,,),ACTUALS!$A:$A,$B29)*-1000,E29/'2020 Assumptions'!$B$4)</f>
        <v>54149.836333878877</v>
      </c>
      <c r="G29" s="73">
        <f ca="1">IF($C29=G$3,SUMIFS(OFFSET('Non-margin Costs'!$A:$A,,MATCH(G$4,'Non-margin Costs'!$2:$2,0)-1,,),'Non-margin Costs'!$A:$A,$B29)*1000,(SUMIFS(OFFSET('Non-margin Costs'!$A:$A,,MATCH(G$4,'Non-margin Costs'!$2:$2,0)-1,,),'Non-margin Costs'!$A:$A,$B29)*1000)/'2020 Assumptions'!$B$4)</f>
        <v>3450.0892724296991</v>
      </c>
      <c r="I29" s="73">
        <f ca="1">OFFSET('Allocation %'!$A$1,MATCH(I$4,'Allocation %'!$A:$A,0)-1,MATCH($D29,'Allocation %'!$5:$5,0)-1)*$F29</f>
        <v>0</v>
      </c>
      <c r="J29" s="73">
        <f ca="1">OFFSET('Allocation %'!$A$1,MATCH(J$4,'Allocation %'!$A:$A,0)-1,MATCH($D29,'Allocation %'!$5:$5,0)-1)*$F29</f>
        <v>1414.610779218978</v>
      </c>
      <c r="K29" s="73">
        <f ca="1">OFFSET('Allocation %'!$A$1,MATCH(K$4,'Allocation %'!$A:$A,0)-1,MATCH($D29,'Allocation %'!$5:$5,0)-1)*$F29</f>
        <v>386.53802603971218</v>
      </c>
      <c r="L29" s="73">
        <f ca="1">OFFSET('Allocation %'!$A$1,MATCH(L$4,'Allocation %'!$A:$A,0)-1,MATCH($D29,'Allocation %'!$5:$5,0)-1)*$F29</f>
        <v>385.77127108941136</v>
      </c>
      <c r="M29" s="73">
        <f ca="1">OFFSET('Allocation %'!$A$1,MATCH(M$4,'Allocation %'!$A:$A,0)-1,MATCH($D29,'Allocation %'!$5:$5,0)-1)*$F29</f>
        <v>926.75017708705082</v>
      </c>
      <c r="N29" s="73">
        <f ca="1">OFFSET('Allocation %'!$A$1,MATCH(N$4,'Allocation %'!$A:$A,0)-1,MATCH($D29,'Allocation %'!$5:$5,0)-1)*$F29</f>
        <v>631.39462551871986</v>
      </c>
      <c r="O29" s="73">
        <f ca="1">OFFSET('Allocation %'!$A$1,MATCH(O$4,'Allocation %'!$A:$A,0)-1,MATCH($D29,'Allocation %'!$5:$5,0)-1)*$F29</f>
        <v>1809.7301685147825</v>
      </c>
      <c r="P29" s="73">
        <f ca="1">OFFSET('Allocation %'!$A$1,MATCH(P$4,'Allocation %'!$A:$A,0)-1,MATCH($D29,'Allocation %'!$5:$5,0)-1)*$F29</f>
        <v>292.11832370530959</v>
      </c>
      <c r="Q29" s="73">
        <f ca="1">OFFSET('Allocation %'!$A$1,MATCH(Q$4,'Allocation %'!$A:$A,0)-1,MATCH($D29,'Allocation %'!$5:$5,0)-1)*$F29</f>
        <v>636.77891670228757</v>
      </c>
      <c r="R29" s="73">
        <f ca="1">OFFSET('Allocation %'!$A$1,MATCH(R$4,'Allocation %'!$A:$A,0)-1,MATCH($D29,'Allocation %'!$5:$5,0)-1)*$F29</f>
        <v>617.60725304366645</v>
      </c>
      <c r="S29" s="73">
        <f ca="1">OFFSET('Allocation %'!$A$1,MATCH(S$4,'Allocation %'!$A:$A,0)-1,MATCH($D29,'Allocation %'!$5:$5,0)-1)*$F29</f>
        <v>569.95098982063416</v>
      </c>
      <c r="T29" s="73">
        <f ca="1">OFFSET('Allocation %'!$A$1,MATCH(T$4,'Allocation %'!$A:$A,0)-1,MATCH($D29,'Allocation %'!$5:$5,0)-1)*$F29</f>
        <v>2104.9293208637855</v>
      </c>
      <c r="U29" s="73">
        <f ca="1">OFFSET('Allocation %'!$A$1,MATCH(U$4,'Allocation %'!$A:$A,0)-1,MATCH($D29,'Allocation %'!$5:$5,0)-1)*$F29</f>
        <v>1273.31234014393</v>
      </c>
      <c r="V29" s="73">
        <f ca="1">OFFSET('Allocation %'!$A$1,MATCH(V$4,'Allocation %'!$A:$A,0)-1,MATCH($D29,'Allocation %'!$5:$5,0)-1)*$F29</f>
        <v>924.56679484444737</v>
      </c>
      <c r="W29" s="73">
        <f ca="1">OFFSET('Allocation %'!$A$1,MATCH(W$4,'Allocation %'!$A:$A,0)-1,MATCH($D29,'Allocation %'!$5:$5,0)-1)*$F29</f>
        <v>1561.0841681175764</v>
      </c>
      <c r="X29" s="73">
        <f ca="1">OFFSET('Allocation %'!$A$1,MATCH(X$4,'Allocation %'!$A:$A,0)-1,MATCH($D29,'Allocation %'!$5:$5,0)-1)*$F29</f>
        <v>50.48363809179498</v>
      </c>
      <c r="Y29" s="73">
        <f ca="1">OFFSET('Allocation %'!$A$1,MATCH(Y$4,'Allocation %'!$A:$A,0)-1,MATCH($D29,'Allocation %'!$5:$5,0)-1)*$F29</f>
        <v>35.018290055554438</v>
      </c>
      <c r="Z29" s="73">
        <f ca="1">OFFSET('Allocation %'!$A$1,MATCH(Z$4,'Allocation %'!$A:$A,0)-1,MATCH($D29,'Allocation %'!$5:$5,0)-1)*$F29</f>
        <v>98.386436344809042</v>
      </c>
      <c r="AA29" s="73">
        <f ca="1">OFFSET('Allocation %'!$A$1,MATCH(AA$4,'Allocation %'!$A:$A,0)-1,MATCH($D29,'Allocation %'!$5:$5,0)-1)*$F29</f>
        <v>85.059392641026534</v>
      </c>
      <c r="AB29" s="73">
        <f ca="1">OFFSET('Allocation %'!$A$1,MATCH(AB$4,'Allocation %'!$A:$A,0)-1,MATCH($D29,'Allocation %'!$5:$5,0)-1)*$F29</f>
        <v>67.425421856650132</v>
      </c>
      <c r="AC29" s="73">
        <f ca="1">OFFSET('Allocation %'!$A$1,MATCH(AC$4,'Allocation %'!$A:$A,0)-1,MATCH($D29,'Allocation %'!$5:$5,0)-1)*$F29</f>
        <v>101.6614426720017</v>
      </c>
      <c r="AD29" s="73">
        <f ca="1">OFFSET('Allocation %'!$A$1,MATCH(AD$4,'Allocation %'!$A:$A,0)-1,MATCH($D29,'Allocation %'!$5:$5,0)-1)*$F29</f>
        <v>167.68049583938526</v>
      </c>
      <c r="AE29" s="73">
        <f ca="1">OFFSET('Allocation %'!$A$1,MATCH(AE$4,'Allocation %'!$A:$A,0)-1,MATCH($D29,'Allocation %'!$5:$5,0)-1)*$F29</f>
        <v>236.41204072210485</v>
      </c>
      <c r="AF29" s="73">
        <f ca="1">OFFSET('Allocation %'!$A$1,MATCH(AF$4,'Allocation %'!$A:$A,0)-1,MATCH($D29,'Allocation %'!$5:$5,0)-1)*$F29</f>
        <v>1254.9017634887068</v>
      </c>
      <c r="AG29" s="73">
        <f ca="1">OFFSET('Allocation %'!$A$1,MATCH(AG$4,'Allocation %'!$A:$A,0)-1,MATCH($D29,'Allocation %'!$5:$5,0)-1)*$F29</f>
        <v>984.31963760405404</v>
      </c>
      <c r="AH29" s="73">
        <f ca="1">OFFSET('Allocation %'!$A$1,MATCH(AH$4,'Allocation %'!$A:$A,0)-1,MATCH($D29,'Allocation %'!$5:$5,0)-1)*$F29</f>
        <v>13963.367357148109</v>
      </c>
      <c r="AI29" s="73">
        <f ca="1">OFFSET('Allocation %'!$A$1,MATCH(AI$4,'Allocation %'!$A:$A,0)-1,MATCH($D29,'Allocation %'!$5:$5,0)-1)*$F29</f>
        <v>114.38775145072125</v>
      </c>
      <c r="AJ29" s="73">
        <f ca="1">OFFSET('Allocation %'!$A$1,MATCH(AJ$4,'Allocation %'!$A:$A,0)-1,MATCH($D29,'Allocation %'!$5:$5,0)-1)*$F29</f>
        <v>2241.7205101435966</v>
      </c>
      <c r="AK29" s="73">
        <f ca="1">OFFSET('Allocation %'!$A$1,MATCH(AK$4,'Allocation %'!$A:$A,0)-1,MATCH($D29,'Allocation %'!$5:$5,0)-1)*$F29</f>
        <v>1892.7693932500074</v>
      </c>
      <c r="AL29" s="73">
        <f ca="1">OFFSET('Allocation %'!$A$1,MATCH(AL$4,'Allocation %'!$A:$A,0)-1,MATCH($D29,'Allocation %'!$5:$5,0)-1)*$F29</f>
        <v>0</v>
      </c>
      <c r="AM29" s="73">
        <f ca="1">OFFSET('Allocation %'!$A$1,MATCH(AM$4,'Allocation %'!$A:$A,0)-1,MATCH($D29,'Allocation %'!$5:$5,0)-1)*$F29</f>
        <v>238.89870369657569</v>
      </c>
      <c r="AN29" s="73">
        <f ca="1">OFFSET('Allocation %'!$A$1,MATCH(AN$4,'Allocation %'!$A:$A,0)-1,MATCH($D29,'Allocation %'!$5:$5,0)-1)*$F29</f>
        <v>0</v>
      </c>
      <c r="AO29" s="73">
        <f ca="1">OFFSET('Allocation %'!$A$1,MATCH(AO$4,'Allocation %'!$A:$A,0)-1,MATCH($D29,'Allocation %'!$5:$5,0)-1)*$F29</f>
        <v>1867.8177715245606</v>
      </c>
      <c r="AP29" s="73">
        <f ca="1">OFFSET('Allocation %'!$A$1,MATCH(AP$4,'Allocation %'!$A:$A,0)-1,MATCH($D29,'Allocation %'!$5:$5,0)-1)*$F29</f>
        <v>438.71459678731873</v>
      </c>
      <c r="AQ29" s="73">
        <f ca="1">OFFSET('Allocation %'!$A$1,MATCH(AQ$4,'Allocation %'!$A:$A,0)-1,MATCH($D29,'Allocation %'!$5:$5,0)-1)*$F29</f>
        <v>1115.6286319890874</v>
      </c>
      <c r="AR29" s="73">
        <f ca="1">OFFSET('Allocation %'!$A$1,MATCH(AR$4,'Allocation %'!$A:$A,0)-1,MATCH($D29,'Allocation %'!$5:$5,0)-1)*$F29</f>
        <v>40.376566787803014</v>
      </c>
      <c r="AS29" s="73">
        <f ca="1">OFFSET('Allocation %'!$A$1,MATCH(AS$4,'Allocation %'!$A:$A,0)-1,MATCH($D29,'Allocation %'!$5:$5,0)-1)*$F29</f>
        <v>2009.5490065380266</v>
      </c>
      <c r="AT29" s="73">
        <f ca="1">OFFSET('Allocation %'!$A$1,MATCH(AT$4,'Allocation %'!$A:$A,0)-1,MATCH($D29,'Allocation %'!$5:$5,0)-1)*$F29</f>
        <v>1167.8748066157946</v>
      </c>
      <c r="AU29" s="73">
        <f ca="1">OFFSET('Allocation %'!$A$1,MATCH(AU$4,'Allocation %'!$A:$A,0)-1,MATCH($D29,'Allocation %'!$5:$5,0)-1)*$F29</f>
        <v>1499.842038271159</v>
      </c>
      <c r="AV29" s="73">
        <f ca="1">OFFSET('Allocation %'!$A$1,MATCH(AV$4,'Allocation %'!$A:$A,0)-1,MATCH($D29,'Allocation %'!$5:$5,0)-1)*$F29</f>
        <v>2298.7523063195995</v>
      </c>
      <c r="AW29" s="73">
        <f ca="1">OFFSET('Allocation %'!$A$1,MATCH(AW$4,'Allocation %'!$A:$A,0)-1,MATCH($D29,'Allocation %'!$5:$5,0)-1)*$F29</f>
        <v>8462.0991736591022</v>
      </c>
      <c r="AX29" s="73">
        <f ca="1">OFFSET('Allocation %'!$A$1,MATCH(AX$4,'Allocation %'!$A:$A,0)-1,MATCH($D29,'Allocation %'!$5:$5,0)-1)*$F29</f>
        <v>181.54600567104256</v>
      </c>
      <c r="AY29" s="73">
        <f ca="1">OFFSET('Allocation %'!$A$1,MATCH(AY$4,'Allocation %'!$A:$A,0)-1,MATCH($D29,'Allocation %'!$5:$5,0)-1)*$F29</f>
        <v>0</v>
      </c>
      <c r="AZ29" s="317">
        <f ca="1">OFFSET('Allocation %'!$A$1,MATCH(AZ$4,'Allocation %'!$A:$A,0)-1,MATCH($D29,'Allocation %'!$5:$5,0)-1)*$F29</f>
        <v>0</v>
      </c>
      <c r="BA29" s="317">
        <f ca="1">OFFSET('Allocation %'!$A$1,MATCH(BA$4,'Allocation %'!$A:$A,0)-1,MATCH($D29,'Allocation %'!$5:$5,0)-1)*$F29</f>
        <v>0</v>
      </c>
      <c r="BB29" s="317">
        <f ca="1">OFFSET('Allocation %'!$A$1,MATCH(BB$4,'Allocation %'!$A:$A,0)-1,MATCH($D29,'Allocation %'!$5:$5,0)-1)*$F29</f>
        <v>0</v>
      </c>
      <c r="BC29" s="317">
        <f ca="1">OFFSET('Allocation %'!$A$1,MATCH(BC$4,'Allocation %'!$A:$A,0)-1,MATCH($D29,'Allocation %'!$5:$5,0)-1)*$F29</f>
        <v>0</v>
      </c>
      <c r="BD29" s="317">
        <f ca="1">OFFSET('Allocation %'!$A$1,MATCH(BD$4,'Allocation %'!$A:$A,0)-1,MATCH($D29,'Allocation %'!$5:$5,0)-1)*$F29</f>
        <v>0</v>
      </c>
      <c r="BE29" s="317">
        <f ca="1">OFFSET('Allocation %'!$A$1,MATCH(BE$4,'Allocation %'!$A:$A,0)-1,MATCH($D29,'Allocation %'!$5:$5,0)-1)*$F29</f>
        <v>0</v>
      </c>
      <c r="BG29" s="76">
        <f t="shared" ca="1" si="3"/>
        <v>54149.836333878884</v>
      </c>
      <c r="BH29" s="349">
        <f t="shared" ca="1" si="4"/>
        <v>0</v>
      </c>
      <c r="BJ29" s="76">
        <f t="shared" ca="1" si="2"/>
        <v>54149.836333878884</v>
      </c>
    </row>
    <row r="30" spans="2:62" x14ac:dyDescent="0.25">
      <c r="B30" s="305" t="s">
        <v>290</v>
      </c>
      <c r="C30" s="131" t="str">
        <f>INDEX(ACTUALS!$E:$E,MATCH($B30,ACTUALS!$A:$A,0))</f>
        <v>USD</v>
      </c>
      <c r="D30" s="159" t="str">
        <f ca="1">OFFSET(ACTUALS!$O$2,MATCH($B30,ACTUALS!$A:$A,0)-2,MATCH($E$4,ACTUALS!$P$2:$P$2,0))</f>
        <v>CU Only</v>
      </c>
      <c r="E30" s="73">
        <f ca="1">IF($C30=E$3,SUMIFS(OFFSET(ACTUALS!$A:$A,,MATCH(E$4,ACTUALS!$2:$2,0)-1,,),ACTUALS!$A:$A,$B30)*-1000,F30*'2020 Assumptions'!$B$4)</f>
        <v>0</v>
      </c>
      <c r="F30" s="305">
        <f ca="1">IF($C30=F$3,SUMIFS(OFFSET(ACTUALS!$A:$A,,MATCH(F$4,ACTUALS!$2:$2,0)-1,,),ACTUALS!$A:$A,$B30)*-1000,E30/'2020 Assumptions'!$B$4)</f>
        <v>0</v>
      </c>
      <c r="G30" s="73">
        <f ca="1">IF($C30=G$3,SUMIFS(OFFSET('Non-margin Costs'!$A:$A,,MATCH(G$4,'Non-margin Costs'!$2:$2,0)-1,,),'Non-margin Costs'!$A:$A,$B30)*1000,(SUMIFS(OFFSET('Non-margin Costs'!$A:$A,,MATCH(G$4,'Non-margin Costs'!$2:$2,0)-1,,),'Non-margin Costs'!$A:$A,$B30)*1000)/'2020 Assumptions'!$B$4)</f>
        <v>0</v>
      </c>
      <c r="I30" s="73">
        <f ca="1">OFFSET('Allocation %'!$A$1,MATCH(I$4,'Allocation %'!$A:$A,0)-1,MATCH($D30,'Allocation %'!$5:$5,0)-1)*$F30</f>
        <v>0</v>
      </c>
      <c r="J30" s="73">
        <f ca="1">OFFSET('Allocation %'!$A$1,MATCH(J$4,'Allocation %'!$A:$A,0)-1,MATCH($D30,'Allocation %'!$5:$5,0)-1)*$F30</f>
        <v>0</v>
      </c>
      <c r="K30" s="73">
        <f ca="1">OFFSET('Allocation %'!$A$1,MATCH(K$4,'Allocation %'!$A:$A,0)-1,MATCH($D30,'Allocation %'!$5:$5,0)-1)*$F30</f>
        <v>0</v>
      </c>
      <c r="L30" s="73">
        <f ca="1">OFFSET('Allocation %'!$A$1,MATCH(L$4,'Allocation %'!$A:$A,0)-1,MATCH($D30,'Allocation %'!$5:$5,0)-1)*$F30</f>
        <v>0</v>
      </c>
      <c r="M30" s="73">
        <f ca="1">OFFSET('Allocation %'!$A$1,MATCH(M$4,'Allocation %'!$A:$A,0)-1,MATCH($D30,'Allocation %'!$5:$5,0)-1)*$F30</f>
        <v>0</v>
      </c>
      <c r="N30" s="73">
        <f ca="1">OFFSET('Allocation %'!$A$1,MATCH(N$4,'Allocation %'!$A:$A,0)-1,MATCH($D30,'Allocation %'!$5:$5,0)-1)*$F30</f>
        <v>0</v>
      </c>
      <c r="O30" s="73">
        <f ca="1">OFFSET('Allocation %'!$A$1,MATCH(O$4,'Allocation %'!$A:$A,0)-1,MATCH($D30,'Allocation %'!$5:$5,0)-1)*$F30</f>
        <v>0</v>
      </c>
      <c r="P30" s="73">
        <f ca="1">OFFSET('Allocation %'!$A$1,MATCH(P$4,'Allocation %'!$A:$A,0)-1,MATCH($D30,'Allocation %'!$5:$5,0)-1)*$F30</f>
        <v>0</v>
      </c>
      <c r="Q30" s="73">
        <f ca="1">OFFSET('Allocation %'!$A$1,MATCH(Q$4,'Allocation %'!$A:$A,0)-1,MATCH($D30,'Allocation %'!$5:$5,0)-1)*$F30</f>
        <v>0</v>
      </c>
      <c r="R30" s="73">
        <f ca="1">OFFSET('Allocation %'!$A$1,MATCH(R$4,'Allocation %'!$A:$A,0)-1,MATCH($D30,'Allocation %'!$5:$5,0)-1)*$F30</f>
        <v>0</v>
      </c>
      <c r="S30" s="73">
        <f ca="1">OFFSET('Allocation %'!$A$1,MATCH(S$4,'Allocation %'!$A:$A,0)-1,MATCH($D30,'Allocation %'!$5:$5,0)-1)*$F30</f>
        <v>0</v>
      </c>
      <c r="T30" s="73">
        <f ca="1">OFFSET('Allocation %'!$A$1,MATCH(T$4,'Allocation %'!$A:$A,0)-1,MATCH($D30,'Allocation %'!$5:$5,0)-1)*$F30</f>
        <v>0</v>
      </c>
      <c r="U30" s="73">
        <f ca="1">OFFSET('Allocation %'!$A$1,MATCH(U$4,'Allocation %'!$A:$A,0)-1,MATCH($D30,'Allocation %'!$5:$5,0)-1)*$F30</f>
        <v>0</v>
      </c>
      <c r="V30" s="73">
        <f ca="1">OFFSET('Allocation %'!$A$1,MATCH(V$4,'Allocation %'!$A:$A,0)-1,MATCH($D30,'Allocation %'!$5:$5,0)-1)*$F30</f>
        <v>0</v>
      </c>
      <c r="W30" s="73">
        <f ca="1">OFFSET('Allocation %'!$A$1,MATCH(W$4,'Allocation %'!$A:$A,0)-1,MATCH($D30,'Allocation %'!$5:$5,0)-1)*$F30</f>
        <v>0</v>
      </c>
      <c r="X30" s="73">
        <f ca="1">OFFSET('Allocation %'!$A$1,MATCH(X$4,'Allocation %'!$A:$A,0)-1,MATCH($D30,'Allocation %'!$5:$5,0)-1)*$F30</f>
        <v>0</v>
      </c>
      <c r="Y30" s="73">
        <f ca="1">OFFSET('Allocation %'!$A$1,MATCH(Y$4,'Allocation %'!$A:$A,0)-1,MATCH($D30,'Allocation %'!$5:$5,0)-1)*$F30</f>
        <v>0</v>
      </c>
      <c r="Z30" s="73">
        <f ca="1">OFFSET('Allocation %'!$A$1,MATCH(Z$4,'Allocation %'!$A:$A,0)-1,MATCH($D30,'Allocation %'!$5:$5,0)-1)*$F30</f>
        <v>0</v>
      </c>
      <c r="AA30" s="73">
        <f ca="1">OFFSET('Allocation %'!$A$1,MATCH(AA$4,'Allocation %'!$A:$A,0)-1,MATCH($D30,'Allocation %'!$5:$5,0)-1)*$F30</f>
        <v>0</v>
      </c>
      <c r="AB30" s="73">
        <f ca="1">OFFSET('Allocation %'!$A$1,MATCH(AB$4,'Allocation %'!$A:$A,0)-1,MATCH($D30,'Allocation %'!$5:$5,0)-1)*$F30</f>
        <v>0</v>
      </c>
      <c r="AC30" s="73">
        <f ca="1">OFFSET('Allocation %'!$A$1,MATCH(AC$4,'Allocation %'!$A:$A,0)-1,MATCH($D30,'Allocation %'!$5:$5,0)-1)*$F30</f>
        <v>0</v>
      </c>
      <c r="AD30" s="73">
        <f ca="1">OFFSET('Allocation %'!$A$1,MATCH(AD$4,'Allocation %'!$A:$A,0)-1,MATCH($D30,'Allocation %'!$5:$5,0)-1)*$F30</f>
        <v>0</v>
      </c>
      <c r="AE30" s="73">
        <f ca="1">OFFSET('Allocation %'!$A$1,MATCH(AE$4,'Allocation %'!$A:$A,0)-1,MATCH($D30,'Allocation %'!$5:$5,0)-1)*$F30</f>
        <v>0</v>
      </c>
      <c r="AF30" s="73">
        <f ca="1">OFFSET('Allocation %'!$A$1,MATCH(AF$4,'Allocation %'!$A:$A,0)-1,MATCH($D30,'Allocation %'!$5:$5,0)-1)*$F30</f>
        <v>0</v>
      </c>
      <c r="AG30" s="73">
        <f ca="1">OFFSET('Allocation %'!$A$1,MATCH(AG$4,'Allocation %'!$A:$A,0)-1,MATCH($D30,'Allocation %'!$5:$5,0)-1)*$F30</f>
        <v>0</v>
      </c>
      <c r="AH30" s="73">
        <f ca="1">OFFSET('Allocation %'!$A$1,MATCH(AH$4,'Allocation %'!$A:$A,0)-1,MATCH($D30,'Allocation %'!$5:$5,0)-1)*$F30</f>
        <v>0</v>
      </c>
      <c r="AI30" s="73">
        <f ca="1">OFFSET('Allocation %'!$A$1,MATCH(AI$4,'Allocation %'!$A:$A,0)-1,MATCH($D30,'Allocation %'!$5:$5,0)-1)*$F30</f>
        <v>0</v>
      </c>
      <c r="AJ30" s="73">
        <f ca="1">OFFSET('Allocation %'!$A$1,MATCH(AJ$4,'Allocation %'!$A:$A,0)-1,MATCH($D30,'Allocation %'!$5:$5,0)-1)*$F30</f>
        <v>0</v>
      </c>
      <c r="AK30" s="73">
        <f ca="1">OFFSET('Allocation %'!$A$1,MATCH(AK$4,'Allocation %'!$A:$A,0)-1,MATCH($D30,'Allocation %'!$5:$5,0)-1)*$F30</f>
        <v>0</v>
      </c>
      <c r="AL30" s="73">
        <f ca="1">OFFSET('Allocation %'!$A$1,MATCH(AL$4,'Allocation %'!$A:$A,0)-1,MATCH($D30,'Allocation %'!$5:$5,0)-1)*$F30</f>
        <v>0</v>
      </c>
      <c r="AM30" s="73">
        <f ca="1">OFFSET('Allocation %'!$A$1,MATCH(AM$4,'Allocation %'!$A:$A,0)-1,MATCH($D30,'Allocation %'!$5:$5,0)-1)*$F30</f>
        <v>0</v>
      </c>
      <c r="AN30" s="73">
        <f ca="1">OFFSET('Allocation %'!$A$1,MATCH(AN$4,'Allocation %'!$A:$A,0)-1,MATCH($D30,'Allocation %'!$5:$5,0)-1)*$F30</f>
        <v>0</v>
      </c>
      <c r="AO30" s="73">
        <f ca="1">OFFSET('Allocation %'!$A$1,MATCH(AO$4,'Allocation %'!$A:$A,0)-1,MATCH($D30,'Allocation %'!$5:$5,0)-1)*$F30</f>
        <v>0</v>
      </c>
      <c r="AP30" s="73">
        <f ca="1">OFFSET('Allocation %'!$A$1,MATCH(AP$4,'Allocation %'!$A:$A,0)-1,MATCH($D30,'Allocation %'!$5:$5,0)-1)*$F30</f>
        <v>0</v>
      </c>
      <c r="AQ30" s="73">
        <f ca="1">OFFSET('Allocation %'!$A$1,MATCH(AQ$4,'Allocation %'!$A:$A,0)-1,MATCH($D30,'Allocation %'!$5:$5,0)-1)*$F30</f>
        <v>0</v>
      </c>
      <c r="AR30" s="73">
        <f ca="1">OFFSET('Allocation %'!$A$1,MATCH(AR$4,'Allocation %'!$A:$A,0)-1,MATCH($D30,'Allocation %'!$5:$5,0)-1)*$F30</f>
        <v>0</v>
      </c>
      <c r="AS30" s="73">
        <f ca="1">OFFSET('Allocation %'!$A$1,MATCH(AS$4,'Allocation %'!$A:$A,0)-1,MATCH($D30,'Allocation %'!$5:$5,0)-1)*$F30</f>
        <v>0</v>
      </c>
      <c r="AT30" s="73">
        <f ca="1">OFFSET('Allocation %'!$A$1,MATCH(AT$4,'Allocation %'!$A:$A,0)-1,MATCH($D30,'Allocation %'!$5:$5,0)-1)*$F30</f>
        <v>0</v>
      </c>
      <c r="AU30" s="73">
        <f ca="1">OFFSET('Allocation %'!$A$1,MATCH(AU$4,'Allocation %'!$A:$A,0)-1,MATCH($D30,'Allocation %'!$5:$5,0)-1)*$F30</f>
        <v>0</v>
      </c>
      <c r="AV30" s="73">
        <f ca="1">OFFSET('Allocation %'!$A$1,MATCH(AV$4,'Allocation %'!$A:$A,0)-1,MATCH($D30,'Allocation %'!$5:$5,0)-1)*$F30</f>
        <v>0</v>
      </c>
      <c r="AW30" s="73">
        <f ca="1">OFFSET('Allocation %'!$A$1,MATCH(AW$4,'Allocation %'!$A:$A,0)-1,MATCH($D30,'Allocation %'!$5:$5,0)-1)*$F30</f>
        <v>0</v>
      </c>
      <c r="AX30" s="73">
        <f ca="1">OFFSET('Allocation %'!$A$1,MATCH(AX$4,'Allocation %'!$A:$A,0)-1,MATCH($D30,'Allocation %'!$5:$5,0)-1)*$F30</f>
        <v>0</v>
      </c>
      <c r="AY30" s="73">
        <f ca="1">OFFSET('Allocation %'!$A$1,MATCH(AY$4,'Allocation %'!$A:$A,0)-1,MATCH($D30,'Allocation %'!$5:$5,0)-1)*$F30</f>
        <v>0</v>
      </c>
      <c r="AZ30" s="73">
        <f ca="1">OFFSET('Allocation %'!$A$1,MATCH(AZ$4,'Allocation %'!$A:$A,0)-1,MATCH($D30,'Allocation %'!$5:$5,0)-1)*$F30</f>
        <v>0</v>
      </c>
      <c r="BA30" s="73">
        <f ca="1">OFFSET('Allocation %'!$A$1,MATCH(BA$4,'Allocation %'!$A:$A,0)-1,MATCH($D30,'Allocation %'!$5:$5,0)-1)*$F30</f>
        <v>0</v>
      </c>
      <c r="BB30" s="73">
        <f ca="1">OFFSET('Allocation %'!$A$1,MATCH(BB$4,'Allocation %'!$A:$A,0)-1,MATCH($D30,'Allocation %'!$5:$5,0)-1)*$F30</f>
        <v>0</v>
      </c>
      <c r="BC30" s="73">
        <f ca="1">OFFSET('Allocation %'!$A$1,MATCH(BC$4,'Allocation %'!$A:$A,0)-1,MATCH($D30,'Allocation %'!$5:$5,0)-1)*$F30</f>
        <v>0</v>
      </c>
      <c r="BD30" s="73">
        <f ca="1">OFFSET('Allocation %'!$A$1,MATCH(BD$4,'Allocation %'!$A:$A,0)-1,MATCH($D30,'Allocation %'!$5:$5,0)-1)*$F30</f>
        <v>0</v>
      </c>
      <c r="BE30" s="73">
        <f ca="1">OFFSET('Allocation %'!$A$1,MATCH(BE$4,'Allocation %'!$A:$A,0)-1,MATCH($D30,'Allocation %'!$5:$5,0)-1)*$F30</f>
        <v>0</v>
      </c>
      <c r="BG30" s="76">
        <f t="shared" ca="1" si="3"/>
        <v>0</v>
      </c>
      <c r="BH30" s="349">
        <f t="shared" ca="1" si="4"/>
        <v>0</v>
      </c>
      <c r="BJ30" s="76">
        <f t="shared" ca="1" si="2"/>
        <v>0</v>
      </c>
    </row>
    <row r="31" spans="2:62" x14ac:dyDescent="0.25">
      <c r="B31" s="305" t="s">
        <v>237</v>
      </c>
      <c r="C31" s="131" t="str">
        <f>INDEX(ACTUALS!$E:$E,MATCH($B31,ACTUALS!$A:$A,0))</f>
        <v>USD</v>
      </c>
      <c r="D31" s="159" t="str">
        <f ca="1">OFFSET(ACTUALS!$O$2,MATCH($B31,ACTUALS!$A:$A,0)-2,MATCH($E$4,ACTUALS!$P$2:$P$2,0))</f>
        <v>ALL</v>
      </c>
      <c r="E31" s="73">
        <f ca="1">IF($C31=E$3,SUMIFS(OFFSET(ACTUALS!$A:$A,,MATCH(E$4,ACTUALS!$2:$2,0)-1,,),ACTUALS!$A:$A,$B31)*-1000,F31*'2020 Assumptions'!$B$4)</f>
        <v>95377.065784000006</v>
      </c>
      <c r="F31" s="305">
        <f ca="1">IF($C31=F$3,SUMIFS(OFFSET(ACTUALS!$A:$A,,MATCH(F$4,ACTUALS!$2:$2,0)-1,,),ACTUALS!$A:$A,$B31)*-1000,E31/'2020 Assumptions'!$B$4)</f>
        <v>70954.52</v>
      </c>
      <c r="G31" s="73">
        <f ca="1">IF($C31=G$3,SUMIFS(OFFSET('Non-margin Costs'!$A:$A,,MATCH(G$4,'Non-margin Costs'!$2:$2,0)-1,,),'Non-margin Costs'!$A:$A,$B31)*1000,(SUMIFS(OFFSET('Non-margin Costs'!$A:$A,,MATCH(G$4,'Non-margin Costs'!$2:$2,0)-1,,),'Non-margin Costs'!$A:$A,$B31)*1000)/'2020 Assumptions'!$B$4)</f>
        <v>-28000.3</v>
      </c>
      <c r="I31" s="73">
        <f ca="1">OFFSET('Allocation %'!$A$1,MATCH(I$4,'Allocation %'!$A:$A,0)-1,MATCH($D31,'Allocation %'!$5:$5,0)-1)*$F31</f>
        <v>0</v>
      </c>
      <c r="J31" s="73">
        <f ca="1">OFFSET('Allocation %'!$A$1,MATCH(J$4,'Allocation %'!$A:$A,0)-1,MATCH($D31,'Allocation %'!$5:$5,0)-1)*$F31</f>
        <v>171.78928555545491</v>
      </c>
      <c r="K31" s="73">
        <f ca="1">OFFSET('Allocation %'!$A$1,MATCH(K$4,'Allocation %'!$A:$A,0)-1,MATCH($D31,'Allocation %'!$5:$5,0)-1)*$F31</f>
        <v>54.082824300179212</v>
      </c>
      <c r="L31" s="73">
        <f ca="1">OFFSET('Allocation %'!$A$1,MATCH(L$4,'Allocation %'!$A:$A,0)-1,MATCH($D31,'Allocation %'!$5:$5,0)-1)*$F31</f>
        <v>58.457569972460078</v>
      </c>
      <c r="M31" s="73">
        <f ca="1">OFFSET('Allocation %'!$A$1,MATCH(M$4,'Allocation %'!$A:$A,0)-1,MATCH($D31,'Allocation %'!$5:$5,0)-1)*$F31</f>
        <v>95.166193361962726</v>
      </c>
      <c r="N31" s="73">
        <f ca="1">OFFSET('Allocation %'!$A$1,MATCH(N$4,'Allocation %'!$A:$A,0)-1,MATCH($D31,'Allocation %'!$5:$5,0)-1)*$F31</f>
        <v>83.277961979000793</v>
      </c>
      <c r="O31" s="73">
        <f ca="1">OFFSET('Allocation %'!$A$1,MATCH(O$4,'Allocation %'!$A:$A,0)-1,MATCH($D31,'Allocation %'!$5:$5,0)-1)*$F31</f>
        <v>194.70542875756038</v>
      </c>
      <c r="P31" s="73">
        <f ca="1">OFFSET('Allocation %'!$A$1,MATCH(P$4,'Allocation %'!$A:$A,0)-1,MATCH($D31,'Allocation %'!$5:$5,0)-1)*$F31</f>
        <v>28.271875025712188</v>
      </c>
      <c r="Q31" s="73">
        <f ca="1">OFFSET('Allocation %'!$A$1,MATCH(Q$4,'Allocation %'!$A:$A,0)-1,MATCH($D31,'Allocation %'!$5:$5,0)-1)*$F31</f>
        <v>61.696910285281582</v>
      </c>
      <c r="R31" s="73">
        <f ca="1">OFFSET('Allocation %'!$A$1,MATCH(R$4,'Allocation %'!$A:$A,0)-1,MATCH($D31,'Allocation %'!$5:$5,0)-1)*$F31</f>
        <v>56.940616807011956</v>
      </c>
      <c r="S31" s="73">
        <f ca="1">OFFSET('Allocation %'!$A$1,MATCH(S$4,'Allocation %'!$A:$A,0)-1,MATCH($D31,'Allocation %'!$5:$5,0)-1)*$F31</f>
        <v>54.767214448462546</v>
      </c>
      <c r="T31" s="73">
        <f ca="1">OFFSET('Allocation %'!$A$1,MATCH(T$4,'Allocation %'!$A:$A,0)-1,MATCH($D31,'Allocation %'!$5:$5,0)-1)*$F31</f>
        <v>196.56486607127061</v>
      </c>
      <c r="U31" s="73">
        <f ca="1">OFFSET('Allocation %'!$A$1,MATCH(U$4,'Allocation %'!$A:$A,0)-1,MATCH($D31,'Allocation %'!$5:$5,0)-1)*$F31</f>
        <v>125.73290650445222</v>
      </c>
      <c r="V31" s="73">
        <f ca="1">OFFSET('Allocation %'!$A$1,MATCH(V$4,'Allocation %'!$A:$A,0)-1,MATCH($D31,'Allocation %'!$5:$5,0)-1)*$F31</f>
        <v>133.43751093021868</v>
      </c>
      <c r="W31" s="73">
        <f ca="1">OFFSET('Allocation %'!$A$1,MATCH(W$4,'Allocation %'!$A:$A,0)-1,MATCH($D31,'Allocation %'!$5:$5,0)-1)*$F31</f>
        <v>216.09437122593044</v>
      </c>
      <c r="X31" s="73">
        <f ca="1">OFFSET('Allocation %'!$A$1,MATCH(X$4,'Allocation %'!$A:$A,0)-1,MATCH($D31,'Allocation %'!$5:$5,0)-1)*$F31</f>
        <v>5.0048984499801605</v>
      </c>
      <c r="Y31" s="73">
        <f ca="1">OFFSET('Allocation %'!$A$1,MATCH(Y$4,'Allocation %'!$A:$A,0)-1,MATCH($D31,'Allocation %'!$5:$5,0)-1)*$F31</f>
        <v>3.9491679153154471</v>
      </c>
      <c r="Z31" s="73">
        <f ca="1">OFFSET('Allocation %'!$A$1,MATCH(Z$4,'Allocation %'!$A:$A,0)-1,MATCH($D31,'Allocation %'!$5:$5,0)-1)*$F31</f>
        <v>11.516409094208644</v>
      </c>
      <c r="AA31" s="73">
        <f ca="1">OFFSET('Allocation %'!$A$1,MATCH(AA$4,'Allocation %'!$A:$A,0)-1,MATCH($D31,'Allocation %'!$5:$5,0)-1)*$F31</f>
        <v>10.507826641507702</v>
      </c>
      <c r="AB31" s="73">
        <f ca="1">OFFSET('Allocation %'!$A$1,MATCH(AB$4,'Allocation %'!$A:$A,0)-1,MATCH($D31,'Allocation %'!$5:$5,0)-1)*$F31</f>
        <v>10.167673253978959</v>
      </c>
      <c r="AC31" s="73">
        <f ca="1">OFFSET('Allocation %'!$A$1,MATCH(AC$4,'Allocation %'!$A:$A,0)-1,MATCH($D31,'Allocation %'!$5:$5,0)-1)*$F31</f>
        <v>11.50255012491891</v>
      </c>
      <c r="AD31" s="73">
        <f ca="1">OFFSET('Allocation %'!$A$1,MATCH(AD$4,'Allocation %'!$A:$A,0)-1,MATCH($D31,'Allocation %'!$5:$5,0)-1)*$F31</f>
        <v>25.418731795410611</v>
      </c>
      <c r="AE31" s="73">
        <f ca="1">OFFSET('Allocation %'!$A$1,MATCH(AE$4,'Allocation %'!$A:$A,0)-1,MATCH($D31,'Allocation %'!$5:$5,0)-1)*$F31</f>
        <v>24.332362290762926</v>
      </c>
      <c r="AF31" s="73">
        <f ca="1">OFFSET('Allocation %'!$A$1,MATCH(AF$4,'Allocation %'!$A:$A,0)-1,MATCH($D31,'Allocation %'!$5:$5,0)-1)*$F31</f>
        <v>119.9586631557531</v>
      </c>
      <c r="AG31" s="73">
        <f ca="1">OFFSET('Allocation %'!$A$1,MATCH(AG$4,'Allocation %'!$A:$A,0)-1,MATCH($D31,'Allocation %'!$5:$5,0)-1)*$F31</f>
        <v>188.78897096124143</v>
      </c>
      <c r="AH31" s="73">
        <f ca="1">OFFSET('Allocation %'!$A$1,MATCH(AH$4,'Allocation %'!$A:$A,0)-1,MATCH($D31,'Allocation %'!$5:$5,0)-1)*$F31</f>
        <v>1669.8860659482048</v>
      </c>
      <c r="AI31" s="73">
        <f ca="1">OFFSET('Allocation %'!$A$1,MATCH(AI$4,'Allocation %'!$A:$A,0)-1,MATCH($D31,'Allocation %'!$5:$5,0)-1)*$F31</f>
        <v>9.9179430147370908</v>
      </c>
      <c r="AJ31" s="73">
        <f ca="1">OFFSET('Allocation %'!$A$1,MATCH(AJ$4,'Allocation %'!$A:$A,0)-1,MATCH($D31,'Allocation %'!$5:$5,0)-1)*$F31</f>
        <v>232.28095296929405</v>
      </c>
      <c r="AK31" s="73">
        <f ca="1">OFFSET('Allocation %'!$A$1,MATCH(AK$4,'Allocation %'!$A:$A,0)-1,MATCH($D31,'Allocation %'!$5:$5,0)-1)*$F31</f>
        <v>209.04652625224045</v>
      </c>
      <c r="AL31" s="73">
        <f ca="1">OFFSET('Allocation %'!$A$1,MATCH(AL$4,'Allocation %'!$A:$A,0)-1,MATCH($D31,'Allocation %'!$5:$5,0)-1)*$F31</f>
        <v>0</v>
      </c>
      <c r="AM31" s="73">
        <f ca="1">OFFSET('Allocation %'!$A$1,MATCH(AM$4,'Allocation %'!$A:$A,0)-1,MATCH($D31,'Allocation %'!$5:$5,0)-1)*$F31</f>
        <v>27.407879058311199</v>
      </c>
      <c r="AN31" s="73">
        <f ca="1">OFFSET('Allocation %'!$A$1,MATCH(AN$4,'Allocation %'!$A:$A,0)-1,MATCH($D31,'Allocation %'!$5:$5,0)-1)*$F31</f>
        <v>0</v>
      </c>
      <c r="AO31" s="73">
        <f ca="1">OFFSET('Allocation %'!$A$1,MATCH(AO$4,'Allocation %'!$A:$A,0)-1,MATCH($D31,'Allocation %'!$5:$5,0)-1)*$F31</f>
        <v>225.37396348394566</v>
      </c>
      <c r="AP31" s="73">
        <f ca="1">OFFSET('Allocation %'!$A$1,MATCH(AP$4,'Allocation %'!$A:$A,0)-1,MATCH($D31,'Allocation %'!$5:$5,0)-1)*$F31</f>
        <v>46.834932057826684</v>
      </c>
      <c r="AQ31" s="73">
        <f ca="1">OFFSET('Allocation %'!$A$1,MATCH(AQ$4,'Allocation %'!$A:$A,0)-1,MATCH($D31,'Allocation %'!$5:$5,0)-1)*$F31</f>
        <v>207.1226644115346</v>
      </c>
      <c r="AR31" s="73">
        <f ca="1">OFFSET('Allocation %'!$A$1,MATCH(AR$4,'Allocation %'!$A:$A,0)-1,MATCH($D31,'Allocation %'!$5:$5,0)-1)*$F31</f>
        <v>5.197399029698448</v>
      </c>
      <c r="AS31" s="73">
        <f ca="1">OFFSET('Allocation %'!$A$1,MATCH(AS$4,'Allocation %'!$A:$A,0)-1,MATCH($D31,'Allocation %'!$5:$5,0)-1)*$F31</f>
        <v>380.70423610456726</v>
      </c>
      <c r="AT31" s="73">
        <f ca="1">OFFSET('Allocation %'!$A$1,MATCH(AT$4,'Allocation %'!$A:$A,0)-1,MATCH($D31,'Allocation %'!$5:$5,0)-1)*$F31</f>
        <v>224.16010241814294</v>
      </c>
      <c r="AU31" s="73">
        <f ca="1">OFFSET('Allocation %'!$A$1,MATCH(AU$4,'Allocation %'!$A:$A,0)-1,MATCH($D31,'Allocation %'!$5:$5,0)-1)*$F31</f>
        <v>267.94124207875262</v>
      </c>
      <c r="AV31" s="73">
        <f ca="1">OFFSET('Allocation %'!$A$1,MATCH(AV$4,'Allocation %'!$A:$A,0)-1,MATCH($D31,'Allocation %'!$5:$5,0)-1)*$F31</f>
        <v>412.78029576373643</v>
      </c>
      <c r="AW31" s="73">
        <f ca="1">OFFSET('Allocation %'!$A$1,MATCH(AW$4,'Allocation %'!$A:$A,0)-1,MATCH($D31,'Allocation %'!$5:$5,0)-1)*$F31</f>
        <v>1577.6577026322245</v>
      </c>
      <c r="AX31" s="73">
        <f ca="1">OFFSET('Allocation %'!$A$1,MATCH(AX$4,'Allocation %'!$A:$A,0)-1,MATCH($D31,'Allocation %'!$5:$5,0)-1)*$F31</f>
        <v>27.52060818749332</v>
      </c>
      <c r="AY31" s="73">
        <f ca="1">OFFSET('Allocation %'!$A$1,MATCH(AY$4,'Allocation %'!$A:$A,0)-1,MATCH($D31,'Allocation %'!$5:$5,0)-1)*$F31</f>
        <v>0</v>
      </c>
      <c r="AZ31" s="73">
        <f ca="1">OFFSET('Allocation %'!$A$1,MATCH(AZ$4,'Allocation %'!$A:$A,0)-1,MATCH($D31,'Allocation %'!$5:$5,0)-1)*$F31</f>
        <v>37556.04949056232</v>
      </c>
      <c r="BA31" s="73">
        <f ca="1">OFFSET('Allocation %'!$A$1,MATCH(BA$4,'Allocation %'!$A:$A,0)-1,MATCH($D31,'Allocation %'!$5:$5,0)-1)*$F31</f>
        <v>7433.9125001907787</v>
      </c>
      <c r="BB31" s="73">
        <f ca="1">OFFSET('Allocation %'!$A$1,MATCH(BB$4,'Allocation %'!$A:$A,0)-1,MATCH($D31,'Allocation %'!$5:$5,0)-1)*$F31</f>
        <v>4846.4211552355982</v>
      </c>
      <c r="BC31" s="73">
        <f ca="1">OFFSET('Allocation %'!$A$1,MATCH(BC$4,'Allocation %'!$A:$A,0)-1,MATCH($D31,'Allocation %'!$5:$5,0)-1)*$F31</f>
        <v>150.27718382791451</v>
      </c>
      <c r="BD31" s="73">
        <f ca="1">OFFSET('Allocation %'!$A$1,MATCH(BD$4,'Allocation %'!$A:$A,0)-1,MATCH($D31,'Allocation %'!$5:$5,0)-1)*$F31</f>
        <v>2892.270191023898</v>
      </c>
      <c r="BE31" s="73">
        <f ca="1">OFFSET('Allocation %'!$A$1,MATCH(BE$4,'Allocation %'!$A:$A,0)-1,MATCH($D31,'Allocation %'!$5:$5,0)-1)*$F31</f>
        <v>10609.624176840744</v>
      </c>
      <c r="BG31" s="76">
        <f t="shared" ca="1" si="3"/>
        <v>70954.52</v>
      </c>
      <c r="BH31" s="349">
        <f t="shared" ca="1" si="4"/>
        <v>0</v>
      </c>
      <c r="BJ31" s="76">
        <f t="shared" ca="1" si="2"/>
        <v>25964.558009246903</v>
      </c>
    </row>
    <row r="32" spans="2:62" x14ac:dyDescent="0.25">
      <c r="B32" s="305" t="s">
        <v>238</v>
      </c>
      <c r="C32" s="131" t="str">
        <f>INDEX(ACTUALS!$E:$E,MATCH($B32,ACTUALS!$A:$A,0))</f>
        <v>USD</v>
      </c>
      <c r="D32" s="159" t="str">
        <f ca="1">OFFSET(ACTUALS!$O$2,MATCH($B32,ACTUALS!$A:$A,0)-2,MATCH($E$4,ACTUALS!$P$2:$P$2,0))</f>
        <v>CU USD Headcount</v>
      </c>
      <c r="E32" s="73">
        <f ca="1">IF($C32=E$3,SUMIFS(OFFSET(ACTUALS!$A:$A,,MATCH(E$4,ACTUALS!$2:$2,0)-1,,),ACTUALS!$A:$A,$B32)*-1000,F32*'2020 Assumptions'!$B$4)</f>
        <v>35704.936124</v>
      </c>
      <c r="F32" s="305">
        <f ca="1">IF($C32=F$3,SUMIFS(OFFSET(ACTUALS!$A:$A,,MATCH(F$4,ACTUALS!$2:$2,0)-1,,),ACTUALS!$A:$A,$B32)*-1000,E32/'2020 Assumptions'!$B$4)</f>
        <v>26562.22</v>
      </c>
      <c r="G32" s="73">
        <f ca="1">IF($C32=G$3,SUMIFS(OFFSET('Non-margin Costs'!$A:$A,,MATCH(G$4,'Non-margin Costs'!$2:$2,0)-1,,),'Non-margin Costs'!$A:$A,$B32)*1000,(SUMIFS(OFFSET('Non-margin Costs'!$A:$A,,MATCH(G$4,'Non-margin Costs'!$2:$2,0)-1,,),'Non-margin Costs'!$A:$A,$B32)*1000)/'2020 Assumptions'!$B$4)</f>
        <v>7451.98</v>
      </c>
      <c r="I32" s="73">
        <f ca="1">OFFSET('Allocation %'!$A$1,MATCH(I$4,'Allocation %'!$A:$A,0)-1,MATCH($D32,'Allocation %'!$5:$5,0)-1)*$F32</f>
        <v>0</v>
      </c>
      <c r="J32" s="73">
        <f ca="1">OFFSET('Allocation %'!$A$1,MATCH(J$4,'Allocation %'!$A:$A,0)-1,MATCH($D32,'Allocation %'!$5:$5,0)-1)*$F32</f>
        <v>0</v>
      </c>
      <c r="K32" s="73">
        <f ca="1">OFFSET('Allocation %'!$A$1,MATCH(K$4,'Allocation %'!$A:$A,0)-1,MATCH($D32,'Allocation %'!$5:$5,0)-1)*$F32</f>
        <v>0</v>
      </c>
      <c r="L32" s="73">
        <f ca="1">OFFSET('Allocation %'!$A$1,MATCH(L$4,'Allocation %'!$A:$A,0)-1,MATCH($D32,'Allocation %'!$5:$5,0)-1)*$F32</f>
        <v>0</v>
      </c>
      <c r="M32" s="73">
        <f ca="1">OFFSET('Allocation %'!$A$1,MATCH(M$4,'Allocation %'!$A:$A,0)-1,MATCH($D32,'Allocation %'!$5:$5,0)-1)*$F32</f>
        <v>0</v>
      </c>
      <c r="N32" s="73">
        <f ca="1">OFFSET('Allocation %'!$A$1,MATCH(N$4,'Allocation %'!$A:$A,0)-1,MATCH($D32,'Allocation %'!$5:$5,0)-1)*$F32</f>
        <v>0</v>
      </c>
      <c r="O32" s="73">
        <f ca="1">OFFSET('Allocation %'!$A$1,MATCH(O$4,'Allocation %'!$A:$A,0)-1,MATCH($D32,'Allocation %'!$5:$5,0)-1)*$F32</f>
        <v>0</v>
      </c>
      <c r="P32" s="73">
        <f ca="1">OFFSET('Allocation %'!$A$1,MATCH(P$4,'Allocation %'!$A:$A,0)-1,MATCH($D32,'Allocation %'!$5:$5,0)-1)*$F32</f>
        <v>0</v>
      </c>
      <c r="Q32" s="73">
        <f ca="1">OFFSET('Allocation %'!$A$1,MATCH(Q$4,'Allocation %'!$A:$A,0)-1,MATCH($D32,'Allocation %'!$5:$5,0)-1)*$F32</f>
        <v>0</v>
      </c>
      <c r="R32" s="73">
        <f ca="1">OFFSET('Allocation %'!$A$1,MATCH(R$4,'Allocation %'!$A:$A,0)-1,MATCH($D32,'Allocation %'!$5:$5,0)-1)*$F32</f>
        <v>0</v>
      </c>
      <c r="S32" s="73">
        <f ca="1">OFFSET('Allocation %'!$A$1,MATCH(S$4,'Allocation %'!$A:$A,0)-1,MATCH($D32,'Allocation %'!$5:$5,0)-1)*$F32</f>
        <v>0</v>
      </c>
      <c r="T32" s="73">
        <f ca="1">OFFSET('Allocation %'!$A$1,MATCH(T$4,'Allocation %'!$A:$A,0)-1,MATCH($D32,'Allocation %'!$5:$5,0)-1)*$F32</f>
        <v>0</v>
      </c>
      <c r="U32" s="73">
        <f ca="1">OFFSET('Allocation %'!$A$1,MATCH(U$4,'Allocation %'!$A:$A,0)-1,MATCH($D32,'Allocation %'!$5:$5,0)-1)*$F32</f>
        <v>0</v>
      </c>
      <c r="V32" s="73">
        <f ca="1">OFFSET('Allocation %'!$A$1,MATCH(V$4,'Allocation %'!$A:$A,0)-1,MATCH($D32,'Allocation %'!$5:$5,0)-1)*$F32</f>
        <v>0</v>
      </c>
      <c r="W32" s="73">
        <f ca="1">OFFSET('Allocation %'!$A$1,MATCH(W$4,'Allocation %'!$A:$A,0)-1,MATCH($D32,'Allocation %'!$5:$5,0)-1)*$F32</f>
        <v>0</v>
      </c>
      <c r="X32" s="73">
        <f ca="1">OFFSET('Allocation %'!$A$1,MATCH(X$4,'Allocation %'!$A:$A,0)-1,MATCH($D32,'Allocation %'!$5:$5,0)-1)*$F32</f>
        <v>0</v>
      </c>
      <c r="Y32" s="73">
        <f ca="1">OFFSET('Allocation %'!$A$1,MATCH(Y$4,'Allocation %'!$A:$A,0)-1,MATCH($D32,'Allocation %'!$5:$5,0)-1)*$F32</f>
        <v>0</v>
      </c>
      <c r="Z32" s="73">
        <f ca="1">OFFSET('Allocation %'!$A$1,MATCH(Z$4,'Allocation %'!$A:$A,0)-1,MATCH($D32,'Allocation %'!$5:$5,0)-1)*$F32</f>
        <v>0</v>
      </c>
      <c r="AA32" s="73">
        <f ca="1">OFFSET('Allocation %'!$A$1,MATCH(AA$4,'Allocation %'!$A:$A,0)-1,MATCH($D32,'Allocation %'!$5:$5,0)-1)*$F32</f>
        <v>0</v>
      </c>
      <c r="AB32" s="73">
        <f ca="1">OFFSET('Allocation %'!$A$1,MATCH(AB$4,'Allocation %'!$A:$A,0)-1,MATCH($D32,'Allocation %'!$5:$5,0)-1)*$F32</f>
        <v>0</v>
      </c>
      <c r="AC32" s="73">
        <f ca="1">OFFSET('Allocation %'!$A$1,MATCH(AC$4,'Allocation %'!$A:$A,0)-1,MATCH($D32,'Allocation %'!$5:$5,0)-1)*$F32</f>
        <v>0</v>
      </c>
      <c r="AD32" s="73">
        <f ca="1">OFFSET('Allocation %'!$A$1,MATCH(AD$4,'Allocation %'!$A:$A,0)-1,MATCH($D32,'Allocation %'!$5:$5,0)-1)*$F32</f>
        <v>0</v>
      </c>
      <c r="AE32" s="73">
        <f ca="1">OFFSET('Allocation %'!$A$1,MATCH(AE$4,'Allocation %'!$A:$A,0)-1,MATCH($D32,'Allocation %'!$5:$5,0)-1)*$F32</f>
        <v>0</v>
      </c>
      <c r="AF32" s="73">
        <f ca="1">OFFSET('Allocation %'!$A$1,MATCH(AF$4,'Allocation %'!$A:$A,0)-1,MATCH($D32,'Allocation %'!$5:$5,0)-1)*$F32</f>
        <v>0</v>
      </c>
      <c r="AG32" s="73">
        <f ca="1">OFFSET('Allocation %'!$A$1,MATCH(AG$4,'Allocation %'!$A:$A,0)-1,MATCH($D32,'Allocation %'!$5:$5,0)-1)*$F32</f>
        <v>0</v>
      </c>
      <c r="AH32" s="73">
        <f ca="1">OFFSET('Allocation %'!$A$1,MATCH(AH$4,'Allocation %'!$A:$A,0)-1,MATCH($D32,'Allocation %'!$5:$5,0)-1)*$F32</f>
        <v>0</v>
      </c>
      <c r="AI32" s="73">
        <f ca="1">OFFSET('Allocation %'!$A$1,MATCH(AI$4,'Allocation %'!$A:$A,0)-1,MATCH($D32,'Allocation %'!$5:$5,0)-1)*$F32</f>
        <v>0</v>
      </c>
      <c r="AJ32" s="73">
        <f ca="1">OFFSET('Allocation %'!$A$1,MATCH(AJ$4,'Allocation %'!$A:$A,0)-1,MATCH($D32,'Allocation %'!$5:$5,0)-1)*$F32</f>
        <v>0</v>
      </c>
      <c r="AK32" s="73">
        <f ca="1">OFFSET('Allocation %'!$A$1,MATCH(AK$4,'Allocation %'!$A:$A,0)-1,MATCH($D32,'Allocation %'!$5:$5,0)-1)*$F32</f>
        <v>0</v>
      </c>
      <c r="AL32" s="73">
        <f ca="1">OFFSET('Allocation %'!$A$1,MATCH(AL$4,'Allocation %'!$A:$A,0)-1,MATCH($D32,'Allocation %'!$5:$5,0)-1)*$F32</f>
        <v>0</v>
      </c>
      <c r="AM32" s="73">
        <f ca="1">OFFSET('Allocation %'!$A$1,MATCH(AM$4,'Allocation %'!$A:$A,0)-1,MATCH($D32,'Allocation %'!$5:$5,0)-1)*$F32</f>
        <v>0</v>
      </c>
      <c r="AN32" s="73">
        <f ca="1">OFFSET('Allocation %'!$A$1,MATCH(AN$4,'Allocation %'!$A:$A,0)-1,MATCH($D32,'Allocation %'!$5:$5,0)-1)*$F32</f>
        <v>0</v>
      </c>
      <c r="AO32" s="73">
        <f ca="1">OFFSET('Allocation %'!$A$1,MATCH(AO$4,'Allocation %'!$A:$A,0)-1,MATCH($D32,'Allocation %'!$5:$5,0)-1)*$F32</f>
        <v>0</v>
      </c>
      <c r="AP32" s="73">
        <f ca="1">OFFSET('Allocation %'!$A$1,MATCH(AP$4,'Allocation %'!$A:$A,0)-1,MATCH($D32,'Allocation %'!$5:$5,0)-1)*$F32</f>
        <v>0</v>
      </c>
      <c r="AQ32" s="73">
        <f ca="1">OFFSET('Allocation %'!$A$1,MATCH(AQ$4,'Allocation %'!$A:$A,0)-1,MATCH($D32,'Allocation %'!$5:$5,0)-1)*$F32</f>
        <v>0</v>
      </c>
      <c r="AR32" s="73">
        <f ca="1">OFFSET('Allocation %'!$A$1,MATCH(AR$4,'Allocation %'!$A:$A,0)-1,MATCH($D32,'Allocation %'!$5:$5,0)-1)*$F32</f>
        <v>0</v>
      </c>
      <c r="AS32" s="73">
        <f ca="1">OFFSET('Allocation %'!$A$1,MATCH(AS$4,'Allocation %'!$A:$A,0)-1,MATCH($D32,'Allocation %'!$5:$5,0)-1)*$F32</f>
        <v>0</v>
      </c>
      <c r="AT32" s="73">
        <f ca="1">OFFSET('Allocation %'!$A$1,MATCH(AT$4,'Allocation %'!$A:$A,0)-1,MATCH($D32,'Allocation %'!$5:$5,0)-1)*$F32</f>
        <v>0</v>
      </c>
      <c r="AU32" s="73">
        <f ca="1">OFFSET('Allocation %'!$A$1,MATCH(AU$4,'Allocation %'!$A:$A,0)-1,MATCH($D32,'Allocation %'!$5:$5,0)-1)*$F32</f>
        <v>0</v>
      </c>
      <c r="AV32" s="73">
        <f ca="1">OFFSET('Allocation %'!$A$1,MATCH(AV$4,'Allocation %'!$A:$A,0)-1,MATCH($D32,'Allocation %'!$5:$5,0)-1)*$F32</f>
        <v>0</v>
      </c>
      <c r="AW32" s="73">
        <f ca="1">OFFSET('Allocation %'!$A$1,MATCH(AW$4,'Allocation %'!$A:$A,0)-1,MATCH($D32,'Allocation %'!$5:$5,0)-1)*$F32</f>
        <v>0</v>
      </c>
      <c r="AX32" s="73">
        <f ca="1">OFFSET('Allocation %'!$A$1,MATCH(AX$4,'Allocation %'!$A:$A,0)-1,MATCH($D32,'Allocation %'!$5:$5,0)-1)*$F32</f>
        <v>0</v>
      </c>
      <c r="AY32" s="73">
        <f ca="1">OFFSET('Allocation %'!$A$1,MATCH(AY$4,'Allocation %'!$A:$A,0)-1,MATCH($D32,'Allocation %'!$5:$5,0)-1)*$F32</f>
        <v>0</v>
      </c>
      <c r="AZ32" s="317">
        <f ca="1">OFFSET('Allocation %'!$A$1,MATCH(AZ$4,'Allocation %'!$A:$A,0)-1,MATCH($D32,'Allocation %'!$5:$5,0)-1)*$F32</f>
        <v>0</v>
      </c>
      <c r="BA32" s="317">
        <f ca="1">OFFSET('Allocation %'!$A$1,MATCH(BA$4,'Allocation %'!$A:$A,0)-1,MATCH($D32,'Allocation %'!$5:$5,0)-1)*$F32</f>
        <v>0</v>
      </c>
      <c r="BB32" s="73">
        <f ca="1">OFFSET('Allocation %'!$A$1,MATCH(BB$4,'Allocation %'!$A:$A,0)-1,MATCH($D32,'Allocation %'!$5:$5,0)-1)*$F32</f>
        <v>7519.1515076923079</v>
      </c>
      <c r="BC32" s="73">
        <f ca="1">OFFSET('Allocation %'!$A$1,MATCH(BC$4,'Allocation %'!$A:$A,0)-1,MATCH($D32,'Allocation %'!$5:$5,0)-1)*$F32</f>
        <v>490.37944615384623</v>
      </c>
      <c r="BD32" s="73">
        <f ca="1">OFFSET('Allocation %'!$A$1,MATCH(BD$4,'Allocation %'!$A:$A,0)-1,MATCH($D32,'Allocation %'!$5:$5,0)-1)*$F32</f>
        <v>4903.7944615384622</v>
      </c>
      <c r="BE32" s="73">
        <f ca="1">OFFSET('Allocation %'!$A$1,MATCH(BE$4,'Allocation %'!$A:$A,0)-1,MATCH($D32,'Allocation %'!$5:$5,0)-1)*$F32</f>
        <v>13648.894584615386</v>
      </c>
      <c r="BG32" s="76">
        <f t="shared" ca="1" si="3"/>
        <v>26562.22</v>
      </c>
      <c r="BH32" s="349">
        <f t="shared" ca="1" si="4"/>
        <v>0</v>
      </c>
      <c r="BJ32" s="76">
        <f t="shared" ca="1" si="2"/>
        <v>26562.22</v>
      </c>
    </row>
    <row r="33" spans="1:62" x14ac:dyDescent="0.25">
      <c r="B33" s="305" t="s">
        <v>239</v>
      </c>
      <c r="C33" s="131" t="str">
        <f>INDEX(ACTUALS!$E:$E,MATCH($B33,ACTUALS!$A:$A,0))</f>
        <v>USD</v>
      </c>
      <c r="D33" s="159" t="str">
        <f ca="1">OFFSET(ACTUALS!$O$2,MATCH($B33,ACTUALS!$A:$A,0)-2,MATCH($E$4,ACTUALS!$P$2:$P$2,0))</f>
        <v>ALL</v>
      </c>
      <c r="E33" s="73">
        <f ca="1">IF($C33=E$3,SUMIFS(OFFSET(ACTUALS!$A:$A,,MATCH(E$4,ACTUALS!$2:$2,0)-1,,),ACTUALS!$A:$A,$B33)*-1000,F33*'2020 Assumptions'!$B$4)</f>
        <v>80265.179565999992</v>
      </c>
      <c r="F33" s="305">
        <f ca="1">IF($C33=F$3,SUMIFS(OFFSET(ACTUALS!$A:$A,,MATCH(F$4,ACTUALS!$2:$2,0)-1,,),ACTUALS!$A:$A,$B33)*-1000,E33/'2020 Assumptions'!$B$4)</f>
        <v>59712.229999999996</v>
      </c>
      <c r="G33" s="73">
        <f ca="1">IF($C33=G$3,SUMIFS(OFFSET('Non-margin Costs'!$A:$A,,MATCH(G$4,'Non-margin Costs'!$2:$2,0)-1,,),'Non-margin Costs'!$A:$A,$B33)*1000,(SUMIFS(OFFSET('Non-margin Costs'!$A:$A,,MATCH(G$4,'Non-margin Costs'!$2:$2,0)-1,,),'Non-margin Costs'!$A:$A,$B33)*1000)/'2020 Assumptions'!$B$4)</f>
        <v>2752.23</v>
      </c>
      <c r="I33" s="73">
        <f ca="1">OFFSET('Allocation %'!$A$1,MATCH(I$4,'Allocation %'!$A:$A,0)-1,MATCH($D33,'Allocation %'!$5:$5,0)-1)*$F33</f>
        <v>0</v>
      </c>
      <c r="J33" s="73">
        <f ca="1">OFFSET('Allocation %'!$A$1,MATCH(J$4,'Allocation %'!$A:$A,0)-1,MATCH($D33,'Allocation %'!$5:$5,0)-1)*$F33</f>
        <v>144.57037170603084</v>
      </c>
      <c r="K33" s="73">
        <f ca="1">OFFSET('Allocation %'!$A$1,MATCH(K$4,'Allocation %'!$A:$A,0)-1,MATCH($D33,'Allocation %'!$5:$5,0)-1)*$F33</f>
        <v>45.51374660362567</v>
      </c>
      <c r="L33" s="73">
        <f ca="1">OFFSET('Allocation %'!$A$1,MATCH(L$4,'Allocation %'!$A:$A,0)-1,MATCH($D33,'Allocation %'!$5:$5,0)-1)*$F33</f>
        <v>49.195341796923287</v>
      </c>
      <c r="M33" s="73">
        <f ca="1">OFFSET('Allocation %'!$A$1,MATCH(M$4,'Allocation %'!$A:$A,0)-1,MATCH($D33,'Allocation %'!$5:$5,0)-1)*$F33</f>
        <v>80.08771853088416</v>
      </c>
      <c r="N33" s="73">
        <f ca="1">OFFSET('Allocation %'!$A$1,MATCH(N$4,'Allocation %'!$A:$A,0)-1,MATCH($D33,'Allocation %'!$5:$5,0)-1)*$F33</f>
        <v>70.083101395391722</v>
      </c>
      <c r="O33" s="73">
        <f ca="1">OFFSET('Allocation %'!$A$1,MATCH(O$4,'Allocation %'!$A:$A,0)-1,MATCH($D33,'Allocation %'!$5:$5,0)-1)*$F33</f>
        <v>163.85559854707014</v>
      </c>
      <c r="P33" s="73">
        <f ca="1">OFFSET('Allocation %'!$A$1,MATCH(P$4,'Allocation %'!$A:$A,0)-1,MATCH($D33,'Allocation %'!$5:$5,0)-1)*$F33</f>
        <v>23.792377202559919</v>
      </c>
      <c r="Q33" s="73">
        <f ca="1">OFFSET('Allocation %'!$A$1,MATCH(Q$4,'Allocation %'!$A:$A,0)-1,MATCH($D33,'Allocation %'!$5:$5,0)-1)*$F33</f>
        <v>51.921429350013206</v>
      </c>
      <c r="R33" s="73">
        <f ca="1">OFFSET('Allocation %'!$A$1,MATCH(R$4,'Allocation %'!$A:$A,0)-1,MATCH($D33,'Allocation %'!$5:$5,0)-1)*$F33</f>
        <v>47.918740160911007</v>
      </c>
      <c r="S33" s="73">
        <f ca="1">OFFSET('Allocation %'!$A$1,MATCH(S$4,'Allocation %'!$A:$A,0)-1,MATCH($D33,'Allocation %'!$5:$5,0)-1)*$F33</f>
        <v>46.089699509008284</v>
      </c>
      <c r="T33" s="73">
        <f ca="1">OFFSET('Allocation %'!$A$1,MATCH(T$4,'Allocation %'!$A:$A,0)-1,MATCH($D33,'Allocation %'!$5:$5,0)-1)*$F33</f>
        <v>165.42041990794817</v>
      </c>
      <c r="U33" s="73">
        <f ca="1">OFFSET('Allocation %'!$A$1,MATCH(U$4,'Allocation %'!$A:$A,0)-1,MATCH($D33,'Allocation %'!$5:$5,0)-1)*$F33</f>
        <v>105.81133142416222</v>
      </c>
      <c r="V33" s="73">
        <f ca="1">OFFSET('Allocation %'!$A$1,MATCH(V$4,'Allocation %'!$A:$A,0)-1,MATCH($D33,'Allocation %'!$5:$5,0)-1)*$F33</f>
        <v>112.2951905430793</v>
      </c>
      <c r="W33" s="73">
        <f ca="1">OFFSET('Allocation %'!$A$1,MATCH(W$4,'Allocation %'!$A:$A,0)-1,MATCH($D33,'Allocation %'!$5:$5,0)-1)*$F33</f>
        <v>181.85559984548044</v>
      </c>
      <c r="X33" s="73">
        <f ca="1">OFFSET('Allocation %'!$A$1,MATCH(X$4,'Allocation %'!$A:$A,0)-1,MATCH($D33,'Allocation %'!$5:$5,0)-1)*$F33</f>
        <v>4.2119042926632275</v>
      </c>
      <c r="Y33" s="73">
        <f ca="1">OFFSET('Allocation %'!$A$1,MATCH(Y$4,'Allocation %'!$A:$A,0)-1,MATCH($D33,'Allocation %'!$5:$5,0)-1)*$F33</f>
        <v>3.3234475107144195</v>
      </c>
      <c r="Z33" s="73">
        <f ca="1">OFFSET('Allocation %'!$A$1,MATCH(Z$4,'Allocation %'!$A:$A,0)-1,MATCH($D33,'Allocation %'!$5:$5,0)-1)*$F33</f>
        <v>9.6917077109038026</v>
      </c>
      <c r="AA33" s="73">
        <f ca="1">OFFSET('Allocation %'!$A$1,MATCH(AA$4,'Allocation %'!$A:$A,0)-1,MATCH($D33,'Allocation %'!$5:$5,0)-1)*$F33</f>
        <v>8.84292869880362</v>
      </c>
      <c r="AB33" s="73">
        <f ca="1">OFFSET('Allocation %'!$A$1,MATCH(AB$4,'Allocation %'!$A:$A,0)-1,MATCH($D33,'Allocation %'!$5:$5,0)-1)*$F33</f>
        <v>8.5566704405362763</v>
      </c>
      <c r="AC33" s="73">
        <f ca="1">OFFSET('Allocation %'!$A$1,MATCH(AC$4,'Allocation %'!$A:$A,0)-1,MATCH($D33,'Allocation %'!$5:$5,0)-1)*$F33</f>
        <v>9.680044606681669</v>
      </c>
      <c r="AD33" s="73">
        <f ca="1">OFFSET('Allocation %'!$A$1,MATCH(AD$4,'Allocation %'!$A:$A,0)-1,MATCH($D33,'Allocation %'!$5:$5,0)-1)*$F33</f>
        <v>21.391296273667571</v>
      </c>
      <c r="AE33" s="73">
        <f ca="1">OFFSET('Allocation %'!$A$1,MATCH(AE$4,'Allocation %'!$A:$A,0)-1,MATCH($D33,'Allocation %'!$5:$5,0)-1)*$F33</f>
        <v>20.477055070619357</v>
      </c>
      <c r="AF33" s="73">
        <f ca="1">OFFSET('Allocation %'!$A$1,MATCH(AF$4,'Allocation %'!$A:$A,0)-1,MATCH($D33,'Allocation %'!$5:$5,0)-1)*$F33</f>
        <v>100.95198001267367</v>
      </c>
      <c r="AG33" s="73">
        <f ca="1">OFFSET('Allocation %'!$A$1,MATCH(AG$4,'Allocation %'!$A:$A,0)-1,MATCH($D33,'Allocation %'!$5:$5,0)-1)*$F33</f>
        <v>158.8765656578463</v>
      </c>
      <c r="AH33" s="73">
        <f ca="1">OFFSET('Allocation %'!$A$1,MATCH(AH$4,'Allocation %'!$A:$A,0)-1,MATCH($D33,'Allocation %'!$5:$5,0)-1)*$F33</f>
        <v>1405.3032963043702</v>
      </c>
      <c r="AI33" s="73">
        <f ca="1">OFFSET('Allocation %'!$A$1,MATCH(AI$4,'Allocation %'!$A:$A,0)-1,MATCH($D33,'Allocation %'!$5:$5,0)-1)*$F33</f>
        <v>8.3465083608891231</v>
      </c>
      <c r="AJ33" s="73">
        <f ca="1">OFFSET('Allocation %'!$A$1,MATCH(AJ$4,'Allocation %'!$A:$A,0)-1,MATCH($D33,'Allocation %'!$5:$5,0)-1)*$F33</f>
        <v>195.4775212110753</v>
      </c>
      <c r="AK33" s="73">
        <f ca="1">OFFSET('Allocation %'!$A$1,MATCH(AK$4,'Allocation %'!$A:$A,0)-1,MATCH($D33,'Allocation %'!$5:$5,0)-1)*$F33</f>
        <v>175.9244408428782</v>
      </c>
      <c r="AL33" s="73">
        <f ca="1">OFFSET('Allocation %'!$A$1,MATCH(AL$4,'Allocation %'!$A:$A,0)-1,MATCH($D33,'Allocation %'!$5:$5,0)-1)*$F33</f>
        <v>0</v>
      </c>
      <c r="AM33" s="73">
        <f ca="1">OFFSET('Allocation %'!$A$1,MATCH(AM$4,'Allocation %'!$A:$A,0)-1,MATCH($D33,'Allocation %'!$5:$5,0)-1)*$F33</f>
        <v>23.065275871671901</v>
      </c>
      <c r="AN33" s="73">
        <f ca="1">OFFSET('Allocation %'!$A$1,MATCH(AN$4,'Allocation %'!$A:$A,0)-1,MATCH($D33,'Allocation %'!$5:$5,0)-1)*$F33</f>
        <v>0</v>
      </c>
      <c r="AO33" s="73">
        <f ca="1">OFFSET('Allocation %'!$A$1,MATCH(AO$4,'Allocation %'!$A:$A,0)-1,MATCH($D33,'Allocation %'!$5:$5,0)-1)*$F33</f>
        <v>189.66490004533838</v>
      </c>
      <c r="AP33" s="73">
        <f ca="1">OFFSET('Allocation %'!$A$1,MATCH(AP$4,'Allocation %'!$A:$A,0)-1,MATCH($D33,'Allocation %'!$5:$5,0)-1)*$F33</f>
        <v>39.414236542947791</v>
      </c>
      <c r="AQ33" s="73">
        <f ca="1">OFFSET('Allocation %'!$A$1,MATCH(AQ$4,'Allocation %'!$A:$A,0)-1,MATCH($D33,'Allocation %'!$5:$5,0)-1)*$F33</f>
        <v>174.30540260936678</v>
      </c>
      <c r="AR33" s="73">
        <f ca="1">OFFSET('Allocation %'!$A$1,MATCH(AR$4,'Allocation %'!$A:$A,0)-1,MATCH($D33,'Allocation %'!$5:$5,0)-1)*$F33</f>
        <v>4.3739043864031562</v>
      </c>
      <c r="AS33" s="73">
        <f ca="1">OFFSET('Allocation %'!$A$1,MATCH(AS$4,'Allocation %'!$A:$A,0)-1,MATCH($D33,'Allocation %'!$5:$5,0)-1)*$F33</f>
        <v>320.38408417462648</v>
      </c>
      <c r="AT33" s="73">
        <f ca="1">OFFSET('Allocation %'!$A$1,MATCH(AT$4,'Allocation %'!$A:$A,0)-1,MATCH($D33,'Allocation %'!$5:$5,0)-1)*$F33</f>
        <v>188.64336750379971</v>
      </c>
      <c r="AU33" s="73">
        <f ca="1">OFFSET('Allocation %'!$A$1,MATCH(AU$4,'Allocation %'!$A:$A,0)-1,MATCH($D33,'Allocation %'!$5:$5,0)-1)*$F33</f>
        <v>225.48766552845618</v>
      </c>
      <c r="AV33" s="73">
        <f ca="1">OFFSET('Allocation %'!$A$1,MATCH(AV$4,'Allocation %'!$A:$A,0)-1,MATCH($D33,'Allocation %'!$5:$5,0)-1)*$F33</f>
        <v>347.37789728000769</v>
      </c>
      <c r="AW33" s="73">
        <f ca="1">OFFSET('Allocation %'!$A$1,MATCH(AW$4,'Allocation %'!$A:$A,0)-1,MATCH($D33,'Allocation %'!$5:$5,0)-1)*$F33</f>
        <v>1327.687927433615</v>
      </c>
      <c r="AX33" s="73">
        <f ca="1">OFFSET('Allocation %'!$A$1,MATCH(AX$4,'Allocation %'!$A:$A,0)-1,MATCH($D33,'Allocation %'!$5:$5,0)-1)*$F33</f>
        <v>23.160143791142325</v>
      </c>
      <c r="AY33" s="73">
        <f ca="1">OFFSET('Allocation %'!$A$1,MATCH(AY$4,'Allocation %'!$A:$A,0)-1,MATCH($D33,'Allocation %'!$5:$5,0)-1)*$F33</f>
        <v>0</v>
      </c>
      <c r="AZ33" s="73">
        <f ca="1">OFFSET('Allocation %'!$A$1,MATCH(AZ$4,'Allocation %'!$A:$A,0)-1,MATCH($D33,'Allocation %'!$5:$5,0)-1)*$F33</f>
        <v>31605.533587879108</v>
      </c>
      <c r="BA33" s="73">
        <f ca="1">OFFSET('Allocation %'!$A$1,MATCH(BA$4,'Allocation %'!$A:$A,0)-1,MATCH($D33,'Allocation %'!$5:$5,0)-1)*$F33</f>
        <v>6256.0565981035006</v>
      </c>
      <c r="BB33" s="73">
        <f ca="1">OFFSET('Allocation %'!$A$1,MATCH(BB$4,'Allocation %'!$A:$A,0)-1,MATCH($D33,'Allocation %'!$5:$5,0)-1)*$F33</f>
        <v>4078.536711942998</v>
      </c>
      <c r="BC33" s="73">
        <f ca="1">OFFSET('Allocation %'!$A$1,MATCH(BC$4,'Allocation %'!$A:$A,0)-1,MATCH($D33,'Allocation %'!$5:$5,0)-1)*$F33</f>
        <v>126.46672494556668</v>
      </c>
      <c r="BD33" s="73">
        <f ca="1">OFFSET('Allocation %'!$A$1,MATCH(BD$4,'Allocation %'!$A:$A,0)-1,MATCH($D33,'Allocation %'!$5:$5,0)-1)*$F33</f>
        <v>2434.0084728719598</v>
      </c>
      <c r="BE33" s="73">
        <f ca="1">OFFSET('Allocation %'!$A$1,MATCH(BE$4,'Allocation %'!$A:$A,0)-1,MATCH($D33,'Allocation %'!$5:$5,0)-1)*$F33</f>
        <v>8928.5970655720739</v>
      </c>
      <c r="BG33" s="76">
        <f t="shared" ca="1" si="3"/>
        <v>59712.229999999996</v>
      </c>
      <c r="BH33" s="349">
        <f t="shared" ca="1" si="4"/>
        <v>0</v>
      </c>
      <c r="BJ33" s="76">
        <f t="shared" ca="1" si="2"/>
        <v>21850.639814017384</v>
      </c>
    </row>
    <row r="34" spans="1:62" x14ac:dyDescent="0.25">
      <c r="B34" s="305" t="s">
        <v>304</v>
      </c>
      <c r="C34" s="131" t="str">
        <f>INDEX(ACTUALS!$E:$E,MATCH($B34,ACTUALS!$A:$A,0))</f>
        <v>USD</v>
      </c>
      <c r="D34" s="159" t="str">
        <f ca="1">OFFSET(ACTUALS!$O$2,MATCH($B34,ACTUALS!$A:$A,0)-2,MATCH($E$4,ACTUALS!$P$2:$P$2,0))</f>
        <v>ALL</v>
      </c>
      <c r="E34" s="73">
        <f ca="1">IF($C34=E$3,SUMIFS(OFFSET(ACTUALS!$A:$A,,MATCH(E$4,ACTUALS!$2:$2,0)-1,,),ACTUALS!$A:$A,$B34)*-1000,F34*'2020 Assumptions'!$B$4)</f>
        <v>-141.78621600000002</v>
      </c>
      <c r="F34" s="305">
        <f ca="1">IF($C34=F$3,SUMIFS(OFFSET(ACTUALS!$A:$A,,MATCH(F$4,ACTUALS!$2:$2,0)-1,,),ACTUALS!$A:$A,$B34)*-1000,E34/'2020 Assumptions'!$B$4)</f>
        <v>-105.48000000000002</v>
      </c>
      <c r="G34" s="73">
        <f ca="1">IF($C34=G$3,SUMIFS(OFFSET('Non-margin Costs'!$A:$A,,MATCH(G$4,'Non-margin Costs'!$2:$2,0)-1,,),'Non-margin Costs'!$A:$A,$B34)*1000,(SUMIFS(OFFSET('Non-margin Costs'!$A:$A,,MATCH(G$4,'Non-margin Costs'!$2:$2,0)-1,,),'Non-margin Costs'!$A:$A,$B34)*1000)/'2020 Assumptions'!$B$4)</f>
        <v>-3145</v>
      </c>
      <c r="I34" s="73">
        <f ca="1">OFFSET('Allocation %'!$A$1,MATCH(I$4,'Allocation %'!$A:$A,0)-1,MATCH($D34,'Allocation %'!$5:$5,0)-1)*$F34</f>
        <v>0</v>
      </c>
      <c r="J34" s="73">
        <f ca="1">OFFSET('Allocation %'!$A$1,MATCH(J$4,'Allocation %'!$A:$A,0)-1,MATCH($D34,'Allocation %'!$5:$5,0)-1)*$F34</f>
        <v>-0.25537955637483539</v>
      </c>
      <c r="K34" s="73">
        <f ca="1">OFFSET('Allocation %'!$A$1,MATCH(K$4,'Allocation %'!$A:$A,0)-1,MATCH($D34,'Allocation %'!$5:$5,0)-1)*$F34</f>
        <v>-8.0398772441599264E-2</v>
      </c>
      <c r="L34" s="73">
        <f ca="1">OFFSET('Allocation %'!$A$1,MATCH(L$4,'Allocation %'!$A:$A,0)-1,MATCH($D34,'Allocation %'!$5:$5,0)-1)*$F34</f>
        <v>-8.6902208353958135E-2</v>
      </c>
      <c r="M34" s="73">
        <f ca="1">OFFSET('Allocation %'!$A$1,MATCH(M$4,'Allocation %'!$A:$A,0)-1,MATCH($D34,'Allocation %'!$5:$5,0)-1)*$F34</f>
        <v>-0.14147273599792978</v>
      </c>
      <c r="N34" s="73">
        <f ca="1">OFFSET('Allocation %'!$A$1,MATCH(N$4,'Allocation %'!$A:$A,0)-1,MATCH($D34,'Allocation %'!$5:$5,0)-1)*$F34</f>
        <v>-0.12379985700058296</v>
      </c>
      <c r="O34" s="73">
        <f ca="1">OFFSET('Allocation %'!$A$1,MATCH(O$4,'Allocation %'!$A:$A,0)-1,MATCH($D34,'Allocation %'!$5:$5,0)-1)*$F34</f>
        <v>-0.28944637530276396</v>
      </c>
      <c r="P34" s="73">
        <f ca="1">OFFSET('Allocation %'!$A$1,MATCH(P$4,'Allocation %'!$A:$A,0)-1,MATCH($D34,'Allocation %'!$5:$5,0)-1)*$F34</f>
        <v>-4.2028575173394478E-2</v>
      </c>
      <c r="Q34" s="73">
        <f ca="1">OFFSET('Allocation %'!$A$1,MATCH(Q$4,'Allocation %'!$A:$A,0)-1,MATCH($D34,'Allocation %'!$5:$5,0)-1)*$F34</f>
        <v>-9.17177664917119E-2</v>
      </c>
      <c r="R34" s="73">
        <f ca="1">OFFSET('Allocation %'!$A$1,MATCH(R$4,'Allocation %'!$A:$A,0)-1,MATCH($D34,'Allocation %'!$5:$5,0)-1)*$F34</f>
        <v>-8.4647126931499533E-2</v>
      </c>
      <c r="S34" s="73">
        <f ca="1">OFFSET('Allocation %'!$A$1,MATCH(S$4,'Allocation %'!$A:$A,0)-1,MATCH($D34,'Allocation %'!$5:$5,0)-1)*$F34</f>
        <v>-8.1416177292494271E-2</v>
      </c>
      <c r="T34" s="73">
        <f ca="1">OFFSET('Allocation %'!$A$1,MATCH(T$4,'Allocation %'!$A:$A,0)-1,MATCH($D34,'Allocation %'!$5:$5,0)-1)*$F34</f>
        <v>-0.29221058888422652</v>
      </c>
      <c r="U34" s="73">
        <f ca="1">OFFSET('Allocation %'!$A$1,MATCH(U$4,'Allocation %'!$A:$A,0)-1,MATCH($D34,'Allocation %'!$5:$5,0)-1)*$F34</f>
        <v>-0.18691278551513874</v>
      </c>
      <c r="V34" s="73">
        <f ca="1">OFFSET('Allocation %'!$A$1,MATCH(V$4,'Allocation %'!$A:$A,0)-1,MATCH($D34,'Allocation %'!$5:$5,0)-1)*$F34</f>
        <v>-0.19836634301689968</v>
      </c>
      <c r="W34" s="73">
        <f ca="1">OFFSET('Allocation %'!$A$1,MATCH(W$4,'Allocation %'!$A:$A,0)-1,MATCH($D34,'Allocation %'!$5:$5,0)-1)*$F34</f>
        <v>-0.32124287891611625</v>
      </c>
      <c r="X34" s="73">
        <f ca="1">OFFSET('Allocation %'!$A$1,MATCH(X$4,'Allocation %'!$A:$A,0)-1,MATCH($D34,'Allocation %'!$5:$5,0)-1)*$F34</f>
        <v>-7.4402122444617675E-3</v>
      </c>
      <c r="Y34" s="73">
        <f ca="1">OFFSET('Allocation %'!$A$1,MATCH(Y$4,'Allocation %'!$A:$A,0)-1,MATCH($D34,'Allocation %'!$5:$5,0)-1)*$F34</f>
        <v>-5.8707779533632726E-3</v>
      </c>
      <c r="Z34" s="73">
        <f ca="1">OFFSET('Allocation %'!$A$1,MATCH(Z$4,'Allocation %'!$A:$A,0)-1,MATCH($D34,'Allocation %'!$5:$5,0)-1)*$F34</f>
        <v>-1.7120133167797175E-2</v>
      </c>
      <c r="AA34" s="73">
        <f ca="1">OFFSET('Allocation %'!$A$1,MATCH(AA$4,'Allocation %'!$A:$A,0)-1,MATCH($D34,'Allocation %'!$5:$5,0)-1)*$F34</f>
        <v>-1.5620788557885144E-2</v>
      </c>
      <c r="AB34" s="73">
        <f ca="1">OFFSET('Allocation %'!$A$1,MATCH(AB$4,'Allocation %'!$A:$A,0)-1,MATCH($D34,'Allocation %'!$5:$5,0)-1)*$F34</f>
        <v>-1.5115121275285928E-2</v>
      </c>
      <c r="AC34" s="73">
        <f ca="1">OFFSET('Allocation %'!$A$1,MATCH(AC$4,'Allocation %'!$A:$A,0)-1,MATCH($D34,'Allocation %'!$5:$5,0)-1)*$F34</f>
        <v>-1.7099530617308761E-2</v>
      </c>
      <c r="AD34" s="73">
        <f ca="1">OFFSET('Allocation %'!$A$1,MATCH(AD$4,'Allocation %'!$A:$A,0)-1,MATCH($D34,'Allocation %'!$5:$5,0)-1)*$F34</f>
        <v>-3.7787132233153178E-2</v>
      </c>
      <c r="AE34" s="73">
        <f ca="1">OFFSET('Allocation %'!$A$1,MATCH(AE$4,'Allocation %'!$A:$A,0)-1,MATCH($D34,'Allocation %'!$5:$5,0)-1)*$F34</f>
        <v>-3.6172150476525999E-2</v>
      </c>
      <c r="AF34" s="73">
        <f ca="1">OFFSET('Allocation %'!$A$1,MATCH(AF$4,'Allocation %'!$A:$A,0)-1,MATCH($D34,'Allocation %'!$5:$5,0)-1)*$F34</f>
        <v>-0.17832887587244392</v>
      </c>
      <c r="AG34" s="73">
        <f ca="1">OFFSET('Allocation %'!$A$1,MATCH(AG$4,'Allocation %'!$A:$A,0)-1,MATCH($D34,'Allocation %'!$5:$5,0)-1)*$F34</f>
        <v>-0.28065105164536025</v>
      </c>
      <c r="AH34" s="73">
        <f ca="1">OFFSET('Allocation %'!$A$1,MATCH(AH$4,'Allocation %'!$A:$A,0)-1,MATCH($D34,'Allocation %'!$5:$5,0)-1)*$F34</f>
        <v>-2.4824293397547708</v>
      </c>
      <c r="AI34" s="73">
        <f ca="1">OFFSET('Allocation %'!$A$1,MATCH(AI$4,'Allocation %'!$A:$A,0)-1,MATCH($D34,'Allocation %'!$5:$5,0)-1)*$F34</f>
        <v>-1.4743875784015851E-2</v>
      </c>
      <c r="AJ34" s="73">
        <f ca="1">OFFSET('Allocation %'!$A$1,MATCH(AJ$4,'Allocation %'!$A:$A,0)-1,MATCH($D34,'Allocation %'!$5:$5,0)-1)*$F34</f>
        <v>-0.34530562562048395</v>
      </c>
      <c r="AK34" s="73">
        <f ca="1">OFFSET('Allocation %'!$A$1,MATCH(AK$4,'Allocation %'!$A:$A,0)-1,MATCH($D34,'Allocation %'!$5:$5,0)-1)*$F34</f>
        <v>-0.31076565085756802</v>
      </c>
      <c r="AL34" s="73">
        <f ca="1">OFFSET('Allocation %'!$A$1,MATCH(AL$4,'Allocation %'!$A:$A,0)-1,MATCH($D34,'Allocation %'!$5:$5,0)-1)*$F34</f>
        <v>0</v>
      </c>
      <c r="AM34" s="73">
        <f ca="1">OFFSET('Allocation %'!$A$1,MATCH(AM$4,'Allocation %'!$A:$A,0)-1,MATCH($D34,'Allocation %'!$5:$5,0)-1)*$F34</f>
        <v>-4.0744170816329466E-2</v>
      </c>
      <c r="AN34" s="73">
        <f ca="1">OFFSET('Allocation %'!$A$1,MATCH(AN$4,'Allocation %'!$A:$A,0)-1,MATCH($D34,'Allocation %'!$5:$5,0)-1)*$F34</f>
        <v>0</v>
      </c>
      <c r="AO34" s="73">
        <f ca="1">OFFSET('Allocation %'!$A$1,MATCH(AO$4,'Allocation %'!$A:$A,0)-1,MATCH($D34,'Allocation %'!$5:$5,0)-1)*$F34</f>
        <v>-0.33503779136673167</v>
      </c>
      <c r="AP34" s="73">
        <f ca="1">OFFSET('Allocation %'!$A$1,MATCH(AP$4,'Allocation %'!$A:$A,0)-1,MATCH($D34,'Allocation %'!$5:$5,0)-1)*$F34</f>
        <v>-6.9624156903035334E-2</v>
      </c>
      <c r="AQ34" s="73">
        <f ca="1">OFFSET('Allocation %'!$A$1,MATCH(AQ$4,'Allocation %'!$A:$A,0)-1,MATCH($D34,'Allocation %'!$5:$5,0)-1)*$F34</f>
        <v>-0.30790566467264768</v>
      </c>
      <c r="AR34" s="73">
        <f ca="1">OFFSET('Allocation %'!$A$1,MATCH(AR$4,'Allocation %'!$A:$A,0)-1,MATCH($D34,'Allocation %'!$5:$5,0)-1)*$F34</f>
        <v>-7.7263809219284734E-3</v>
      </c>
      <c r="AS34" s="73">
        <f ca="1">OFFSET('Allocation %'!$A$1,MATCH(AS$4,'Allocation %'!$A:$A,0)-1,MATCH($D34,'Allocation %'!$5:$5,0)-1)*$F34</f>
        <v>-0.56594960862690291</v>
      </c>
      <c r="AT34" s="73">
        <f ca="1">OFFSET('Allocation %'!$A$1,MATCH(AT$4,'Allocation %'!$A:$A,0)-1,MATCH($D34,'Allocation %'!$5:$5,0)-1)*$F34</f>
        <v>-0.33323328243310957</v>
      </c>
      <c r="AU34" s="73">
        <f ca="1">OFFSET('Allocation %'!$A$1,MATCH(AU$4,'Allocation %'!$A:$A,0)-1,MATCH($D34,'Allocation %'!$5:$5,0)-1)*$F34</f>
        <v>-0.39831771414233835</v>
      </c>
      <c r="AV34" s="73">
        <f ca="1">OFFSET('Allocation %'!$A$1,MATCH(AV$4,'Allocation %'!$A:$A,0)-1,MATCH($D34,'Allocation %'!$5:$5,0)-1)*$F34</f>
        <v>-0.61363343162858297</v>
      </c>
      <c r="AW34" s="73">
        <f ca="1">OFFSET('Allocation %'!$A$1,MATCH(AW$4,'Allocation %'!$A:$A,0)-1,MATCH($D34,'Allocation %'!$5:$5,0)-1)*$F34</f>
        <v>-2.3453239409363502</v>
      </c>
      <c r="AX34" s="73">
        <f ca="1">OFFSET('Allocation %'!$A$1,MATCH(AX$4,'Allocation %'!$A:$A,0)-1,MATCH($D34,'Allocation %'!$5:$5,0)-1)*$F34</f>
        <v>-4.0911752367809626E-2</v>
      </c>
      <c r="AY34" s="73">
        <f ca="1">OFFSET('Allocation %'!$A$1,MATCH(AY$4,'Allocation %'!$A:$A,0)-1,MATCH($D34,'Allocation %'!$5:$5,0)-1)*$F34</f>
        <v>0</v>
      </c>
      <c r="AZ34" s="73">
        <f ca="1">OFFSET('Allocation %'!$A$1,MATCH(AZ$4,'Allocation %'!$A:$A,0)-1,MATCH($D34,'Allocation %'!$5:$5,0)-1)*$F34</f>
        <v>-55.830299468793733</v>
      </c>
      <c r="BA34" s="73">
        <f ca="1">OFFSET('Allocation %'!$A$1,MATCH(BA$4,'Allocation %'!$A:$A,0)-1,MATCH($D34,'Allocation %'!$5:$5,0)-1)*$F34</f>
        <v>-11.051150659889229</v>
      </c>
      <c r="BB34" s="73">
        <f ca="1">OFFSET('Allocation %'!$A$1,MATCH(BB$4,'Allocation %'!$A:$A,0)-1,MATCH($D34,'Allocation %'!$5:$5,0)-1)*$F34</f>
        <v>-7.2046221079960926</v>
      </c>
      <c r="BC34" s="73">
        <f ca="1">OFFSET('Allocation %'!$A$1,MATCH(BC$4,'Allocation %'!$A:$A,0)-1,MATCH($D34,'Allocation %'!$5:$5,0)-1)*$F34</f>
        <v>-0.22339996592420644</v>
      </c>
      <c r="BD34" s="73">
        <f ca="1">OFFSET('Allocation %'!$A$1,MATCH(BD$4,'Allocation %'!$A:$A,0)-1,MATCH($D34,'Allocation %'!$5:$5,0)-1)*$F34</f>
        <v>-4.2996085344415098</v>
      </c>
      <c r="BE34" s="73">
        <f ca="1">OFFSET('Allocation %'!$A$1,MATCH(BE$4,'Allocation %'!$A:$A,0)-1,MATCH($D34,'Allocation %'!$5:$5,0)-1)*$F34</f>
        <v>-15.772119354385906</v>
      </c>
      <c r="BG34" s="76">
        <f t="shared" ca="1" si="3"/>
        <v>-105.48</v>
      </c>
      <c r="BH34" s="349">
        <f t="shared" ca="1" si="4"/>
        <v>0</v>
      </c>
      <c r="BJ34" s="76">
        <f t="shared" ca="1" si="2"/>
        <v>-38.598549871317054</v>
      </c>
    </row>
    <row r="35" spans="1:62" x14ac:dyDescent="0.25">
      <c r="B35" s="354" t="s">
        <v>308</v>
      </c>
      <c r="C35" s="131" t="str">
        <f>INDEX(ACTUALS!$E:$E,MATCH($B35,ACTUALS!$A:$A,0))</f>
        <v>USD</v>
      </c>
      <c r="D35" s="352" t="str">
        <f ca="1">OFFSET(ACTUALS!$O$2,MATCH($B35,ACTUALS!$A:$A,0)-2,MATCH($E$4,ACTUALS!$P$2:$P$2,0))</f>
        <v>CU Only</v>
      </c>
      <c r="E35" s="73">
        <f ca="1">IF($C35=E$3,SUMIFS(OFFSET(ACTUALS!$A:$A,,MATCH(E$4,ACTUALS!$2:$2,0)-1,,),ACTUALS!$A:$A,$B35)*-1000,F35*'2020 Assumptions'!$B$4)</f>
        <v>240765.455502</v>
      </c>
      <c r="F35" s="305">
        <f ca="1">IF($C35=F$3,SUMIFS(OFFSET(ACTUALS!$A:$A,,MATCH(F$4,ACTUALS!$2:$2,0)-1,,),ACTUALS!$A:$A,$B35)*-1000,E35/'2020 Assumptions'!$B$4)</f>
        <v>179114.31</v>
      </c>
      <c r="G35" s="73">
        <f ca="1">IF($C35=G$3,SUMIFS(OFFSET('Non-margin Costs'!$A:$A,,MATCH(G$4,'Non-margin Costs'!$2:$2,0)-1,,),'Non-margin Costs'!$A:$A,$B35)*1000,(SUMIFS(OFFSET('Non-margin Costs'!$A:$A,,MATCH(G$4,'Non-margin Costs'!$2:$2,0)-1,,),'Non-margin Costs'!$A:$A,$B35)*1000)/'2020 Assumptions'!$B$4)</f>
        <v>0</v>
      </c>
      <c r="I35" s="73">
        <f ca="1">OFFSET('Allocation %'!$A$1,MATCH(I$4,'Allocation %'!$A:$A,0)-1,MATCH($D35,'Allocation %'!$5:$5,0)-1)*$F35</f>
        <v>0</v>
      </c>
      <c r="J35" s="73">
        <f ca="1">OFFSET('Allocation %'!$A$1,MATCH(J$4,'Allocation %'!$A:$A,0)-1,MATCH($D35,'Allocation %'!$5:$5,0)-1)*$F35</f>
        <v>0</v>
      </c>
      <c r="K35" s="73">
        <f ca="1">OFFSET('Allocation %'!$A$1,MATCH(K$4,'Allocation %'!$A:$A,0)-1,MATCH($D35,'Allocation %'!$5:$5,0)-1)*$F35</f>
        <v>0</v>
      </c>
      <c r="L35" s="73">
        <f ca="1">OFFSET('Allocation %'!$A$1,MATCH(L$4,'Allocation %'!$A:$A,0)-1,MATCH($D35,'Allocation %'!$5:$5,0)-1)*$F35</f>
        <v>0</v>
      </c>
      <c r="M35" s="73">
        <f ca="1">OFFSET('Allocation %'!$A$1,MATCH(M$4,'Allocation %'!$A:$A,0)-1,MATCH($D35,'Allocation %'!$5:$5,0)-1)*$F35</f>
        <v>0</v>
      </c>
      <c r="N35" s="73">
        <f ca="1">OFFSET('Allocation %'!$A$1,MATCH(N$4,'Allocation %'!$A:$A,0)-1,MATCH($D35,'Allocation %'!$5:$5,0)-1)*$F35</f>
        <v>0</v>
      </c>
      <c r="O35" s="73">
        <f ca="1">OFFSET('Allocation %'!$A$1,MATCH(O$4,'Allocation %'!$A:$A,0)-1,MATCH($D35,'Allocation %'!$5:$5,0)-1)*$F35</f>
        <v>0</v>
      </c>
      <c r="P35" s="73">
        <f ca="1">OFFSET('Allocation %'!$A$1,MATCH(P$4,'Allocation %'!$A:$A,0)-1,MATCH($D35,'Allocation %'!$5:$5,0)-1)*$F35</f>
        <v>0</v>
      </c>
      <c r="Q35" s="73">
        <f ca="1">OFFSET('Allocation %'!$A$1,MATCH(Q$4,'Allocation %'!$A:$A,0)-1,MATCH($D35,'Allocation %'!$5:$5,0)-1)*$F35</f>
        <v>0</v>
      </c>
      <c r="R35" s="73">
        <f ca="1">OFFSET('Allocation %'!$A$1,MATCH(R$4,'Allocation %'!$A:$A,0)-1,MATCH($D35,'Allocation %'!$5:$5,0)-1)*$F35</f>
        <v>0</v>
      </c>
      <c r="S35" s="73">
        <f ca="1">OFFSET('Allocation %'!$A$1,MATCH(S$4,'Allocation %'!$A:$A,0)-1,MATCH($D35,'Allocation %'!$5:$5,0)-1)*$F35</f>
        <v>0</v>
      </c>
      <c r="T35" s="73">
        <f ca="1">OFFSET('Allocation %'!$A$1,MATCH(T$4,'Allocation %'!$A:$A,0)-1,MATCH($D35,'Allocation %'!$5:$5,0)-1)*$F35</f>
        <v>0</v>
      </c>
      <c r="U35" s="73">
        <f ca="1">OFFSET('Allocation %'!$A$1,MATCH(U$4,'Allocation %'!$A:$A,0)-1,MATCH($D35,'Allocation %'!$5:$5,0)-1)*$F35</f>
        <v>0</v>
      </c>
      <c r="V35" s="73">
        <f ca="1">OFFSET('Allocation %'!$A$1,MATCH(V$4,'Allocation %'!$A:$A,0)-1,MATCH($D35,'Allocation %'!$5:$5,0)-1)*$F35</f>
        <v>0</v>
      </c>
      <c r="W35" s="73">
        <f ca="1">OFFSET('Allocation %'!$A$1,MATCH(W$4,'Allocation %'!$A:$A,0)-1,MATCH($D35,'Allocation %'!$5:$5,0)-1)*$F35</f>
        <v>0</v>
      </c>
      <c r="X35" s="73">
        <f ca="1">OFFSET('Allocation %'!$A$1,MATCH(X$4,'Allocation %'!$A:$A,0)-1,MATCH($D35,'Allocation %'!$5:$5,0)-1)*$F35</f>
        <v>0</v>
      </c>
      <c r="Y35" s="73">
        <f ca="1">OFFSET('Allocation %'!$A$1,MATCH(Y$4,'Allocation %'!$A:$A,0)-1,MATCH($D35,'Allocation %'!$5:$5,0)-1)*$F35</f>
        <v>0</v>
      </c>
      <c r="Z35" s="73">
        <f ca="1">OFFSET('Allocation %'!$A$1,MATCH(Z$4,'Allocation %'!$A:$A,0)-1,MATCH($D35,'Allocation %'!$5:$5,0)-1)*$F35</f>
        <v>0</v>
      </c>
      <c r="AA35" s="73">
        <f ca="1">OFFSET('Allocation %'!$A$1,MATCH(AA$4,'Allocation %'!$A:$A,0)-1,MATCH($D35,'Allocation %'!$5:$5,0)-1)*$F35</f>
        <v>0</v>
      </c>
      <c r="AB35" s="73">
        <f ca="1">OFFSET('Allocation %'!$A$1,MATCH(AB$4,'Allocation %'!$A:$A,0)-1,MATCH($D35,'Allocation %'!$5:$5,0)-1)*$F35</f>
        <v>0</v>
      </c>
      <c r="AC35" s="73">
        <f ca="1">OFFSET('Allocation %'!$A$1,MATCH(AC$4,'Allocation %'!$A:$A,0)-1,MATCH($D35,'Allocation %'!$5:$5,0)-1)*$F35</f>
        <v>0</v>
      </c>
      <c r="AD35" s="73">
        <f ca="1">OFFSET('Allocation %'!$A$1,MATCH(AD$4,'Allocation %'!$A:$A,0)-1,MATCH($D35,'Allocation %'!$5:$5,0)-1)*$F35</f>
        <v>0</v>
      </c>
      <c r="AE35" s="73">
        <f ca="1">OFFSET('Allocation %'!$A$1,MATCH(AE$4,'Allocation %'!$A:$A,0)-1,MATCH($D35,'Allocation %'!$5:$5,0)-1)*$F35</f>
        <v>0</v>
      </c>
      <c r="AF35" s="73">
        <f ca="1">OFFSET('Allocation %'!$A$1,MATCH(AF$4,'Allocation %'!$A:$A,0)-1,MATCH($D35,'Allocation %'!$5:$5,0)-1)*$F35</f>
        <v>1040.8591939650646</v>
      </c>
      <c r="AG35" s="73">
        <f ca="1">OFFSET('Allocation %'!$A$1,MATCH(AG$4,'Allocation %'!$A:$A,0)-1,MATCH($D35,'Allocation %'!$5:$5,0)-1)*$F35</f>
        <v>0</v>
      </c>
      <c r="AH35" s="73">
        <f ca="1">OFFSET('Allocation %'!$A$1,MATCH(AH$4,'Allocation %'!$A:$A,0)-1,MATCH($D35,'Allocation %'!$5:$5,0)-1)*$F35</f>
        <v>0</v>
      </c>
      <c r="AI35" s="73">
        <f ca="1">OFFSET('Allocation %'!$A$1,MATCH(AI$4,'Allocation %'!$A:$A,0)-1,MATCH($D35,'Allocation %'!$5:$5,0)-1)*$F35</f>
        <v>0</v>
      </c>
      <c r="AJ35" s="73">
        <f ca="1">OFFSET('Allocation %'!$A$1,MATCH(AJ$4,'Allocation %'!$A:$A,0)-1,MATCH($D35,'Allocation %'!$5:$5,0)-1)*$F35</f>
        <v>2015.207735158067</v>
      </c>
      <c r="AK35" s="73">
        <f ca="1">OFFSET('Allocation %'!$A$1,MATCH(AK$4,'Allocation %'!$A:$A,0)-1,MATCH($D35,'Allocation %'!$5:$5,0)-1)*$F35</f>
        <v>1813.465529831363</v>
      </c>
      <c r="AL35" s="73">
        <f ca="1">OFFSET('Allocation %'!$A$1,MATCH(AL$4,'Allocation %'!$A:$A,0)-1,MATCH($D35,'Allocation %'!$5:$5,0)-1)*$F35</f>
        <v>0</v>
      </c>
      <c r="AM35" s="73">
        <f ca="1">OFFSET('Allocation %'!$A$1,MATCH(AM$4,'Allocation %'!$A:$A,0)-1,MATCH($D35,'Allocation %'!$5:$5,0)-1)*$F35</f>
        <v>0</v>
      </c>
      <c r="AN35" s="73">
        <f ca="1">OFFSET('Allocation %'!$A$1,MATCH(AN$4,'Allocation %'!$A:$A,0)-1,MATCH($D35,'Allocation %'!$5:$5,0)-1)*$F35</f>
        <v>0</v>
      </c>
      <c r="AO35" s="73">
        <f ca="1">OFFSET('Allocation %'!$A$1,MATCH(AO$4,'Allocation %'!$A:$A,0)-1,MATCH($D35,'Allocation %'!$5:$5,0)-1)*$F35</f>
        <v>1954.8743526825233</v>
      </c>
      <c r="AP35" s="73">
        <f ca="1">OFFSET('Allocation %'!$A$1,MATCH(AP$4,'Allocation %'!$A:$A,0)-1,MATCH($D35,'Allocation %'!$5:$5,0)-1)*$F35</f>
        <v>406.30967172342298</v>
      </c>
      <c r="AQ35" s="73">
        <f ca="1">OFFSET('Allocation %'!$A$1,MATCH(AQ$4,'Allocation %'!$A:$A,0)-1,MATCH($D35,'Allocation %'!$5:$5,0)-1)*$F35</f>
        <v>0</v>
      </c>
      <c r="AR35" s="73">
        <f ca="1">OFFSET('Allocation %'!$A$1,MATCH(AR$4,'Allocation %'!$A:$A,0)-1,MATCH($D35,'Allocation %'!$5:$5,0)-1)*$F35</f>
        <v>0</v>
      </c>
      <c r="AS35" s="73">
        <f ca="1">OFFSET('Allocation %'!$A$1,MATCH(AS$4,'Allocation %'!$A:$A,0)-1,MATCH($D35,'Allocation %'!$5:$5,0)-1)*$F35</f>
        <v>0</v>
      </c>
      <c r="AT35" s="73">
        <f ca="1">OFFSET('Allocation %'!$A$1,MATCH(AT$4,'Allocation %'!$A:$A,0)-1,MATCH($D35,'Allocation %'!$5:$5,0)-1)*$F35</f>
        <v>0</v>
      </c>
      <c r="AU35" s="73">
        <f ca="1">OFFSET('Allocation %'!$A$1,MATCH(AU$4,'Allocation %'!$A:$A,0)-1,MATCH($D35,'Allocation %'!$5:$5,0)-1)*$F35</f>
        <v>0</v>
      </c>
      <c r="AV35" s="73">
        <f ca="1">OFFSET('Allocation %'!$A$1,MATCH(AV$4,'Allocation %'!$A:$A,0)-1,MATCH($D35,'Allocation %'!$5:$5,0)-1)*$F35</f>
        <v>0</v>
      </c>
      <c r="AW35" s="73">
        <f ca="1">OFFSET('Allocation %'!$A$1,MATCH(AW$4,'Allocation %'!$A:$A,0)-1,MATCH($D35,'Allocation %'!$5:$5,0)-1)*$F35</f>
        <v>14670.369859534634</v>
      </c>
      <c r="AX35" s="73">
        <f ca="1">OFFSET('Allocation %'!$A$1,MATCH(AX$4,'Allocation %'!$A:$A,0)-1,MATCH($D35,'Allocation %'!$5:$5,0)-1)*$F35</f>
        <v>0</v>
      </c>
      <c r="AY35" s="73">
        <f ca="1">OFFSET('Allocation %'!$A$1,MATCH(AY$4,'Allocation %'!$A:$A,0)-1,MATCH($D35,'Allocation %'!$5:$5,0)-1)*$F35</f>
        <v>0</v>
      </c>
      <c r="AZ35" s="317">
        <f ca="1">OFFSET('Allocation %'!$A$1,MATCH(AZ$4,'Allocation %'!$A:$A,0)-1,MATCH($D35,'Allocation %'!$5:$5,0)-1)*$F35</f>
        <v>0</v>
      </c>
      <c r="BA35" s="317">
        <f ca="1">OFFSET('Allocation %'!$A$1,MATCH(BA$4,'Allocation %'!$A:$A,0)-1,MATCH($D35,'Allocation %'!$5:$5,0)-1)*$F35</f>
        <v>0</v>
      </c>
      <c r="BB35" s="73">
        <f ca="1">OFFSET('Allocation %'!$A$1,MATCH(BB$4,'Allocation %'!$A:$A,0)-1,MATCH($D35,'Allocation %'!$5:$5,0)-1)*$F35</f>
        <v>41296.956866999244</v>
      </c>
      <c r="BC35" s="73">
        <f ca="1">OFFSET('Allocation %'!$A$1,MATCH(BC$4,'Allocation %'!$A:$A,0)-1,MATCH($D35,'Allocation %'!$5:$5,0)-1)*$F35</f>
        <v>1351.6594119292454</v>
      </c>
      <c r="BD35" s="73">
        <f ca="1">OFFSET('Allocation %'!$A$1,MATCH(BD$4,'Allocation %'!$A:$A,0)-1,MATCH($D35,'Allocation %'!$5:$5,0)-1)*$F35</f>
        <v>24832.169880673002</v>
      </c>
      <c r="BE35" s="73">
        <f ca="1">OFFSET('Allocation %'!$A$1,MATCH(BE$4,'Allocation %'!$A:$A,0)-1,MATCH($D35,'Allocation %'!$5:$5,0)-1)*$F35</f>
        <v>89732.437497503444</v>
      </c>
      <c r="BG35" s="76">
        <f t="shared" ca="1" si="3"/>
        <v>179114.31</v>
      </c>
      <c r="BH35" s="349">
        <f t="shared" ca="1" si="4"/>
        <v>0</v>
      </c>
      <c r="BJ35" s="76">
        <f t="shared" ca="1" si="2"/>
        <v>179114.31</v>
      </c>
    </row>
    <row r="36" spans="1:62" s="177" customFormat="1" x14ac:dyDescent="0.25">
      <c r="B36" s="305" t="s">
        <v>321</v>
      </c>
      <c r="C36" s="177" t="str">
        <f>INDEX(ACTUALS!$E:$E,MATCH($B36,ACTUALS!$A:$A,0))</f>
        <v>USD</v>
      </c>
      <c r="D36" s="352" t="str">
        <f ca="1">OFFSET(ACTUALS!$O$2,MATCH($B36,ACTUALS!$A:$A,0)-2,MATCH($E$4,ACTUALS!$P$2:$P$2,0))</f>
        <v>All Less RU - L48</v>
      </c>
      <c r="E36" s="73">
        <f ca="1">IF($C36=E$3,SUMIFS(OFFSET(ACTUALS!$A:$A,,MATCH(E$4,ACTUALS!$2:$2,0)-1,,),ACTUALS!$A:$A,$B36)*-1000,F36*'2020 Assumptions'!$B$4)</f>
        <v>85162.463100000008</v>
      </c>
      <c r="F36" s="305">
        <f ca="1">IF($C36=F$3,SUMIFS(OFFSET(ACTUALS!$A:$A,,MATCH(F$4,ACTUALS!$2:$2,0)-1,,),ACTUALS!$A:$A,$B36)*-1000,E36/'2020 Assumptions'!$B$4)</f>
        <v>63355.5</v>
      </c>
      <c r="G36" s="73">
        <f ca="1">IF($C36=G$3,SUMIFS(OFFSET('Non-margin Costs'!$A:$A,,MATCH(G$4,'Non-margin Costs'!$2:$2,0)-1,,),'Non-margin Costs'!$A:$A,$B36)*1000,(SUMIFS(OFFSET('Non-margin Costs'!$A:$A,,MATCH(G$4,'Non-margin Costs'!$2:$2,0)-1,,),'Non-margin Costs'!$A:$A,$B36)*1000)/'2020 Assumptions'!$B$4)</f>
        <v>0</v>
      </c>
      <c r="I36" s="73">
        <f ca="1">OFFSET('Allocation %'!$A$1,MATCH(I$4,'Allocation %'!$A:$A,0)-1,MATCH($D36,'Allocation %'!$5:$5,0)-1)*$F36</f>
        <v>0</v>
      </c>
      <c r="J36" s="73">
        <f ca="1">OFFSET('Allocation %'!$A$1,MATCH(J$4,'Allocation %'!$A:$A,0)-1,MATCH($D36,'Allocation %'!$5:$5,0)-1)*$F36</f>
        <v>324.20613892841277</v>
      </c>
      <c r="K36" s="73">
        <f ca="1">OFFSET('Allocation %'!$A$1,MATCH(K$4,'Allocation %'!$A:$A,0)-1,MATCH($D36,'Allocation %'!$5:$5,0)-1)*$F36</f>
        <v>101.51025815768701</v>
      </c>
      <c r="L36" s="73">
        <f ca="1">OFFSET('Allocation %'!$A$1,MATCH(L$4,'Allocation %'!$A:$A,0)-1,MATCH($D36,'Allocation %'!$5:$5,0)-1)*$F36</f>
        <v>109.41824985810322</v>
      </c>
      <c r="M36" s="73">
        <f ca="1">OFFSET('Allocation %'!$A$1,MATCH(M$4,'Allocation %'!$A:$A,0)-1,MATCH($D36,'Allocation %'!$5:$5,0)-1)*$F36</f>
        <v>180.9548159663135</v>
      </c>
      <c r="N36" s="73">
        <f ca="1">OFFSET('Allocation %'!$A$1,MATCH(N$4,'Allocation %'!$A:$A,0)-1,MATCH($D36,'Allocation %'!$5:$5,0)-1)*$F36</f>
        <v>156.65032519719497</v>
      </c>
      <c r="O36" s="73">
        <f ca="1">OFFSET('Allocation %'!$A$1,MATCH(O$4,'Allocation %'!$A:$A,0)-1,MATCH($D36,'Allocation %'!$5:$5,0)-1)*$F36</f>
        <v>368.23496388220627</v>
      </c>
      <c r="P36" s="73">
        <f ca="1">OFFSET('Allocation %'!$A$1,MATCH(P$4,'Allocation %'!$A:$A,0)-1,MATCH($D36,'Allocation %'!$5:$5,0)-1)*$F36</f>
        <v>53.677256347749491</v>
      </c>
      <c r="Q36" s="73">
        <f ca="1">OFFSET('Allocation %'!$A$1,MATCH(Q$4,'Allocation %'!$A:$A,0)-1,MATCH($D36,'Allocation %'!$5:$5,0)-1)*$F36</f>
        <v>117.13336407144347</v>
      </c>
      <c r="R36" s="73">
        <f ca="1">OFFSET('Allocation %'!$A$1,MATCH(R$4,'Allocation %'!$A:$A,0)-1,MATCH($D36,'Allocation %'!$5:$5,0)-1)*$F36</f>
        <v>108.31583069764406</v>
      </c>
      <c r="S36" s="73">
        <f ca="1">OFFSET('Allocation %'!$A$1,MATCH(S$4,'Allocation %'!$A:$A,0)-1,MATCH($D36,'Allocation %'!$5:$5,0)-1)*$F36</f>
        <v>104.01046523561789</v>
      </c>
      <c r="T36" s="73">
        <f ca="1">OFFSET('Allocation %'!$A$1,MATCH(T$4,'Allocation %'!$A:$A,0)-1,MATCH($D36,'Allocation %'!$5:$5,0)-1)*$F36</f>
        <v>373.72487073023586</v>
      </c>
      <c r="U36" s="73">
        <f ca="1">OFFSET('Allocation %'!$A$1,MATCH(U$4,'Allocation %'!$A:$A,0)-1,MATCH($D36,'Allocation %'!$5:$5,0)-1)*$F36</f>
        <v>238.53439479070687</v>
      </c>
      <c r="V36" s="73">
        <f ca="1">OFFSET('Allocation %'!$A$1,MATCH(V$4,'Allocation %'!$A:$A,0)-1,MATCH($D36,'Allocation %'!$5:$5,0)-1)*$F36</f>
        <v>252.88452517204266</v>
      </c>
      <c r="W36" s="73">
        <f ca="1">OFFSET('Allocation %'!$A$1,MATCH(W$4,'Allocation %'!$A:$A,0)-1,MATCH($D36,'Allocation %'!$5:$5,0)-1)*$F36</f>
        <v>410.19908723382537</v>
      </c>
      <c r="X36" s="73">
        <f ca="1">OFFSET('Allocation %'!$A$1,MATCH(X$4,'Allocation %'!$A:$A,0)-1,MATCH($D36,'Allocation %'!$5:$5,0)-1)*$F36</f>
        <v>9.4446003383730783</v>
      </c>
      <c r="Y36" s="73">
        <f ca="1">OFFSET('Allocation %'!$A$1,MATCH(Y$4,'Allocation %'!$A:$A,0)-1,MATCH($D36,'Allocation %'!$5:$5,0)-1)*$F36</f>
        <v>7.4164985526660399</v>
      </c>
      <c r="Z36" s="73">
        <f ca="1">OFFSET('Allocation %'!$A$1,MATCH(Z$4,'Allocation %'!$A:$A,0)-1,MATCH($D36,'Allocation %'!$5:$5,0)-1)*$F36</f>
        <v>21.599910429709627</v>
      </c>
      <c r="AA36" s="73">
        <f ca="1">OFFSET('Allocation %'!$A$1,MATCH(AA$4,'Allocation %'!$A:$A,0)-1,MATCH($D36,'Allocation %'!$5:$5,0)-1)*$F36</f>
        <v>19.673161246029743</v>
      </c>
      <c r="AB36" s="73">
        <f ca="1">OFFSET('Allocation %'!$A$1,MATCH(AB$4,'Allocation %'!$A:$A,0)-1,MATCH($D36,'Allocation %'!$5:$5,0)-1)*$F36</f>
        <v>18.925511675457361</v>
      </c>
      <c r="AC36" s="73">
        <f ca="1">OFFSET('Allocation %'!$A$1,MATCH(AC$4,'Allocation %'!$A:$A,0)-1,MATCH($D36,'Allocation %'!$5:$5,0)-1)*$F36</f>
        <v>21.599184429411519</v>
      </c>
      <c r="AD36" s="73">
        <f ca="1">OFFSET('Allocation %'!$A$1,MATCH(AD$4,'Allocation %'!$A:$A,0)-1,MATCH($D36,'Allocation %'!$5:$5,0)-1)*$F36</f>
        <v>47.306386053252844</v>
      </c>
      <c r="AE36" s="73">
        <f ca="1">OFFSET('Allocation %'!$A$1,MATCH(AE$4,'Allocation %'!$A:$A,0)-1,MATCH($D36,'Allocation %'!$5:$5,0)-1)*$F36</f>
        <v>45.849704166638851</v>
      </c>
      <c r="AF36" s="73">
        <f ca="1">OFFSET('Allocation %'!$A$1,MATCH(AF$4,'Allocation %'!$A:$A,0)-1,MATCH($D36,'Allocation %'!$5:$5,0)-1)*$F36</f>
        <v>228.87613895035219</v>
      </c>
      <c r="AG36" s="73">
        <f ca="1">OFFSET('Allocation %'!$A$1,MATCH(AG$4,'Allocation %'!$A:$A,0)-1,MATCH($D36,'Allocation %'!$5:$5,0)-1)*$F36</f>
        <v>360.45587626193031</v>
      </c>
      <c r="AH36" s="73">
        <f ca="1">OFFSET('Allocation %'!$A$1,MATCH(AH$4,'Allocation %'!$A:$A,0)-1,MATCH($D36,'Allocation %'!$5:$5,0)-1)*$F36</f>
        <v>3141.9724806702357</v>
      </c>
      <c r="AI36" s="73">
        <f ca="1">OFFSET('Allocation %'!$A$1,MATCH(AI$4,'Allocation %'!$A:$A,0)-1,MATCH($D36,'Allocation %'!$5:$5,0)-1)*$F36</f>
        <v>18.822694655410263</v>
      </c>
      <c r="AJ36" s="73">
        <f ca="1">OFFSET('Allocation %'!$A$1,MATCH(AJ$4,'Allocation %'!$A:$A,0)-1,MATCH($D36,'Allocation %'!$5:$5,0)-1)*$F36</f>
        <v>441.86260997463381</v>
      </c>
      <c r="AK36" s="73">
        <f ca="1">OFFSET('Allocation %'!$A$1,MATCH(AK$4,'Allocation %'!$A:$A,0)-1,MATCH($D36,'Allocation %'!$5:$5,0)-1)*$F36</f>
        <v>396.78968920438979</v>
      </c>
      <c r="AL36" s="73">
        <f ca="1">OFFSET('Allocation %'!$A$1,MATCH(AL$4,'Allocation %'!$A:$A,0)-1,MATCH($D36,'Allocation %'!$5:$5,0)-1)*$F36</f>
        <v>0</v>
      </c>
      <c r="AM36" s="73">
        <f ca="1">OFFSET('Allocation %'!$A$1,MATCH(AM$4,'Allocation %'!$A:$A,0)-1,MATCH($D36,'Allocation %'!$5:$5,0)-1)*$F36</f>
        <v>51.44094536742378</v>
      </c>
      <c r="AN36" s="73">
        <f ca="1">OFFSET('Allocation %'!$A$1,MATCH(AN$4,'Allocation %'!$A:$A,0)-1,MATCH($D36,'Allocation %'!$5:$5,0)-1)*$F36</f>
        <v>0</v>
      </c>
      <c r="AO36" s="73">
        <f ca="1">OFFSET('Allocation %'!$A$1,MATCH(AO$4,'Allocation %'!$A:$A,0)-1,MATCH($D36,'Allocation %'!$5:$5,0)-1)*$F36</f>
        <v>426.56898057701142</v>
      </c>
      <c r="AP36" s="73">
        <f ca="1">OFFSET('Allocation %'!$A$1,MATCH(AP$4,'Allocation %'!$A:$A,0)-1,MATCH($D36,'Allocation %'!$5:$5,0)-1)*$F36</f>
        <v>88.999830733163449</v>
      </c>
      <c r="AQ36" s="73">
        <f ca="1">OFFSET('Allocation %'!$A$1,MATCH(AQ$4,'Allocation %'!$A:$A,0)-1,MATCH($D36,'Allocation %'!$5:$5,0)-1)*$F36</f>
        <v>394.14629064906813</v>
      </c>
      <c r="AR36" s="73">
        <f ca="1">OFFSET('Allocation %'!$A$1,MATCH(AR$4,'Allocation %'!$A:$A,0)-1,MATCH($D36,'Allocation %'!$5:$5,0)-1)*$F36</f>
        <v>9.718146398767507</v>
      </c>
      <c r="AS36" s="73">
        <f ca="1">OFFSET('Allocation %'!$A$1,MATCH(AS$4,'Allocation %'!$A:$A,0)-1,MATCH($D36,'Allocation %'!$5:$5,0)-1)*$F36</f>
        <v>725.23404895724741</v>
      </c>
      <c r="AT36" s="73">
        <f ca="1">OFFSET('Allocation %'!$A$1,MATCH(AT$4,'Allocation %'!$A:$A,0)-1,MATCH($D36,'Allocation %'!$5:$5,0)-1)*$F36</f>
        <v>427.51463114909956</v>
      </c>
      <c r="AU36" s="73">
        <f ca="1">OFFSET('Allocation %'!$A$1,MATCH(AU$4,'Allocation %'!$A:$A,0)-1,MATCH($D36,'Allocation %'!$5:$5,0)-1)*$F36</f>
        <v>508.68289450542386</v>
      </c>
      <c r="AV36" s="73">
        <f ca="1">OFFSET('Allocation %'!$A$1,MATCH(AV$4,'Allocation %'!$A:$A,0)-1,MATCH($D36,'Allocation %'!$5:$5,0)-1)*$F36</f>
        <v>782.76863287491881</v>
      </c>
      <c r="AW36" s="73">
        <f ca="1">OFFSET('Allocation %'!$A$1,MATCH(AW$4,'Allocation %'!$A:$A,0)-1,MATCH($D36,'Allocation %'!$5:$5,0)-1)*$F36</f>
        <v>3003.8837027986924</v>
      </c>
      <c r="AX36" s="73">
        <f ca="1">OFFSET('Allocation %'!$A$1,MATCH(AX$4,'Allocation %'!$A:$A,0)-1,MATCH($D36,'Allocation %'!$5:$5,0)-1)*$F36</f>
        <v>51.218153833029916</v>
      </c>
      <c r="AY36" s="73">
        <f ca="1">OFFSET('Allocation %'!$A$1,MATCH(AY$4,'Allocation %'!$A:$A,0)-1,MATCH($D36,'Allocation %'!$5:$5,0)-1)*$F36</f>
        <v>0</v>
      </c>
      <c r="AZ36" s="317">
        <f ca="1">OFFSET('Allocation %'!$A$1,MATCH(AZ$4,'Allocation %'!$A:$A,0)-1,MATCH($D36,'Allocation %'!$5:$5,0)-1)*$F36</f>
        <v>0</v>
      </c>
      <c r="BA36" s="73">
        <f ca="1">OFFSET('Allocation %'!$A$1,MATCH(BA$4,'Allocation %'!$A:$A,0)-1,MATCH($D36,'Allocation %'!$5:$5,0)-1)*$F36</f>
        <v>14137.35967225411</v>
      </c>
      <c r="BB36" s="73">
        <f ca="1">OFFSET('Allocation %'!$A$1,MATCH(BB$4,'Allocation %'!$A:$A,0)-1,MATCH($D36,'Allocation %'!$5:$5,0)-1)*$F36</f>
        <v>9218.8018412177062</v>
      </c>
      <c r="BC36" s="73">
        <f ca="1">OFFSET('Allocation %'!$A$1,MATCH(BC$4,'Allocation %'!$A:$A,0)-1,MATCH($D36,'Allocation %'!$5:$5,0)-1)*$F36</f>
        <v>284.20046245133074</v>
      </c>
      <c r="BD36" s="73">
        <f ca="1">OFFSET('Allocation %'!$A$1,MATCH(BD$4,'Allocation %'!$A:$A,0)-1,MATCH($D36,'Allocation %'!$5:$5,0)-1)*$F36</f>
        <v>5444.4777801815944</v>
      </c>
      <c r="BE36" s="73">
        <f ca="1">OFFSET('Allocation %'!$A$1,MATCH(BE$4,'Allocation %'!$A:$A,0)-1,MATCH($D36,'Allocation %'!$5:$5,0)-1)*$F36</f>
        <v>20120.434993173742</v>
      </c>
      <c r="BG36" s="76">
        <f t="shared" ca="1" si="3"/>
        <v>63355.5</v>
      </c>
      <c r="BH36" s="349">
        <f t="shared" ca="1" si="4"/>
        <v>0</v>
      </c>
      <c r="BJ36" s="76">
        <f t="shared" ca="1" si="2"/>
        <v>49218.140327745896</v>
      </c>
    </row>
    <row r="37" spans="1:62" s="177" customFormat="1" x14ac:dyDescent="0.25">
      <c r="B37" s="305" t="s">
        <v>322</v>
      </c>
      <c r="C37" s="177" t="str">
        <f>INDEX(ACTUALS!$E:$E,MATCH($B37,ACTUALS!$A:$A,0))</f>
        <v>USD</v>
      </c>
      <c r="D37" s="352" t="str">
        <f ca="1">OFFSET(ACTUALS!$O$2,MATCH($B37,ACTUALS!$A:$A,0)-2,MATCH($E$4,ACTUALS!$P$2:$P$2,0))</f>
        <v>All Less RU - L48</v>
      </c>
      <c r="E37" s="73">
        <f ca="1">IF($C37=E$3,SUMIFS(OFFSET(ACTUALS!$A:$A,,MATCH(E$4,ACTUALS!$2:$2,0)-1,,),ACTUALS!$A:$A,$B37)*-1000,F37*'2020 Assumptions'!$B$4)</f>
        <v>19351.372040000002</v>
      </c>
      <c r="F37" s="305">
        <f ca="1">IF($C37=F$3,SUMIFS(OFFSET(ACTUALS!$A:$A,,MATCH(F$4,ACTUALS!$2:$2,0)-1,,),ACTUALS!$A:$A,$B37)*-1000,E37/'2020 Assumptions'!$B$4)</f>
        <v>14396.2</v>
      </c>
      <c r="G37" s="73">
        <f ca="1">IF($C37=G$3,SUMIFS(OFFSET('Non-margin Costs'!$A:$A,,MATCH(G$4,'Non-margin Costs'!$2:$2,0)-1,,),'Non-margin Costs'!$A:$A,$B37)*1000,(SUMIFS(OFFSET('Non-margin Costs'!$A:$A,,MATCH(G$4,'Non-margin Costs'!$2:$2,0)-1,,),'Non-margin Costs'!$A:$A,$B37)*1000)/'2020 Assumptions'!$B$4)</f>
        <v>1795.1200000000001</v>
      </c>
      <c r="I37" s="73">
        <f ca="1">OFFSET('Allocation %'!$A$1,MATCH(I$4,'Allocation %'!$A:$A,0)-1,MATCH($D37,'Allocation %'!$5:$5,0)-1)*$F37</f>
        <v>0</v>
      </c>
      <c r="J37" s="73">
        <f ca="1">OFFSET('Allocation %'!$A$1,MATCH(J$4,'Allocation %'!$A:$A,0)-1,MATCH($D37,'Allocation %'!$5:$5,0)-1)*$F37</f>
        <v>73.669001384902899</v>
      </c>
      <c r="K37" s="73">
        <f ca="1">OFFSET('Allocation %'!$A$1,MATCH(K$4,'Allocation %'!$A:$A,0)-1,MATCH($D37,'Allocation %'!$5:$5,0)-1)*$F37</f>
        <v>23.066063380285748</v>
      </c>
      <c r="L37" s="73">
        <f ca="1">OFFSET('Allocation %'!$A$1,MATCH(L$4,'Allocation %'!$A:$A,0)-1,MATCH($D37,'Allocation %'!$5:$5,0)-1)*$F37</f>
        <v>24.862987563940397</v>
      </c>
      <c r="M37" s="73">
        <f ca="1">OFFSET('Allocation %'!$A$1,MATCH(M$4,'Allocation %'!$A:$A,0)-1,MATCH($D37,'Allocation %'!$5:$5,0)-1)*$F37</f>
        <v>41.118162142422399</v>
      </c>
      <c r="N37" s="73">
        <f ca="1">OFFSET('Allocation %'!$A$1,MATCH(N$4,'Allocation %'!$A:$A,0)-1,MATCH($D37,'Allocation %'!$5:$5,0)-1)*$F37</f>
        <v>35.595479660074631</v>
      </c>
      <c r="O37" s="73">
        <f ca="1">OFFSET('Allocation %'!$A$1,MATCH(O$4,'Allocation %'!$A:$A,0)-1,MATCH($D37,'Allocation %'!$5:$5,0)-1)*$F37</f>
        <v>83.673622448580119</v>
      </c>
      <c r="P37" s="73">
        <f ca="1">OFFSET('Allocation %'!$A$1,MATCH(P$4,'Allocation %'!$A:$A,0)-1,MATCH($D37,'Allocation %'!$5:$5,0)-1)*$F37</f>
        <v>12.197023428644258</v>
      </c>
      <c r="Q37" s="73">
        <f ca="1">OFFSET('Allocation %'!$A$1,MATCH(Q$4,'Allocation %'!$A:$A,0)-1,MATCH($D37,'Allocation %'!$5:$5,0)-1)*$F37</f>
        <v>26.616084410119321</v>
      </c>
      <c r="R37" s="73">
        <f ca="1">OFFSET('Allocation %'!$A$1,MATCH(R$4,'Allocation %'!$A:$A,0)-1,MATCH($D37,'Allocation %'!$5:$5,0)-1)*$F37</f>
        <v>24.612486080757371</v>
      </c>
      <c r="S37" s="73">
        <f ca="1">OFFSET('Allocation %'!$A$1,MATCH(S$4,'Allocation %'!$A:$A,0)-1,MATCH($D37,'Allocation %'!$5:$5,0)-1)*$F37</f>
        <v>23.634182661726324</v>
      </c>
      <c r="T37" s="73">
        <f ca="1">OFFSET('Allocation %'!$A$1,MATCH(T$4,'Allocation %'!$A:$A,0)-1,MATCH($D37,'Allocation %'!$5:$5,0)-1)*$F37</f>
        <v>84.921087893026211</v>
      </c>
      <c r="U37" s="73">
        <f ca="1">OFFSET('Allocation %'!$A$1,MATCH(U$4,'Allocation %'!$A:$A,0)-1,MATCH($D37,'Allocation %'!$5:$5,0)-1)*$F37</f>
        <v>54.201905979527815</v>
      </c>
      <c r="V37" s="73">
        <f ca="1">OFFSET('Allocation %'!$A$1,MATCH(V$4,'Allocation %'!$A:$A,0)-1,MATCH($D37,'Allocation %'!$5:$5,0)-1)*$F37</f>
        <v>57.462670190934659</v>
      </c>
      <c r="W37" s="73">
        <f ca="1">OFFSET('Allocation %'!$A$1,MATCH(W$4,'Allocation %'!$A:$A,0)-1,MATCH($D37,'Allocation %'!$5:$5,0)-1)*$F37</f>
        <v>93.209083657071545</v>
      </c>
      <c r="X37" s="73">
        <f ca="1">OFFSET('Allocation %'!$A$1,MATCH(X$4,'Allocation %'!$A:$A,0)-1,MATCH($D37,'Allocation %'!$5:$5,0)-1)*$F37</f>
        <v>2.1460860602676406</v>
      </c>
      <c r="Y37" s="73">
        <f ca="1">OFFSET('Allocation %'!$A$1,MATCH(Y$4,'Allocation %'!$A:$A,0)-1,MATCH($D37,'Allocation %'!$5:$5,0)-1)*$F37</f>
        <v>1.6852427407863699</v>
      </c>
      <c r="Z37" s="73">
        <f ca="1">OFFSET('Allocation %'!$A$1,MATCH(Z$4,'Allocation %'!$A:$A,0)-1,MATCH($D37,'Allocation %'!$5:$5,0)-1)*$F37</f>
        <v>4.9081236913635875</v>
      </c>
      <c r="AA37" s="73">
        <f ca="1">OFFSET('Allocation %'!$A$1,MATCH(AA$4,'Allocation %'!$A:$A,0)-1,MATCH($D37,'Allocation %'!$5:$5,0)-1)*$F37</f>
        <v>4.4703106112349102</v>
      </c>
      <c r="AB37" s="73">
        <f ca="1">OFFSET('Allocation %'!$A$1,MATCH(AB$4,'Allocation %'!$A:$A,0)-1,MATCH($D37,'Allocation %'!$5:$5,0)-1)*$F37</f>
        <v>4.3004230285013811</v>
      </c>
      <c r="AC37" s="73">
        <f ca="1">OFFSET('Allocation %'!$A$1,MATCH(AC$4,'Allocation %'!$A:$A,0)-1,MATCH($D37,'Allocation %'!$5:$5,0)-1)*$F37</f>
        <v>4.9079587231210251</v>
      </c>
      <c r="AD37" s="73">
        <f ca="1">OFFSET('Allocation %'!$A$1,MATCH(AD$4,'Allocation %'!$A:$A,0)-1,MATCH($D37,'Allocation %'!$5:$5,0)-1)*$F37</f>
        <v>10.749377637298082</v>
      </c>
      <c r="AE37" s="73">
        <f ca="1">OFFSET('Allocation %'!$A$1,MATCH(AE$4,'Allocation %'!$A:$A,0)-1,MATCH($D37,'Allocation %'!$5:$5,0)-1)*$F37</f>
        <v>10.418377427749229</v>
      </c>
      <c r="AF37" s="73">
        <f ca="1">OFFSET('Allocation %'!$A$1,MATCH(AF$4,'Allocation %'!$A:$A,0)-1,MATCH($D37,'Allocation %'!$5:$5,0)-1)*$F37</f>
        <v>52.007271216501486</v>
      </c>
      <c r="AG37" s="73">
        <f ca="1">OFFSET('Allocation %'!$A$1,MATCH(AG$4,'Allocation %'!$A:$A,0)-1,MATCH($D37,'Allocation %'!$5:$5,0)-1)*$F37</f>
        <v>81.905988996093498</v>
      </c>
      <c r="AH37" s="73">
        <f ca="1">OFFSET('Allocation %'!$A$1,MATCH(AH$4,'Allocation %'!$A:$A,0)-1,MATCH($D37,'Allocation %'!$5:$5,0)-1)*$F37</f>
        <v>713.94692214921906</v>
      </c>
      <c r="AI37" s="73">
        <f ca="1">OFFSET('Allocation %'!$A$1,MATCH(AI$4,'Allocation %'!$A:$A,0)-1,MATCH($D37,'Allocation %'!$5:$5,0)-1)*$F37</f>
        <v>4.2770600310662408</v>
      </c>
      <c r="AJ37" s="73">
        <f ca="1">OFFSET('Allocation %'!$A$1,MATCH(AJ$4,'Allocation %'!$A:$A,0)-1,MATCH($D37,'Allocation %'!$5:$5,0)-1)*$F37</f>
        <v>100.40395081274434</v>
      </c>
      <c r="AK37" s="73">
        <f ca="1">OFFSET('Allocation %'!$A$1,MATCH(AK$4,'Allocation %'!$A:$A,0)-1,MATCH($D37,'Allocation %'!$5:$5,0)-1)*$F37</f>
        <v>90.162081014659137</v>
      </c>
      <c r="AL37" s="73">
        <f ca="1">OFFSET('Allocation %'!$A$1,MATCH(AL$4,'Allocation %'!$A:$A,0)-1,MATCH($D37,'Allocation %'!$5:$5,0)-1)*$F37</f>
        <v>0</v>
      </c>
      <c r="AM37" s="73">
        <f ca="1">OFFSET('Allocation %'!$A$1,MATCH(AM$4,'Allocation %'!$A:$A,0)-1,MATCH($D37,'Allocation %'!$5:$5,0)-1)*$F37</f>
        <v>11.688868964786108</v>
      </c>
      <c r="AN37" s="73">
        <f ca="1">OFFSET('Allocation %'!$A$1,MATCH(AN$4,'Allocation %'!$A:$A,0)-1,MATCH($D37,'Allocation %'!$5:$5,0)-1)*$F37</f>
        <v>0</v>
      </c>
      <c r="AO37" s="73">
        <f ca="1">OFFSET('Allocation %'!$A$1,MATCH(AO$4,'Allocation %'!$A:$A,0)-1,MATCH($D37,'Allocation %'!$5:$5,0)-1)*$F37</f>
        <v>96.928796366262944</v>
      </c>
      <c r="AP37" s="73">
        <f ca="1">OFFSET('Allocation %'!$A$1,MATCH(AP$4,'Allocation %'!$A:$A,0)-1,MATCH($D37,'Allocation %'!$5:$5,0)-1)*$F37</f>
        <v>20.223332831415863</v>
      </c>
      <c r="AQ37" s="73">
        <f ca="1">OFFSET('Allocation %'!$A$1,MATCH(AQ$4,'Allocation %'!$A:$A,0)-1,MATCH($D37,'Allocation %'!$5:$5,0)-1)*$F37</f>
        <v>89.561424492618869</v>
      </c>
      <c r="AR37" s="73">
        <f ca="1">OFFSET('Allocation %'!$A$1,MATCH(AR$4,'Allocation %'!$A:$A,0)-1,MATCH($D37,'Allocation %'!$5:$5,0)-1)*$F37</f>
        <v>2.2082436281922928</v>
      </c>
      <c r="AS37" s="73">
        <f ca="1">OFFSET('Allocation %'!$A$1,MATCH(AS$4,'Allocation %'!$A:$A,0)-1,MATCH($D37,'Allocation %'!$5:$5,0)-1)*$F37</f>
        <v>164.79412861706285</v>
      </c>
      <c r="AT37" s="73">
        <f ca="1">OFFSET('Allocation %'!$A$1,MATCH(AT$4,'Allocation %'!$A:$A,0)-1,MATCH($D37,'Allocation %'!$5:$5,0)-1)*$F37</f>
        <v>97.143675496976059</v>
      </c>
      <c r="AU37" s="73">
        <f ca="1">OFFSET('Allocation %'!$A$1,MATCH(AU$4,'Allocation %'!$A:$A,0)-1,MATCH($D37,'Allocation %'!$5:$5,0)-1)*$F37</f>
        <v>115.58744995902461</v>
      </c>
      <c r="AV37" s="73">
        <f ca="1">OFFSET('Allocation %'!$A$1,MATCH(AV$4,'Allocation %'!$A:$A,0)-1,MATCH($D37,'Allocation %'!$5:$5,0)-1)*$F37</f>
        <v>177.86764831141585</v>
      </c>
      <c r="AW37" s="73">
        <f ca="1">OFFSET('Allocation %'!$A$1,MATCH(AW$4,'Allocation %'!$A:$A,0)-1,MATCH($D37,'Allocation %'!$5:$5,0)-1)*$F37</f>
        <v>682.56916230209742</v>
      </c>
      <c r="AX37" s="73">
        <f ca="1">OFFSET('Allocation %'!$A$1,MATCH(AX$4,'Allocation %'!$A:$A,0)-1,MATCH($D37,'Allocation %'!$5:$5,0)-1)*$F37</f>
        <v>11.638244291514791</v>
      </c>
      <c r="AY37" s="73">
        <f ca="1">OFFSET('Allocation %'!$A$1,MATCH(AY$4,'Allocation %'!$A:$A,0)-1,MATCH($D37,'Allocation %'!$5:$5,0)-1)*$F37</f>
        <v>0</v>
      </c>
      <c r="AZ37" s="317">
        <f ca="1">OFFSET('Allocation %'!$A$1,MATCH(AZ$4,'Allocation %'!$A:$A,0)-1,MATCH($D37,'Allocation %'!$5:$5,0)-1)*$F37</f>
        <v>0</v>
      </c>
      <c r="BA37" s="73">
        <f ca="1">OFFSET('Allocation %'!$A$1,MATCH(BA$4,'Allocation %'!$A:$A,0)-1,MATCH($D37,'Allocation %'!$5:$5,0)-1)*$F37</f>
        <v>3212.4165591575256</v>
      </c>
      <c r="BB37" s="73">
        <f ca="1">OFFSET('Allocation %'!$A$1,MATCH(BB$4,'Allocation %'!$A:$A,0)-1,MATCH($D37,'Allocation %'!$5:$5,0)-1)*$F37</f>
        <v>2094.7781181829255</v>
      </c>
      <c r="BC37" s="73">
        <f ca="1">OFFSET('Allocation %'!$A$1,MATCH(BC$4,'Allocation %'!$A:$A,0)-1,MATCH($D37,'Allocation %'!$5:$5,0)-1)*$F37</f>
        <v>64.578555887679016</v>
      </c>
      <c r="BD37" s="73">
        <f ca="1">OFFSET('Allocation %'!$A$1,MATCH(BD$4,'Allocation %'!$A:$A,0)-1,MATCH($D37,'Allocation %'!$5:$5,0)-1)*$F37</f>
        <v>1237.142647742505</v>
      </c>
      <c r="BE37" s="73">
        <f ca="1">OFFSET('Allocation %'!$A$1,MATCH(BE$4,'Allocation %'!$A:$A,0)-1,MATCH($D37,'Allocation %'!$5:$5,0)-1)*$F37</f>
        <v>4571.9441287453783</v>
      </c>
      <c r="BG37" s="76">
        <f t="shared" ca="1" si="3"/>
        <v>14396.2</v>
      </c>
      <c r="BH37" s="349">
        <f t="shared" ca="1" si="4"/>
        <v>0</v>
      </c>
      <c r="BJ37" s="76">
        <f t="shared" ca="1" si="2"/>
        <v>11183.783440842475</v>
      </c>
    </row>
    <row r="38" spans="1:62" s="177" customFormat="1" x14ac:dyDescent="0.25">
      <c r="B38" s="354" t="s">
        <v>323</v>
      </c>
      <c r="C38" s="177" t="str">
        <f>INDEX(ACTUALS!$E:$E,MATCH($B38,ACTUALS!$A:$A,0))</f>
        <v>USD</v>
      </c>
      <c r="D38" s="352" t="str">
        <f ca="1">OFFSET(ACTUALS!$O$2,MATCH($B38,ACTUALS!$A:$A,0)-2,MATCH($E$4,ACTUALS!$P$2:$P$2,0))</f>
        <v>Canadian RU + Alaska</v>
      </c>
      <c r="E38" s="73">
        <f ca="1">IF($C38=E$3,SUMIFS(OFFSET(ACTUALS!$A:$A,,MATCH(E$4,ACTUALS!$2:$2,0)-1,,),ACTUALS!$A:$A,$B38)*-1000,F38*'2020 Assumptions'!$B$4)</f>
        <v>76113.792612000005</v>
      </c>
      <c r="F38" s="305">
        <f ca="1">IF($C38=F$3,SUMIFS(OFFSET(ACTUALS!$A:$A,,MATCH(F$4,ACTUALS!$2:$2,0)-1,,),ACTUALS!$A:$A,$B38)*-1000,E38/'2020 Assumptions'!$B$4)</f>
        <v>56623.86</v>
      </c>
      <c r="G38" s="73">
        <f ca="1">IF($C38=G$3,SUMIFS(OFFSET('Non-margin Costs'!$A:$A,,MATCH(G$4,'Non-margin Costs'!$2:$2,0)-1,,),'Non-margin Costs'!$A:$A,$B38)*1000,(SUMIFS(OFFSET('Non-margin Costs'!$A:$A,,MATCH(G$4,'Non-margin Costs'!$2:$2,0)-1,,),'Non-margin Costs'!$A:$A,$B38)*1000)/'2020 Assumptions'!$B$4)</f>
        <v>527.62</v>
      </c>
      <c r="I38" s="73">
        <f ca="1">OFFSET('Allocation %'!$A$1,MATCH(I$4,'Allocation %'!$A:$A,0)-1,MATCH($D38,'Allocation %'!$5:$5,0)-1)*$F38</f>
        <v>0</v>
      </c>
      <c r="J38" s="73">
        <f ca="1">OFFSET('Allocation %'!$A$1,MATCH(J$4,'Allocation %'!$A:$A,0)-1,MATCH($D38,'Allocation %'!$5:$5,0)-1)*$F38</f>
        <v>782.29633213314366</v>
      </c>
      <c r="K38" s="73">
        <f ca="1">OFFSET('Allocation %'!$A$1,MATCH(K$4,'Allocation %'!$A:$A,0)-1,MATCH($D38,'Allocation %'!$5:$5,0)-1)*$F38</f>
        <v>244.24002080373066</v>
      </c>
      <c r="L38" s="73">
        <f ca="1">OFFSET('Allocation %'!$A$1,MATCH(L$4,'Allocation %'!$A:$A,0)-1,MATCH($D38,'Allocation %'!$5:$5,0)-1)*$F38</f>
        <v>262.883693442962</v>
      </c>
      <c r="M38" s="73">
        <f ca="1">OFFSET('Allocation %'!$A$1,MATCH(M$4,'Allocation %'!$A:$A,0)-1,MATCH($D38,'Allocation %'!$5:$5,0)-1)*$F38</f>
        <v>438.34023291252061</v>
      </c>
      <c r="N38" s="73">
        <f ca="1">OFFSET('Allocation %'!$A$1,MATCH(N$4,'Allocation %'!$A:$A,0)-1,MATCH($D38,'Allocation %'!$5:$5,0)-1)*$F38</f>
        <v>377.3437214501954</v>
      </c>
      <c r="O38" s="73">
        <f ca="1">OFFSET('Allocation %'!$A$1,MATCH(O$4,'Allocation %'!$A:$A,0)-1,MATCH($D38,'Allocation %'!$5:$5,0)-1)*$F38</f>
        <v>903.66280631003053</v>
      </c>
      <c r="P38" s="73">
        <f ca="1">OFFSET('Allocation %'!$A$1,MATCH(P$4,'Allocation %'!$A:$A,0)-1,MATCH($D38,'Allocation %'!$5:$5,0)-1)*$F38</f>
        <v>132.81589006560046</v>
      </c>
      <c r="Q38" s="73">
        <f ca="1">OFFSET('Allocation %'!$A$1,MATCH(Q$4,'Allocation %'!$A:$A,0)-1,MATCH($D38,'Allocation %'!$5:$5,0)-1)*$F38</f>
        <v>289.8020053367855</v>
      </c>
      <c r="R38" s="73">
        <f ca="1">OFFSET('Allocation %'!$A$1,MATCH(R$4,'Allocation %'!$A:$A,0)-1,MATCH($D38,'Allocation %'!$5:$5,0)-1)*$F38</f>
        <v>269.09344084654606</v>
      </c>
      <c r="S38" s="73">
        <f ca="1">OFFSET('Allocation %'!$A$1,MATCH(S$4,'Allocation %'!$A:$A,0)-1,MATCH($D38,'Allocation %'!$5:$5,0)-1)*$F38</f>
        <v>257.50807156341051</v>
      </c>
      <c r="T38" s="73">
        <f ca="1">OFFSET('Allocation %'!$A$1,MATCH(T$4,'Allocation %'!$A:$A,0)-1,MATCH($D38,'Allocation %'!$5:$5,0)-1)*$F38</f>
        <v>927.45860801708272</v>
      </c>
      <c r="U38" s="73">
        <f ca="1">OFFSET('Allocation %'!$A$1,MATCH(U$4,'Allocation %'!$A:$A,0)-1,MATCH($D38,'Allocation %'!$5:$5,0)-1)*$F38</f>
        <v>589.26032376511125</v>
      </c>
      <c r="V38" s="73">
        <f ca="1">OFFSET('Allocation %'!$A$1,MATCH(V$4,'Allocation %'!$A:$A,0)-1,MATCH($D38,'Allocation %'!$5:$5,0)-1)*$F38</f>
        <v>578.890572507466</v>
      </c>
      <c r="W38" s="73">
        <f ca="1">OFFSET('Allocation %'!$A$1,MATCH(W$4,'Allocation %'!$A:$A,0)-1,MATCH($D38,'Allocation %'!$5:$5,0)-1)*$F38</f>
        <v>939.16463037469634</v>
      </c>
      <c r="X38" s="73">
        <f ca="1">OFFSET('Allocation %'!$A$1,MATCH(X$4,'Allocation %'!$A:$A,0)-1,MATCH($D38,'Allocation %'!$5:$5,0)-1)*$F38</f>
        <v>23.856319955466745</v>
      </c>
      <c r="Y38" s="73">
        <f ca="1">OFFSET('Allocation %'!$A$1,MATCH(Y$4,'Allocation %'!$A:$A,0)-1,MATCH($D38,'Allocation %'!$5:$5,0)-1)*$F38</f>
        <v>18.575232200070754</v>
      </c>
      <c r="Z38" s="73">
        <f ca="1">OFFSET('Allocation %'!$A$1,MATCH(Z$4,'Allocation %'!$A:$A,0)-1,MATCH($D38,'Allocation %'!$5:$5,0)-1)*$F38</f>
        <v>53.975515723760552</v>
      </c>
      <c r="AA38" s="73">
        <f ca="1">OFFSET('Allocation %'!$A$1,MATCH(AA$4,'Allocation %'!$A:$A,0)-1,MATCH($D38,'Allocation %'!$5:$5,0)-1)*$F38</f>
        <v>49.005072641771164</v>
      </c>
      <c r="AB38" s="73">
        <f ca="1">OFFSET('Allocation %'!$A$1,MATCH(AB$4,'Allocation %'!$A:$A,0)-1,MATCH($D38,'Allocation %'!$5:$5,0)-1)*$F38</f>
        <v>46.649872596320769</v>
      </c>
      <c r="AC38" s="73">
        <f ca="1">OFFSET('Allocation %'!$A$1,MATCH(AC$4,'Allocation %'!$A:$A,0)-1,MATCH($D38,'Allocation %'!$5:$5,0)-1)*$F38</f>
        <v>54.085889498535195</v>
      </c>
      <c r="AD38" s="73">
        <f ca="1">OFFSET('Allocation %'!$A$1,MATCH(AD$4,'Allocation %'!$A:$A,0)-1,MATCH($D38,'Allocation %'!$5:$5,0)-1)*$F38</f>
        <v>116.57713999631703</v>
      </c>
      <c r="AE38" s="73">
        <f ca="1">OFFSET('Allocation %'!$A$1,MATCH(AE$4,'Allocation %'!$A:$A,0)-1,MATCH($D38,'Allocation %'!$5:$5,0)-1)*$F38</f>
        <v>115.51621207990101</v>
      </c>
      <c r="AF38" s="73">
        <f ca="1">OFFSET('Allocation %'!$A$1,MATCH(AF$4,'Allocation %'!$A:$A,0)-1,MATCH($D38,'Allocation %'!$5:$5,0)-1)*$F38</f>
        <v>0</v>
      </c>
      <c r="AG38" s="73">
        <f ca="1">OFFSET('Allocation %'!$A$1,MATCH(AG$4,'Allocation %'!$A:$A,0)-1,MATCH($D38,'Allocation %'!$5:$5,0)-1)*$F38</f>
        <v>759.64260302101877</v>
      </c>
      <c r="AH38" s="73">
        <f ca="1">OFFSET('Allocation %'!$A$1,MATCH(AH$4,'Allocation %'!$A:$A,0)-1,MATCH($D38,'Allocation %'!$5:$5,0)-1)*$F38</f>
        <v>7708.2401628480675</v>
      </c>
      <c r="AI38" s="73">
        <f ca="1">OFFSET('Allocation %'!$A$1,MATCH(AI$4,'Allocation %'!$A:$A,0)-1,MATCH($D38,'Allocation %'!$5:$5,0)-1)*$F38</f>
        <v>48.016081616746987</v>
      </c>
      <c r="AJ38" s="73">
        <f ca="1">OFFSET('Allocation %'!$A$1,MATCH(AJ$4,'Allocation %'!$A:$A,0)-1,MATCH($D38,'Allocation %'!$5:$5,0)-1)*$F38</f>
        <v>0</v>
      </c>
      <c r="AK38" s="73">
        <f ca="1">OFFSET('Allocation %'!$A$1,MATCH(AK$4,'Allocation %'!$A:$A,0)-1,MATCH($D38,'Allocation %'!$5:$5,0)-1)*$F38</f>
        <v>0</v>
      </c>
      <c r="AL38" s="73">
        <f ca="1">OFFSET('Allocation %'!$A$1,MATCH(AL$4,'Allocation %'!$A:$A,0)-1,MATCH($D38,'Allocation %'!$5:$5,0)-1)*$F38</f>
        <v>0</v>
      </c>
      <c r="AM38" s="73">
        <f ca="1">OFFSET('Allocation %'!$A$1,MATCH(AM$4,'Allocation %'!$A:$A,0)-1,MATCH($D38,'Allocation %'!$5:$5,0)-1)*$F38</f>
        <v>128.70159189610908</v>
      </c>
      <c r="AN38" s="73">
        <f ca="1">OFFSET('Allocation %'!$A$1,MATCH(AN$4,'Allocation %'!$A:$A,0)-1,MATCH($D38,'Allocation %'!$5:$5,0)-1)*$F38</f>
        <v>0</v>
      </c>
      <c r="AO38" s="73">
        <f ca="1">OFFSET('Allocation %'!$A$1,MATCH(AO$4,'Allocation %'!$A:$A,0)-1,MATCH($D38,'Allocation %'!$5:$5,0)-1)*$F38</f>
        <v>0</v>
      </c>
      <c r="AP38" s="73">
        <f ca="1">OFFSET('Allocation %'!$A$1,MATCH(AP$4,'Allocation %'!$A:$A,0)-1,MATCH($D38,'Allocation %'!$5:$5,0)-1)*$F38</f>
        <v>0</v>
      </c>
      <c r="AQ38" s="73">
        <f ca="1">OFFSET('Allocation %'!$A$1,MATCH(AQ$4,'Allocation %'!$A:$A,0)-1,MATCH($D38,'Allocation %'!$5:$5,0)-1)*$F38</f>
        <v>848.51850568743578</v>
      </c>
      <c r="AR38" s="73">
        <f ca="1">OFFSET('Allocation %'!$A$1,MATCH(AR$4,'Allocation %'!$A:$A,0)-1,MATCH($D38,'Allocation %'!$5:$5,0)-1)*$F38</f>
        <v>24.151362054592642</v>
      </c>
      <c r="AS38" s="73">
        <f ca="1">OFFSET('Allocation %'!$A$1,MATCH(AS$4,'Allocation %'!$A:$A,0)-1,MATCH($D38,'Allocation %'!$5:$5,0)-1)*$F38</f>
        <v>1548.4923696367753</v>
      </c>
      <c r="AT38" s="73">
        <f ca="1">OFFSET('Allocation %'!$A$1,MATCH(AT$4,'Allocation %'!$A:$A,0)-1,MATCH($D38,'Allocation %'!$5:$5,0)-1)*$F38</f>
        <v>905.85952531140128</v>
      </c>
      <c r="AU38" s="73">
        <f ca="1">OFFSET('Allocation %'!$A$1,MATCH(AU$4,'Allocation %'!$A:$A,0)-1,MATCH($D38,'Allocation %'!$5:$5,0)-1)*$F38</f>
        <v>1114.196676000224</v>
      </c>
      <c r="AV38" s="73">
        <f ca="1">OFFSET('Allocation %'!$A$1,MATCH(AV$4,'Allocation %'!$A:$A,0)-1,MATCH($D38,'Allocation %'!$5:$5,0)-1)*$F38</f>
        <v>1722.5996802799493</v>
      </c>
      <c r="AW38" s="73">
        <f ca="1">OFFSET('Allocation %'!$A$1,MATCH(AW$4,'Allocation %'!$A:$A,0)-1,MATCH($D38,'Allocation %'!$5:$5,0)-1)*$F38</f>
        <v>0</v>
      </c>
      <c r="AX38" s="73">
        <f ca="1">OFFSET('Allocation %'!$A$1,MATCH(AX$4,'Allocation %'!$A:$A,0)-1,MATCH($D38,'Allocation %'!$5:$5,0)-1)*$F38</f>
        <v>126.21691039819915</v>
      </c>
      <c r="AY38" s="73">
        <f ca="1">OFFSET('Allocation %'!$A$1,MATCH(AY$4,'Allocation %'!$A:$A,0)-1,MATCH($D38,'Allocation %'!$5:$5,0)-1)*$F38</f>
        <v>0</v>
      </c>
      <c r="AZ38" s="317">
        <f ca="1">OFFSET('Allocation %'!$A$1,MATCH(AZ$4,'Allocation %'!$A:$A,0)-1,MATCH($D38,'Allocation %'!$5:$5,0)-1)*$F38</f>
        <v>0</v>
      </c>
      <c r="BA38" s="73">
        <f ca="1">OFFSET('Allocation %'!$A$1,MATCH(BA$4,'Allocation %'!$A:$A,0)-1,MATCH($D38,'Allocation %'!$5:$5,0)-1)*$F38</f>
        <v>34218.222927028066</v>
      </c>
      <c r="BB38" s="317">
        <f ca="1">OFFSET('Allocation %'!$A$1,MATCH(BB$4,'Allocation %'!$A:$A,0)-1,MATCH($D38,'Allocation %'!$5:$5,0)-1)*$F38</f>
        <v>0</v>
      </c>
      <c r="BC38" s="317">
        <f ca="1">OFFSET('Allocation %'!$A$1,MATCH(BC$4,'Allocation %'!$A:$A,0)-1,MATCH($D38,'Allocation %'!$5:$5,0)-1)*$F38</f>
        <v>0</v>
      </c>
      <c r="BD38" s="317">
        <f ca="1">OFFSET('Allocation %'!$A$1,MATCH(BD$4,'Allocation %'!$A:$A,0)-1,MATCH($D38,'Allocation %'!$5:$5,0)-1)*$F38</f>
        <v>0</v>
      </c>
      <c r="BE38" s="317">
        <f ca="1">OFFSET('Allocation %'!$A$1,MATCH(BE$4,'Allocation %'!$A:$A,0)-1,MATCH($D38,'Allocation %'!$5:$5,0)-1)*$F38</f>
        <v>0</v>
      </c>
      <c r="BG38" s="76">
        <f t="shared" ca="1" si="3"/>
        <v>56623.860000000008</v>
      </c>
      <c r="BH38" s="349">
        <f t="shared" ca="1" si="4"/>
        <v>0</v>
      </c>
      <c r="BJ38" s="76">
        <f t="shared" ca="1" si="2"/>
        <v>22405.637072971942</v>
      </c>
    </row>
    <row r="39" spans="1:62" s="177" customFormat="1" x14ac:dyDescent="0.25">
      <c r="B39" s="305" t="s">
        <v>324</v>
      </c>
      <c r="C39" s="177" t="str">
        <f>INDEX(ACTUALS!$E:$E,MATCH($B39,ACTUALS!$A:$A,0))</f>
        <v>USD</v>
      </c>
      <c r="D39" s="352" t="str">
        <f ca="1">OFFSET(ACTUALS!$O$2,MATCH($B39,ACTUALS!$A:$A,0)-2,MATCH($E$4,ACTUALS!$P$2:$P$2,0))</f>
        <v>All Less RU - L48</v>
      </c>
      <c r="E39" s="73">
        <f ca="1">IF($C39=E$3,SUMIFS(OFFSET(ACTUALS!$A:$A,,MATCH(E$4,ACTUALS!$2:$2,0)-1,,),ACTUALS!$A:$A,$B39)*-1000,F39*'2020 Assumptions'!$B$4)</f>
        <v>82690.197017999992</v>
      </c>
      <c r="F39" s="305">
        <f ca="1">IF($C39=F$3,SUMIFS(OFFSET(ACTUALS!$A:$A,,MATCH(F$4,ACTUALS!$2:$2,0)-1,,),ACTUALS!$A:$A,$B39)*-1000,E39/'2020 Assumptions'!$B$4)</f>
        <v>61516.289999999994</v>
      </c>
      <c r="G39" s="73">
        <f ca="1">IF($C39=G$3,SUMIFS(OFFSET('Non-margin Costs'!$A:$A,,MATCH(G$4,'Non-margin Costs'!$2:$2,0)-1,,),'Non-margin Costs'!$A:$A,$B39)*1000,(SUMIFS(OFFSET('Non-margin Costs'!$A:$A,,MATCH(G$4,'Non-margin Costs'!$2:$2,0)-1,,),'Non-margin Costs'!$A:$A,$B39)*1000)/'2020 Assumptions'!$B$4)</f>
        <v>13.729999999999999</v>
      </c>
      <c r="I39" s="73">
        <f ca="1">OFFSET('Allocation %'!$A$1,MATCH(I$4,'Allocation %'!$A:$A,0)-1,MATCH($D39,'Allocation %'!$5:$5,0)-1)*$F39</f>
        <v>0</v>
      </c>
      <c r="J39" s="73">
        <f ca="1">OFFSET('Allocation %'!$A$1,MATCH(J$4,'Allocation %'!$A:$A,0)-1,MATCH($D39,'Allocation %'!$5:$5,0)-1)*$F39</f>
        <v>314.7944355596677</v>
      </c>
      <c r="K39" s="73">
        <f ca="1">OFFSET('Allocation %'!$A$1,MATCH(K$4,'Allocation %'!$A:$A,0)-1,MATCH($D39,'Allocation %'!$5:$5,0)-1)*$F39</f>
        <v>98.56341562773774</v>
      </c>
      <c r="L39" s="73">
        <f ca="1">OFFSET('Allocation %'!$A$1,MATCH(L$4,'Allocation %'!$A:$A,0)-1,MATCH($D39,'Allocation %'!$5:$5,0)-1)*$F39</f>
        <v>106.24183834968608</v>
      </c>
      <c r="M39" s="73">
        <f ca="1">OFFSET('Allocation %'!$A$1,MATCH(M$4,'Allocation %'!$A:$A,0)-1,MATCH($D39,'Allocation %'!$5:$5,0)-1)*$F39</f>
        <v>175.70169813008138</v>
      </c>
      <c r="N39" s="73">
        <f ca="1">OFFSET('Allocation %'!$A$1,MATCH(N$4,'Allocation %'!$A:$A,0)-1,MATCH($D39,'Allocation %'!$5:$5,0)-1)*$F39</f>
        <v>152.10276666469292</v>
      </c>
      <c r="O39" s="73">
        <f ca="1">OFFSET('Allocation %'!$A$1,MATCH(O$4,'Allocation %'!$A:$A,0)-1,MATCH($D39,'Allocation %'!$5:$5,0)-1)*$F39</f>
        <v>357.5451038397191</v>
      </c>
      <c r="P39" s="73">
        <f ca="1">OFFSET('Allocation %'!$A$1,MATCH(P$4,'Allocation %'!$A:$A,0)-1,MATCH($D39,'Allocation %'!$5:$5,0)-1)*$F39</f>
        <v>52.119005735768773</v>
      </c>
      <c r="Q39" s="73">
        <f ca="1">OFFSET('Allocation %'!$A$1,MATCH(Q$4,'Allocation %'!$A:$A,0)-1,MATCH($D39,'Allocation %'!$5:$5,0)-1)*$F39</f>
        <v>113.73298281750593</v>
      </c>
      <c r="R39" s="73">
        <f ca="1">OFFSET('Allocation %'!$A$1,MATCH(R$4,'Allocation %'!$A:$A,0)-1,MATCH($D39,'Allocation %'!$5:$5,0)-1)*$F39</f>
        <v>105.17142241458396</v>
      </c>
      <c r="S39" s="73">
        <f ca="1">OFFSET('Allocation %'!$A$1,MATCH(S$4,'Allocation %'!$A:$A,0)-1,MATCH($D39,'Allocation %'!$5:$5,0)-1)*$F39</f>
        <v>100.99104170070771</v>
      </c>
      <c r="T39" s="73">
        <f ca="1">OFFSET('Allocation %'!$A$1,MATCH(T$4,'Allocation %'!$A:$A,0)-1,MATCH($D39,'Allocation %'!$5:$5,0)-1)*$F39</f>
        <v>362.87563870624808</v>
      </c>
      <c r="U39" s="73">
        <f ca="1">OFFSET('Allocation %'!$A$1,MATCH(U$4,'Allocation %'!$A:$A,0)-1,MATCH($D39,'Allocation %'!$5:$5,0)-1)*$F39</f>
        <v>231.60974193116007</v>
      </c>
      <c r="V39" s="73">
        <f ca="1">OFFSET('Allocation %'!$A$1,MATCH(V$4,'Allocation %'!$A:$A,0)-1,MATCH($D39,'Allocation %'!$5:$5,0)-1)*$F39</f>
        <v>245.54328806489846</v>
      </c>
      <c r="W39" s="73">
        <f ca="1">OFFSET('Allocation %'!$A$1,MATCH(W$4,'Allocation %'!$A:$A,0)-1,MATCH($D39,'Allocation %'!$5:$5,0)-1)*$F39</f>
        <v>398.29100879973004</v>
      </c>
      <c r="X39" s="73">
        <f ca="1">OFFSET('Allocation %'!$A$1,MATCH(X$4,'Allocation %'!$A:$A,0)-1,MATCH($D39,'Allocation %'!$5:$5,0)-1)*$F39</f>
        <v>9.1704236151471665</v>
      </c>
      <c r="Y39" s="73">
        <f ca="1">OFFSET('Allocation %'!$A$1,MATCH(Y$4,'Allocation %'!$A:$A,0)-1,MATCH($D39,'Allocation %'!$5:$5,0)-1)*$F39</f>
        <v>7.2011976189973144</v>
      </c>
      <c r="Z39" s="73">
        <f ca="1">OFFSET('Allocation %'!$A$1,MATCH(Z$4,'Allocation %'!$A:$A,0)-1,MATCH($D39,'Allocation %'!$5:$5,0)-1)*$F39</f>
        <v>20.972865086188918</v>
      </c>
      <c r="AA39" s="73">
        <f ca="1">OFFSET('Allocation %'!$A$1,MATCH(AA$4,'Allocation %'!$A:$A,0)-1,MATCH($D39,'Allocation %'!$5:$5,0)-1)*$F39</f>
        <v>19.102049426293327</v>
      </c>
      <c r="AB39" s="73">
        <f ca="1">OFFSET('Allocation %'!$A$1,MATCH(AB$4,'Allocation %'!$A:$A,0)-1,MATCH($D39,'Allocation %'!$5:$5,0)-1)*$F39</f>
        <v>18.376104120807518</v>
      </c>
      <c r="AC39" s="73">
        <f ca="1">OFFSET('Allocation %'!$A$1,MATCH(AC$4,'Allocation %'!$A:$A,0)-1,MATCH($D39,'Allocation %'!$5:$5,0)-1)*$F39</f>
        <v>20.972160161677571</v>
      </c>
      <c r="AD39" s="73">
        <f ca="1">OFFSET('Allocation %'!$A$1,MATCH(AD$4,'Allocation %'!$A:$A,0)-1,MATCH($D39,'Allocation %'!$5:$5,0)-1)*$F39</f>
        <v>45.933081789329371</v>
      </c>
      <c r="AE39" s="73">
        <f ca="1">OFFSET('Allocation %'!$A$1,MATCH(AE$4,'Allocation %'!$A:$A,0)-1,MATCH($D39,'Allocation %'!$5:$5,0)-1)*$F39</f>
        <v>44.518687374090078</v>
      </c>
      <c r="AF39" s="73">
        <f ca="1">OFFSET('Allocation %'!$A$1,MATCH(AF$4,'Allocation %'!$A:$A,0)-1,MATCH($D39,'Allocation %'!$5:$5,0)-1)*$F39</f>
        <v>222.23186523269737</v>
      </c>
      <c r="AG39" s="73">
        <f ca="1">OFFSET('Allocation %'!$A$1,MATCH(AG$4,'Allocation %'!$A:$A,0)-1,MATCH($D39,'Allocation %'!$5:$5,0)-1)*$F39</f>
        <v>349.99184311280027</v>
      </c>
      <c r="AH39" s="73">
        <f ca="1">OFFSET('Allocation %'!$A$1,MATCH(AH$4,'Allocation %'!$A:$A,0)-1,MATCH($D39,'Allocation %'!$5:$5,0)-1)*$F39</f>
        <v>3050.7610277391796</v>
      </c>
      <c r="AI39" s="73">
        <f ca="1">OFFSET('Allocation %'!$A$1,MATCH(AI$4,'Allocation %'!$A:$A,0)-1,MATCH($D39,'Allocation %'!$5:$5,0)-1)*$F39</f>
        <v>18.276271878584616</v>
      </c>
      <c r="AJ39" s="73">
        <f ca="1">OFFSET('Allocation %'!$A$1,MATCH(AJ$4,'Allocation %'!$A:$A,0)-1,MATCH($D39,'Allocation %'!$5:$5,0)-1)*$F39</f>
        <v>429.03533955783581</v>
      </c>
      <c r="AK39" s="73">
        <f ca="1">OFFSET('Allocation %'!$A$1,MATCH(AK$4,'Allocation %'!$A:$A,0)-1,MATCH($D39,'Allocation %'!$5:$5,0)-1)*$F39</f>
        <v>385.27088556016622</v>
      </c>
      <c r="AL39" s="73">
        <f ca="1">OFFSET('Allocation %'!$A$1,MATCH(AL$4,'Allocation %'!$A:$A,0)-1,MATCH($D39,'Allocation %'!$5:$5,0)-1)*$F39</f>
        <v>0</v>
      </c>
      <c r="AM39" s="73">
        <f ca="1">OFFSET('Allocation %'!$A$1,MATCH(AM$4,'Allocation %'!$A:$A,0)-1,MATCH($D39,'Allocation %'!$5:$5,0)-1)*$F39</f>
        <v>49.947614857377772</v>
      </c>
      <c r="AN39" s="73">
        <f ca="1">OFFSET('Allocation %'!$A$1,MATCH(AN$4,'Allocation %'!$A:$A,0)-1,MATCH($D39,'Allocation %'!$5:$5,0)-1)*$F39</f>
        <v>0</v>
      </c>
      <c r="AO39" s="73">
        <f ca="1">OFFSET('Allocation %'!$A$1,MATCH(AO$4,'Allocation %'!$A:$A,0)-1,MATCH($D39,'Allocation %'!$5:$5,0)-1)*$F39</f>
        <v>414.18568418179638</v>
      </c>
      <c r="AP39" s="73">
        <f ca="1">OFFSET('Allocation %'!$A$1,MATCH(AP$4,'Allocation %'!$A:$A,0)-1,MATCH($D39,'Allocation %'!$5:$5,0)-1)*$F39</f>
        <v>86.416165878766563</v>
      </c>
      <c r="AQ39" s="73">
        <f ca="1">OFFSET('Allocation %'!$A$1,MATCH(AQ$4,'Allocation %'!$A:$A,0)-1,MATCH($D39,'Allocation %'!$5:$5,0)-1)*$F39</f>
        <v>382.70422485802118</v>
      </c>
      <c r="AR39" s="73">
        <f ca="1">OFFSET('Allocation %'!$A$1,MATCH(AR$4,'Allocation %'!$A:$A,0)-1,MATCH($D39,'Allocation %'!$5:$5,0)-1)*$F39</f>
        <v>9.4360286341207562</v>
      </c>
      <c r="AS39" s="73">
        <f ca="1">OFFSET('Allocation %'!$A$1,MATCH(AS$4,'Allocation %'!$A:$A,0)-1,MATCH($D39,'Allocation %'!$5:$5,0)-1)*$F39</f>
        <v>704.18050640478293</v>
      </c>
      <c r="AT39" s="73">
        <f ca="1">OFFSET('Allocation %'!$A$1,MATCH(AT$4,'Allocation %'!$A:$A,0)-1,MATCH($D39,'Allocation %'!$5:$5,0)-1)*$F39</f>
        <v>415.10388252023955</v>
      </c>
      <c r="AU39" s="73">
        <f ca="1">OFFSET('Allocation %'!$A$1,MATCH(AU$4,'Allocation %'!$A:$A,0)-1,MATCH($D39,'Allocation %'!$5:$5,0)-1)*$F39</f>
        <v>493.91583140272047</v>
      </c>
      <c r="AV39" s="73">
        <f ca="1">OFFSET('Allocation %'!$A$1,MATCH(AV$4,'Allocation %'!$A:$A,0)-1,MATCH($D39,'Allocation %'!$5:$5,0)-1)*$F39</f>
        <v>760.04486150116463</v>
      </c>
      <c r="AW39" s="73">
        <f ca="1">OFFSET('Allocation %'!$A$1,MATCH(AW$4,'Allocation %'!$A:$A,0)-1,MATCH($D39,'Allocation %'!$5:$5,0)-1)*$F39</f>
        <v>2916.6809667296152</v>
      </c>
      <c r="AX39" s="73">
        <f ca="1">OFFSET('Allocation %'!$A$1,MATCH(AX$4,'Allocation %'!$A:$A,0)-1,MATCH($D39,'Allocation %'!$5:$5,0)-1)*$F39</f>
        <v>49.731290960647137</v>
      </c>
      <c r="AY39" s="73">
        <f ca="1">OFFSET('Allocation %'!$A$1,MATCH(AY$4,'Allocation %'!$A:$A,0)-1,MATCH($D39,'Allocation %'!$5:$5,0)-1)*$F39</f>
        <v>0</v>
      </c>
      <c r="AZ39" s="317">
        <f ca="1">OFFSET('Allocation %'!$A$1,MATCH(AZ$4,'Allocation %'!$A:$A,0)-1,MATCH($D39,'Allocation %'!$5:$5,0)-1)*$F39</f>
        <v>0</v>
      </c>
      <c r="BA39" s="73">
        <f ca="1">OFFSET('Allocation %'!$A$1,MATCH(BA$4,'Allocation %'!$A:$A,0)-1,MATCH($D39,'Allocation %'!$5:$5,0)-1)*$F39</f>
        <v>13726.952157787226</v>
      </c>
      <c r="BB39" s="73">
        <f ca="1">OFFSET('Allocation %'!$A$1,MATCH(BB$4,'Allocation %'!$A:$A,0)-1,MATCH($D39,'Allocation %'!$5:$5,0)-1)*$F39</f>
        <v>8951.1800477761572</v>
      </c>
      <c r="BC39" s="73">
        <f ca="1">OFFSET('Allocation %'!$A$1,MATCH(BC$4,'Allocation %'!$A:$A,0)-1,MATCH($D39,'Allocation %'!$5:$5,0)-1)*$F39</f>
        <v>275.95012376652653</v>
      </c>
      <c r="BD39" s="73">
        <f ca="1">OFFSET('Allocation %'!$A$1,MATCH(BD$4,'Allocation %'!$A:$A,0)-1,MATCH($D39,'Allocation %'!$5:$5,0)-1)*$F39</f>
        <v>5286.4246044022566</v>
      </c>
      <c r="BE39" s="73">
        <f ca="1">OFFSET('Allocation %'!$A$1,MATCH(BE$4,'Allocation %'!$A:$A,0)-1,MATCH($D39,'Allocation %'!$5:$5,0)-1)*$F39</f>
        <v>19536.338817722593</v>
      </c>
      <c r="BG39" s="76">
        <f t="shared" ca="1" si="3"/>
        <v>61516.289999999994</v>
      </c>
      <c r="BH39" s="349">
        <f t="shared" ca="1" si="4"/>
        <v>0</v>
      </c>
      <c r="BJ39" s="76">
        <f t="shared" ca="1" si="2"/>
        <v>47789.337842212772</v>
      </c>
    </row>
    <row r="40" spans="1:62" s="177" customFormat="1" x14ac:dyDescent="0.25">
      <c r="B40" s="305" t="s">
        <v>325</v>
      </c>
      <c r="C40" s="177" t="str">
        <f>INDEX(ACTUALS!$E:$E,MATCH($B40,ACTUALS!$A:$A,0))</f>
        <v>USD</v>
      </c>
      <c r="D40" s="352" t="str">
        <f ca="1">OFFSET(ACTUALS!$O$2,MATCH($B40,ACTUALS!$A:$A,0)-2,MATCH($E$4,ACTUALS!$P$2:$P$2,0))</f>
        <v>All Less RU - L48</v>
      </c>
      <c r="E40" s="73">
        <f ca="1">IF($C40=E$3,SUMIFS(OFFSET(ACTUALS!$A:$A,,MATCH(E$4,ACTUALS!$2:$2,0)-1,,),ACTUALS!$A:$A,$B40)*-1000,F40*'2020 Assumptions'!$B$4)</f>
        <v>0</v>
      </c>
      <c r="F40" s="305">
        <f ca="1">IF($C40=F$3,SUMIFS(OFFSET(ACTUALS!$A:$A,,MATCH(F$4,ACTUALS!$2:$2,0)-1,,),ACTUALS!$A:$A,$B40)*-1000,E40/'2020 Assumptions'!$B$4)</f>
        <v>0</v>
      </c>
      <c r="G40" s="73">
        <f ca="1">IF($C40=G$3,SUMIFS(OFFSET('Non-margin Costs'!$A:$A,,MATCH(G$4,'Non-margin Costs'!$2:$2,0)-1,,),'Non-margin Costs'!$A:$A,$B40)*1000,(SUMIFS(OFFSET('Non-margin Costs'!$A:$A,,MATCH(G$4,'Non-margin Costs'!$2:$2,0)-1,,),'Non-margin Costs'!$A:$A,$B40)*1000)/'2020 Assumptions'!$B$4)</f>
        <v>0</v>
      </c>
      <c r="I40" s="73">
        <f ca="1">OFFSET('Allocation %'!$A$1,MATCH(I$4,'Allocation %'!$A:$A,0)-1,MATCH($D40,'Allocation %'!$5:$5,0)-1)*$F40</f>
        <v>0</v>
      </c>
      <c r="J40" s="73">
        <f ca="1">OFFSET('Allocation %'!$A$1,MATCH(J$4,'Allocation %'!$A:$A,0)-1,MATCH($D40,'Allocation %'!$5:$5,0)-1)*$F40</f>
        <v>0</v>
      </c>
      <c r="K40" s="73">
        <f ca="1">OFFSET('Allocation %'!$A$1,MATCH(K$4,'Allocation %'!$A:$A,0)-1,MATCH($D40,'Allocation %'!$5:$5,0)-1)*$F40</f>
        <v>0</v>
      </c>
      <c r="L40" s="73">
        <f ca="1">OFFSET('Allocation %'!$A$1,MATCH(L$4,'Allocation %'!$A:$A,0)-1,MATCH($D40,'Allocation %'!$5:$5,0)-1)*$F40</f>
        <v>0</v>
      </c>
      <c r="M40" s="73">
        <f ca="1">OFFSET('Allocation %'!$A$1,MATCH(M$4,'Allocation %'!$A:$A,0)-1,MATCH($D40,'Allocation %'!$5:$5,0)-1)*$F40</f>
        <v>0</v>
      </c>
      <c r="N40" s="73">
        <f ca="1">OFFSET('Allocation %'!$A$1,MATCH(N$4,'Allocation %'!$A:$A,0)-1,MATCH($D40,'Allocation %'!$5:$5,0)-1)*$F40</f>
        <v>0</v>
      </c>
      <c r="O40" s="73">
        <f ca="1">OFFSET('Allocation %'!$A$1,MATCH(O$4,'Allocation %'!$A:$A,0)-1,MATCH($D40,'Allocation %'!$5:$5,0)-1)*$F40</f>
        <v>0</v>
      </c>
      <c r="P40" s="73">
        <f ca="1">OFFSET('Allocation %'!$A$1,MATCH(P$4,'Allocation %'!$A:$A,0)-1,MATCH($D40,'Allocation %'!$5:$5,0)-1)*$F40</f>
        <v>0</v>
      </c>
      <c r="Q40" s="73">
        <f ca="1">OFFSET('Allocation %'!$A$1,MATCH(Q$4,'Allocation %'!$A:$A,0)-1,MATCH($D40,'Allocation %'!$5:$5,0)-1)*$F40</f>
        <v>0</v>
      </c>
      <c r="R40" s="73">
        <f ca="1">OFFSET('Allocation %'!$A$1,MATCH(R$4,'Allocation %'!$A:$A,0)-1,MATCH($D40,'Allocation %'!$5:$5,0)-1)*$F40</f>
        <v>0</v>
      </c>
      <c r="S40" s="73">
        <f ca="1">OFFSET('Allocation %'!$A$1,MATCH(S$4,'Allocation %'!$A:$A,0)-1,MATCH($D40,'Allocation %'!$5:$5,0)-1)*$F40</f>
        <v>0</v>
      </c>
      <c r="T40" s="73">
        <f ca="1">OFFSET('Allocation %'!$A$1,MATCH(T$4,'Allocation %'!$A:$A,0)-1,MATCH($D40,'Allocation %'!$5:$5,0)-1)*$F40</f>
        <v>0</v>
      </c>
      <c r="U40" s="73">
        <f ca="1">OFFSET('Allocation %'!$A$1,MATCH(U$4,'Allocation %'!$A:$A,0)-1,MATCH($D40,'Allocation %'!$5:$5,0)-1)*$F40</f>
        <v>0</v>
      </c>
      <c r="V40" s="73">
        <f ca="1">OFFSET('Allocation %'!$A$1,MATCH(V$4,'Allocation %'!$A:$A,0)-1,MATCH($D40,'Allocation %'!$5:$5,0)-1)*$F40</f>
        <v>0</v>
      </c>
      <c r="W40" s="73">
        <f ca="1">OFFSET('Allocation %'!$A$1,MATCH(W$4,'Allocation %'!$A:$A,0)-1,MATCH($D40,'Allocation %'!$5:$5,0)-1)*$F40</f>
        <v>0</v>
      </c>
      <c r="X40" s="73">
        <f ca="1">OFFSET('Allocation %'!$A$1,MATCH(X$4,'Allocation %'!$A:$A,0)-1,MATCH($D40,'Allocation %'!$5:$5,0)-1)*$F40</f>
        <v>0</v>
      </c>
      <c r="Y40" s="73">
        <f ca="1">OFFSET('Allocation %'!$A$1,MATCH(Y$4,'Allocation %'!$A:$A,0)-1,MATCH($D40,'Allocation %'!$5:$5,0)-1)*$F40</f>
        <v>0</v>
      </c>
      <c r="Z40" s="73">
        <f ca="1">OFFSET('Allocation %'!$A$1,MATCH(Z$4,'Allocation %'!$A:$A,0)-1,MATCH($D40,'Allocation %'!$5:$5,0)-1)*$F40</f>
        <v>0</v>
      </c>
      <c r="AA40" s="73">
        <f ca="1">OFFSET('Allocation %'!$A$1,MATCH(AA$4,'Allocation %'!$A:$A,0)-1,MATCH($D40,'Allocation %'!$5:$5,0)-1)*$F40</f>
        <v>0</v>
      </c>
      <c r="AB40" s="73">
        <f ca="1">OFFSET('Allocation %'!$A$1,MATCH(AB$4,'Allocation %'!$A:$A,0)-1,MATCH($D40,'Allocation %'!$5:$5,0)-1)*$F40</f>
        <v>0</v>
      </c>
      <c r="AC40" s="73">
        <f ca="1">OFFSET('Allocation %'!$A$1,MATCH(AC$4,'Allocation %'!$A:$A,0)-1,MATCH($D40,'Allocation %'!$5:$5,0)-1)*$F40</f>
        <v>0</v>
      </c>
      <c r="AD40" s="73">
        <f ca="1">OFFSET('Allocation %'!$A$1,MATCH(AD$4,'Allocation %'!$A:$A,0)-1,MATCH($D40,'Allocation %'!$5:$5,0)-1)*$F40</f>
        <v>0</v>
      </c>
      <c r="AE40" s="73">
        <f ca="1">OFFSET('Allocation %'!$A$1,MATCH(AE$4,'Allocation %'!$A:$A,0)-1,MATCH($D40,'Allocation %'!$5:$5,0)-1)*$F40</f>
        <v>0</v>
      </c>
      <c r="AF40" s="73">
        <f ca="1">OFFSET('Allocation %'!$A$1,MATCH(AF$4,'Allocation %'!$A:$A,0)-1,MATCH($D40,'Allocation %'!$5:$5,0)-1)*$F40</f>
        <v>0</v>
      </c>
      <c r="AG40" s="73">
        <f ca="1">OFFSET('Allocation %'!$A$1,MATCH(AG$4,'Allocation %'!$A:$A,0)-1,MATCH($D40,'Allocation %'!$5:$5,0)-1)*$F40</f>
        <v>0</v>
      </c>
      <c r="AH40" s="73">
        <f ca="1">OFFSET('Allocation %'!$A$1,MATCH(AH$4,'Allocation %'!$A:$A,0)-1,MATCH($D40,'Allocation %'!$5:$5,0)-1)*$F40</f>
        <v>0</v>
      </c>
      <c r="AI40" s="73">
        <f ca="1">OFFSET('Allocation %'!$A$1,MATCH(AI$4,'Allocation %'!$A:$A,0)-1,MATCH($D40,'Allocation %'!$5:$5,0)-1)*$F40</f>
        <v>0</v>
      </c>
      <c r="AJ40" s="73">
        <f ca="1">OFFSET('Allocation %'!$A$1,MATCH(AJ$4,'Allocation %'!$A:$A,0)-1,MATCH($D40,'Allocation %'!$5:$5,0)-1)*$F40</f>
        <v>0</v>
      </c>
      <c r="AK40" s="73">
        <f ca="1">OFFSET('Allocation %'!$A$1,MATCH(AK$4,'Allocation %'!$A:$A,0)-1,MATCH($D40,'Allocation %'!$5:$5,0)-1)*$F40</f>
        <v>0</v>
      </c>
      <c r="AL40" s="73">
        <f ca="1">OFFSET('Allocation %'!$A$1,MATCH(AL$4,'Allocation %'!$A:$A,0)-1,MATCH($D40,'Allocation %'!$5:$5,0)-1)*$F40</f>
        <v>0</v>
      </c>
      <c r="AM40" s="73">
        <f ca="1">OFFSET('Allocation %'!$A$1,MATCH(AM$4,'Allocation %'!$A:$A,0)-1,MATCH($D40,'Allocation %'!$5:$5,0)-1)*$F40</f>
        <v>0</v>
      </c>
      <c r="AN40" s="73">
        <f ca="1">OFFSET('Allocation %'!$A$1,MATCH(AN$4,'Allocation %'!$A:$A,0)-1,MATCH($D40,'Allocation %'!$5:$5,0)-1)*$F40</f>
        <v>0</v>
      </c>
      <c r="AO40" s="73">
        <f ca="1">OFFSET('Allocation %'!$A$1,MATCH(AO$4,'Allocation %'!$A:$A,0)-1,MATCH($D40,'Allocation %'!$5:$5,0)-1)*$F40</f>
        <v>0</v>
      </c>
      <c r="AP40" s="73">
        <f ca="1">OFFSET('Allocation %'!$A$1,MATCH(AP$4,'Allocation %'!$A:$A,0)-1,MATCH($D40,'Allocation %'!$5:$5,0)-1)*$F40</f>
        <v>0</v>
      </c>
      <c r="AQ40" s="73">
        <f ca="1">OFFSET('Allocation %'!$A$1,MATCH(AQ$4,'Allocation %'!$A:$A,0)-1,MATCH($D40,'Allocation %'!$5:$5,0)-1)*$F40</f>
        <v>0</v>
      </c>
      <c r="AR40" s="73">
        <f ca="1">OFFSET('Allocation %'!$A$1,MATCH(AR$4,'Allocation %'!$A:$A,0)-1,MATCH($D40,'Allocation %'!$5:$5,0)-1)*$F40</f>
        <v>0</v>
      </c>
      <c r="AS40" s="73">
        <f ca="1">OFFSET('Allocation %'!$A$1,MATCH(AS$4,'Allocation %'!$A:$A,0)-1,MATCH($D40,'Allocation %'!$5:$5,0)-1)*$F40</f>
        <v>0</v>
      </c>
      <c r="AT40" s="73">
        <f ca="1">OFFSET('Allocation %'!$A$1,MATCH(AT$4,'Allocation %'!$A:$A,0)-1,MATCH($D40,'Allocation %'!$5:$5,0)-1)*$F40</f>
        <v>0</v>
      </c>
      <c r="AU40" s="73">
        <f ca="1">OFFSET('Allocation %'!$A$1,MATCH(AU$4,'Allocation %'!$A:$A,0)-1,MATCH($D40,'Allocation %'!$5:$5,0)-1)*$F40</f>
        <v>0</v>
      </c>
      <c r="AV40" s="73">
        <f ca="1">OFFSET('Allocation %'!$A$1,MATCH(AV$4,'Allocation %'!$A:$A,0)-1,MATCH($D40,'Allocation %'!$5:$5,0)-1)*$F40</f>
        <v>0</v>
      </c>
      <c r="AW40" s="73">
        <f ca="1">OFFSET('Allocation %'!$A$1,MATCH(AW$4,'Allocation %'!$A:$A,0)-1,MATCH($D40,'Allocation %'!$5:$5,0)-1)*$F40</f>
        <v>0</v>
      </c>
      <c r="AX40" s="73">
        <f ca="1">OFFSET('Allocation %'!$A$1,MATCH(AX$4,'Allocation %'!$A:$A,0)-1,MATCH($D40,'Allocation %'!$5:$5,0)-1)*$F40</f>
        <v>0</v>
      </c>
      <c r="AY40" s="73">
        <f ca="1">OFFSET('Allocation %'!$A$1,MATCH(AY$4,'Allocation %'!$A:$A,0)-1,MATCH($D40,'Allocation %'!$5:$5,0)-1)*$F40</f>
        <v>0</v>
      </c>
      <c r="AZ40" s="317">
        <f ca="1">OFFSET('Allocation %'!$A$1,MATCH(AZ$4,'Allocation %'!$A:$A,0)-1,MATCH($D40,'Allocation %'!$5:$5,0)-1)*$F40</f>
        <v>0</v>
      </c>
      <c r="BA40" s="73">
        <f ca="1">OFFSET('Allocation %'!$A$1,MATCH(BA$4,'Allocation %'!$A:$A,0)-1,MATCH($D40,'Allocation %'!$5:$5,0)-1)*$F40</f>
        <v>0</v>
      </c>
      <c r="BB40" s="73">
        <f ca="1">OFFSET('Allocation %'!$A$1,MATCH(BB$4,'Allocation %'!$A:$A,0)-1,MATCH($D40,'Allocation %'!$5:$5,0)-1)*$F40</f>
        <v>0</v>
      </c>
      <c r="BC40" s="73">
        <f ca="1">OFFSET('Allocation %'!$A$1,MATCH(BC$4,'Allocation %'!$A:$A,0)-1,MATCH($D40,'Allocation %'!$5:$5,0)-1)*$F40</f>
        <v>0</v>
      </c>
      <c r="BD40" s="73">
        <f ca="1">OFFSET('Allocation %'!$A$1,MATCH(BD$4,'Allocation %'!$A:$A,0)-1,MATCH($D40,'Allocation %'!$5:$5,0)-1)*$F40</f>
        <v>0</v>
      </c>
      <c r="BE40" s="73">
        <f ca="1">OFFSET('Allocation %'!$A$1,MATCH(BE$4,'Allocation %'!$A:$A,0)-1,MATCH($D40,'Allocation %'!$5:$5,0)-1)*$F40</f>
        <v>0</v>
      </c>
      <c r="BG40" s="76">
        <f t="shared" ca="1" si="3"/>
        <v>0</v>
      </c>
      <c r="BH40" s="349">
        <f t="shared" ca="1" si="4"/>
        <v>0</v>
      </c>
      <c r="BJ40" s="76">
        <f t="shared" ca="1" si="2"/>
        <v>0</v>
      </c>
    </row>
    <row r="41" spans="1:62" s="177" customFormat="1" x14ac:dyDescent="0.25">
      <c r="B41" s="305" t="s">
        <v>326</v>
      </c>
      <c r="C41" s="177" t="str">
        <f>INDEX(ACTUALS!$E:$E,MATCH($B41,ACTUALS!$A:$A,0))</f>
        <v>USD</v>
      </c>
      <c r="D41" s="352" t="str">
        <f ca="1">OFFSET(ACTUALS!$O$2,MATCH($B41,ACTUALS!$A:$A,0)-2,MATCH($E$4,ACTUALS!$P$2:$P$2,0))</f>
        <v>All Less RU - L48</v>
      </c>
      <c r="E41" s="73">
        <f ca="1">IF($C41=E$3,SUMIFS(OFFSET(ACTUALS!$A:$A,,MATCH(E$4,ACTUALS!$2:$2,0)-1,,),ACTUALS!$A:$A,$B41)*-1000,F41*'2020 Assumptions'!$B$4)</f>
        <v>0</v>
      </c>
      <c r="F41" s="305">
        <f ca="1">IF($C41=F$3,SUMIFS(OFFSET(ACTUALS!$A:$A,,MATCH(F$4,ACTUALS!$2:$2,0)-1,,),ACTUALS!$A:$A,$B41)*-1000,E41/'2020 Assumptions'!$B$4)</f>
        <v>0</v>
      </c>
      <c r="G41" s="73">
        <f ca="1">IF($C41=G$3,SUMIFS(OFFSET('Non-margin Costs'!$A:$A,,MATCH(G$4,'Non-margin Costs'!$2:$2,0)-1,,),'Non-margin Costs'!$A:$A,$B41)*1000,(SUMIFS(OFFSET('Non-margin Costs'!$A:$A,,MATCH(G$4,'Non-margin Costs'!$2:$2,0)-1,,),'Non-margin Costs'!$A:$A,$B41)*1000)/'2020 Assumptions'!$B$4)</f>
        <v>0</v>
      </c>
      <c r="I41" s="73">
        <f ca="1">OFFSET('Allocation %'!$A$1,MATCH(I$4,'Allocation %'!$A:$A,0)-1,MATCH($D41,'Allocation %'!$5:$5,0)-1)*$F41</f>
        <v>0</v>
      </c>
      <c r="J41" s="73">
        <f ca="1">OFFSET('Allocation %'!$A$1,MATCH(J$4,'Allocation %'!$A:$A,0)-1,MATCH($D41,'Allocation %'!$5:$5,0)-1)*$F41</f>
        <v>0</v>
      </c>
      <c r="K41" s="73">
        <f ca="1">OFFSET('Allocation %'!$A$1,MATCH(K$4,'Allocation %'!$A:$A,0)-1,MATCH($D41,'Allocation %'!$5:$5,0)-1)*$F41</f>
        <v>0</v>
      </c>
      <c r="L41" s="73">
        <f ca="1">OFFSET('Allocation %'!$A$1,MATCH(L$4,'Allocation %'!$A:$A,0)-1,MATCH($D41,'Allocation %'!$5:$5,0)-1)*$F41</f>
        <v>0</v>
      </c>
      <c r="M41" s="73">
        <f ca="1">OFFSET('Allocation %'!$A$1,MATCH(M$4,'Allocation %'!$A:$A,0)-1,MATCH($D41,'Allocation %'!$5:$5,0)-1)*$F41</f>
        <v>0</v>
      </c>
      <c r="N41" s="73">
        <f ca="1">OFFSET('Allocation %'!$A$1,MATCH(N$4,'Allocation %'!$A:$A,0)-1,MATCH($D41,'Allocation %'!$5:$5,0)-1)*$F41</f>
        <v>0</v>
      </c>
      <c r="O41" s="73">
        <f ca="1">OFFSET('Allocation %'!$A$1,MATCH(O$4,'Allocation %'!$A:$A,0)-1,MATCH($D41,'Allocation %'!$5:$5,0)-1)*$F41</f>
        <v>0</v>
      </c>
      <c r="P41" s="73">
        <f ca="1">OFFSET('Allocation %'!$A$1,MATCH(P$4,'Allocation %'!$A:$A,0)-1,MATCH($D41,'Allocation %'!$5:$5,0)-1)*$F41</f>
        <v>0</v>
      </c>
      <c r="Q41" s="73">
        <f ca="1">OFFSET('Allocation %'!$A$1,MATCH(Q$4,'Allocation %'!$A:$A,0)-1,MATCH($D41,'Allocation %'!$5:$5,0)-1)*$F41</f>
        <v>0</v>
      </c>
      <c r="R41" s="73">
        <f ca="1">OFFSET('Allocation %'!$A$1,MATCH(R$4,'Allocation %'!$A:$A,0)-1,MATCH($D41,'Allocation %'!$5:$5,0)-1)*$F41</f>
        <v>0</v>
      </c>
      <c r="S41" s="73">
        <f ca="1">OFFSET('Allocation %'!$A$1,MATCH(S$4,'Allocation %'!$A:$A,0)-1,MATCH($D41,'Allocation %'!$5:$5,0)-1)*$F41</f>
        <v>0</v>
      </c>
      <c r="T41" s="73">
        <f ca="1">OFFSET('Allocation %'!$A$1,MATCH(T$4,'Allocation %'!$A:$A,0)-1,MATCH($D41,'Allocation %'!$5:$5,0)-1)*$F41</f>
        <v>0</v>
      </c>
      <c r="U41" s="73">
        <f ca="1">OFFSET('Allocation %'!$A$1,MATCH(U$4,'Allocation %'!$A:$A,0)-1,MATCH($D41,'Allocation %'!$5:$5,0)-1)*$F41</f>
        <v>0</v>
      </c>
      <c r="V41" s="73">
        <f ca="1">OFFSET('Allocation %'!$A$1,MATCH(V$4,'Allocation %'!$A:$A,0)-1,MATCH($D41,'Allocation %'!$5:$5,0)-1)*$F41</f>
        <v>0</v>
      </c>
      <c r="W41" s="73">
        <f ca="1">OFFSET('Allocation %'!$A$1,MATCH(W$4,'Allocation %'!$A:$A,0)-1,MATCH($D41,'Allocation %'!$5:$5,0)-1)*$F41</f>
        <v>0</v>
      </c>
      <c r="X41" s="73">
        <f ca="1">OFFSET('Allocation %'!$A$1,MATCH(X$4,'Allocation %'!$A:$A,0)-1,MATCH($D41,'Allocation %'!$5:$5,0)-1)*$F41</f>
        <v>0</v>
      </c>
      <c r="Y41" s="73">
        <f ca="1">OFFSET('Allocation %'!$A$1,MATCH(Y$4,'Allocation %'!$A:$A,0)-1,MATCH($D41,'Allocation %'!$5:$5,0)-1)*$F41</f>
        <v>0</v>
      </c>
      <c r="Z41" s="73">
        <f ca="1">OFFSET('Allocation %'!$A$1,MATCH(Z$4,'Allocation %'!$A:$A,0)-1,MATCH($D41,'Allocation %'!$5:$5,0)-1)*$F41</f>
        <v>0</v>
      </c>
      <c r="AA41" s="73">
        <f ca="1">OFFSET('Allocation %'!$A$1,MATCH(AA$4,'Allocation %'!$A:$A,0)-1,MATCH($D41,'Allocation %'!$5:$5,0)-1)*$F41</f>
        <v>0</v>
      </c>
      <c r="AB41" s="73">
        <f ca="1">OFFSET('Allocation %'!$A$1,MATCH(AB$4,'Allocation %'!$A:$A,0)-1,MATCH($D41,'Allocation %'!$5:$5,0)-1)*$F41</f>
        <v>0</v>
      </c>
      <c r="AC41" s="73">
        <f ca="1">OFFSET('Allocation %'!$A$1,MATCH(AC$4,'Allocation %'!$A:$A,0)-1,MATCH($D41,'Allocation %'!$5:$5,0)-1)*$F41</f>
        <v>0</v>
      </c>
      <c r="AD41" s="73">
        <f ca="1">OFFSET('Allocation %'!$A$1,MATCH(AD$4,'Allocation %'!$A:$A,0)-1,MATCH($D41,'Allocation %'!$5:$5,0)-1)*$F41</f>
        <v>0</v>
      </c>
      <c r="AE41" s="73">
        <f ca="1">OFFSET('Allocation %'!$A$1,MATCH(AE$4,'Allocation %'!$A:$A,0)-1,MATCH($D41,'Allocation %'!$5:$5,0)-1)*$F41</f>
        <v>0</v>
      </c>
      <c r="AF41" s="73">
        <f ca="1">OFFSET('Allocation %'!$A$1,MATCH(AF$4,'Allocation %'!$A:$A,0)-1,MATCH($D41,'Allocation %'!$5:$5,0)-1)*$F41</f>
        <v>0</v>
      </c>
      <c r="AG41" s="73">
        <f ca="1">OFFSET('Allocation %'!$A$1,MATCH(AG$4,'Allocation %'!$A:$A,0)-1,MATCH($D41,'Allocation %'!$5:$5,0)-1)*$F41</f>
        <v>0</v>
      </c>
      <c r="AH41" s="73">
        <f ca="1">OFFSET('Allocation %'!$A$1,MATCH(AH$4,'Allocation %'!$A:$A,0)-1,MATCH($D41,'Allocation %'!$5:$5,0)-1)*$F41</f>
        <v>0</v>
      </c>
      <c r="AI41" s="73">
        <f ca="1">OFFSET('Allocation %'!$A$1,MATCH(AI$4,'Allocation %'!$A:$A,0)-1,MATCH($D41,'Allocation %'!$5:$5,0)-1)*$F41</f>
        <v>0</v>
      </c>
      <c r="AJ41" s="73">
        <f ca="1">OFFSET('Allocation %'!$A$1,MATCH(AJ$4,'Allocation %'!$A:$A,0)-1,MATCH($D41,'Allocation %'!$5:$5,0)-1)*$F41</f>
        <v>0</v>
      </c>
      <c r="AK41" s="73">
        <f ca="1">OFFSET('Allocation %'!$A$1,MATCH(AK$4,'Allocation %'!$A:$A,0)-1,MATCH($D41,'Allocation %'!$5:$5,0)-1)*$F41</f>
        <v>0</v>
      </c>
      <c r="AL41" s="73">
        <f ca="1">OFFSET('Allocation %'!$A$1,MATCH(AL$4,'Allocation %'!$A:$A,0)-1,MATCH($D41,'Allocation %'!$5:$5,0)-1)*$F41</f>
        <v>0</v>
      </c>
      <c r="AM41" s="73">
        <f ca="1">OFFSET('Allocation %'!$A$1,MATCH(AM$4,'Allocation %'!$A:$A,0)-1,MATCH($D41,'Allocation %'!$5:$5,0)-1)*$F41</f>
        <v>0</v>
      </c>
      <c r="AN41" s="73">
        <f ca="1">OFFSET('Allocation %'!$A$1,MATCH(AN$4,'Allocation %'!$A:$A,0)-1,MATCH($D41,'Allocation %'!$5:$5,0)-1)*$F41</f>
        <v>0</v>
      </c>
      <c r="AO41" s="73">
        <f ca="1">OFFSET('Allocation %'!$A$1,MATCH(AO$4,'Allocation %'!$A:$A,0)-1,MATCH($D41,'Allocation %'!$5:$5,0)-1)*$F41</f>
        <v>0</v>
      </c>
      <c r="AP41" s="73">
        <f ca="1">OFFSET('Allocation %'!$A$1,MATCH(AP$4,'Allocation %'!$A:$A,0)-1,MATCH($D41,'Allocation %'!$5:$5,0)-1)*$F41</f>
        <v>0</v>
      </c>
      <c r="AQ41" s="73">
        <f ca="1">OFFSET('Allocation %'!$A$1,MATCH(AQ$4,'Allocation %'!$A:$A,0)-1,MATCH($D41,'Allocation %'!$5:$5,0)-1)*$F41</f>
        <v>0</v>
      </c>
      <c r="AR41" s="73">
        <f ca="1">OFFSET('Allocation %'!$A$1,MATCH(AR$4,'Allocation %'!$A:$A,0)-1,MATCH($D41,'Allocation %'!$5:$5,0)-1)*$F41</f>
        <v>0</v>
      </c>
      <c r="AS41" s="73">
        <f ca="1">OFFSET('Allocation %'!$A$1,MATCH(AS$4,'Allocation %'!$A:$A,0)-1,MATCH($D41,'Allocation %'!$5:$5,0)-1)*$F41</f>
        <v>0</v>
      </c>
      <c r="AT41" s="73">
        <f ca="1">OFFSET('Allocation %'!$A$1,MATCH(AT$4,'Allocation %'!$A:$A,0)-1,MATCH($D41,'Allocation %'!$5:$5,0)-1)*$F41</f>
        <v>0</v>
      </c>
      <c r="AU41" s="73">
        <f ca="1">OFFSET('Allocation %'!$A$1,MATCH(AU$4,'Allocation %'!$A:$A,0)-1,MATCH($D41,'Allocation %'!$5:$5,0)-1)*$F41</f>
        <v>0</v>
      </c>
      <c r="AV41" s="73">
        <f ca="1">OFFSET('Allocation %'!$A$1,MATCH(AV$4,'Allocation %'!$A:$A,0)-1,MATCH($D41,'Allocation %'!$5:$5,0)-1)*$F41</f>
        <v>0</v>
      </c>
      <c r="AW41" s="73">
        <f ca="1">OFFSET('Allocation %'!$A$1,MATCH(AW$4,'Allocation %'!$A:$A,0)-1,MATCH($D41,'Allocation %'!$5:$5,0)-1)*$F41</f>
        <v>0</v>
      </c>
      <c r="AX41" s="73">
        <f ca="1">OFFSET('Allocation %'!$A$1,MATCH(AX$4,'Allocation %'!$A:$A,0)-1,MATCH($D41,'Allocation %'!$5:$5,0)-1)*$F41</f>
        <v>0</v>
      </c>
      <c r="AY41" s="73">
        <f ca="1">OFFSET('Allocation %'!$A$1,MATCH(AY$4,'Allocation %'!$A:$A,0)-1,MATCH($D41,'Allocation %'!$5:$5,0)-1)*$F41</f>
        <v>0</v>
      </c>
      <c r="AZ41" s="317">
        <f ca="1">OFFSET('Allocation %'!$A$1,MATCH(AZ$4,'Allocation %'!$A:$A,0)-1,MATCH($D41,'Allocation %'!$5:$5,0)-1)*$F41</f>
        <v>0</v>
      </c>
      <c r="BA41" s="73">
        <f ca="1">OFFSET('Allocation %'!$A$1,MATCH(BA$4,'Allocation %'!$A:$A,0)-1,MATCH($D41,'Allocation %'!$5:$5,0)-1)*$F41</f>
        <v>0</v>
      </c>
      <c r="BB41" s="73">
        <f ca="1">OFFSET('Allocation %'!$A$1,MATCH(BB$4,'Allocation %'!$A:$A,0)-1,MATCH($D41,'Allocation %'!$5:$5,0)-1)*$F41</f>
        <v>0</v>
      </c>
      <c r="BC41" s="73">
        <f ca="1">OFFSET('Allocation %'!$A$1,MATCH(BC$4,'Allocation %'!$A:$A,0)-1,MATCH($D41,'Allocation %'!$5:$5,0)-1)*$F41</f>
        <v>0</v>
      </c>
      <c r="BD41" s="73">
        <f ca="1">OFFSET('Allocation %'!$A$1,MATCH(BD$4,'Allocation %'!$A:$A,0)-1,MATCH($D41,'Allocation %'!$5:$5,0)-1)*$F41</f>
        <v>0</v>
      </c>
      <c r="BE41" s="73">
        <f ca="1">OFFSET('Allocation %'!$A$1,MATCH(BE$4,'Allocation %'!$A:$A,0)-1,MATCH($D41,'Allocation %'!$5:$5,0)-1)*$F41</f>
        <v>0</v>
      </c>
      <c r="BG41" s="76">
        <f t="shared" ca="1" si="3"/>
        <v>0</v>
      </c>
      <c r="BH41" s="349">
        <f t="shared" ca="1" si="4"/>
        <v>0</v>
      </c>
      <c r="BJ41" s="76">
        <f t="shared" ca="1" si="2"/>
        <v>0</v>
      </c>
    </row>
    <row r="42" spans="1:62" s="177" customFormat="1" x14ac:dyDescent="0.25">
      <c r="B42" s="305" t="s">
        <v>327</v>
      </c>
      <c r="C42" s="177" t="str">
        <f>INDEX(ACTUALS!$E:$E,MATCH($B42,ACTUALS!$A:$A,0))</f>
        <v>USD</v>
      </c>
      <c r="D42" s="352" t="str">
        <f ca="1">OFFSET(ACTUALS!$O$2,MATCH($B42,ACTUALS!$A:$A,0)-2,MATCH($E$4,ACTUALS!$P$2:$P$2,0))</f>
        <v>All Less RU - L48</v>
      </c>
      <c r="E42" s="73">
        <f ca="1">IF($C42=E$3,SUMIFS(OFFSET(ACTUALS!$A:$A,,MATCH(E$4,ACTUALS!$2:$2,0)-1,,),ACTUALS!$A:$A,$B42)*-1000,F42*'2020 Assumptions'!$B$4)</f>
        <v>0</v>
      </c>
      <c r="F42" s="305">
        <f ca="1">IF($C42=F$3,SUMIFS(OFFSET(ACTUALS!$A:$A,,MATCH(F$4,ACTUALS!$2:$2,0)-1,,),ACTUALS!$A:$A,$B42)*-1000,E42/'2020 Assumptions'!$B$4)</f>
        <v>0</v>
      </c>
      <c r="G42" s="73">
        <f ca="1">IF($C42=G$3,SUMIFS(OFFSET('Non-margin Costs'!$A:$A,,MATCH(G$4,'Non-margin Costs'!$2:$2,0)-1,,),'Non-margin Costs'!$A:$A,$B42)*1000,(SUMIFS(OFFSET('Non-margin Costs'!$A:$A,,MATCH(G$4,'Non-margin Costs'!$2:$2,0)-1,,),'Non-margin Costs'!$A:$A,$B42)*1000)/'2020 Assumptions'!$B$4)</f>
        <v>0</v>
      </c>
      <c r="I42" s="73">
        <f ca="1">OFFSET('Allocation %'!$A$1,MATCH(I$4,'Allocation %'!$A:$A,0)-1,MATCH($D42,'Allocation %'!$5:$5,0)-1)*$F42</f>
        <v>0</v>
      </c>
      <c r="J42" s="73">
        <f ca="1">OFFSET('Allocation %'!$A$1,MATCH(J$4,'Allocation %'!$A:$A,0)-1,MATCH($D42,'Allocation %'!$5:$5,0)-1)*$F42</f>
        <v>0</v>
      </c>
      <c r="K42" s="73">
        <f ca="1">OFFSET('Allocation %'!$A$1,MATCH(K$4,'Allocation %'!$A:$A,0)-1,MATCH($D42,'Allocation %'!$5:$5,0)-1)*$F42</f>
        <v>0</v>
      </c>
      <c r="L42" s="73">
        <f ca="1">OFFSET('Allocation %'!$A$1,MATCH(L$4,'Allocation %'!$A:$A,0)-1,MATCH($D42,'Allocation %'!$5:$5,0)-1)*$F42</f>
        <v>0</v>
      </c>
      <c r="M42" s="73">
        <f ca="1">OFFSET('Allocation %'!$A$1,MATCH(M$4,'Allocation %'!$A:$A,0)-1,MATCH($D42,'Allocation %'!$5:$5,0)-1)*$F42</f>
        <v>0</v>
      </c>
      <c r="N42" s="73">
        <f ca="1">OFFSET('Allocation %'!$A$1,MATCH(N$4,'Allocation %'!$A:$A,0)-1,MATCH($D42,'Allocation %'!$5:$5,0)-1)*$F42</f>
        <v>0</v>
      </c>
      <c r="O42" s="73">
        <f ca="1">OFFSET('Allocation %'!$A$1,MATCH(O$4,'Allocation %'!$A:$A,0)-1,MATCH($D42,'Allocation %'!$5:$5,0)-1)*$F42</f>
        <v>0</v>
      </c>
      <c r="P42" s="73">
        <f ca="1">OFFSET('Allocation %'!$A$1,MATCH(P$4,'Allocation %'!$A:$A,0)-1,MATCH($D42,'Allocation %'!$5:$5,0)-1)*$F42</f>
        <v>0</v>
      </c>
      <c r="Q42" s="73">
        <f ca="1">OFFSET('Allocation %'!$A$1,MATCH(Q$4,'Allocation %'!$A:$A,0)-1,MATCH($D42,'Allocation %'!$5:$5,0)-1)*$F42</f>
        <v>0</v>
      </c>
      <c r="R42" s="73">
        <f ca="1">OFFSET('Allocation %'!$A$1,MATCH(R$4,'Allocation %'!$A:$A,0)-1,MATCH($D42,'Allocation %'!$5:$5,0)-1)*$F42</f>
        <v>0</v>
      </c>
      <c r="S42" s="73">
        <f ca="1">OFFSET('Allocation %'!$A$1,MATCH(S$4,'Allocation %'!$A:$A,0)-1,MATCH($D42,'Allocation %'!$5:$5,0)-1)*$F42</f>
        <v>0</v>
      </c>
      <c r="T42" s="73">
        <f ca="1">OFFSET('Allocation %'!$A$1,MATCH(T$4,'Allocation %'!$A:$A,0)-1,MATCH($D42,'Allocation %'!$5:$5,0)-1)*$F42</f>
        <v>0</v>
      </c>
      <c r="U42" s="73">
        <f ca="1">OFFSET('Allocation %'!$A$1,MATCH(U$4,'Allocation %'!$A:$A,0)-1,MATCH($D42,'Allocation %'!$5:$5,0)-1)*$F42</f>
        <v>0</v>
      </c>
      <c r="V42" s="73">
        <f ca="1">OFFSET('Allocation %'!$A$1,MATCH(V$4,'Allocation %'!$A:$A,0)-1,MATCH($D42,'Allocation %'!$5:$5,0)-1)*$F42</f>
        <v>0</v>
      </c>
      <c r="W42" s="73">
        <f ca="1">OFFSET('Allocation %'!$A$1,MATCH(W$4,'Allocation %'!$A:$A,0)-1,MATCH($D42,'Allocation %'!$5:$5,0)-1)*$F42</f>
        <v>0</v>
      </c>
      <c r="X42" s="73">
        <f ca="1">OFFSET('Allocation %'!$A$1,MATCH(X$4,'Allocation %'!$A:$A,0)-1,MATCH($D42,'Allocation %'!$5:$5,0)-1)*$F42</f>
        <v>0</v>
      </c>
      <c r="Y42" s="73">
        <f ca="1">OFFSET('Allocation %'!$A$1,MATCH(Y$4,'Allocation %'!$A:$A,0)-1,MATCH($D42,'Allocation %'!$5:$5,0)-1)*$F42</f>
        <v>0</v>
      </c>
      <c r="Z42" s="73">
        <f ca="1">OFFSET('Allocation %'!$A$1,MATCH(Z$4,'Allocation %'!$A:$A,0)-1,MATCH($D42,'Allocation %'!$5:$5,0)-1)*$F42</f>
        <v>0</v>
      </c>
      <c r="AA42" s="73">
        <f ca="1">OFFSET('Allocation %'!$A$1,MATCH(AA$4,'Allocation %'!$A:$A,0)-1,MATCH($D42,'Allocation %'!$5:$5,0)-1)*$F42</f>
        <v>0</v>
      </c>
      <c r="AB42" s="73">
        <f ca="1">OFFSET('Allocation %'!$A$1,MATCH(AB$4,'Allocation %'!$A:$A,0)-1,MATCH($D42,'Allocation %'!$5:$5,0)-1)*$F42</f>
        <v>0</v>
      </c>
      <c r="AC42" s="73">
        <f ca="1">OFFSET('Allocation %'!$A$1,MATCH(AC$4,'Allocation %'!$A:$A,0)-1,MATCH($D42,'Allocation %'!$5:$5,0)-1)*$F42</f>
        <v>0</v>
      </c>
      <c r="AD42" s="73">
        <f ca="1">OFFSET('Allocation %'!$A$1,MATCH(AD$4,'Allocation %'!$A:$A,0)-1,MATCH($D42,'Allocation %'!$5:$5,0)-1)*$F42</f>
        <v>0</v>
      </c>
      <c r="AE42" s="73">
        <f ca="1">OFFSET('Allocation %'!$A$1,MATCH(AE$4,'Allocation %'!$A:$A,0)-1,MATCH($D42,'Allocation %'!$5:$5,0)-1)*$F42</f>
        <v>0</v>
      </c>
      <c r="AF42" s="73">
        <f ca="1">OFFSET('Allocation %'!$A$1,MATCH(AF$4,'Allocation %'!$A:$A,0)-1,MATCH($D42,'Allocation %'!$5:$5,0)-1)*$F42</f>
        <v>0</v>
      </c>
      <c r="AG42" s="73">
        <f ca="1">OFFSET('Allocation %'!$A$1,MATCH(AG$4,'Allocation %'!$A:$A,0)-1,MATCH($D42,'Allocation %'!$5:$5,0)-1)*$F42</f>
        <v>0</v>
      </c>
      <c r="AH42" s="73">
        <f ca="1">OFFSET('Allocation %'!$A$1,MATCH(AH$4,'Allocation %'!$A:$A,0)-1,MATCH($D42,'Allocation %'!$5:$5,0)-1)*$F42</f>
        <v>0</v>
      </c>
      <c r="AI42" s="73">
        <f ca="1">OFFSET('Allocation %'!$A$1,MATCH(AI$4,'Allocation %'!$A:$A,0)-1,MATCH($D42,'Allocation %'!$5:$5,0)-1)*$F42</f>
        <v>0</v>
      </c>
      <c r="AJ42" s="73">
        <f ca="1">OFFSET('Allocation %'!$A$1,MATCH(AJ$4,'Allocation %'!$A:$A,0)-1,MATCH($D42,'Allocation %'!$5:$5,0)-1)*$F42</f>
        <v>0</v>
      </c>
      <c r="AK42" s="73">
        <f ca="1">OFFSET('Allocation %'!$A$1,MATCH(AK$4,'Allocation %'!$A:$A,0)-1,MATCH($D42,'Allocation %'!$5:$5,0)-1)*$F42</f>
        <v>0</v>
      </c>
      <c r="AL42" s="73">
        <f ca="1">OFFSET('Allocation %'!$A$1,MATCH(AL$4,'Allocation %'!$A:$A,0)-1,MATCH($D42,'Allocation %'!$5:$5,0)-1)*$F42</f>
        <v>0</v>
      </c>
      <c r="AM42" s="73">
        <f ca="1">OFFSET('Allocation %'!$A$1,MATCH(AM$4,'Allocation %'!$A:$A,0)-1,MATCH($D42,'Allocation %'!$5:$5,0)-1)*$F42</f>
        <v>0</v>
      </c>
      <c r="AN42" s="73">
        <f ca="1">OFFSET('Allocation %'!$A$1,MATCH(AN$4,'Allocation %'!$A:$A,0)-1,MATCH($D42,'Allocation %'!$5:$5,0)-1)*$F42</f>
        <v>0</v>
      </c>
      <c r="AO42" s="73">
        <f ca="1">OFFSET('Allocation %'!$A$1,MATCH(AO$4,'Allocation %'!$A:$A,0)-1,MATCH($D42,'Allocation %'!$5:$5,0)-1)*$F42</f>
        <v>0</v>
      </c>
      <c r="AP42" s="73">
        <f ca="1">OFFSET('Allocation %'!$A$1,MATCH(AP$4,'Allocation %'!$A:$A,0)-1,MATCH($D42,'Allocation %'!$5:$5,0)-1)*$F42</f>
        <v>0</v>
      </c>
      <c r="AQ42" s="73">
        <f ca="1">OFFSET('Allocation %'!$A$1,MATCH(AQ$4,'Allocation %'!$A:$A,0)-1,MATCH($D42,'Allocation %'!$5:$5,0)-1)*$F42</f>
        <v>0</v>
      </c>
      <c r="AR42" s="73">
        <f ca="1">OFFSET('Allocation %'!$A$1,MATCH(AR$4,'Allocation %'!$A:$A,0)-1,MATCH($D42,'Allocation %'!$5:$5,0)-1)*$F42</f>
        <v>0</v>
      </c>
      <c r="AS42" s="73">
        <f ca="1">OFFSET('Allocation %'!$A$1,MATCH(AS$4,'Allocation %'!$A:$A,0)-1,MATCH($D42,'Allocation %'!$5:$5,0)-1)*$F42</f>
        <v>0</v>
      </c>
      <c r="AT42" s="73">
        <f ca="1">OFFSET('Allocation %'!$A$1,MATCH(AT$4,'Allocation %'!$A:$A,0)-1,MATCH($D42,'Allocation %'!$5:$5,0)-1)*$F42</f>
        <v>0</v>
      </c>
      <c r="AU42" s="73">
        <f ca="1">OFFSET('Allocation %'!$A$1,MATCH(AU$4,'Allocation %'!$A:$A,0)-1,MATCH($D42,'Allocation %'!$5:$5,0)-1)*$F42</f>
        <v>0</v>
      </c>
      <c r="AV42" s="73">
        <f ca="1">OFFSET('Allocation %'!$A$1,MATCH(AV$4,'Allocation %'!$A:$A,0)-1,MATCH($D42,'Allocation %'!$5:$5,0)-1)*$F42</f>
        <v>0</v>
      </c>
      <c r="AW42" s="73">
        <f ca="1">OFFSET('Allocation %'!$A$1,MATCH(AW$4,'Allocation %'!$A:$A,0)-1,MATCH($D42,'Allocation %'!$5:$5,0)-1)*$F42</f>
        <v>0</v>
      </c>
      <c r="AX42" s="73">
        <f ca="1">OFFSET('Allocation %'!$A$1,MATCH(AX$4,'Allocation %'!$A:$A,0)-1,MATCH($D42,'Allocation %'!$5:$5,0)-1)*$F42</f>
        <v>0</v>
      </c>
      <c r="AY42" s="73">
        <f ca="1">OFFSET('Allocation %'!$A$1,MATCH(AY$4,'Allocation %'!$A:$A,0)-1,MATCH($D42,'Allocation %'!$5:$5,0)-1)*$F42</f>
        <v>0</v>
      </c>
      <c r="AZ42" s="317">
        <f ca="1">OFFSET('Allocation %'!$A$1,MATCH(AZ$4,'Allocation %'!$A:$A,0)-1,MATCH($D42,'Allocation %'!$5:$5,0)-1)*$F42</f>
        <v>0</v>
      </c>
      <c r="BA42" s="73">
        <f ca="1">OFFSET('Allocation %'!$A$1,MATCH(BA$4,'Allocation %'!$A:$A,0)-1,MATCH($D42,'Allocation %'!$5:$5,0)-1)*$F42</f>
        <v>0</v>
      </c>
      <c r="BB42" s="73">
        <f ca="1">OFFSET('Allocation %'!$A$1,MATCH(BB$4,'Allocation %'!$A:$A,0)-1,MATCH($D42,'Allocation %'!$5:$5,0)-1)*$F42</f>
        <v>0</v>
      </c>
      <c r="BC42" s="73">
        <f ca="1">OFFSET('Allocation %'!$A$1,MATCH(BC$4,'Allocation %'!$A:$A,0)-1,MATCH($D42,'Allocation %'!$5:$5,0)-1)*$F42</f>
        <v>0</v>
      </c>
      <c r="BD42" s="73">
        <f ca="1">OFFSET('Allocation %'!$A$1,MATCH(BD$4,'Allocation %'!$A:$A,0)-1,MATCH($D42,'Allocation %'!$5:$5,0)-1)*$F42</f>
        <v>0</v>
      </c>
      <c r="BE42" s="73">
        <f ca="1">OFFSET('Allocation %'!$A$1,MATCH(BE$4,'Allocation %'!$A:$A,0)-1,MATCH($D42,'Allocation %'!$5:$5,0)-1)*$F42</f>
        <v>0</v>
      </c>
      <c r="BG42" s="76">
        <f t="shared" ca="1" si="3"/>
        <v>0</v>
      </c>
      <c r="BH42" s="349">
        <f t="shared" ca="1" si="4"/>
        <v>0</v>
      </c>
      <c r="BJ42" s="76">
        <f t="shared" ca="1" si="2"/>
        <v>0</v>
      </c>
    </row>
    <row r="43" spans="1:62" x14ac:dyDescent="0.25">
      <c r="A43" s="139" t="s">
        <v>419</v>
      </c>
      <c r="B43" s="259" t="s">
        <v>240</v>
      </c>
      <c r="C43" s="69" t="str">
        <f>INDEX(ACTUALS!$E:$E,MATCH($B43,ACTUALS!$A:$A,0))</f>
        <v>USD</v>
      </c>
      <c r="D43" s="352" t="str">
        <f ca="1">OFFSET(ACTUALS!$O$2,MATCH($B43,ACTUALS!$A:$A,0)-2,MATCH($E$4,ACTUALS!$P$2:$P$2,0))</f>
        <v>RU - L48</v>
      </c>
      <c r="E43" s="73">
        <f ca="1">IF($C43=E$3,SUMIFS(OFFSET(ACTUALS!$A:$A,,MATCH(E$4,ACTUALS!$2:$2,0)-1,,),ACTUALS!$A:$A,$B43)*-1000,F43*'2020 Assumptions'!$B$4)</f>
        <v>144347.535332</v>
      </c>
      <c r="F43" s="317">
        <f ca="1">IF($C43=F$3,SUMIFS(OFFSET(ACTUALS!$A:$A,,MATCH(F$4,ACTUALS!$2:$2,0)-1,,),ACTUALS!$A:$A,$B43)*-1000,E43/'2020 Assumptions'!$B$4)</f>
        <v>107385.45999999999</v>
      </c>
      <c r="G43" s="81">
        <f ca="1">IF($C43=G$3,SUMIFS(OFFSET('Non-margin Costs'!$A:$A,,MATCH(G$4,'Non-margin Costs'!$2:$2,0)-1,,),'Non-margin Costs'!$A:$A,$B43)*1000,(SUMIFS(OFFSET('Non-margin Costs'!$A:$A,,MATCH(G$4,'Non-margin Costs'!$2:$2,0)-1,,),'Non-margin Costs'!$A:$A,$B43)*1000)/'2020 Assumptions'!$B$4)</f>
        <v>5948.4400000000005</v>
      </c>
      <c r="H43" s="69"/>
      <c r="I43" s="81">
        <f ca="1">OFFSET('Allocation %'!$A$1,MATCH(I$4,'Allocation %'!$A:$A,0)-1,MATCH($D43,'Allocation %'!$5:$5,0)-1)*$F43</f>
        <v>0</v>
      </c>
      <c r="J43" s="81">
        <f ca="1">OFFSET('Allocation %'!$A$1,MATCH(J$4,'Allocation %'!$A:$A,0)-1,MATCH($D43,'Allocation %'!$5:$5,0)-1)*$F43</f>
        <v>0</v>
      </c>
      <c r="K43" s="81">
        <f ca="1">OFFSET('Allocation %'!$A$1,MATCH(K$4,'Allocation %'!$A:$A,0)-1,MATCH($D43,'Allocation %'!$5:$5,0)-1)*$F43</f>
        <v>0</v>
      </c>
      <c r="L43" s="81">
        <f ca="1">OFFSET('Allocation %'!$A$1,MATCH(L$4,'Allocation %'!$A:$A,0)-1,MATCH($D43,'Allocation %'!$5:$5,0)-1)*$F43</f>
        <v>0</v>
      </c>
      <c r="M43" s="81">
        <f ca="1">OFFSET('Allocation %'!$A$1,MATCH(M$4,'Allocation %'!$A:$A,0)-1,MATCH($D43,'Allocation %'!$5:$5,0)-1)*$F43</f>
        <v>0</v>
      </c>
      <c r="N43" s="81">
        <f ca="1">OFFSET('Allocation %'!$A$1,MATCH(N$4,'Allocation %'!$A:$A,0)-1,MATCH($D43,'Allocation %'!$5:$5,0)-1)*$F43</f>
        <v>0</v>
      </c>
      <c r="O43" s="81">
        <f ca="1">OFFSET('Allocation %'!$A$1,MATCH(O$4,'Allocation %'!$A:$A,0)-1,MATCH($D43,'Allocation %'!$5:$5,0)-1)*$F43</f>
        <v>0</v>
      </c>
      <c r="P43" s="81">
        <f ca="1">OFFSET('Allocation %'!$A$1,MATCH(P$4,'Allocation %'!$A:$A,0)-1,MATCH($D43,'Allocation %'!$5:$5,0)-1)*$F43</f>
        <v>0</v>
      </c>
      <c r="Q43" s="81">
        <f ca="1">OFFSET('Allocation %'!$A$1,MATCH(Q$4,'Allocation %'!$A:$A,0)-1,MATCH($D43,'Allocation %'!$5:$5,0)-1)*$F43</f>
        <v>0</v>
      </c>
      <c r="R43" s="81">
        <f ca="1">OFFSET('Allocation %'!$A$1,MATCH(R$4,'Allocation %'!$A:$A,0)-1,MATCH($D43,'Allocation %'!$5:$5,0)-1)*$F43</f>
        <v>0</v>
      </c>
      <c r="S43" s="81">
        <f ca="1">OFFSET('Allocation %'!$A$1,MATCH(S$4,'Allocation %'!$A:$A,0)-1,MATCH($D43,'Allocation %'!$5:$5,0)-1)*$F43</f>
        <v>0</v>
      </c>
      <c r="T43" s="81">
        <f ca="1">OFFSET('Allocation %'!$A$1,MATCH(T$4,'Allocation %'!$A:$A,0)-1,MATCH($D43,'Allocation %'!$5:$5,0)-1)*$F43</f>
        <v>0</v>
      </c>
      <c r="U43" s="81">
        <f ca="1">OFFSET('Allocation %'!$A$1,MATCH(U$4,'Allocation %'!$A:$A,0)-1,MATCH($D43,'Allocation %'!$5:$5,0)-1)*$F43</f>
        <v>0</v>
      </c>
      <c r="V43" s="81">
        <f ca="1">OFFSET('Allocation %'!$A$1,MATCH(V$4,'Allocation %'!$A:$A,0)-1,MATCH($D43,'Allocation %'!$5:$5,0)-1)*$F43</f>
        <v>0</v>
      </c>
      <c r="W43" s="81">
        <f ca="1">OFFSET('Allocation %'!$A$1,MATCH(W$4,'Allocation %'!$A:$A,0)-1,MATCH($D43,'Allocation %'!$5:$5,0)-1)*$F43</f>
        <v>0</v>
      </c>
      <c r="X43" s="81">
        <f ca="1">OFFSET('Allocation %'!$A$1,MATCH(X$4,'Allocation %'!$A:$A,0)-1,MATCH($D43,'Allocation %'!$5:$5,0)-1)*$F43</f>
        <v>0</v>
      </c>
      <c r="Y43" s="81">
        <f ca="1">OFFSET('Allocation %'!$A$1,MATCH(Y$4,'Allocation %'!$A:$A,0)-1,MATCH($D43,'Allocation %'!$5:$5,0)-1)*$F43</f>
        <v>0</v>
      </c>
      <c r="Z43" s="81">
        <f ca="1">OFFSET('Allocation %'!$A$1,MATCH(Z$4,'Allocation %'!$A:$A,0)-1,MATCH($D43,'Allocation %'!$5:$5,0)-1)*$F43</f>
        <v>0</v>
      </c>
      <c r="AA43" s="81">
        <f ca="1">OFFSET('Allocation %'!$A$1,MATCH(AA$4,'Allocation %'!$A:$A,0)-1,MATCH($D43,'Allocation %'!$5:$5,0)-1)*$F43</f>
        <v>0</v>
      </c>
      <c r="AB43" s="81">
        <f ca="1">OFFSET('Allocation %'!$A$1,MATCH(AB$4,'Allocation %'!$A:$A,0)-1,MATCH($D43,'Allocation %'!$5:$5,0)-1)*$F43</f>
        <v>0</v>
      </c>
      <c r="AC43" s="81">
        <f ca="1">OFFSET('Allocation %'!$A$1,MATCH(AC$4,'Allocation %'!$A:$A,0)-1,MATCH($D43,'Allocation %'!$5:$5,0)-1)*$F43</f>
        <v>0</v>
      </c>
      <c r="AD43" s="81">
        <f ca="1">OFFSET('Allocation %'!$A$1,MATCH(AD$4,'Allocation %'!$A:$A,0)-1,MATCH($D43,'Allocation %'!$5:$5,0)-1)*$F43</f>
        <v>0</v>
      </c>
      <c r="AE43" s="81">
        <f ca="1">OFFSET('Allocation %'!$A$1,MATCH(AE$4,'Allocation %'!$A:$A,0)-1,MATCH($D43,'Allocation %'!$5:$5,0)-1)*$F43</f>
        <v>0</v>
      </c>
      <c r="AF43" s="81">
        <f ca="1">OFFSET('Allocation %'!$A$1,MATCH(AF$4,'Allocation %'!$A:$A,0)-1,MATCH($D43,'Allocation %'!$5:$5,0)-1)*$F43</f>
        <v>0</v>
      </c>
      <c r="AG43" s="81">
        <f ca="1">OFFSET('Allocation %'!$A$1,MATCH(AG$4,'Allocation %'!$A:$A,0)-1,MATCH($D43,'Allocation %'!$5:$5,0)-1)*$F43</f>
        <v>0</v>
      </c>
      <c r="AH43" s="81">
        <f ca="1">OFFSET('Allocation %'!$A$1,MATCH(AH$4,'Allocation %'!$A:$A,0)-1,MATCH($D43,'Allocation %'!$5:$5,0)-1)*$F43</f>
        <v>0</v>
      </c>
      <c r="AI43" s="81">
        <f ca="1">OFFSET('Allocation %'!$A$1,MATCH(AI$4,'Allocation %'!$A:$A,0)-1,MATCH($D43,'Allocation %'!$5:$5,0)-1)*$F43</f>
        <v>0</v>
      </c>
      <c r="AJ43" s="81">
        <f ca="1">OFFSET('Allocation %'!$A$1,MATCH(AJ$4,'Allocation %'!$A:$A,0)-1,MATCH($D43,'Allocation %'!$5:$5,0)-1)*$F43</f>
        <v>0</v>
      </c>
      <c r="AK43" s="81">
        <f ca="1">OFFSET('Allocation %'!$A$1,MATCH(AK$4,'Allocation %'!$A:$A,0)-1,MATCH($D43,'Allocation %'!$5:$5,0)-1)*$F43</f>
        <v>0</v>
      </c>
      <c r="AL43" s="81">
        <f ca="1">OFFSET('Allocation %'!$A$1,MATCH(AL$4,'Allocation %'!$A:$A,0)-1,MATCH($D43,'Allocation %'!$5:$5,0)-1)*$F43</f>
        <v>0</v>
      </c>
      <c r="AM43" s="81">
        <f ca="1">OFFSET('Allocation %'!$A$1,MATCH(AM$4,'Allocation %'!$A:$A,0)-1,MATCH($D43,'Allocation %'!$5:$5,0)-1)*$F43</f>
        <v>0</v>
      </c>
      <c r="AN43" s="81">
        <f ca="1">OFFSET('Allocation %'!$A$1,MATCH(AN$4,'Allocation %'!$A:$A,0)-1,MATCH($D43,'Allocation %'!$5:$5,0)-1)*$F43</f>
        <v>0</v>
      </c>
      <c r="AO43" s="81">
        <f ca="1">OFFSET('Allocation %'!$A$1,MATCH(AO$4,'Allocation %'!$A:$A,0)-1,MATCH($D43,'Allocation %'!$5:$5,0)-1)*$F43</f>
        <v>0</v>
      </c>
      <c r="AP43" s="81">
        <f ca="1">OFFSET('Allocation %'!$A$1,MATCH(AP$4,'Allocation %'!$A:$A,0)-1,MATCH($D43,'Allocation %'!$5:$5,0)-1)*$F43</f>
        <v>0</v>
      </c>
      <c r="AQ43" s="81">
        <f ca="1">OFFSET('Allocation %'!$A$1,MATCH(AQ$4,'Allocation %'!$A:$A,0)-1,MATCH($D43,'Allocation %'!$5:$5,0)-1)*$F43</f>
        <v>0</v>
      </c>
      <c r="AR43" s="81">
        <f ca="1">OFFSET('Allocation %'!$A$1,MATCH(AR$4,'Allocation %'!$A:$A,0)-1,MATCH($D43,'Allocation %'!$5:$5,0)-1)*$F43</f>
        <v>0</v>
      </c>
      <c r="AS43" s="81">
        <f ca="1">OFFSET('Allocation %'!$A$1,MATCH(AS$4,'Allocation %'!$A:$A,0)-1,MATCH($D43,'Allocation %'!$5:$5,0)-1)*$F43</f>
        <v>0</v>
      </c>
      <c r="AT43" s="81">
        <f ca="1">OFFSET('Allocation %'!$A$1,MATCH(AT$4,'Allocation %'!$A:$A,0)-1,MATCH($D43,'Allocation %'!$5:$5,0)-1)*$F43</f>
        <v>0</v>
      </c>
      <c r="AU43" s="81">
        <f ca="1">OFFSET('Allocation %'!$A$1,MATCH(AU$4,'Allocation %'!$A:$A,0)-1,MATCH($D43,'Allocation %'!$5:$5,0)-1)*$F43</f>
        <v>0</v>
      </c>
      <c r="AV43" s="81">
        <f ca="1">OFFSET('Allocation %'!$A$1,MATCH(AV$4,'Allocation %'!$A:$A,0)-1,MATCH($D43,'Allocation %'!$5:$5,0)-1)*$F43</f>
        <v>0</v>
      </c>
      <c r="AW43" s="81">
        <f ca="1">OFFSET('Allocation %'!$A$1,MATCH(AW$4,'Allocation %'!$A:$A,0)-1,MATCH($D43,'Allocation %'!$5:$5,0)-1)*$F43</f>
        <v>0</v>
      </c>
      <c r="AX43" s="81">
        <f ca="1">OFFSET('Allocation %'!$A$1,MATCH(AX$4,'Allocation %'!$A:$A,0)-1,MATCH($D43,'Allocation %'!$5:$5,0)-1)*$F43</f>
        <v>0</v>
      </c>
      <c r="AY43" s="81">
        <f ca="1">OFFSET('Allocation %'!$A$1,MATCH(AY$4,'Allocation %'!$A:$A,0)-1,MATCH($D43,'Allocation %'!$5:$5,0)-1)*$F43</f>
        <v>0</v>
      </c>
      <c r="AZ43" s="73">
        <f ca="1">OFFSET('Allocation %'!$A$1,MATCH(AZ$4,'Allocation %'!$A:$A,0)-1,MATCH($D43,'Allocation %'!$5:$5,0)-1)*$F43</f>
        <v>107385.45999999999</v>
      </c>
      <c r="BA43" s="73">
        <f ca="1">OFFSET('Allocation %'!$A$1,MATCH(BA$4,'Allocation %'!$A:$A,0)-1,MATCH($D43,'Allocation %'!$5:$5,0)-1)*$F43</f>
        <v>0</v>
      </c>
      <c r="BB43" s="73">
        <f ca="1">OFFSET('Allocation %'!$A$1,MATCH(BB$4,'Allocation %'!$A:$A,0)-1,MATCH($D43,'Allocation %'!$5:$5,0)-1)*$F43</f>
        <v>0</v>
      </c>
      <c r="BC43" s="73">
        <f ca="1">OFFSET('Allocation %'!$A$1,MATCH(BC$4,'Allocation %'!$A:$A,0)-1,MATCH($D43,'Allocation %'!$5:$5,0)-1)*$F43</f>
        <v>0</v>
      </c>
      <c r="BD43" s="73">
        <f ca="1">OFFSET('Allocation %'!$A$1,MATCH(BD$4,'Allocation %'!$A:$A,0)-1,MATCH($D43,'Allocation %'!$5:$5,0)-1)*$F43</f>
        <v>0</v>
      </c>
      <c r="BE43" s="73">
        <f ca="1">OFFSET('Allocation %'!$A$1,MATCH(BE$4,'Allocation %'!$A:$A,0)-1,MATCH($D43,'Allocation %'!$5:$5,0)-1)*$F43</f>
        <v>0</v>
      </c>
      <c r="BG43" s="76">
        <f t="shared" ca="1" si="3"/>
        <v>107385.45999999999</v>
      </c>
      <c r="BH43" s="349">
        <f t="shared" ca="1" si="4"/>
        <v>0</v>
      </c>
      <c r="BJ43" s="76">
        <f t="shared" ca="1" si="2"/>
        <v>0</v>
      </c>
    </row>
    <row r="44" spans="1:62" x14ac:dyDescent="0.25">
      <c r="A44" s="139" t="s">
        <v>419</v>
      </c>
      <c r="B44" s="259" t="s">
        <v>280</v>
      </c>
      <c r="C44" s="69" t="str">
        <f>INDEX(ACTUALS!$E:$E,MATCH($B44,ACTUALS!$A:$A,0))</f>
        <v>USD</v>
      </c>
      <c r="D44" s="352" t="str">
        <f ca="1">OFFSET(ACTUALS!$O$2,MATCH($B44,ACTUALS!$A:$A,0)-2,MATCH($E$4,ACTUALS!$P$2:$P$2,0))</f>
        <v>ALL</v>
      </c>
      <c r="E44" s="73">
        <f ca="1">IF($C44=E$3,SUMIFS(OFFSET(ACTUALS!$A:$A,,MATCH(E$4,ACTUALS!$2:$2,0)-1,,),ACTUALS!$A:$A,$B44)*-1000,F44*'2020 Assumptions'!$B$4)</f>
        <v>98251.099804000012</v>
      </c>
      <c r="F44" s="317">
        <f ca="1">IF($C44=F$3,SUMIFS(OFFSET(ACTUALS!$A:$A,,MATCH(F$4,ACTUALS!$2:$2,0)-1,,),ACTUALS!$A:$A,$B44)*-1000,E44/'2020 Assumptions'!$B$4)</f>
        <v>73092.62000000001</v>
      </c>
      <c r="G44" s="73">
        <f ca="1">IF($C44=G$3,SUMIFS(OFFSET('Non-margin Costs'!$A:$A,,MATCH(G$4,'Non-margin Costs'!$2:$2,0)-1,,),'Non-margin Costs'!$A:$A,$B44)*1000,(SUMIFS(OFFSET('Non-margin Costs'!$A:$A,,MATCH(G$4,'Non-margin Costs'!$2:$2,0)-1,,),'Non-margin Costs'!$A:$A,$B44)*1000)/'2020 Assumptions'!$B$4)</f>
        <v>0</v>
      </c>
      <c r="I44" s="73">
        <f ca="1">OFFSET('Allocation %'!$A$1,MATCH(I$4,'Allocation %'!$A:$A,0)-1,MATCH($D44,'Allocation %'!$5:$5,0)-1)*$F44</f>
        <v>0</v>
      </c>
      <c r="J44" s="73">
        <f ca="1">OFFSET('Allocation %'!$A$1,MATCH(J$4,'Allocation %'!$A:$A,0)-1,MATCH($D44,'Allocation %'!$5:$5,0)-1)*$F44</f>
        <v>176.96587855398579</v>
      </c>
      <c r="K44" s="73">
        <f ca="1">OFFSET('Allocation %'!$A$1,MATCH(K$4,'Allocation %'!$A:$A,0)-1,MATCH($D44,'Allocation %'!$5:$5,0)-1)*$F44</f>
        <v>55.712522966821076</v>
      </c>
      <c r="L44" s="73">
        <f ca="1">OFFSET('Allocation %'!$A$1,MATCH(L$4,'Allocation %'!$A:$A,0)-1,MATCH($D44,'Allocation %'!$5:$5,0)-1)*$F44</f>
        <v>60.219094542820322</v>
      </c>
      <c r="M44" s="73">
        <f ca="1">OFFSET('Allocation %'!$A$1,MATCH(M$4,'Allocation %'!$A:$A,0)-1,MATCH($D44,'Allocation %'!$5:$5,0)-1)*$F44</f>
        <v>98.03387308169323</v>
      </c>
      <c r="N44" s="73">
        <f ca="1">OFFSET('Allocation %'!$A$1,MATCH(N$4,'Allocation %'!$A:$A,0)-1,MATCH($D44,'Allocation %'!$5:$5,0)-1)*$F44</f>
        <v>85.787409023492131</v>
      </c>
      <c r="O44" s="73">
        <f ca="1">OFFSET('Allocation %'!$A$1,MATCH(O$4,'Allocation %'!$A:$A,0)-1,MATCH($D44,'Allocation %'!$5:$5,0)-1)*$F44</f>
        <v>200.57256276433742</v>
      </c>
      <c r="P44" s="73">
        <f ca="1">OFFSET('Allocation %'!$A$1,MATCH(P$4,'Allocation %'!$A:$A,0)-1,MATCH($D44,'Allocation %'!$5:$5,0)-1)*$F44</f>
        <v>29.123802372870276</v>
      </c>
      <c r="Q44" s="73">
        <f ca="1">OFFSET('Allocation %'!$A$1,MATCH(Q$4,'Allocation %'!$A:$A,0)-1,MATCH($D44,'Allocation %'!$5:$5,0)-1)*$F44</f>
        <v>63.556047150430707</v>
      </c>
      <c r="R44" s="73">
        <f ca="1">OFFSET('Allocation %'!$A$1,MATCH(R$4,'Allocation %'!$A:$A,0)-1,MATCH($D44,'Allocation %'!$5:$5,0)-1)*$F44</f>
        <v>58.65643044080263</v>
      </c>
      <c r="S44" s="73">
        <f ca="1">OFFSET('Allocation %'!$A$1,MATCH(S$4,'Allocation %'!$A:$A,0)-1,MATCH($D44,'Allocation %'!$5:$5,0)-1)*$F44</f>
        <v>56.417536108199769</v>
      </c>
      <c r="T44" s="73">
        <f ca="1">OFFSET('Allocation %'!$A$1,MATCH(T$4,'Allocation %'!$A:$A,0)-1,MATCH($D44,'Allocation %'!$5:$5,0)-1)*$F44</f>
        <v>202.48803122194721</v>
      </c>
      <c r="U44" s="73">
        <f ca="1">OFFSET('Allocation %'!$A$1,MATCH(U$4,'Allocation %'!$A:$A,0)-1,MATCH($D44,'Allocation %'!$5:$5,0)-1)*$F44</f>
        <v>129.52166481607452</v>
      </c>
      <c r="V44" s="73">
        <f ca="1">OFFSET('Allocation %'!$A$1,MATCH(V$4,'Allocation %'!$A:$A,0)-1,MATCH($D44,'Allocation %'!$5:$5,0)-1)*$F44</f>
        <v>137.45843506753792</v>
      </c>
      <c r="W44" s="73">
        <f ca="1">OFFSET('Allocation %'!$A$1,MATCH(W$4,'Allocation %'!$A:$A,0)-1,MATCH($D44,'Allocation %'!$5:$5,0)-1)*$F44</f>
        <v>222.60602651044456</v>
      </c>
      <c r="X44" s="73">
        <f ca="1">OFFSET('Allocation %'!$A$1,MATCH(X$4,'Allocation %'!$A:$A,0)-1,MATCH($D44,'Allocation %'!$5:$5,0)-1)*$F44</f>
        <v>5.1557129911242994</v>
      </c>
      <c r="Y44" s="73">
        <f ca="1">OFFSET('Allocation %'!$A$1,MATCH(Y$4,'Allocation %'!$A:$A,0)-1,MATCH($D44,'Allocation %'!$5:$5,0)-1)*$F44</f>
        <v>4.0681697198479281</v>
      </c>
      <c r="Z44" s="73">
        <f ca="1">OFFSET('Allocation %'!$A$1,MATCH(Z$4,'Allocation %'!$A:$A,0)-1,MATCH($D44,'Allocation %'!$5:$5,0)-1)*$F44</f>
        <v>11.863437504580915</v>
      </c>
      <c r="AA44" s="73">
        <f ca="1">OFFSET('Allocation %'!$A$1,MATCH(AA$4,'Allocation %'!$A:$A,0)-1,MATCH($D44,'Allocation %'!$5:$5,0)-1)*$F44</f>
        <v>10.824463046661421</v>
      </c>
      <c r="AB44" s="73">
        <f ca="1">OFFSET('Allocation %'!$A$1,MATCH(AB$4,'Allocation %'!$A:$A,0)-1,MATCH($D44,'Allocation %'!$5:$5,0)-1)*$F44</f>
        <v>10.474059685517535</v>
      </c>
      <c r="AC44" s="73">
        <f ca="1">OFFSET('Allocation %'!$A$1,MATCH(AC$4,'Allocation %'!$A:$A,0)-1,MATCH($D44,'Allocation %'!$5:$5,0)-1)*$F44</f>
        <v>11.849160917608215</v>
      </c>
      <c r="AD44" s="73">
        <f ca="1">OFFSET('Allocation %'!$A$1,MATCH(AD$4,'Allocation %'!$A:$A,0)-1,MATCH($D44,'Allocation %'!$5:$5,0)-1)*$F44</f>
        <v>26.184684273868186</v>
      </c>
      <c r="AE44" s="73">
        <f ca="1">OFFSET('Allocation %'!$A$1,MATCH(AE$4,'Allocation %'!$A:$A,0)-1,MATCH($D44,'Allocation %'!$5:$5,0)-1)*$F44</f>
        <v>25.065578776673622</v>
      </c>
      <c r="AF44" s="73">
        <f ca="1">OFFSET('Allocation %'!$A$1,MATCH(AF$4,'Allocation %'!$A:$A,0)-1,MATCH($D44,'Allocation %'!$5:$5,0)-1)*$F44</f>
        <v>123.57342395877617</v>
      </c>
      <c r="AG44" s="73">
        <f ca="1">OFFSET('Allocation %'!$A$1,MATCH(AG$4,'Allocation %'!$A:$A,0)-1,MATCH($D44,'Allocation %'!$5:$5,0)-1)*$F44</f>
        <v>194.47782205645328</v>
      </c>
      <c r="AH44" s="73">
        <f ca="1">OFFSET('Allocation %'!$A$1,MATCH(AH$4,'Allocation %'!$A:$A,0)-1,MATCH($D44,'Allocation %'!$5:$5,0)-1)*$F44</f>
        <v>1720.2053887708223</v>
      </c>
      <c r="AI44" s="73">
        <f ca="1">OFFSET('Allocation %'!$A$1,MATCH(AI$4,'Allocation %'!$A:$A,0)-1,MATCH($D44,'Allocation %'!$5:$5,0)-1)*$F44</f>
        <v>10.216804228368153</v>
      </c>
      <c r="AJ44" s="73">
        <f ca="1">OFFSET('Allocation %'!$A$1,MATCH(AJ$4,'Allocation %'!$A:$A,0)-1,MATCH($D44,'Allocation %'!$5:$5,0)-1)*$F44</f>
        <v>239.28036478327925</v>
      </c>
      <c r="AK44" s="73">
        <f ca="1">OFFSET('Allocation %'!$A$1,MATCH(AK$4,'Allocation %'!$A:$A,0)-1,MATCH($D44,'Allocation %'!$5:$5,0)-1)*$F44</f>
        <v>215.3458060976952</v>
      </c>
      <c r="AL44" s="73">
        <f ca="1">OFFSET('Allocation %'!$A$1,MATCH(AL$4,'Allocation %'!$A:$A,0)-1,MATCH($D44,'Allocation %'!$5:$5,0)-1)*$F44</f>
        <v>0</v>
      </c>
      <c r="AM44" s="73">
        <f ca="1">OFFSET('Allocation %'!$A$1,MATCH(AM$4,'Allocation %'!$A:$A,0)-1,MATCH($D44,'Allocation %'!$5:$5,0)-1)*$F44</f>
        <v>28.233771280745728</v>
      </c>
      <c r="AN44" s="73">
        <f ca="1">OFFSET('Allocation %'!$A$1,MATCH(AN$4,'Allocation %'!$A:$A,0)-1,MATCH($D44,'Allocation %'!$5:$5,0)-1)*$F44</f>
        <v>0</v>
      </c>
      <c r="AO44" s="73">
        <f ca="1">OFFSET('Allocation %'!$A$1,MATCH(AO$4,'Allocation %'!$A:$A,0)-1,MATCH($D44,'Allocation %'!$5:$5,0)-1)*$F44</f>
        <v>232.16524431179181</v>
      </c>
      <c r="AP44" s="73">
        <f ca="1">OFFSET('Allocation %'!$A$1,MATCH(AP$4,'Allocation %'!$A:$A,0)-1,MATCH($D44,'Allocation %'!$5:$5,0)-1)*$F44</f>
        <v>48.246227183674051</v>
      </c>
      <c r="AQ44" s="73">
        <f ca="1">OFFSET('Allocation %'!$A$1,MATCH(AQ$4,'Allocation %'!$A:$A,0)-1,MATCH($D44,'Allocation %'!$5:$5,0)-1)*$F44</f>
        <v>213.36397178389515</v>
      </c>
      <c r="AR44" s="73">
        <f ca="1">OFFSET('Allocation %'!$A$1,MATCH(AR$4,'Allocation %'!$A:$A,0)-1,MATCH($D44,'Allocation %'!$5:$5,0)-1)*$F44</f>
        <v>5.3540142652803144</v>
      </c>
      <c r="AS44" s="73">
        <f ca="1">OFFSET('Allocation %'!$A$1,MATCH(AS$4,'Allocation %'!$A:$A,0)-1,MATCH($D44,'Allocation %'!$5:$5,0)-1)*$F44</f>
        <v>392.17614412699027</v>
      </c>
      <c r="AT44" s="73">
        <f ca="1">OFFSET('Allocation %'!$A$1,MATCH(AT$4,'Allocation %'!$A:$A,0)-1,MATCH($D44,'Allocation %'!$5:$5,0)-1)*$F44</f>
        <v>230.91480550090967</v>
      </c>
      <c r="AU44" s="73">
        <f ca="1">OFFSET('Allocation %'!$A$1,MATCH(AU$4,'Allocation %'!$A:$A,0)-1,MATCH($D44,'Allocation %'!$5:$5,0)-1)*$F44</f>
        <v>276.01521917969819</v>
      </c>
      <c r="AV44" s="73">
        <f ca="1">OFFSET('Allocation %'!$A$1,MATCH(AV$4,'Allocation %'!$A:$A,0)-1,MATCH($D44,'Allocation %'!$5:$5,0)-1)*$F44</f>
        <v>425.21876410053085</v>
      </c>
      <c r="AW44" s="73">
        <f ca="1">OFFSET('Allocation %'!$A$1,MATCH(AW$4,'Allocation %'!$A:$A,0)-1,MATCH($D44,'Allocation %'!$5:$5,0)-1)*$F44</f>
        <v>1625.19787250439</v>
      </c>
      <c r="AX44" s="73">
        <f ca="1">OFFSET('Allocation %'!$A$1,MATCH(AX$4,'Allocation %'!$A:$A,0)-1,MATCH($D44,'Allocation %'!$5:$5,0)-1)*$F44</f>
        <v>28.349897320386891</v>
      </c>
      <c r="AY44" s="73">
        <f ca="1">OFFSET('Allocation %'!$A$1,MATCH(AY$4,'Allocation %'!$A:$A,0)-1,MATCH($D44,'Allocation %'!$5:$5,0)-1)*$F44</f>
        <v>0</v>
      </c>
      <c r="AZ44" s="73">
        <f ca="1">OFFSET('Allocation %'!$A$1,MATCH(AZ$4,'Allocation %'!$A:$A,0)-1,MATCH($D44,'Allocation %'!$5:$5,0)-1)*$F44</f>
        <v>38687.74045846361</v>
      </c>
      <c r="BA44" s="73">
        <f ca="1">OFFSET('Allocation %'!$A$1,MATCH(BA$4,'Allocation %'!$A:$A,0)-1,MATCH($D44,'Allocation %'!$5:$5,0)-1)*$F44</f>
        <v>7657.9214613768736</v>
      </c>
      <c r="BB44" s="73">
        <f ca="1">OFFSET('Allocation %'!$A$1,MATCH(BB$4,'Allocation %'!$A:$A,0)-1,MATCH($D44,'Allocation %'!$5:$5,0)-1)*$F44</f>
        <v>4992.4602387500699</v>
      </c>
      <c r="BC44" s="73">
        <f ca="1">OFFSET('Allocation %'!$A$1,MATCH(BC$4,'Allocation %'!$A:$A,0)-1,MATCH($D44,'Allocation %'!$5:$5,0)-1)*$F44</f>
        <v>154.80554434310741</v>
      </c>
      <c r="BD44" s="73">
        <f ca="1">OFFSET('Allocation %'!$A$1,MATCH(BD$4,'Allocation %'!$A:$A,0)-1,MATCH($D44,'Allocation %'!$5:$5,0)-1)*$F44</f>
        <v>2979.4240875681662</v>
      </c>
      <c r="BE44" s="73">
        <f ca="1">OFFSET('Allocation %'!$A$1,MATCH(BE$4,'Allocation %'!$A:$A,0)-1,MATCH($D44,'Allocation %'!$5:$5,0)-1)*$F44</f>
        <v>10929.32808650715</v>
      </c>
      <c r="BG44" s="76">
        <f t="shared" ca="1" si="3"/>
        <v>73092.62</v>
      </c>
      <c r="BH44" s="349">
        <f t="shared" ca="1" si="4"/>
        <v>0</v>
      </c>
      <c r="BJ44" s="76">
        <f t="shared" ca="1" si="2"/>
        <v>26746.958080159522</v>
      </c>
    </row>
    <row r="45" spans="1:62" s="177" customFormat="1" x14ac:dyDescent="0.25">
      <c r="A45" s="139" t="s">
        <v>419</v>
      </c>
      <c r="B45" s="259" t="s">
        <v>241</v>
      </c>
      <c r="C45" s="69" t="str">
        <f>INDEX(ACTUALS!$E:$E,MATCH($B45,ACTUALS!$A:$A,0))</f>
        <v>USD</v>
      </c>
      <c r="D45" s="352" t="str">
        <f ca="1">OFFSET(ACTUALS!$O$2,MATCH($B45,ACTUALS!$A:$A,0)-2,MATCH($E$4,ACTUALS!$P$2:$P$2,0))</f>
        <v>RU - L48</v>
      </c>
      <c r="E45" s="73">
        <f ca="1">IF($C45=E$3,SUMIFS(OFFSET(ACTUALS!$A:$A,,MATCH(E$4,ACTUALS!$2:$2,0)-1,,),ACTUALS!$A:$A,$B45)*-1000,F45*'2020 Assumptions'!$B$4)</f>
        <v>752496.68265200011</v>
      </c>
      <c r="F45" s="317">
        <f ca="1">IF($C45=F$3,SUMIFS(OFFSET(ACTUALS!$A:$A,,MATCH(F$4,ACTUALS!$2:$2,0)-1,,),ACTUALS!$A:$A,$B45)*-1000,E45/'2020 Assumptions'!$B$4)</f>
        <v>559810.06000000006</v>
      </c>
      <c r="G45" s="73">
        <f ca="1">IF($C45=G$3,SUMIFS(OFFSET('Non-margin Costs'!$A:$A,,MATCH(G$4,'Non-margin Costs'!$2:$2,0)-1,,),'Non-margin Costs'!$A:$A,$B45)*1000,(SUMIFS(OFFSET('Non-margin Costs'!$A:$A,,MATCH(G$4,'Non-margin Costs'!$2:$2,0)-1,,),'Non-margin Costs'!$A:$A,$B45)*1000)/'2020 Assumptions'!$B$4)</f>
        <v>208610.52000000002</v>
      </c>
      <c r="I45" s="73">
        <f ca="1">OFFSET('Allocation %'!$A$1,MATCH(I$4,'Allocation %'!$A:$A,0)-1,MATCH($D45,'Allocation %'!$5:$5,0)-1)*$F45</f>
        <v>0</v>
      </c>
      <c r="J45" s="73">
        <f ca="1">OFFSET('Allocation %'!$A$1,MATCH(J$4,'Allocation %'!$A:$A,0)-1,MATCH($D45,'Allocation %'!$5:$5,0)-1)*$F45</f>
        <v>0</v>
      </c>
      <c r="K45" s="73">
        <f ca="1">OFFSET('Allocation %'!$A$1,MATCH(K$4,'Allocation %'!$A:$A,0)-1,MATCH($D45,'Allocation %'!$5:$5,0)-1)*$F45</f>
        <v>0</v>
      </c>
      <c r="L45" s="73">
        <f ca="1">OFFSET('Allocation %'!$A$1,MATCH(L$4,'Allocation %'!$A:$A,0)-1,MATCH($D45,'Allocation %'!$5:$5,0)-1)*$F45</f>
        <v>0</v>
      </c>
      <c r="M45" s="73">
        <f ca="1">OFFSET('Allocation %'!$A$1,MATCH(M$4,'Allocation %'!$A:$A,0)-1,MATCH($D45,'Allocation %'!$5:$5,0)-1)*$F45</f>
        <v>0</v>
      </c>
      <c r="N45" s="73">
        <f ca="1">OFFSET('Allocation %'!$A$1,MATCH(N$4,'Allocation %'!$A:$A,0)-1,MATCH($D45,'Allocation %'!$5:$5,0)-1)*$F45</f>
        <v>0</v>
      </c>
      <c r="O45" s="73">
        <f ca="1">OFFSET('Allocation %'!$A$1,MATCH(O$4,'Allocation %'!$A:$A,0)-1,MATCH($D45,'Allocation %'!$5:$5,0)-1)*$F45</f>
        <v>0</v>
      </c>
      <c r="P45" s="73">
        <f ca="1">OFFSET('Allocation %'!$A$1,MATCH(P$4,'Allocation %'!$A:$A,0)-1,MATCH($D45,'Allocation %'!$5:$5,0)-1)*$F45</f>
        <v>0</v>
      </c>
      <c r="Q45" s="73">
        <f ca="1">OFFSET('Allocation %'!$A$1,MATCH(Q$4,'Allocation %'!$A:$A,0)-1,MATCH($D45,'Allocation %'!$5:$5,0)-1)*$F45</f>
        <v>0</v>
      </c>
      <c r="R45" s="73">
        <f ca="1">OFFSET('Allocation %'!$A$1,MATCH(R$4,'Allocation %'!$A:$A,0)-1,MATCH($D45,'Allocation %'!$5:$5,0)-1)*$F45</f>
        <v>0</v>
      </c>
      <c r="S45" s="73">
        <f ca="1">OFFSET('Allocation %'!$A$1,MATCH(S$4,'Allocation %'!$A:$A,0)-1,MATCH($D45,'Allocation %'!$5:$5,0)-1)*$F45</f>
        <v>0</v>
      </c>
      <c r="T45" s="73">
        <f ca="1">OFFSET('Allocation %'!$A$1,MATCH(T$4,'Allocation %'!$A:$A,0)-1,MATCH($D45,'Allocation %'!$5:$5,0)-1)*$F45</f>
        <v>0</v>
      </c>
      <c r="U45" s="73">
        <f ca="1">OFFSET('Allocation %'!$A$1,MATCH(U$4,'Allocation %'!$A:$A,0)-1,MATCH($D45,'Allocation %'!$5:$5,0)-1)*$F45</f>
        <v>0</v>
      </c>
      <c r="V45" s="73">
        <f ca="1">OFFSET('Allocation %'!$A$1,MATCH(V$4,'Allocation %'!$A:$A,0)-1,MATCH($D45,'Allocation %'!$5:$5,0)-1)*$F45</f>
        <v>0</v>
      </c>
      <c r="W45" s="73">
        <f ca="1">OFFSET('Allocation %'!$A$1,MATCH(W$4,'Allocation %'!$A:$A,0)-1,MATCH($D45,'Allocation %'!$5:$5,0)-1)*$F45</f>
        <v>0</v>
      </c>
      <c r="X45" s="73">
        <f ca="1">OFFSET('Allocation %'!$A$1,MATCH(X$4,'Allocation %'!$A:$A,0)-1,MATCH($D45,'Allocation %'!$5:$5,0)-1)*$F45</f>
        <v>0</v>
      </c>
      <c r="Y45" s="73">
        <f ca="1">OFFSET('Allocation %'!$A$1,MATCH(Y$4,'Allocation %'!$A:$A,0)-1,MATCH($D45,'Allocation %'!$5:$5,0)-1)*$F45</f>
        <v>0</v>
      </c>
      <c r="Z45" s="73">
        <f ca="1">OFFSET('Allocation %'!$A$1,MATCH(Z$4,'Allocation %'!$A:$A,0)-1,MATCH($D45,'Allocation %'!$5:$5,0)-1)*$F45</f>
        <v>0</v>
      </c>
      <c r="AA45" s="73">
        <f ca="1">OFFSET('Allocation %'!$A$1,MATCH(AA$4,'Allocation %'!$A:$A,0)-1,MATCH($D45,'Allocation %'!$5:$5,0)-1)*$F45</f>
        <v>0</v>
      </c>
      <c r="AB45" s="73">
        <f ca="1">OFFSET('Allocation %'!$A$1,MATCH(AB$4,'Allocation %'!$A:$A,0)-1,MATCH($D45,'Allocation %'!$5:$5,0)-1)*$F45</f>
        <v>0</v>
      </c>
      <c r="AC45" s="73">
        <f ca="1">OFFSET('Allocation %'!$A$1,MATCH(AC$4,'Allocation %'!$A:$A,0)-1,MATCH($D45,'Allocation %'!$5:$5,0)-1)*$F45</f>
        <v>0</v>
      </c>
      <c r="AD45" s="73">
        <f ca="1">OFFSET('Allocation %'!$A$1,MATCH(AD$4,'Allocation %'!$A:$A,0)-1,MATCH($D45,'Allocation %'!$5:$5,0)-1)*$F45</f>
        <v>0</v>
      </c>
      <c r="AE45" s="73">
        <f ca="1">OFFSET('Allocation %'!$A$1,MATCH(AE$4,'Allocation %'!$A:$A,0)-1,MATCH($D45,'Allocation %'!$5:$5,0)-1)*$F45</f>
        <v>0</v>
      </c>
      <c r="AF45" s="73">
        <f ca="1">OFFSET('Allocation %'!$A$1,MATCH(AF$4,'Allocation %'!$A:$A,0)-1,MATCH($D45,'Allocation %'!$5:$5,0)-1)*$F45</f>
        <v>0</v>
      </c>
      <c r="AG45" s="73">
        <f ca="1">OFFSET('Allocation %'!$A$1,MATCH(AG$4,'Allocation %'!$A:$A,0)-1,MATCH($D45,'Allocation %'!$5:$5,0)-1)*$F45</f>
        <v>0</v>
      </c>
      <c r="AH45" s="73">
        <f ca="1">OFFSET('Allocation %'!$A$1,MATCH(AH$4,'Allocation %'!$A:$A,0)-1,MATCH($D45,'Allocation %'!$5:$5,0)-1)*$F45</f>
        <v>0</v>
      </c>
      <c r="AI45" s="73">
        <f ca="1">OFFSET('Allocation %'!$A$1,MATCH(AI$4,'Allocation %'!$A:$A,0)-1,MATCH($D45,'Allocation %'!$5:$5,0)-1)*$F45</f>
        <v>0</v>
      </c>
      <c r="AJ45" s="73">
        <f ca="1">OFFSET('Allocation %'!$A$1,MATCH(AJ$4,'Allocation %'!$A:$A,0)-1,MATCH($D45,'Allocation %'!$5:$5,0)-1)*$F45</f>
        <v>0</v>
      </c>
      <c r="AK45" s="73">
        <f ca="1">OFFSET('Allocation %'!$A$1,MATCH(AK$4,'Allocation %'!$A:$A,0)-1,MATCH($D45,'Allocation %'!$5:$5,0)-1)*$F45</f>
        <v>0</v>
      </c>
      <c r="AL45" s="73">
        <f ca="1">OFFSET('Allocation %'!$A$1,MATCH(AL$4,'Allocation %'!$A:$A,0)-1,MATCH($D45,'Allocation %'!$5:$5,0)-1)*$F45</f>
        <v>0</v>
      </c>
      <c r="AM45" s="73">
        <f ca="1">OFFSET('Allocation %'!$A$1,MATCH(AM$4,'Allocation %'!$A:$A,0)-1,MATCH($D45,'Allocation %'!$5:$5,0)-1)*$F45</f>
        <v>0</v>
      </c>
      <c r="AN45" s="73">
        <f ca="1">OFFSET('Allocation %'!$A$1,MATCH(AN$4,'Allocation %'!$A:$A,0)-1,MATCH($D45,'Allocation %'!$5:$5,0)-1)*$F45</f>
        <v>0</v>
      </c>
      <c r="AO45" s="73">
        <f ca="1">OFFSET('Allocation %'!$A$1,MATCH(AO$4,'Allocation %'!$A:$A,0)-1,MATCH($D45,'Allocation %'!$5:$5,0)-1)*$F45</f>
        <v>0</v>
      </c>
      <c r="AP45" s="73">
        <f ca="1">OFFSET('Allocation %'!$A$1,MATCH(AP$4,'Allocation %'!$A:$A,0)-1,MATCH($D45,'Allocation %'!$5:$5,0)-1)*$F45</f>
        <v>0</v>
      </c>
      <c r="AQ45" s="73">
        <f ca="1">OFFSET('Allocation %'!$A$1,MATCH(AQ$4,'Allocation %'!$A:$A,0)-1,MATCH($D45,'Allocation %'!$5:$5,0)-1)*$F45</f>
        <v>0</v>
      </c>
      <c r="AR45" s="73">
        <f ca="1">OFFSET('Allocation %'!$A$1,MATCH(AR$4,'Allocation %'!$A:$A,0)-1,MATCH($D45,'Allocation %'!$5:$5,0)-1)*$F45</f>
        <v>0</v>
      </c>
      <c r="AS45" s="73">
        <f ca="1">OFFSET('Allocation %'!$A$1,MATCH(AS$4,'Allocation %'!$A:$A,0)-1,MATCH($D45,'Allocation %'!$5:$5,0)-1)*$F45</f>
        <v>0</v>
      </c>
      <c r="AT45" s="73">
        <f ca="1">OFFSET('Allocation %'!$A$1,MATCH(AT$4,'Allocation %'!$A:$A,0)-1,MATCH($D45,'Allocation %'!$5:$5,0)-1)*$F45</f>
        <v>0</v>
      </c>
      <c r="AU45" s="73">
        <f ca="1">OFFSET('Allocation %'!$A$1,MATCH(AU$4,'Allocation %'!$A:$A,0)-1,MATCH($D45,'Allocation %'!$5:$5,0)-1)*$F45</f>
        <v>0</v>
      </c>
      <c r="AV45" s="73">
        <f ca="1">OFFSET('Allocation %'!$A$1,MATCH(AV$4,'Allocation %'!$A:$A,0)-1,MATCH($D45,'Allocation %'!$5:$5,0)-1)*$F45</f>
        <v>0</v>
      </c>
      <c r="AW45" s="73">
        <f ca="1">OFFSET('Allocation %'!$A$1,MATCH(AW$4,'Allocation %'!$A:$A,0)-1,MATCH($D45,'Allocation %'!$5:$5,0)-1)*$F45</f>
        <v>0</v>
      </c>
      <c r="AX45" s="73">
        <f ca="1">OFFSET('Allocation %'!$A$1,MATCH(AX$4,'Allocation %'!$A:$A,0)-1,MATCH($D45,'Allocation %'!$5:$5,0)-1)*$F45</f>
        <v>0</v>
      </c>
      <c r="AY45" s="73">
        <f ca="1">OFFSET('Allocation %'!$A$1,MATCH(AY$4,'Allocation %'!$A:$A,0)-1,MATCH($D45,'Allocation %'!$5:$5,0)-1)*$F45</f>
        <v>0</v>
      </c>
      <c r="AZ45" s="73">
        <f ca="1">OFFSET('Allocation %'!$A$1,MATCH(AZ$4,'Allocation %'!$A:$A,0)-1,MATCH($D45,'Allocation %'!$5:$5,0)-1)*$F45</f>
        <v>559810.06000000006</v>
      </c>
      <c r="BA45" s="73">
        <f ca="1">OFFSET('Allocation %'!$A$1,MATCH(BA$4,'Allocation %'!$A:$A,0)-1,MATCH($D45,'Allocation %'!$5:$5,0)-1)*$F45</f>
        <v>0</v>
      </c>
      <c r="BB45" s="73">
        <f ca="1">OFFSET('Allocation %'!$A$1,MATCH(BB$4,'Allocation %'!$A:$A,0)-1,MATCH($D45,'Allocation %'!$5:$5,0)-1)*$F45</f>
        <v>0</v>
      </c>
      <c r="BC45" s="73">
        <f ca="1">OFFSET('Allocation %'!$A$1,MATCH(BC$4,'Allocation %'!$A:$A,0)-1,MATCH($D45,'Allocation %'!$5:$5,0)-1)*$F45</f>
        <v>0</v>
      </c>
      <c r="BD45" s="73">
        <f ca="1">OFFSET('Allocation %'!$A$1,MATCH(BD$4,'Allocation %'!$A:$A,0)-1,MATCH($D45,'Allocation %'!$5:$5,0)-1)*$F45</f>
        <v>0</v>
      </c>
      <c r="BE45" s="73">
        <f ca="1">OFFSET('Allocation %'!$A$1,MATCH(BE$4,'Allocation %'!$A:$A,0)-1,MATCH($D45,'Allocation %'!$5:$5,0)-1)*$F45</f>
        <v>0</v>
      </c>
      <c r="BG45" s="76">
        <f t="shared" ca="1" si="3"/>
        <v>559810.06000000006</v>
      </c>
      <c r="BH45" s="349">
        <f t="shared" ca="1" si="4"/>
        <v>0</v>
      </c>
      <c r="BJ45" s="76">
        <f t="shared" ca="1" si="2"/>
        <v>0</v>
      </c>
    </row>
    <row r="46" spans="1:62" x14ac:dyDescent="0.25">
      <c r="A46" s="139" t="s">
        <v>419</v>
      </c>
      <c r="B46" s="259" t="s">
        <v>242</v>
      </c>
      <c r="C46" s="69" t="str">
        <f>INDEX(ACTUALS!$E:$E,MATCH($B46,ACTUALS!$A:$A,0))</f>
        <v>USD</v>
      </c>
      <c r="D46" s="352" t="str">
        <f ca="1">OFFSET(ACTUALS!$O$2,MATCH($B46,ACTUALS!$A:$A,0)-2,MATCH($E$4,ACTUALS!$P$2:$P$2,0))</f>
        <v>RU - L48</v>
      </c>
      <c r="E46" s="73">
        <f ca="1">IF($C46=E$3,SUMIFS(OFFSET(ACTUALS!$A:$A,,MATCH(E$4,ACTUALS!$2:$2,0)-1,,),ACTUALS!$A:$A,$B46)*-1000,F46*'2020 Assumptions'!$B$4)</f>
        <v>45746.956970000021</v>
      </c>
      <c r="F46" s="317">
        <f ca="1">IF($C46=F$3,SUMIFS(OFFSET(ACTUALS!$A:$A,,MATCH(F$4,ACTUALS!$2:$2,0)-1,,),ACTUALS!$A:$A,$B46)*-1000,E46/'2020 Assumptions'!$B$4)</f>
        <v>34032.850000000013</v>
      </c>
      <c r="G46" s="73">
        <f ca="1">IF($C46=G$3,SUMIFS(OFFSET('Non-margin Costs'!$A:$A,,MATCH(G$4,'Non-margin Costs'!$2:$2,0)-1,,),'Non-margin Costs'!$A:$A,$B46)*1000,(SUMIFS(OFFSET('Non-margin Costs'!$A:$A,,MATCH(G$4,'Non-margin Costs'!$2:$2,0)-1,,),'Non-margin Costs'!$A:$A,$B46)*1000)/'2020 Assumptions'!$B$4)</f>
        <v>0</v>
      </c>
      <c r="I46" s="73">
        <f ca="1">OFFSET('Allocation %'!$A$1,MATCH(I$4,'Allocation %'!$A:$A,0)-1,MATCH($D46,'Allocation %'!$5:$5,0)-1)*$F46</f>
        <v>0</v>
      </c>
      <c r="J46" s="73">
        <f ca="1">OFFSET('Allocation %'!$A$1,MATCH(J$4,'Allocation %'!$A:$A,0)-1,MATCH($D46,'Allocation %'!$5:$5,0)-1)*$F46</f>
        <v>0</v>
      </c>
      <c r="K46" s="73">
        <f ca="1">OFFSET('Allocation %'!$A$1,MATCH(K$4,'Allocation %'!$A:$A,0)-1,MATCH($D46,'Allocation %'!$5:$5,0)-1)*$F46</f>
        <v>0</v>
      </c>
      <c r="L46" s="73">
        <f ca="1">OFFSET('Allocation %'!$A$1,MATCH(L$4,'Allocation %'!$A:$A,0)-1,MATCH($D46,'Allocation %'!$5:$5,0)-1)*$F46</f>
        <v>0</v>
      </c>
      <c r="M46" s="73">
        <f ca="1">OFFSET('Allocation %'!$A$1,MATCH(M$4,'Allocation %'!$A:$A,0)-1,MATCH($D46,'Allocation %'!$5:$5,0)-1)*$F46</f>
        <v>0</v>
      </c>
      <c r="N46" s="73">
        <f ca="1">OFFSET('Allocation %'!$A$1,MATCH(N$4,'Allocation %'!$A:$A,0)-1,MATCH($D46,'Allocation %'!$5:$5,0)-1)*$F46</f>
        <v>0</v>
      </c>
      <c r="O46" s="73">
        <f ca="1">OFFSET('Allocation %'!$A$1,MATCH(O$4,'Allocation %'!$A:$A,0)-1,MATCH($D46,'Allocation %'!$5:$5,0)-1)*$F46</f>
        <v>0</v>
      </c>
      <c r="P46" s="73">
        <f ca="1">OFFSET('Allocation %'!$A$1,MATCH(P$4,'Allocation %'!$A:$A,0)-1,MATCH($D46,'Allocation %'!$5:$5,0)-1)*$F46</f>
        <v>0</v>
      </c>
      <c r="Q46" s="73">
        <f ca="1">OFFSET('Allocation %'!$A$1,MATCH(Q$4,'Allocation %'!$A:$A,0)-1,MATCH($D46,'Allocation %'!$5:$5,0)-1)*$F46</f>
        <v>0</v>
      </c>
      <c r="R46" s="73">
        <f ca="1">OFFSET('Allocation %'!$A$1,MATCH(R$4,'Allocation %'!$A:$A,0)-1,MATCH($D46,'Allocation %'!$5:$5,0)-1)*$F46</f>
        <v>0</v>
      </c>
      <c r="S46" s="73">
        <f ca="1">OFFSET('Allocation %'!$A$1,MATCH(S$4,'Allocation %'!$A:$A,0)-1,MATCH($D46,'Allocation %'!$5:$5,0)-1)*$F46</f>
        <v>0</v>
      </c>
      <c r="T46" s="73">
        <f ca="1">OFFSET('Allocation %'!$A$1,MATCH(T$4,'Allocation %'!$A:$A,0)-1,MATCH($D46,'Allocation %'!$5:$5,0)-1)*$F46</f>
        <v>0</v>
      </c>
      <c r="U46" s="73">
        <f ca="1">OFFSET('Allocation %'!$A$1,MATCH(U$4,'Allocation %'!$A:$A,0)-1,MATCH($D46,'Allocation %'!$5:$5,0)-1)*$F46</f>
        <v>0</v>
      </c>
      <c r="V46" s="73">
        <f ca="1">OFFSET('Allocation %'!$A$1,MATCH(V$4,'Allocation %'!$A:$A,0)-1,MATCH($D46,'Allocation %'!$5:$5,0)-1)*$F46</f>
        <v>0</v>
      </c>
      <c r="W46" s="73">
        <f ca="1">OFFSET('Allocation %'!$A$1,MATCH(W$4,'Allocation %'!$A:$A,0)-1,MATCH($D46,'Allocation %'!$5:$5,0)-1)*$F46</f>
        <v>0</v>
      </c>
      <c r="X46" s="73">
        <f ca="1">OFFSET('Allocation %'!$A$1,MATCH(X$4,'Allocation %'!$A:$A,0)-1,MATCH($D46,'Allocation %'!$5:$5,0)-1)*$F46</f>
        <v>0</v>
      </c>
      <c r="Y46" s="73">
        <f ca="1">OFFSET('Allocation %'!$A$1,MATCH(Y$4,'Allocation %'!$A:$A,0)-1,MATCH($D46,'Allocation %'!$5:$5,0)-1)*$F46</f>
        <v>0</v>
      </c>
      <c r="Z46" s="73">
        <f ca="1">OFFSET('Allocation %'!$A$1,MATCH(Z$4,'Allocation %'!$A:$A,0)-1,MATCH($D46,'Allocation %'!$5:$5,0)-1)*$F46</f>
        <v>0</v>
      </c>
      <c r="AA46" s="73">
        <f ca="1">OFFSET('Allocation %'!$A$1,MATCH(AA$4,'Allocation %'!$A:$A,0)-1,MATCH($D46,'Allocation %'!$5:$5,0)-1)*$F46</f>
        <v>0</v>
      </c>
      <c r="AB46" s="73">
        <f ca="1">OFFSET('Allocation %'!$A$1,MATCH(AB$4,'Allocation %'!$A:$A,0)-1,MATCH($D46,'Allocation %'!$5:$5,0)-1)*$F46</f>
        <v>0</v>
      </c>
      <c r="AC46" s="73">
        <f ca="1">OFFSET('Allocation %'!$A$1,MATCH(AC$4,'Allocation %'!$A:$A,0)-1,MATCH($D46,'Allocation %'!$5:$5,0)-1)*$F46</f>
        <v>0</v>
      </c>
      <c r="AD46" s="73">
        <f ca="1">OFFSET('Allocation %'!$A$1,MATCH(AD$4,'Allocation %'!$A:$A,0)-1,MATCH($D46,'Allocation %'!$5:$5,0)-1)*$F46</f>
        <v>0</v>
      </c>
      <c r="AE46" s="73">
        <f ca="1">OFFSET('Allocation %'!$A$1,MATCH(AE$4,'Allocation %'!$A:$A,0)-1,MATCH($D46,'Allocation %'!$5:$5,0)-1)*$F46</f>
        <v>0</v>
      </c>
      <c r="AF46" s="73">
        <f ca="1">OFFSET('Allocation %'!$A$1,MATCH(AF$4,'Allocation %'!$A:$A,0)-1,MATCH($D46,'Allocation %'!$5:$5,0)-1)*$F46</f>
        <v>0</v>
      </c>
      <c r="AG46" s="73">
        <f ca="1">OFFSET('Allocation %'!$A$1,MATCH(AG$4,'Allocation %'!$A:$A,0)-1,MATCH($D46,'Allocation %'!$5:$5,0)-1)*$F46</f>
        <v>0</v>
      </c>
      <c r="AH46" s="73">
        <f ca="1">OFFSET('Allocation %'!$A$1,MATCH(AH$4,'Allocation %'!$A:$A,0)-1,MATCH($D46,'Allocation %'!$5:$5,0)-1)*$F46</f>
        <v>0</v>
      </c>
      <c r="AI46" s="73">
        <f ca="1">OFFSET('Allocation %'!$A$1,MATCH(AI$4,'Allocation %'!$A:$A,0)-1,MATCH($D46,'Allocation %'!$5:$5,0)-1)*$F46</f>
        <v>0</v>
      </c>
      <c r="AJ46" s="73">
        <f ca="1">OFFSET('Allocation %'!$A$1,MATCH(AJ$4,'Allocation %'!$A:$A,0)-1,MATCH($D46,'Allocation %'!$5:$5,0)-1)*$F46</f>
        <v>0</v>
      </c>
      <c r="AK46" s="73">
        <f ca="1">OFFSET('Allocation %'!$A$1,MATCH(AK$4,'Allocation %'!$A:$A,0)-1,MATCH($D46,'Allocation %'!$5:$5,0)-1)*$F46</f>
        <v>0</v>
      </c>
      <c r="AL46" s="73">
        <f ca="1">OFFSET('Allocation %'!$A$1,MATCH(AL$4,'Allocation %'!$A:$A,0)-1,MATCH($D46,'Allocation %'!$5:$5,0)-1)*$F46</f>
        <v>0</v>
      </c>
      <c r="AM46" s="73">
        <f ca="1">OFFSET('Allocation %'!$A$1,MATCH(AM$4,'Allocation %'!$A:$A,0)-1,MATCH($D46,'Allocation %'!$5:$5,0)-1)*$F46</f>
        <v>0</v>
      </c>
      <c r="AN46" s="73">
        <f ca="1">OFFSET('Allocation %'!$A$1,MATCH(AN$4,'Allocation %'!$A:$A,0)-1,MATCH($D46,'Allocation %'!$5:$5,0)-1)*$F46</f>
        <v>0</v>
      </c>
      <c r="AO46" s="73">
        <f ca="1">OFFSET('Allocation %'!$A$1,MATCH(AO$4,'Allocation %'!$A:$A,0)-1,MATCH($D46,'Allocation %'!$5:$5,0)-1)*$F46</f>
        <v>0</v>
      </c>
      <c r="AP46" s="73">
        <f ca="1">OFFSET('Allocation %'!$A$1,MATCH(AP$4,'Allocation %'!$A:$A,0)-1,MATCH($D46,'Allocation %'!$5:$5,0)-1)*$F46</f>
        <v>0</v>
      </c>
      <c r="AQ46" s="73">
        <f ca="1">OFFSET('Allocation %'!$A$1,MATCH(AQ$4,'Allocation %'!$A:$A,0)-1,MATCH($D46,'Allocation %'!$5:$5,0)-1)*$F46</f>
        <v>0</v>
      </c>
      <c r="AR46" s="73">
        <f ca="1">OFFSET('Allocation %'!$A$1,MATCH(AR$4,'Allocation %'!$A:$A,0)-1,MATCH($D46,'Allocation %'!$5:$5,0)-1)*$F46</f>
        <v>0</v>
      </c>
      <c r="AS46" s="73">
        <f ca="1">OFFSET('Allocation %'!$A$1,MATCH(AS$4,'Allocation %'!$A:$A,0)-1,MATCH($D46,'Allocation %'!$5:$5,0)-1)*$F46</f>
        <v>0</v>
      </c>
      <c r="AT46" s="73">
        <f ca="1">OFFSET('Allocation %'!$A$1,MATCH(AT$4,'Allocation %'!$A:$A,0)-1,MATCH($D46,'Allocation %'!$5:$5,0)-1)*$F46</f>
        <v>0</v>
      </c>
      <c r="AU46" s="73">
        <f ca="1">OFFSET('Allocation %'!$A$1,MATCH(AU$4,'Allocation %'!$A:$A,0)-1,MATCH($D46,'Allocation %'!$5:$5,0)-1)*$F46</f>
        <v>0</v>
      </c>
      <c r="AV46" s="73">
        <f ca="1">OFFSET('Allocation %'!$A$1,MATCH(AV$4,'Allocation %'!$A:$A,0)-1,MATCH($D46,'Allocation %'!$5:$5,0)-1)*$F46</f>
        <v>0</v>
      </c>
      <c r="AW46" s="73">
        <f ca="1">OFFSET('Allocation %'!$A$1,MATCH(AW$4,'Allocation %'!$A:$A,0)-1,MATCH($D46,'Allocation %'!$5:$5,0)-1)*$F46</f>
        <v>0</v>
      </c>
      <c r="AX46" s="73">
        <f ca="1">OFFSET('Allocation %'!$A$1,MATCH(AX$4,'Allocation %'!$A:$A,0)-1,MATCH($D46,'Allocation %'!$5:$5,0)-1)*$F46</f>
        <v>0</v>
      </c>
      <c r="AY46" s="73">
        <f ca="1">OFFSET('Allocation %'!$A$1,MATCH(AY$4,'Allocation %'!$A:$A,0)-1,MATCH($D46,'Allocation %'!$5:$5,0)-1)*$F46</f>
        <v>0</v>
      </c>
      <c r="AZ46" s="73">
        <f ca="1">OFFSET('Allocation %'!$A$1,MATCH(AZ$4,'Allocation %'!$A:$A,0)-1,MATCH($D46,'Allocation %'!$5:$5,0)-1)*$F46</f>
        <v>34032.850000000013</v>
      </c>
      <c r="BA46" s="73">
        <f ca="1">OFFSET('Allocation %'!$A$1,MATCH(BA$4,'Allocation %'!$A:$A,0)-1,MATCH($D46,'Allocation %'!$5:$5,0)-1)*$F46</f>
        <v>0</v>
      </c>
      <c r="BB46" s="73">
        <f ca="1">OFFSET('Allocation %'!$A$1,MATCH(BB$4,'Allocation %'!$A:$A,0)-1,MATCH($D46,'Allocation %'!$5:$5,0)-1)*$F46</f>
        <v>0</v>
      </c>
      <c r="BC46" s="73">
        <f ca="1">OFFSET('Allocation %'!$A$1,MATCH(BC$4,'Allocation %'!$A:$A,0)-1,MATCH($D46,'Allocation %'!$5:$5,0)-1)*$F46</f>
        <v>0</v>
      </c>
      <c r="BD46" s="73">
        <f ca="1">OFFSET('Allocation %'!$A$1,MATCH(BD$4,'Allocation %'!$A:$A,0)-1,MATCH($D46,'Allocation %'!$5:$5,0)-1)*$F46</f>
        <v>0</v>
      </c>
      <c r="BE46" s="73">
        <f ca="1">OFFSET('Allocation %'!$A$1,MATCH(BE$4,'Allocation %'!$A:$A,0)-1,MATCH($D46,'Allocation %'!$5:$5,0)-1)*$F46</f>
        <v>0</v>
      </c>
      <c r="BG46" s="76">
        <f t="shared" ca="1" si="3"/>
        <v>34032.850000000013</v>
      </c>
      <c r="BH46" s="349">
        <f t="shared" ca="1" si="4"/>
        <v>0</v>
      </c>
      <c r="BJ46" s="76">
        <f t="shared" ca="1" si="2"/>
        <v>0</v>
      </c>
    </row>
    <row r="47" spans="1:62" x14ac:dyDescent="0.25">
      <c r="A47" s="139" t="s">
        <v>419</v>
      </c>
      <c r="B47" s="259" t="s">
        <v>281</v>
      </c>
      <c r="C47" s="69" t="str">
        <f>INDEX(ACTUALS!$E:$E,MATCH($B47,ACTUALS!$A:$A,0))</f>
        <v>USD</v>
      </c>
      <c r="D47" s="352" t="str">
        <f ca="1">OFFSET(ACTUALS!$O$2,MATCH($B47,ACTUALS!$A:$A,0)-2,MATCH($E$4,ACTUALS!$P$2:$P$2,0))</f>
        <v>ALL</v>
      </c>
      <c r="E47" s="73">
        <f ca="1">IF($C47=E$3,SUMIFS(OFFSET(ACTUALS!$A:$A,,MATCH(E$4,ACTUALS!$2:$2,0)-1,,),ACTUALS!$A:$A,$B47)*-1000,F47*'2020 Assumptions'!$B$4)</f>
        <v>23077.427229999998</v>
      </c>
      <c r="F47" s="317">
        <f ca="1">IF($C47=F$3,SUMIFS(OFFSET(ACTUALS!$A:$A,,MATCH(F$4,ACTUALS!$2:$2,0)-1,,),ACTUALS!$A:$A,$B47)*-1000,E47/'2020 Assumptions'!$B$4)</f>
        <v>17168.149999999998</v>
      </c>
      <c r="G47" s="73">
        <f ca="1">IF($C47=G$3,SUMIFS(OFFSET('Non-margin Costs'!$A:$A,,MATCH(G$4,'Non-margin Costs'!$2:$2,0)-1,,),'Non-margin Costs'!$A:$A,$B47)*1000,(SUMIFS(OFFSET('Non-margin Costs'!$A:$A,,MATCH(G$4,'Non-margin Costs'!$2:$2,0)-1,,),'Non-margin Costs'!$A:$A,$B47)*1000)/'2020 Assumptions'!$B$4)</f>
        <v>108</v>
      </c>
      <c r="I47" s="73">
        <f ca="1">OFFSET('Allocation %'!$A$1,MATCH(I$4,'Allocation %'!$A:$A,0)-1,MATCH($D47,'Allocation %'!$5:$5,0)-1)*$F47</f>
        <v>0</v>
      </c>
      <c r="J47" s="73">
        <f ca="1">OFFSET('Allocation %'!$A$1,MATCH(J$4,'Allocation %'!$A:$A,0)-1,MATCH($D47,'Allocation %'!$5:$5,0)-1)*$F47</f>
        <v>41.566121831405283</v>
      </c>
      <c r="K47" s="73">
        <f ca="1">OFFSET('Allocation %'!$A$1,MATCH(K$4,'Allocation %'!$A:$A,0)-1,MATCH($D47,'Allocation %'!$5:$5,0)-1)*$F47</f>
        <v>13.0858758541263</v>
      </c>
      <c r="L47" s="73">
        <f ca="1">OFFSET('Allocation %'!$A$1,MATCH(L$4,'Allocation %'!$A:$A,0)-1,MATCH($D47,'Allocation %'!$5:$5,0)-1)*$F47</f>
        <v>14.144388968069833</v>
      </c>
      <c r="M47" s="73">
        <f ca="1">OFFSET('Allocation %'!$A$1,MATCH(M$4,'Allocation %'!$A:$A,0)-1,MATCH($D47,'Allocation %'!$5:$5,0)-1)*$F47</f>
        <v>23.026404555582648</v>
      </c>
      <c r="N47" s="73">
        <f ca="1">OFFSET('Allocation %'!$A$1,MATCH(N$4,'Allocation %'!$A:$A,0)-1,MATCH($D47,'Allocation %'!$5:$5,0)-1)*$F47</f>
        <v>20.149929038344311</v>
      </c>
      <c r="O47" s="73">
        <f ca="1">OFFSET('Allocation %'!$A$1,MATCH(O$4,'Allocation %'!$A:$A,0)-1,MATCH($D47,'Allocation %'!$5:$5,0)-1)*$F47</f>
        <v>47.110910012837941</v>
      </c>
      <c r="P47" s="73">
        <f ca="1">OFFSET('Allocation %'!$A$1,MATCH(P$4,'Allocation %'!$A:$A,0)-1,MATCH($D47,'Allocation %'!$5:$5,0)-1)*$F47</f>
        <v>6.8406606263093686</v>
      </c>
      <c r="Q47" s="73">
        <f ca="1">OFFSET('Allocation %'!$A$1,MATCH(Q$4,'Allocation %'!$A:$A,0)-1,MATCH($D47,'Allocation %'!$5:$5,0)-1)*$F47</f>
        <v>14.92817949179639</v>
      </c>
      <c r="R47" s="73">
        <f ca="1">OFFSET('Allocation %'!$A$1,MATCH(R$4,'Allocation %'!$A:$A,0)-1,MATCH($D47,'Allocation %'!$5:$5,0)-1)*$F47</f>
        <v>13.777347101147358</v>
      </c>
      <c r="S47" s="73">
        <f ca="1">OFFSET('Allocation %'!$A$1,MATCH(S$4,'Allocation %'!$A:$A,0)-1,MATCH($D47,'Allocation %'!$5:$5,0)-1)*$F47</f>
        <v>13.251470839819255</v>
      </c>
      <c r="T47" s="73">
        <f ca="1">OFFSET('Allocation %'!$A$1,MATCH(T$4,'Allocation %'!$A:$A,0)-1,MATCH($D47,'Allocation %'!$5:$5,0)-1)*$F47</f>
        <v>47.560819316958018</v>
      </c>
      <c r="U47" s="73">
        <f ca="1">OFFSET('Allocation %'!$A$1,MATCH(U$4,'Allocation %'!$A:$A,0)-1,MATCH($D47,'Allocation %'!$5:$5,0)-1)*$F47</f>
        <v>30.422324029595451</v>
      </c>
      <c r="V47" s="73">
        <f ca="1">OFFSET('Allocation %'!$A$1,MATCH(V$4,'Allocation %'!$A:$A,0)-1,MATCH($D47,'Allocation %'!$5:$5,0)-1)*$F47</f>
        <v>32.28652950194904</v>
      </c>
      <c r="W47" s="73">
        <f ca="1">OFFSET('Allocation %'!$A$1,MATCH(W$4,'Allocation %'!$A:$A,0)-1,MATCH($D47,'Allocation %'!$5:$5,0)-1)*$F47</f>
        <v>52.286176826542651</v>
      </c>
      <c r="X47" s="73">
        <f ca="1">OFFSET('Allocation %'!$A$1,MATCH(X$4,'Allocation %'!$A:$A,0)-1,MATCH($D47,'Allocation %'!$5:$5,0)-1)*$F47</f>
        <v>1.2109848297758463</v>
      </c>
      <c r="Y47" s="73">
        <f ca="1">OFFSET('Allocation %'!$A$1,MATCH(Y$4,'Allocation %'!$A:$A,0)-1,MATCH($D47,'Allocation %'!$5:$5,0)-1)*$F47</f>
        <v>0.95554035381146807</v>
      </c>
      <c r="Z47" s="73">
        <f ca="1">OFFSET('Allocation %'!$A$1,MATCH(Z$4,'Allocation %'!$A:$A,0)-1,MATCH($D47,'Allocation %'!$5:$5,0)-1)*$F47</f>
        <v>2.7865094259074419</v>
      </c>
      <c r="AA47" s="73">
        <f ca="1">OFFSET('Allocation %'!$A$1,MATCH(AA$4,'Allocation %'!$A:$A,0)-1,MATCH($D47,'Allocation %'!$5:$5,0)-1)*$F47</f>
        <v>2.5424728960945746</v>
      </c>
      <c r="AB47" s="73">
        <f ca="1">OFFSET('Allocation %'!$A$1,MATCH(AB$4,'Allocation %'!$A:$A,0)-1,MATCH($D47,'Allocation %'!$5:$5,0)-1)*$F47</f>
        <v>2.460169409578119</v>
      </c>
      <c r="AC47" s="73">
        <f ca="1">OFFSET('Allocation %'!$A$1,MATCH(AC$4,'Allocation %'!$A:$A,0)-1,MATCH($D47,'Allocation %'!$5:$5,0)-1)*$F47</f>
        <v>2.7831561108034633</v>
      </c>
      <c r="AD47" s="73">
        <f ca="1">OFFSET('Allocation %'!$A$1,MATCH(AD$4,'Allocation %'!$A:$A,0)-1,MATCH($D47,'Allocation %'!$5:$5,0)-1)*$F47</f>
        <v>6.1503143178669752</v>
      </c>
      <c r="AE47" s="73">
        <f ca="1">OFFSET('Allocation %'!$A$1,MATCH(AE$4,'Allocation %'!$A:$A,0)-1,MATCH($D47,'Allocation %'!$5:$5,0)-1)*$F47</f>
        <v>5.887456439169223</v>
      </c>
      <c r="AF47" s="73">
        <f ca="1">OFFSET('Allocation %'!$A$1,MATCH(AF$4,'Allocation %'!$A:$A,0)-1,MATCH($D47,'Allocation %'!$5:$5,0)-1)*$F47</f>
        <v>29.025188569487078</v>
      </c>
      <c r="AG47" s="73">
        <f ca="1">OFFSET('Allocation %'!$A$1,MATCH(AG$4,'Allocation %'!$A:$A,0)-1,MATCH($D47,'Allocation %'!$5:$5,0)-1)*$F47</f>
        <v>45.679364356326225</v>
      </c>
      <c r="AH47" s="73">
        <f ca="1">OFFSET('Allocation %'!$A$1,MATCH(AH$4,'Allocation %'!$A:$A,0)-1,MATCH($D47,'Allocation %'!$5:$5,0)-1)*$F47</f>
        <v>404.04549932983366</v>
      </c>
      <c r="AI47" s="73">
        <f ca="1">OFFSET('Allocation %'!$A$1,MATCH(AI$4,'Allocation %'!$A:$A,0)-1,MATCH($D47,'Allocation %'!$5:$5,0)-1)*$F47</f>
        <v>2.3997447008091739</v>
      </c>
      <c r="AJ47" s="73">
        <f ca="1">OFFSET('Allocation %'!$A$1,MATCH(AJ$4,'Allocation %'!$A:$A,0)-1,MATCH($D47,'Allocation %'!$5:$5,0)-1)*$F47</f>
        <v>56.202680854155382</v>
      </c>
      <c r="AK47" s="73">
        <f ca="1">OFFSET('Allocation %'!$A$1,MATCH(AK$4,'Allocation %'!$A:$A,0)-1,MATCH($D47,'Allocation %'!$5:$5,0)-1)*$F47</f>
        <v>50.580880818831574</v>
      </c>
      <c r="AL47" s="73">
        <f ca="1">OFFSET('Allocation %'!$A$1,MATCH(AL$4,'Allocation %'!$A:$A,0)-1,MATCH($D47,'Allocation %'!$5:$5,0)-1)*$F47</f>
        <v>0</v>
      </c>
      <c r="AM47" s="73">
        <f ca="1">OFFSET('Allocation %'!$A$1,MATCH(AM$4,'Allocation %'!$A:$A,0)-1,MATCH($D47,'Allocation %'!$5:$5,0)-1)*$F47</f>
        <v>6.6316082309477293</v>
      </c>
      <c r="AN47" s="73">
        <f ca="1">OFFSET('Allocation %'!$A$1,MATCH(AN$4,'Allocation %'!$A:$A,0)-1,MATCH($D47,'Allocation %'!$5:$5,0)-1)*$F47</f>
        <v>0</v>
      </c>
      <c r="AO47" s="73">
        <f ca="1">OFFSET('Allocation %'!$A$1,MATCH(AO$4,'Allocation %'!$A:$A,0)-1,MATCH($D47,'Allocation %'!$5:$5,0)-1)*$F47</f>
        <v>54.531466229169069</v>
      </c>
      <c r="AP47" s="73">
        <f ca="1">OFFSET('Allocation %'!$A$1,MATCH(AP$4,'Allocation %'!$A:$A,0)-1,MATCH($D47,'Allocation %'!$5:$5,0)-1)*$F47</f>
        <v>11.332176425245031</v>
      </c>
      <c r="AQ47" s="73">
        <f ca="1">OFFSET('Allocation %'!$A$1,MATCH(AQ$4,'Allocation %'!$A:$A,0)-1,MATCH($D47,'Allocation %'!$5:$5,0)-1)*$F47</f>
        <v>50.115383361298015</v>
      </c>
      <c r="AR47" s="73">
        <f ca="1">OFFSET('Allocation %'!$A$1,MATCH(AR$4,'Allocation %'!$A:$A,0)-1,MATCH($D47,'Allocation %'!$5:$5,0)-1)*$F47</f>
        <v>1.2575622546909964</v>
      </c>
      <c r="AS47" s="73">
        <f ca="1">OFFSET('Allocation %'!$A$1,MATCH(AS$4,'Allocation %'!$A:$A,0)-1,MATCH($D47,'Allocation %'!$5:$5,0)-1)*$F47</f>
        <v>92.115166603602205</v>
      </c>
      <c r="AT47" s="73">
        <f ca="1">OFFSET('Allocation %'!$A$1,MATCH(AT$4,'Allocation %'!$A:$A,0)-1,MATCH($D47,'Allocation %'!$5:$5,0)-1)*$F47</f>
        <v>54.237760502502731</v>
      </c>
      <c r="AU47" s="73">
        <f ca="1">OFFSET('Allocation %'!$A$1,MATCH(AU$4,'Allocation %'!$A:$A,0)-1,MATCH($D47,'Allocation %'!$5:$5,0)-1)*$F47</f>
        <v>64.831041562881921</v>
      </c>
      <c r="AV47" s="73">
        <f ca="1">OFFSET('Allocation %'!$A$1,MATCH(AV$4,'Allocation %'!$A:$A,0)-1,MATCH($D47,'Allocation %'!$5:$5,0)-1)*$F47</f>
        <v>99.876287440408163</v>
      </c>
      <c r="AW47" s="73">
        <f ca="1">OFFSET('Allocation %'!$A$1,MATCH(AW$4,'Allocation %'!$A:$A,0)-1,MATCH($D47,'Allocation %'!$5:$5,0)-1)*$F47</f>
        <v>381.72993189786109</v>
      </c>
      <c r="AX47" s="73">
        <f ca="1">OFFSET('Allocation %'!$A$1,MATCH(AX$4,'Allocation %'!$A:$A,0)-1,MATCH($D47,'Allocation %'!$5:$5,0)-1)*$F47</f>
        <v>6.658884162053571</v>
      </c>
      <c r="AY47" s="73">
        <f ca="1">OFFSET('Allocation %'!$A$1,MATCH(AY$4,'Allocation %'!$A:$A,0)-1,MATCH($D47,'Allocation %'!$5:$5,0)-1)*$F47</f>
        <v>0</v>
      </c>
      <c r="AZ47" s="73">
        <f ca="1">OFFSET('Allocation %'!$A$1,MATCH(AZ$4,'Allocation %'!$A:$A,0)-1,MATCH($D47,'Allocation %'!$5:$5,0)-1)*$F47</f>
        <v>9087.0587393360911</v>
      </c>
      <c r="BA47" s="73">
        <f ca="1">OFFSET('Allocation %'!$A$1,MATCH(BA$4,'Allocation %'!$A:$A,0)-1,MATCH($D47,'Allocation %'!$5:$5,0)-1)*$F47</f>
        <v>1798.7088756311832</v>
      </c>
      <c r="BB47" s="73">
        <f ca="1">OFFSET('Allocation %'!$A$1,MATCH(BB$4,'Allocation %'!$A:$A,0)-1,MATCH($D47,'Allocation %'!$5:$5,0)-1)*$F47</f>
        <v>1172.6396761793048</v>
      </c>
      <c r="BC47" s="73">
        <f ca="1">OFFSET('Allocation %'!$A$1,MATCH(BC$4,'Allocation %'!$A:$A,0)-1,MATCH($D47,'Allocation %'!$5:$5,0)-1)*$F47</f>
        <v>36.361055413174661</v>
      </c>
      <c r="BD47" s="73">
        <f ca="1">OFFSET('Allocation %'!$A$1,MATCH(BD$4,'Allocation %'!$A:$A,0)-1,MATCH($D47,'Allocation %'!$5:$5,0)-1)*$F47</f>
        <v>699.81346473807344</v>
      </c>
      <c r="BE47" s="73">
        <f ca="1">OFFSET('Allocation %'!$A$1,MATCH(BE$4,'Allocation %'!$A:$A,0)-1,MATCH($D47,'Allocation %'!$5:$5,0)-1)*$F47</f>
        <v>2567.1038196245763</v>
      </c>
      <c r="BG47" s="76">
        <f t="shared" ca="1" si="3"/>
        <v>17168.149999999998</v>
      </c>
      <c r="BH47" s="349">
        <f t="shared" ca="1" si="4"/>
        <v>0</v>
      </c>
      <c r="BJ47" s="76">
        <f t="shared" ca="1" si="2"/>
        <v>6282.3823850327226</v>
      </c>
    </row>
    <row r="48" spans="1:62" x14ac:dyDescent="0.25">
      <c r="A48" s="139" t="s">
        <v>419</v>
      </c>
      <c r="B48" s="259" t="s">
        <v>243</v>
      </c>
      <c r="C48" s="69" t="str">
        <f>INDEX(ACTUALS!$E:$E,MATCH($B48,ACTUALS!$A:$A,0))</f>
        <v>USD</v>
      </c>
      <c r="D48" s="352" t="str">
        <f ca="1">OFFSET(ACTUALS!$O$2,MATCH($B48,ACTUALS!$A:$A,0)-2,MATCH($E$4,ACTUALS!$P$2:$P$2,0))</f>
        <v>RU - L48</v>
      </c>
      <c r="E48" s="73">
        <f ca="1">IF($C48=E$3,SUMIFS(OFFSET(ACTUALS!$A:$A,,MATCH(E$4,ACTUALS!$2:$2,0)-1,,),ACTUALS!$A:$A,$B48)*-1000,F48*'2020 Assumptions'!$B$4)</f>
        <v>346310.18450600002</v>
      </c>
      <c r="F48" s="317">
        <f ca="1">IF($C48=F$3,SUMIFS(OFFSET(ACTUALS!$A:$A,,MATCH(F$4,ACTUALS!$2:$2,0)-1,,),ACTUALS!$A:$A,$B48)*-1000,E48/'2020 Assumptions'!$B$4)</f>
        <v>257632.93</v>
      </c>
      <c r="G48" s="73">
        <f ca="1">IF($C48=G$3,SUMIFS(OFFSET('Non-margin Costs'!$A:$A,,MATCH(G$4,'Non-margin Costs'!$2:$2,0)-1,,),'Non-margin Costs'!$A:$A,$B48)*1000,(SUMIFS(OFFSET('Non-margin Costs'!$A:$A,,MATCH(G$4,'Non-margin Costs'!$2:$2,0)-1,,),'Non-margin Costs'!$A:$A,$B48)*1000)/'2020 Assumptions'!$B$4)</f>
        <v>18376.09</v>
      </c>
      <c r="I48" s="73">
        <f ca="1">OFFSET('Allocation %'!$A$1,MATCH(I$4,'Allocation %'!$A:$A,0)-1,MATCH($D48,'Allocation %'!$5:$5,0)-1)*$F48</f>
        <v>0</v>
      </c>
      <c r="J48" s="73">
        <f ca="1">OFFSET('Allocation %'!$A$1,MATCH(J$4,'Allocation %'!$A:$A,0)-1,MATCH($D48,'Allocation %'!$5:$5,0)-1)*$F48</f>
        <v>0</v>
      </c>
      <c r="K48" s="73">
        <f ca="1">OFFSET('Allocation %'!$A$1,MATCH(K$4,'Allocation %'!$A:$A,0)-1,MATCH($D48,'Allocation %'!$5:$5,0)-1)*$F48</f>
        <v>0</v>
      </c>
      <c r="L48" s="73">
        <f ca="1">OFFSET('Allocation %'!$A$1,MATCH(L$4,'Allocation %'!$A:$A,0)-1,MATCH($D48,'Allocation %'!$5:$5,0)-1)*$F48</f>
        <v>0</v>
      </c>
      <c r="M48" s="73">
        <f ca="1">OFFSET('Allocation %'!$A$1,MATCH(M$4,'Allocation %'!$A:$A,0)-1,MATCH($D48,'Allocation %'!$5:$5,0)-1)*$F48</f>
        <v>0</v>
      </c>
      <c r="N48" s="73">
        <f ca="1">OFFSET('Allocation %'!$A$1,MATCH(N$4,'Allocation %'!$A:$A,0)-1,MATCH($D48,'Allocation %'!$5:$5,0)-1)*$F48</f>
        <v>0</v>
      </c>
      <c r="O48" s="73">
        <f ca="1">OFFSET('Allocation %'!$A$1,MATCH(O$4,'Allocation %'!$A:$A,0)-1,MATCH($D48,'Allocation %'!$5:$5,0)-1)*$F48</f>
        <v>0</v>
      </c>
      <c r="P48" s="73">
        <f ca="1">OFFSET('Allocation %'!$A$1,MATCH(P$4,'Allocation %'!$A:$A,0)-1,MATCH($D48,'Allocation %'!$5:$5,0)-1)*$F48</f>
        <v>0</v>
      </c>
      <c r="Q48" s="73">
        <f ca="1">OFFSET('Allocation %'!$A$1,MATCH(Q$4,'Allocation %'!$A:$A,0)-1,MATCH($D48,'Allocation %'!$5:$5,0)-1)*$F48</f>
        <v>0</v>
      </c>
      <c r="R48" s="73">
        <f ca="1">OFFSET('Allocation %'!$A$1,MATCH(R$4,'Allocation %'!$A:$A,0)-1,MATCH($D48,'Allocation %'!$5:$5,0)-1)*$F48</f>
        <v>0</v>
      </c>
      <c r="S48" s="73">
        <f ca="1">OFFSET('Allocation %'!$A$1,MATCH(S$4,'Allocation %'!$A:$A,0)-1,MATCH($D48,'Allocation %'!$5:$5,0)-1)*$F48</f>
        <v>0</v>
      </c>
      <c r="T48" s="73">
        <f ca="1">OFFSET('Allocation %'!$A$1,MATCH(T$4,'Allocation %'!$A:$A,0)-1,MATCH($D48,'Allocation %'!$5:$5,0)-1)*$F48</f>
        <v>0</v>
      </c>
      <c r="U48" s="73">
        <f ca="1">OFFSET('Allocation %'!$A$1,MATCH(U$4,'Allocation %'!$A:$A,0)-1,MATCH($D48,'Allocation %'!$5:$5,0)-1)*$F48</f>
        <v>0</v>
      </c>
      <c r="V48" s="73">
        <f ca="1">OFFSET('Allocation %'!$A$1,MATCH(V$4,'Allocation %'!$A:$A,0)-1,MATCH($D48,'Allocation %'!$5:$5,0)-1)*$F48</f>
        <v>0</v>
      </c>
      <c r="W48" s="73">
        <f ca="1">OFFSET('Allocation %'!$A$1,MATCH(W$4,'Allocation %'!$A:$A,0)-1,MATCH($D48,'Allocation %'!$5:$5,0)-1)*$F48</f>
        <v>0</v>
      </c>
      <c r="X48" s="73">
        <f ca="1">OFFSET('Allocation %'!$A$1,MATCH(X$4,'Allocation %'!$A:$A,0)-1,MATCH($D48,'Allocation %'!$5:$5,0)-1)*$F48</f>
        <v>0</v>
      </c>
      <c r="Y48" s="73">
        <f ca="1">OFFSET('Allocation %'!$A$1,MATCH(Y$4,'Allocation %'!$A:$A,0)-1,MATCH($D48,'Allocation %'!$5:$5,0)-1)*$F48</f>
        <v>0</v>
      </c>
      <c r="Z48" s="73">
        <f ca="1">OFFSET('Allocation %'!$A$1,MATCH(Z$4,'Allocation %'!$A:$A,0)-1,MATCH($D48,'Allocation %'!$5:$5,0)-1)*$F48</f>
        <v>0</v>
      </c>
      <c r="AA48" s="73">
        <f ca="1">OFFSET('Allocation %'!$A$1,MATCH(AA$4,'Allocation %'!$A:$A,0)-1,MATCH($D48,'Allocation %'!$5:$5,0)-1)*$F48</f>
        <v>0</v>
      </c>
      <c r="AB48" s="73">
        <f ca="1">OFFSET('Allocation %'!$A$1,MATCH(AB$4,'Allocation %'!$A:$A,0)-1,MATCH($D48,'Allocation %'!$5:$5,0)-1)*$F48</f>
        <v>0</v>
      </c>
      <c r="AC48" s="73">
        <f ca="1">OFFSET('Allocation %'!$A$1,MATCH(AC$4,'Allocation %'!$A:$A,0)-1,MATCH($D48,'Allocation %'!$5:$5,0)-1)*$F48</f>
        <v>0</v>
      </c>
      <c r="AD48" s="73">
        <f ca="1">OFFSET('Allocation %'!$A$1,MATCH(AD$4,'Allocation %'!$A:$A,0)-1,MATCH($D48,'Allocation %'!$5:$5,0)-1)*$F48</f>
        <v>0</v>
      </c>
      <c r="AE48" s="73">
        <f ca="1">OFFSET('Allocation %'!$A$1,MATCH(AE$4,'Allocation %'!$A:$A,0)-1,MATCH($D48,'Allocation %'!$5:$5,0)-1)*$F48</f>
        <v>0</v>
      </c>
      <c r="AF48" s="73">
        <f ca="1">OFFSET('Allocation %'!$A$1,MATCH(AF$4,'Allocation %'!$A:$A,0)-1,MATCH($D48,'Allocation %'!$5:$5,0)-1)*$F48</f>
        <v>0</v>
      </c>
      <c r="AG48" s="73">
        <f ca="1">OFFSET('Allocation %'!$A$1,MATCH(AG$4,'Allocation %'!$A:$A,0)-1,MATCH($D48,'Allocation %'!$5:$5,0)-1)*$F48</f>
        <v>0</v>
      </c>
      <c r="AH48" s="73">
        <f ca="1">OFFSET('Allocation %'!$A$1,MATCH(AH$4,'Allocation %'!$A:$A,0)-1,MATCH($D48,'Allocation %'!$5:$5,0)-1)*$F48</f>
        <v>0</v>
      </c>
      <c r="AI48" s="73">
        <f ca="1">OFFSET('Allocation %'!$A$1,MATCH(AI$4,'Allocation %'!$A:$A,0)-1,MATCH($D48,'Allocation %'!$5:$5,0)-1)*$F48</f>
        <v>0</v>
      </c>
      <c r="AJ48" s="73">
        <f ca="1">OFFSET('Allocation %'!$A$1,MATCH(AJ$4,'Allocation %'!$A:$A,0)-1,MATCH($D48,'Allocation %'!$5:$5,0)-1)*$F48</f>
        <v>0</v>
      </c>
      <c r="AK48" s="73">
        <f ca="1">OFFSET('Allocation %'!$A$1,MATCH(AK$4,'Allocation %'!$A:$A,0)-1,MATCH($D48,'Allocation %'!$5:$5,0)-1)*$F48</f>
        <v>0</v>
      </c>
      <c r="AL48" s="73">
        <f ca="1">OFFSET('Allocation %'!$A$1,MATCH(AL$4,'Allocation %'!$A:$A,0)-1,MATCH($D48,'Allocation %'!$5:$5,0)-1)*$F48</f>
        <v>0</v>
      </c>
      <c r="AM48" s="73">
        <f ca="1">OFFSET('Allocation %'!$A$1,MATCH(AM$4,'Allocation %'!$A:$A,0)-1,MATCH($D48,'Allocation %'!$5:$5,0)-1)*$F48</f>
        <v>0</v>
      </c>
      <c r="AN48" s="73">
        <f ca="1">OFFSET('Allocation %'!$A$1,MATCH(AN$4,'Allocation %'!$A:$A,0)-1,MATCH($D48,'Allocation %'!$5:$5,0)-1)*$F48</f>
        <v>0</v>
      </c>
      <c r="AO48" s="73">
        <f ca="1">OFFSET('Allocation %'!$A$1,MATCH(AO$4,'Allocation %'!$A:$A,0)-1,MATCH($D48,'Allocation %'!$5:$5,0)-1)*$F48</f>
        <v>0</v>
      </c>
      <c r="AP48" s="73">
        <f ca="1">OFFSET('Allocation %'!$A$1,MATCH(AP$4,'Allocation %'!$A:$A,0)-1,MATCH($D48,'Allocation %'!$5:$5,0)-1)*$F48</f>
        <v>0</v>
      </c>
      <c r="AQ48" s="73">
        <f ca="1">OFFSET('Allocation %'!$A$1,MATCH(AQ$4,'Allocation %'!$A:$A,0)-1,MATCH($D48,'Allocation %'!$5:$5,0)-1)*$F48</f>
        <v>0</v>
      </c>
      <c r="AR48" s="73">
        <f ca="1">OFFSET('Allocation %'!$A$1,MATCH(AR$4,'Allocation %'!$A:$A,0)-1,MATCH($D48,'Allocation %'!$5:$5,0)-1)*$F48</f>
        <v>0</v>
      </c>
      <c r="AS48" s="73">
        <f ca="1">OFFSET('Allocation %'!$A$1,MATCH(AS$4,'Allocation %'!$A:$A,0)-1,MATCH($D48,'Allocation %'!$5:$5,0)-1)*$F48</f>
        <v>0</v>
      </c>
      <c r="AT48" s="73">
        <f ca="1">OFFSET('Allocation %'!$A$1,MATCH(AT$4,'Allocation %'!$A:$A,0)-1,MATCH($D48,'Allocation %'!$5:$5,0)-1)*$F48</f>
        <v>0</v>
      </c>
      <c r="AU48" s="73">
        <f ca="1">OFFSET('Allocation %'!$A$1,MATCH(AU$4,'Allocation %'!$A:$A,0)-1,MATCH($D48,'Allocation %'!$5:$5,0)-1)*$F48</f>
        <v>0</v>
      </c>
      <c r="AV48" s="73">
        <f ca="1">OFFSET('Allocation %'!$A$1,MATCH(AV$4,'Allocation %'!$A:$A,0)-1,MATCH($D48,'Allocation %'!$5:$5,0)-1)*$F48</f>
        <v>0</v>
      </c>
      <c r="AW48" s="73">
        <f ca="1">OFFSET('Allocation %'!$A$1,MATCH(AW$4,'Allocation %'!$A:$A,0)-1,MATCH($D48,'Allocation %'!$5:$5,0)-1)*$F48</f>
        <v>0</v>
      </c>
      <c r="AX48" s="73">
        <f ca="1">OFFSET('Allocation %'!$A$1,MATCH(AX$4,'Allocation %'!$A:$A,0)-1,MATCH($D48,'Allocation %'!$5:$5,0)-1)*$F48</f>
        <v>0</v>
      </c>
      <c r="AY48" s="73">
        <f ca="1">OFFSET('Allocation %'!$A$1,MATCH(AY$4,'Allocation %'!$A:$A,0)-1,MATCH($D48,'Allocation %'!$5:$5,0)-1)*$F48</f>
        <v>0</v>
      </c>
      <c r="AZ48" s="73">
        <f ca="1">OFFSET('Allocation %'!$A$1,MATCH(AZ$4,'Allocation %'!$A:$A,0)-1,MATCH($D48,'Allocation %'!$5:$5,0)-1)*$F48</f>
        <v>257632.93</v>
      </c>
      <c r="BA48" s="73">
        <f ca="1">OFFSET('Allocation %'!$A$1,MATCH(BA$4,'Allocation %'!$A:$A,0)-1,MATCH($D48,'Allocation %'!$5:$5,0)-1)*$F48</f>
        <v>0</v>
      </c>
      <c r="BB48" s="73">
        <f ca="1">OFFSET('Allocation %'!$A$1,MATCH(BB$4,'Allocation %'!$A:$A,0)-1,MATCH($D48,'Allocation %'!$5:$5,0)-1)*$F48</f>
        <v>0</v>
      </c>
      <c r="BC48" s="73">
        <f ca="1">OFFSET('Allocation %'!$A$1,MATCH(BC$4,'Allocation %'!$A:$A,0)-1,MATCH($D48,'Allocation %'!$5:$5,0)-1)*$F48</f>
        <v>0</v>
      </c>
      <c r="BD48" s="73">
        <f ca="1">OFFSET('Allocation %'!$A$1,MATCH(BD$4,'Allocation %'!$A:$A,0)-1,MATCH($D48,'Allocation %'!$5:$5,0)-1)*$F48</f>
        <v>0</v>
      </c>
      <c r="BE48" s="73">
        <f ca="1">OFFSET('Allocation %'!$A$1,MATCH(BE$4,'Allocation %'!$A:$A,0)-1,MATCH($D48,'Allocation %'!$5:$5,0)-1)*$F48</f>
        <v>0</v>
      </c>
      <c r="BG48" s="76">
        <f t="shared" ca="1" si="3"/>
        <v>257632.93</v>
      </c>
      <c r="BH48" s="349">
        <f t="shared" ca="1" si="4"/>
        <v>0</v>
      </c>
      <c r="BJ48" s="76">
        <f t="shared" ca="1" si="2"/>
        <v>0</v>
      </c>
    </row>
    <row r="49" spans="1:62" x14ac:dyDescent="0.25">
      <c r="A49" s="139" t="s">
        <v>419</v>
      </c>
      <c r="B49" s="259" t="s">
        <v>244</v>
      </c>
      <c r="C49" s="69" t="str">
        <f>INDEX(ACTUALS!$E:$E,MATCH($B49,ACTUALS!$A:$A,0))</f>
        <v>USD</v>
      </c>
      <c r="D49" s="352" t="str">
        <f ca="1">OFFSET(ACTUALS!$O$2,MATCH($B49,ACTUALS!$A:$A,0)-2,MATCH($E$4,ACTUALS!$P$2:$P$2,0))</f>
        <v>RU - L48</v>
      </c>
      <c r="E49" s="73">
        <f ca="1">IF($C49=E$3,SUMIFS(OFFSET(ACTUALS!$A:$A,,MATCH(E$4,ACTUALS!$2:$2,0)-1,,),ACTUALS!$A:$A,$B49)*-1000,F49*'2020 Assumptions'!$B$4)</f>
        <v>2079192.4968100002</v>
      </c>
      <c r="F49" s="317">
        <f ca="1">IF($C49=F$3,SUMIFS(OFFSET(ACTUALS!$A:$A,,MATCH(F$4,ACTUALS!$2:$2,0)-1,,),ACTUALS!$A:$A,$B49)*-1000,E49/'2020 Assumptions'!$B$4)</f>
        <v>1546788.05</v>
      </c>
      <c r="G49" s="73">
        <f ca="1">IF($C49=G$3,SUMIFS(OFFSET('Non-margin Costs'!$A:$A,,MATCH(G$4,'Non-margin Costs'!$2:$2,0)-1,,),'Non-margin Costs'!$A:$A,$B49)*1000,(SUMIFS(OFFSET('Non-margin Costs'!$A:$A,,MATCH(G$4,'Non-margin Costs'!$2:$2,0)-1,,),'Non-margin Costs'!$A:$A,$B49)*1000)/'2020 Assumptions'!$B$4)</f>
        <v>107246.74</v>
      </c>
      <c r="I49" s="73">
        <f ca="1">OFFSET('Allocation %'!$A$1,MATCH(I$4,'Allocation %'!$A:$A,0)-1,MATCH($D49,'Allocation %'!$5:$5,0)-1)*$F49</f>
        <v>0</v>
      </c>
      <c r="J49" s="73">
        <f ca="1">OFFSET('Allocation %'!$A$1,MATCH(J$4,'Allocation %'!$A:$A,0)-1,MATCH($D49,'Allocation %'!$5:$5,0)-1)*$F49</f>
        <v>0</v>
      </c>
      <c r="K49" s="73">
        <f ca="1">OFFSET('Allocation %'!$A$1,MATCH(K$4,'Allocation %'!$A:$A,0)-1,MATCH($D49,'Allocation %'!$5:$5,0)-1)*$F49</f>
        <v>0</v>
      </c>
      <c r="L49" s="73">
        <f ca="1">OFFSET('Allocation %'!$A$1,MATCH(L$4,'Allocation %'!$A:$A,0)-1,MATCH($D49,'Allocation %'!$5:$5,0)-1)*$F49</f>
        <v>0</v>
      </c>
      <c r="M49" s="73">
        <f ca="1">OFFSET('Allocation %'!$A$1,MATCH(M$4,'Allocation %'!$A:$A,0)-1,MATCH($D49,'Allocation %'!$5:$5,0)-1)*$F49</f>
        <v>0</v>
      </c>
      <c r="N49" s="73">
        <f ca="1">OFFSET('Allocation %'!$A$1,MATCH(N$4,'Allocation %'!$A:$A,0)-1,MATCH($D49,'Allocation %'!$5:$5,0)-1)*$F49</f>
        <v>0</v>
      </c>
      <c r="O49" s="73">
        <f ca="1">OFFSET('Allocation %'!$A$1,MATCH(O$4,'Allocation %'!$A:$A,0)-1,MATCH($D49,'Allocation %'!$5:$5,0)-1)*$F49</f>
        <v>0</v>
      </c>
      <c r="P49" s="73">
        <f ca="1">OFFSET('Allocation %'!$A$1,MATCH(P$4,'Allocation %'!$A:$A,0)-1,MATCH($D49,'Allocation %'!$5:$5,0)-1)*$F49</f>
        <v>0</v>
      </c>
      <c r="Q49" s="73">
        <f ca="1">OFFSET('Allocation %'!$A$1,MATCH(Q$4,'Allocation %'!$A:$A,0)-1,MATCH($D49,'Allocation %'!$5:$5,0)-1)*$F49</f>
        <v>0</v>
      </c>
      <c r="R49" s="73">
        <f ca="1">OFFSET('Allocation %'!$A$1,MATCH(R$4,'Allocation %'!$A:$A,0)-1,MATCH($D49,'Allocation %'!$5:$5,0)-1)*$F49</f>
        <v>0</v>
      </c>
      <c r="S49" s="73">
        <f ca="1">OFFSET('Allocation %'!$A$1,MATCH(S$4,'Allocation %'!$A:$A,0)-1,MATCH($D49,'Allocation %'!$5:$5,0)-1)*$F49</f>
        <v>0</v>
      </c>
      <c r="T49" s="73">
        <f ca="1">OFFSET('Allocation %'!$A$1,MATCH(T$4,'Allocation %'!$A:$A,0)-1,MATCH($D49,'Allocation %'!$5:$5,0)-1)*$F49</f>
        <v>0</v>
      </c>
      <c r="U49" s="73">
        <f ca="1">OFFSET('Allocation %'!$A$1,MATCH(U$4,'Allocation %'!$A:$A,0)-1,MATCH($D49,'Allocation %'!$5:$5,0)-1)*$F49</f>
        <v>0</v>
      </c>
      <c r="V49" s="73">
        <f ca="1">OFFSET('Allocation %'!$A$1,MATCH(V$4,'Allocation %'!$A:$A,0)-1,MATCH($D49,'Allocation %'!$5:$5,0)-1)*$F49</f>
        <v>0</v>
      </c>
      <c r="W49" s="73">
        <f ca="1">OFFSET('Allocation %'!$A$1,MATCH(W$4,'Allocation %'!$A:$A,0)-1,MATCH($D49,'Allocation %'!$5:$5,0)-1)*$F49</f>
        <v>0</v>
      </c>
      <c r="X49" s="73">
        <f ca="1">OFFSET('Allocation %'!$A$1,MATCH(X$4,'Allocation %'!$A:$A,0)-1,MATCH($D49,'Allocation %'!$5:$5,0)-1)*$F49</f>
        <v>0</v>
      </c>
      <c r="Y49" s="73">
        <f ca="1">OFFSET('Allocation %'!$A$1,MATCH(Y$4,'Allocation %'!$A:$A,0)-1,MATCH($D49,'Allocation %'!$5:$5,0)-1)*$F49</f>
        <v>0</v>
      </c>
      <c r="Z49" s="73">
        <f ca="1">OFFSET('Allocation %'!$A$1,MATCH(Z$4,'Allocation %'!$A:$A,0)-1,MATCH($D49,'Allocation %'!$5:$5,0)-1)*$F49</f>
        <v>0</v>
      </c>
      <c r="AA49" s="73">
        <f ca="1">OFFSET('Allocation %'!$A$1,MATCH(AA$4,'Allocation %'!$A:$A,0)-1,MATCH($D49,'Allocation %'!$5:$5,0)-1)*$F49</f>
        <v>0</v>
      </c>
      <c r="AB49" s="73">
        <f ca="1">OFFSET('Allocation %'!$A$1,MATCH(AB$4,'Allocation %'!$A:$A,0)-1,MATCH($D49,'Allocation %'!$5:$5,0)-1)*$F49</f>
        <v>0</v>
      </c>
      <c r="AC49" s="73">
        <f ca="1">OFFSET('Allocation %'!$A$1,MATCH(AC$4,'Allocation %'!$A:$A,0)-1,MATCH($D49,'Allocation %'!$5:$5,0)-1)*$F49</f>
        <v>0</v>
      </c>
      <c r="AD49" s="73">
        <f ca="1">OFFSET('Allocation %'!$A$1,MATCH(AD$4,'Allocation %'!$A:$A,0)-1,MATCH($D49,'Allocation %'!$5:$5,0)-1)*$F49</f>
        <v>0</v>
      </c>
      <c r="AE49" s="73">
        <f ca="1">OFFSET('Allocation %'!$A$1,MATCH(AE$4,'Allocation %'!$A:$A,0)-1,MATCH($D49,'Allocation %'!$5:$5,0)-1)*$F49</f>
        <v>0</v>
      </c>
      <c r="AF49" s="73">
        <f ca="1">OFFSET('Allocation %'!$A$1,MATCH(AF$4,'Allocation %'!$A:$A,0)-1,MATCH($D49,'Allocation %'!$5:$5,0)-1)*$F49</f>
        <v>0</v>
      </c>
      <c r="AG49" s="73">
        <f ca="1">OFFSET('Allocation %'!$A$1,MATCH(AG$4,'Allocation %'!$A:$A,0)-1,MATCH($D49,'Allocation %'!$5:$5,0)-1)*$F49</f>
        <v>0</v>
      </c>
      <c r="AH49" s="73">
        <f ca="1">OFFSET('Allocation %'!$A$1,MATCH(AH$4,'Allocation %'!$A:$A,0)-1,MATCH($D49,'Allocation %'!$5:$5,0)-1)*$F49</f>
        <v>0</v>
      </c>
      <c r="AI49" s="73">
        <f ca="1">OFFSET('Allocation %'!$A$1,MATCH(AI$4,'Allocation %'!$A:$A,0)-1,MATCH($D49,'Allocation %'!$5:$5,0)-1)*$F49</f>
        <v>0</v>
      </c>
      <c r="AJ49" s="73">
        <f ca="1">OFFSET('Allocation %'!$A$1,MATCH(AJ$4,'Allocation %'!$A:$A,0)-1,MATCH($D49,'Allocation %'!$5:$5,0)-1)*$F49</f>
        <v>0</v>
      </c>
      <c r="AK49" s="73">
        <f ca="1">OFFSET('Allocation %'!$A$1,MATCH(AK$4,'Allocation %'!$A:$A,0)-1,MATCH($D49,'Allocation %'!$5:$5,0)-1)*$F49</f>
        <v>0</v>
      </c>
      <c r="AL49" s="73">
        <f ca="1">OFFSET('Allocation %'!$A$1,MATCH(AL$4,'Allocation %'!$A:$A,0)-1,MATCH($D49,'Allocation %'!$5:$5,0)-1)*$F49</f>
        <v>0</v>
      </c>
      <c r="AM49" s="73">
        <f ca="1">OFFSET('Allocation %'!$A$1,MATCH(AM$4,'Allocation %'!$A:$A,0)-1,MATCH($D49,'Allocation %'!$5:$5,0)-1)*$F49</f>
        <v>0</v>
      </c>
      <c r="AN49" s="73">
        <f ca="1">OFFSET('Allocation %'!$A$1,MATCH(AN$4,'Allocation %'!$A:$A,0)-1,MATCH($D49,'Allocation %'!$5:$5,0)-1)*$F49</f>
        <v>0</v>
      </c>
      <c r="AO49" s="73">
        <f ca="1">OFFSET('Allocation %'!$A$1,MATCH(AO$4,'Allocation %'!$A:$A,0)-1,MATCH($D49,'Allocation %'!$5:$5,0)-1)*$F49</f>
        <v>0</v>
      </c>
      <c r="AP49" s="73">
        <f ca="1">OFFSET('Allocation %'!$A$1,MATCH(AP$4,'Allocation %'!$A:$A,0)-1,MATCH($D49,'Allocation %'!$5:$5,0)-1)*$F49</f>
        <v>0</v>
      </c>
      <c r="AQ49" s="73">
        <f ca="1">OFFSET('Allocation %'!$A$1,MATCH(AQ$4,'Allocation %'!$A:$A,0)-1,MATCH($D49,'Allocation %'!$5:$5,0)-1)*$F49</f>
        <v>0</v>
      </c>
      <c r="AR49" s="73">
        <f ca="1">OFFSET('Allocation %'!$A$1,MATCH(AR$4,'Allocation %'!$A:$A,0)-1,MATCH($D49,'Allocation %'!$5:$5,0)-1)*$F49</f>
        <v>0</v>
      </c>
      <c r="AS49" s="73">
        <f ca="1">OFFSET('Allocation %'!$A$1,MATCH(AS$4,'Allocation %'!$A:$A,0)-1,MATCH($D49,'Allocation %'!$5:$5,0)-1)*$F49</f>
        <v>0</v>
      </c>
      <c r="AT49" s="73">
        <f ca="1">OFFSET('Allocation %'!$A$1,MATCH(AT$4,'Allocation %'!$A:$A,0)-1,MATCH($D49,'Allocation %'!$5:$5,0)-1)*$F49</f>
        <v>0</v>
      </c>
      <c r="AU49" s="73">
        <f ca="1">OFFSET('Allocation %'!$A$1,MATCH(AU$4,'Allocation %'!$A:$A,0)-1,MATCH($D49,'Allocation %'!$5:$5,0)-1)*$F49</f>
        <v>0</v>
      </c>
      <c r="AV49" s="73">
        <f ca="1">OFFSET('Allocation %'!$A$1,MATCH(AV$4,'Allocation %'!$A:$A,0)-1,MATCH($D49,'Allocation %'!$5:$5,0)-1)*$F49</f>
        <v>0</v>
      </c>
      <c r="AW49" s="73">
        <f ca="1">OFFSET('Allocation %'!$A$1,MATCH(AW$4,'Allocation %'!$A:$A,0)-1,MATCH($D49,'Allocation %'!$5:$5,0)-1)*$F49</f>
        <v>0</v>
      </c>
      <c r="AX49" s="73">
        <f ca="1">OFFSET('Allocation %'!$A$1,MATCH(AX$4,'Allocation %'!$A:$A,0)-1,MATCH($D49,'Allocation %'!$5:$5,0)-1)*$F49</f>
        <v>0</v>
      </c>
      <c r="AY49" s="73">
        <f ca="1">OFFSET('Allocation %'!$A$1,MATCH(AY$4,'Allocation %'!$A:$A,0)-1,MATCH($D49,'Allocation %'!$5:$5,0)-1)*$F49</f>
        <v>0</v>
      </c>
      <c r="AZ49" s="73">
        <f ca="1">OFFSET('Allocation %'!$A$1,MATCH(AZ$4,'Allocation %'!$A:$A,0)-1,MATCH($D49,'Allocation %'!$5:$5,0)-1)*$F49</f>
        <v>1546788.05</v>
      </c>
      <c r="BA49" s="73">
        <f ca="1">OFFSET('Allocation %'!$A$1,MATCH(BA$4,'Allocation %'!$A:$A,0)-1,MATCH($D49,'Allocation %'!$5:$5,0)-1)*$F49</f>
        <v>0</v>
      </c>
      <c r="BB49" s="73">
        <f ca="1">OFFSET('Allocation %'!$A$1,MATCH(BB$4,'Allocation %'!$A:$A,0)-1,MATCH($D49,'Allocation %'!$5:$5,0)-1)*$F49</f>
        <v>0</v>
      </c>
      <c r="BC49" s="73">
        <f ca="1">OFFSET('Allocation %'!$A$1,MATCH(BC$4,'Allocation %'!$A:$A,0)-1,MATCH($D49,'Allocation %'!$5:$5,0)-1)*$F49</f>
        <v>0</v>
      </c>
      <c r="BD49" s="73">
        <f ca="1">OFFSET('Allocation %'!$A$1,MATCH(BD$4,'Allocation %'!$A:$A,0)-1,MATCH($D49,'Allocation %'!$5:$5,0)-1)*$F49</f>
        <v>0</v>
      </c>
      <c r="BE49" s="73">
        <f ca="1">OFFSET('Allocation %'!$A$1,MATCH(BE$4,'Allocation %'!$A:$A,0)-1,MATCH($D49,'Allocation %'!$5:$5,0)-1)*$F49</f>
        <v>0</v>
      </c>
      <c r="BG49" s="76">
        <f t="shared" ca="1" si="3"/>
        <v>1546788.05</v>
      </c>
      <c r="BH49" s="349">
        <f t="shared" ca="1" si="4"/>
        <v>0</v>
      </c>
      <c r="BJ49" s="76">
        <f t="shared" ca="1" si="2"/>
        <v>0</v>
      </c>
    </row>
    <row r="50" spans="1:62" x14ac:dyDescent="0.25">
      <c r="A50" s="139" t="s">
        <v>419</v>
      </c>
      <c r="B50" s="259" t="s">
        <v>245</v>
      </c>
      <c r="C50" s="69" t="str">
        <f>INDEX(ACTUALS!$E:$E,MATCH($B50,ACTUALS!$A:$A,0))</f>
        <v>USD</v>
      </c>
      <c r="D50" s="352" t="str">
        <f ca="1">OFFSET(ACTUALS!$O$2,MATCH($B50,ACTUALS!$A:$A,0)-2,MATCH($E$4,ACTUALS!$P$2:$P$2,0))</f>
        <v>RU - L48</v>
      </c>
      <c r="E50" s="73">
        <f ca="1">IF($C50=E$3,SUMIFS(OFFSET(ACTUALS!$A:$A,,MATCH(E$4,ACTUALS!$2:$2,0)-1,,),ACTUALS!$A:$A,$B50)*-1000,F50*'2020 Assumptions'!$B$4)</f>
        <v>373652.94652400009</v>
      </c>
      <c r="F50" s="317">
        <f ca="1">IF($C50=F$3,SUMIFS(OFFSET(ACTUALS!$A:$A,,MATCH(F$4,ACTUALS!$2:$2,0)-1,,),ACTUALS!$A:$A,$B50)*-1000,E50/'2020 Assumptions'!$B$4)</f>
        <v>277974.22000000003</v>
      </c>
      <c r="G50" s="73">
        <f ca="1">IF($C50=G$3,SUMIFS(OFFSET('Non-margin Costs'!$A:$A,,MATCH(G$4,'Non-margin Costs'!$2:$2,0)-1,,),'Non-margin Costs'!$A:$A,$B50)*1000,(SUMIFS(OFFSET('Non-margin Costs'!$A:$A,,MATCH(G$4,'Non-margin Costs'!$2:$2,0)-1,,),'Non-margin Costs'!$A:$A,$B50)*1000)/'2020 Assumptions'!$B$4)</f>
        <v>67681.45</v>
      </c>
      <c r="I50" s="73">
        <f ca="1">OFFSET('Allocation %'!$A$1,MATCH(I$4,'Allocation %'!$A:$A,0)-1,MATCH($D50,'Allocation %'!$5:$5,0)-1)*$F50</f>
        <v>0</v>
      </c>
      <c r="J50" s="73">
        <f ca="1">OFFSET('Allocation %'!$A$1,MATCH(J$4,'Allocation %'!$A:$A,0)-1,MATCH($D50,'Allocation %'!$5:$5,0)-1)*$F50</f>
        <v>0</v>
      </c>
      <c r="K50" s="73">
        <f ca="1">OFFSET('Allocation %'!$A$1,MATCH(K$4,'Allocation %'!$A:$A,0)-1,MATCH($D50,'Allocation %'!$5:$5,0)-1)*$F50</f>
        <v>0</v>
      </c>
      <c r="L50" s="73">
        <f ca="1">OFFSET('Allocation %'!$A$1,MATCH(L$4,'Allocation %'!$A:$A,0)-1,MATCH($D50,'Allocation %'!$5:$5,0)-1)*$F50</f>
        <v>0</v>
      </c>
      <c r="M50" s="73">
        <f ca="1">OFFSET('Allocation %'!$A$1,MATCH(M$4,'Allocation %'!$A:$A,0)-1,MATCH($D50,'Allocation %'!$5:$5,0)-1)*$F50</f>
        <v>0</v>
      </c>
      <c r="N50" s="73">
        <f ca="1">OFFSET('Allocation %'!$A$1,MATCH(N$4,'Allocation %'!$A:$A,0)-1,MATCH($D50,'Allocation %'!$5:$5,0)-1)*$F50</f>
        <v>0</v>
      </c>
      <c r="O50" s="73">
        <f ca="1">OFFSET('Allocation %'!$A$1,MATCH(O$4,'Allocation %'!$A:$A,0)-1,MATCH($D50,'Allocation %'!$5:$5,0)-1)*$F50</f>
        <v>0</v>
      </c>
      <c r="P50" s="73">
        <f ca="1">OFFSET('Allocation %'!$A$1,MATCH(P$4,'Allocation %'!$A:$A,0)-1,MATCH($D50,'Allocation %'!$5:$5,0)-1)*$F50</f>
        <v>0</v>
      </c>
      <c r="Q50" s="73">
        <f ca="1">OFFSET('Allocation %'!$A$1,MATCH(Q$4,'Allocation %'!$A:$A,0)-1,MATCH($D50,'Allocation %'!$5:$5,0)-1)*$F50</f>
        <v>0</v>
      </c>
      <c r="R50" s="73">
        <f ca="1">OFFSET('Allocation %'!$A$1,MATCH(R$4,'Allocation %'!$A:$A,0)-1,MATCH($D50,'Allocation %'!$5:$5,0)-1)*$F50</f>
        <v>0</v>
      </c>
      <c r="S50" s="73">
        <f ca="1">OFFSET('Allocation %'!$A$1,MATCH(S$4,'Allocation %'!$A:$A,0)-1,MATCH($D50,'Allocation %'!$5:$5,0)-1)*$F50</f>
        <v>0</v>
      </c>
      <c r="T50" s="73">
        <f ca="1">OFFSET('Allocation %'!$A$1,MATCH(T$4,'Allocation %'!$A:$A,0)-1,MATCH($D50,'Allocation %'!$5:$5,0)-1)*$F50</f>
        <v>0</v>
      </c>
      <c r="U50" s="73">
        <f ca="1">OFFSET('Allocation %'!$A$1,MATCH(U$4,'Allocation %'!$A:$A,0)-1,MATCH($D50,'Allocation %'!$5:$5,0)-1)*$F50</f>
        <v>0</v>
      </c>
      <c r="V50" s="73">
        <f ca="1">OFFSET('Allocation %'!$A$1,MATCH(V$4,'Allocation %'!$A:$A,0)-1,MATCH($D50,'Allocation %'!$5:$5,0)-1)*$F50</f>
        <v>0</v>
      </c>
      <c r="W50" s="73">
        <f ca="1">OFFSET('Allocation %'!$A$1,MATCH(W$4,'Allocation %'!$A:$A,0)-1,MATCH($D50,'Allocation %'!$5:$5,0)-1)*$F50</f>
        <v>0</v>
      </c>
      <c r="X50" s="73">
        <f ca="1">OFFSET('Allocation %'!$A$1,MATCH(X$4,'Allocation %'!$A:$A,0)-1,MATCH($D50,'Allocation %'!$5:$5,0)-1)*$F50</f>
        <v>0</v>
      </c>
      <c r="Y50" s="73">
        <f ca="1">OFFSET('Allocation %'!$A$1,MATCH(Y$4,'Allocation %'!$A:$A,0)-1,MATCH($D50,'Allocation %'!$5:$5,0)-1)*$F50</f>
        <v>0</v>
      </c>
      <c r="Z50" s="73">
        <f ca="1">OFFSET('Allocation %'!$A$1,MATCH(Z$4,'Allocation %'!$A:$A,0)-1,MATCH($D50,'Allocation %'!$5:$5,0)-1)*$F50</f>
        <v>0</v>
      </c>
      <c r="AA50" s="73">
        <f ca="1">OFFSET('Allocation %'!$A$1,MATCH(AA$4,'Allocation %'!$A:$A,0)-1,MATCH($D50,'Allocation %'!$5:$5,0)-1)*$F50</f>
        <v>0</v>
      </c>
      <c r="AB50" s="73">
        <f ca="1">OFFSET('Allocation %'!$A$1,MATCH(AB$4,'Allocation %'!$A:$A,0)-1,MATCH($D50,'Allocation %'!$5:$5,0)-1)*$F50</f>
        <v>0</v>
      </c>
      <c r="AC50" s="73">
        <f ca="1">OFFSET('Allocation %'!$A$1,MATCH(AC$4,'Allocation %'!$A:$A,0)-1,MATCH($D50,'Allocation %'!$5:$5,0)-1)*$F50</f>
        <v>0</v>
      </c>
      <c r="AD50" s="73">
        <f ca="1">OFFSET('Allocation %'!$A$1,MATCH(AD$4,'Allocation %'!$A:$A,0)-1,MATCH($D50,'Allocation %'!$5:$5,0)-1)*$F50</f>
        <v>0</v>
      </c>
      <c r="AE50" s="73">
        <f ca="1">OFFSET('Allocation %'!$A$1,MATCH(AE$4,'Allocation %'!$A:$A,0)-1,MATCH($D50,'Allocation %'!$5:$5,0)-1)*$F50</f>
        <v>0</v>
      </c>
      <c r="AF50" s="73">
        <f ca="1">OFFSET('Allocation %'!$A$1,MATCH(AF$4,'Allocation %'!$A:$A,0)-1,MATCH($D50,'Allocation %'!$5:$5,0)-1)*$F50</f>
        <v>0</v>
      </c>
      <c r="AG50" s="73">
        <f ca="1">OFFSET('Allocation %'!$A$1,MATCH(AG$4,'Allocation %'!$A:$A,0)-1,MATCH($D50,'Allocation %'!$5:$5,0)-1)*$F50</f>
        <v>0</v>
      </c>
      <c r="AH50" s="73">
        <f ca="1">OFFSET('Allocation %'!$A$1,MATCH(AH$4,'Allocation %'!$A:$A,0)-1,MATCH($D50,'Allocation %'!$5:$5,0)-1)*$F50</f>
        <v>0</v>
      </c>
      <c r="AI50" s="73">
        <f ca="1">OFFSET('Allocation %'!$A$1,MATCH(AI$4,'Allocation %'!$A:$A,0)-1,MATCH($D50,'Allocation %'!$5:$5,0)-1)*$F50</f>
        <v>0</v>
      </c>
      <c r="AJ50" s="73">
        <f ca="1">OFFSET('Allocation %'!$A$1,MATCH(AJ$4,'Allocation %'!$A:$A,0)-1,MATCH($D50,'Allocation %'!$5:$5,0)-1)*$F50</f>
        <v>0</v>
      </c>
      <c r="AK50" s="73">
        <f ca="1">OFFSET('Allocation %'!$A$1,MATCH(AK$4,'Allocation %'!$A:$A,0)-1,MATCH($D50,'Allocation %'!$5:$5,0)-1)*$F50</f>
        <v>0</v>
      </c>
      <c r="AL50" s="73">
        <f ca="1">OFFSET('Allocation %'!$A$1,MATCH(AL$4,'Allocation %'!$A:$A,0)-1,MATCH($D50,'Allocation %'!$5:$5,0)-1)*$F50</f>
        <v>0</v>
      </c>
      <c r="AM50" s="73">
        <f ca="1">OFFSET('Allocation %'!$A$1,MATCH(AM$4,'Allocation %'!$A:$A,0)-1,MATCH($D50,'Allocation %'!$5:$5,0)-1)*$F50</f>
        <v>0</v>
      </c>
      <c r="AN50" s="73">
        <f ca="1">OFFSET('Allocation %'!$A$1,MATCH(AN$4,'Allocation %'!$A:$A,0)-1,MATCH($D50,'Allocation %'!$5:$5,0)-1)*$F50</f>
        <v>0</v>
      </c>
      <c r="AO50" s="73">
        <f ca="1">OFFSET('Allocation %'!$A$1,MATCH(AO$4,'Allocation %'!$A:$A,0)-1,MATCH($D50,'Allocation %'!$5:$5,0)-1)*$F50</f>
        <v>0</v>
      </c>
      <c r="AP50" s="73">
        <f ca="1">OFFSET('Allocation %'!$A$1,MATCH(AP$4,'Allocation %'!$A:$A,0)-1,MATCH($D50,'Allocation %'!$5:$5,0)-1)*$F50</f>
        <v>0</v>
      </c>
      <c r="AQ50" s="73">
        <f ca="1">OFFSET('Allocation %'!$A$1,MATCH(AQ$4,'Allocation %'!$A:$A,0)-1,MATCH($D50,'Allocation %'!$5:$5,0)-1)*$F50</f>
        <v>0</v>
      </c>
      <c r="AR50" s="73">
        <f ca="1">OFFSET('Allocation %'!$A$1,MATCH(AR$4,'Allocation %'!$A:$A,0)-1,MATCH($D50,'Allocation %'!$5:$5,0)-1)*$F50</f>
        <v>0</v>
      </c>
      <c r="AS50" s="73">
        <f ca="1">OFFSET('Allocation %'!$A$1,MATCH(AS$4,'Allocation %'!$A:$A,0)-1,MATCH($D50,'Allocation %'!$5:$5,0)-1)*$F50</f>
        <v>0</v>
      </c>
      <c r="AT50" s="73">
        <f ca="1">OFFSET('Allocation %'!$A$1,MATCH(AT$4,'Allocation %'!$A:$A,0)-1,MATCH($D50,'Allocation %'!$5:$5,0)-1)*$F50</f>
        <v>0</v>
      </c>
      <c r="AU50" s="73">
        <f ca="1">OFFSET('Allocation %'!$A$1,MATCH(AU$4,'Allocation %'!$A:$A,0)-1,MATCH($D50,'Allocation %'!$5:$5,0)-1)*$F50</f>
        <v>0</v>
      </c>
      <c r="AV50" s="73">
        <f ca="1">OFFSET('Allocation %'!$A$1,MATCH(AV$4,'Allocation %'!$A:$A,0)-1,MATCH($D50,'Allocation %'!$5:$5,0)-1)*$F50</f>
        <v>0</v>
      </c>
      <c r="AW50" s="73">
        <f ca="1">OFFSET('Allocation %'!$A$1,MATCH(AW$4,'Allocation %'!$A:$A,0)-1,MATCH($D50,'Allocation %'!$5:$5,0)-1)*$F50</f>
        <v>0</v>
      </c>
      <c r="AX50" s="73">
        <f ca="1">OFFSET('Allocation %'!$A$1,MATCH(AX$4,'Allocation %'!$A:$A,0)-1,MATCH($D50,'Allocation %'!$5:$5,0)-1)*$F50</f>
        <v>0</v>
      </c>
      <c r="AY50" s="73">
        <f ca="1">OFFSET('Allocation %'!$A$1,MATCH(AY$4,'Allocation %'!$A:$A,0)-1,MATCH($D50,'Allocation %'!$5:$5,0)-1)*$F50</f>
        <v>0</v>
      </c>
      <c r="AZ50" s="73">
        <f ca="1">OFFSET('Allocation %'!$A$1,MATCH(AZ$4,'Allocation %'!$A:$A,0)-1,MATCH($D50,'Allocation %'!$5:$5,0)-1)*$F50</f>
        <v>277974.22000000003</v>
      </c>
      <c r="BA50" s="73">
        <f ca="1">OFFSET('Allocation %'!$A$1,MATCH(BA$4,'Allocation %'!$A:$A,0)-1,MATCH($D50,'Allocation %'!$5:$5,0)-1)*$F50</f>
        <v>0</v>
      </c>
      <c r="BB50" s="73">
        <f ca="1">OFFSET('Allocation %'!$A$1,MATCH(BB$4,'Allocation %'!$A:$A,0)-1,MATCH($D50,'Allocation %'!$5:$5,0)-1)*$F50</f>
        <v>0</v>
      </c>
      <c r="BC50" s="73">
        <f ca="1">OFFSET('Allocation %'!$A$1,MATCH(BC$4,'Allocation %'!$A:$A,0)-1,MATCH($D50,'Allocation %'!$5:$5,0)-1)*$F50</f>
        <v>0</v>
      </c>
      <c r="BD50" s="73">
        <f ca="1">OFFSET('Allocation %'!$A$1,MATCH(BD$4,'Allocation %'!$A:$A,0)-1,MATCH($D50,'Allocation %'!$5:$5,0)-1)*$F50</f>
        <v>0</v>
      </c>
      <c r="BE50" s="73">
        <f ca="1">OFFSET('Allocation %'!$A$1,MATCH(BE$4,'Allocation %'!$A:$A,0)-1,MATCH($D50,'Allocation %'!$5:$5,0)-1)*$F50</f>
        <v>0</v>
      </c>
      <c r="BG50" s="76">
        <f t="shared" ca="1" si="3"/>
        <v>277974.22000000003</v>
      </c>
      <c r="BH50" s="349">
        <f t="shared" ca="1" si="4"/>
        <v>0</v>
      </c>
      <c r="BJ50" s="76">
        <f t="shared" ca="1" si="2"/>
        <v>0</v>
      </c>
    </row>
    <row r="51" spans="1:62" x14ac:dyDescent="0.25">
      <c r="A51" s="139" t="s">
        <v>419</v>
      </c>
      <c r="B51" s="259" t="s">
        <v>246</v>
      </c>
      <c r="C51" s="69" t="str">
        <f>INDEX(ACTUALS!$E:$E,MATCH($B51,ACTUALS!$A:$A,0))</f>
        <v>USD</v>
      </c>
      <c r="D51" s="352" t="str">
        <f ca="1">OFFSET(ACTUALS!$O$2,MATCH($B51,ACTUALS!$A:$A,0)-2,MATCH($E$4,ACTUALS!$P$2:$P$2,0))</f>
        <v>RU - L48</v>
      </c>
      <c r="E51" s="73">
        <f ca="1">IF($C51=E$3,SUMIFS(OFFSET(ACTUALS!$A:$A,,MATCH(E$4,ACTUALS!$2:$2,0)-1,,),ACTUALS!$A:$A,$B51)*-1000,F51*'2020 Assumptions'!$B$4)</f>
        <v>682880.43023199996</v>
      </c>
      <c r="F51" s="317">
        <f ca="1">IF($C51=F$3,SUMIFS(OFFSET(ACTUALS!$A:$A,,MATCH(F$4,ACTUALS!$2:$2,0)-1,,),ACTUALS!$A:$A,$B51)*-1000,E51/'2020 Assumptions'!$B$4)</f>
        <v>508019.95999999996</v>
      </c>
      <c r="G51" s="73">
        <f ca="1">IF($C51=G$3,SUMIFS(OFFSET('Non-margin Costs'!$A:$A,,MATCH(G$4,'Non-margin Costs'!$2:$2,0)-1,,),'Non-margin Costs'!$A:$A,$B51)*1000,(SUMIFS(OFFSET('Non-margin Costs'!$A:$A,,MATCH(G$4,'Non-margin Costs'!$2:$2,0)-1,,),'Non-margin Costs'!$A:$A,$B51)*1000)/'2020 Assumptions'!$B$4)</f>
        <v>31868.45</v>
      </c>
      <c r="I51" s="73">
        <f ca="1">OFFSET('Allocation %'!$A$1,MATCH(I$4,'Allocation %'!$A:$A,0)-1,MATCH($D51,'Allocation %'!$5:$5,0)-1)*$F51</f>
        <v>0</v>
      </c>
      <c r="J51" s="73">
        <f ca="1">OFFSET('Allocation %'!$A$1,MATCH(J$4,'Allocation %'!$A:$A,0)-1,MATCH($D51,'Allocation %'!$5:$5,0)-1)*$F51</f>
        <v>0</v>
      </c>
      <c r="K51" s="73">
        <f ca="1">OFFSET('Allocation %'!$A$1,MATCH(K$4,'Allocation %'!$A:$A,0)-1,MATCH($D51,'Allocation %'!$5:$5,0)-1)*$F51</f>
        <v>0</v>
      </c>
      <c r="L51" s="73">
        <f ca="1">OFFSET('Allocation %'!$A$1,MATCH(L$4,'Allocation %'!$A:$A,0)-1,MATCH($D51,'Allocation %'!$5:$5,0)-1)*$F51</f>
        <v>0</v>
      </c>
      <c r="M51" s="73">
        <f ca="1">OFFSET('Allocation %'!$A$1,MATCH(M$4,'Allocation %'!$A:$A,0)-1,MATCH($D51,'Allocation %'!$5:$5,0)-1)*$F51</f>
        <v>0</v>
      </c>
      <c r="N51" s="73">
        <f ca="1">OFFSET('Allocation %'!$A$1,MATCH(N$4,'Allocation %'!$A:$A,0)-1,MATCH($D51,'Allocation %'!$5:$5,0)-1)*$F51</f>
        <v>0</v>
      </c>
      <c r="O51" s="73">
        <f ca="1">OFFSET('Allocation %'!$A$1,MATCH(O$4,'Allocation %'!$A:$A,0)-1,MATCH($D51,'Allocation %'!$5:$5,0)-1)*$F51</f>
        <v>0</v>
      </c>
      <c r="P51" s="73">
        <f ca="1">OFFSET('Allocation %'!$A$1,MATCH(P$4,'Allocation %'!$A:$A,0)-1,MATCH($D51,'Allocation %'!$5:$5,0)-1)*$F51</f>
        <v>0</v>
      </c>
      <c r="Q51" s="73">
        <f ca="1">OFFSET('Allocation %'!$A$1,MATCH(Q$4,'Allocation %'!$A:$A,0)-1,MATCH($D51,'Allocation %'!$5:$5,0)-1)*$F51</f>
        <v>0</v>
      </c>
      <c r="R51" s="73">
        <f ca="1">OFFSET('Allocation %'!$A$1,MATCH(R$4,'Allocation %'!$A:$A,0)-1,MATCH($D51,'Allocation %'!$5:$5,0)-1)*$F51</f>
        <v>0</v>
      </c>
      <c r="S51" s="73">
        <f ca="1">OFFSET('Allocation %'!$A$1,MATCH(S$4,'Allocation %'!$A:$A,0)-1,MATCH($D51,'Allocation %'!$5:$5,0)-1)*$F51</f>
        <v>0</v>
      </c>
      <c r="T51" s="73">
        <f ca="1">OFFSET('Allocation %'!$A$1,MATCH(T$4,'Allocation %'!$A:$A,0)-1,MATCH($D51,'Allocation %'!$5:$5,0)-1)*$F51</f>
        <v>0</v>
      </c>
      <c r="U51" s="73">
        <f ca="1">OFFSET('Allocation %'!$A$1,MATCH(U$4,'Allocation %'!$A:$A,0)-1,MATCH($D51,'Allocation %'!$5:$5,0)-1)*$F51</f>
        <v>0</v>
      </c>
      <c r="V51" s="73">
        <f ca="1">OFFSET('Allocation %'!$A$1,MATCH(V$4,'Allocation %'!$A:$A,0)-1,MATCH($D51,'Allocation %'!$5:$5,0)-1)*$F51</f>
        <v>0</v>
      </c>
      <c r="W51" s="73">
        <f ca="1">OFFSET('Allocation %'!$A$1,MATCH(W$4,'Allocation %'!$A:$A,0)-1,MATCH($D51,'Allocation %'!$5:$5,0)-1)*$F51</f>
        <v>0</v>
      </c>
      <c r="X51" s="73">
        <f ca="1">OFFSET('Allocation %'!$A$1,MATCH(X$4,'Allocation %'!$A:$A,0)-1,MATCH($D51,'Allocation %'!$5:$5,0)-1)*$F51</f>
        <v>0</v>
      </c>
      <c r="Y51" s="73">
        <f ca="1">OFFSET('Allocation %'!$A$1,MATCH(Y$4,'Allocation %'!$A:$A,0)-1,MATCH($D51,'Allocation %'!$5:$5,0)-1)*$F51</f>
        <v>0</v>
      </c>
      <c r="Z51" s="73">
        <f ca="1">OFFSET('Allocation %'!$A$1,MATCH(Z$4,'Allocation %'!$A:$A,0)-1,MATCH($D51,'Allocation %'!$5:$5,0)-1)*$F51</f>
        <v>0</v>
      </c>
      <c r="AA51" s="73">
        <f ca="1">OFFSET('Allocation %'!$A$1,MATCH(AA$4,'Allocation %'!$A:$A,0)-1,MATCH($D51,'Allocation %'!$5:$5,0)-1)*$F51</f>
        <v>0</v>
      </c>
      <c r="AB51" s="73">
        <f ca="1">OFFSET('Allocation %'!$A$1,MATCH(AB$4,'Allocation %'!$A:$A,0)-1,MATCH($D51,'Allocation %'!$5:$5,0)-1)*$F51</f>
        <v>0</v>
      </c>
      <c r="AC51" s="73">
        <f ca="1">OFFSET('Allocation %'!$A$1,MATCH(AC$4,'Allocation %'!$A:$A,0)-1,MATCH($D51,'Allocation %'!$5:$5,0)-1)*$F51</f>
        <v>0</v>
      </c>
      <c r="AD51" s="73">
        <f ca="1">OFFSET('Allocation %'!$A$1,MATCH(AD$4,'Allocation %'!$A:$A,0)-1,MATCH($D51,'Allocation %'!$5:$5,0)-1)*$F51</f>
        <v>0</v>
      </c>
      <c r="AE51" s="73">
        <f ca="1">OFFSET('Allocation %'!$A$1,MATCH(AE$4,'Allocation %'!$A:$A,0)-1,MATCH($D51,'Allocation %'!$5:$5,0)-1)*$F51</f>
        <v>0</v>
      </c>
      <c r="AF51" s="73">
        <f ca="1">OFFSET('Allocation %'!$A$1,MATCH(AF$4,'Allocation %'!$A:$A,0)-1,MATCH($D51,'Allocation %'!$5:$5,0)-1)*$F51</f>
        <v>0</v>
      </c>
      <c r="AG51" s="73">
        <f ca="1">OFFSET('Allocation %'!$A$1,MATCH(AG$4,'Allocation %'!$A:$A,0)-1,MATCH($D51,'Allocation %'!$5:$5,0)-1)*$F51</f>
        <v>0</v>
      </c>
      <c r="AH51" s="73">
        <f ca="1">OFFSET('Allocation %'!$A$1,MATCH(AH$4,'Allocation %'!$A:$A,0)-1,MATCH($D51,'Allocation %'!$5:$5,0)-1)*$F51</f>
        <v>0</v>
      </c>
      <c r="AI51" s="73">
        <f ca="1">OFFSET('Allocation %'!$A$1,MATCH(AI$4,'Allocation %'!$A:$A,0)-1,MATCH($D51,'Allocation %'!$5:$5,0)-1)*$F51</f>
        <v>0</v>
      </c>
      <c r="AJ51" s="73">
        <f ca="1">OFFSET('Allocation %'!$A$1,MATCH(AJ$4,'Allocation %'!$A:$A,0)-1,MATCH($D51,'Allocation %'!$5:$5,0)-1)*$F51</f>
        <v>0</v>
      </c>
      <c r="AK51" s="73">
        <f ca="1">OFFSET('Allocation %'!$A$1,MATCH(AK$4,'Allocation %'!$A:$A,0)-1,MATCH($D51,'Allocation %'!$5:$5,0)-1)*$F51</f>
        <v>0</v>
      </c>
      <c r="AL51" s="73">
        <f ca="1">OFFSET('Allocation %'!$A$1,MATCH(AL$4,'Allocation %'!$A:$A,0)-1,MATCH($D51,'Allocation %'!$5:$5,0)-1)*$F51</f>
        <v>0</v>
      </c>
      <c r="AM51" s="73">
        <f ca="1">OFFSET('Allocation %'!$A$1,MATCH(AM$4,'Allocation %'!$A:$A,0)-1,MATCH($D51,'Allocation %'!$5:$5,0)-1)*$F51</f>
        <v>0</v>
      </c>
      <c r="AN51" s="73">
        <f ca="1">OFFSET('Allocation %'!$A$1,MATCH(AN$4,'Allocation %'!$A:$A,0)-1,MATCH($D51,'Allocation %'!$5:$5,0)-1)*$F51</f>
        <v>0</v>
      </c>
      <c r="AO51" s="73">
        <f ca="1">OFFSET('Allocation %'!$A$1,MATCH(AO$4,'Allocation %'!$A:$A,0)-1,MATCH($D51,'Allocation %'!$5:$5,0)-1)*$F51</f>
        <v>0</v>
      </c>
      <c r="AP51" s="73">
        <f ca="1">OFFSET('Allocation %'!$A$1,MATCH(AP$4,'Allocation %'!$A:$A,0)-1,MATCH($D51,'Allocation %'!$5:$5,0)-1)*$F51</f>
        <v>0</v>
      </c>
      <c r="AQ51" s="73">
        <f ca="1">OFFSET('Allocation %'!$A$1,MATCH(AQ$4,'Allocation %'!$A:$A,0)-1,MATCH($D51,'Allocation %'!$5:$5,0)-1)*$F51</f>
        <v>0</v>
      </c>
      <c r="AR51" s="73">
        <f ca="1">OFFSET('Allocation %'!$A$1,MATCH(AR$4,'Allocation %'!$A:$A,0)-1,MATCH($D51,'Allocation %'!$5:$5,0)-1)*$F51</f>
        <v>0</v>
      </c>
      <c r="AS51" s="73">
        <f ca="1">OFFSET('Allocation %'!$A$1,MATCH(AS$4,'Allocation %'!$A:$A,0)-1,MATCH($D51,'Allocation %'!$5:$5,0)-1)*$F51</f>
        <v>0</v>
      </c>
      <c r="AT51" s="73">
        <f ca="1">OFFSET('Allocation %'!$A$1,MATCH(AT$4,'Allocation %'!$A:$A,0)-1,MATCH($D51,'Allocation %'!$5:$5,0)-1)*$F51</f>
        <v>0</v>
      </c>
      <c r="AU51" s="73">
        <f ca="1">OFFSET('Allocation %'!$A$1,MATCH(AU$4,'Allocation %'!$A:$A,0)-1,MATCH($D51,'Allocation %'!$5:$5,0)-1)*$F51</f>
        <v>0</v>
      </c>
      <c r="AV51" s="73">
        <f ca="1">OFFSET('Allocation %'!$A$1,MATCH(AV$4,'Allocation %'!$A:$A,0)-1,MATCH($D51,'Allocation %'!$5:$5,0)-1)*$F51</f>
        <v>0</v>
      </c>
      <c r="AW51" s="73">
        <f ca="1">OFFSET('Allocation %'!$A$1,MATCH(AW$4,'Allocation %'!$A:$A,0)-1,MATCH($D51,'Allocation %'!$5:$5,0)-1)*$F51</f>
        <v>0</v>
      </c>
      <c r="AX51" s="73">
        <f ca="1">OFFSET('Allocation %'!$A$1,MATCH(AX$4,'Allocation %'!$A:$A,0)-1,MATCH($D51,'Allocation %'!$5:$5,0)-1)*$F51</f>
        <v>0</v>
      </c>
      <c r="AY51" s="73">
        <f ca="1">OFFSET('Allocation %'!$A$1,MATCH(AY$4,'Allocation %'!$A:$A,0)-1,MATCH($D51,'Allocation %'!$5:$5,0)-1)*$F51</f>
        <v>0</v>
      </c>
      <c r="AZ51" s="73">
        <f ca="1">OFFSET('Allocation %'!$A$1,MATCH(AZ$4,'Allocation %'!$A:$A,0)-1,MATCH($D51,'Allocation %'!$5:$5,0)-1)*$F51</f>
        <v>508019.95999999996</v>
      </c>
      <c r="BA51" s="73">
        <f ca="1">OFFSET('Allocation %'!$A$1,MATCH(BA$4,'Allocation %'!$A:$A,0)-1,MATCH($D51,'Allocation %'!$5:$5,0)-1)*$F51</f>
        <v>0</v>
      </c>
      <c r="BB51" s="73">
        <f ca="1">OFFSET('Allocation %'!$A$1,MATCH(BB$4,'Allocation %'!$A:$A,0)-1,MATCH($D51,'Allocation %'!$5:$5,0)-1)*$F51</f>
        <v>0</v>
      </c>
      <c r="BC51" s="73">
        <f ca="1">OFFSET('Allocation %'!$A$1,MATCH(BC$4,'Allocation %'!$A:$A,0)-1,MATCH($D51,'Allocation %'!$5:$5,0)-1)*$F51</f>
        <v>0</v>
      </c>
      <c r="BD51" s="73">
        <f ca="1">OFFSET('Allocation %'!$A$1,MATCH(BD$4,'Allocation %'!$A:$A,0)-1,MATCH($D51,'Allocation %'!$5:$5,0)-1)*$F51</f>
        <v>0</v>
      </c>
      <c r="BE51" s="73">
        <f ca="1">OFFSET('Allocation %'!$A$1,MATCH(BE$4,'Allocation %'!$A:$A,0)-1,MATCH($D51,'Allocation %'!$5:$5,0)-1)*$F51</f>
        <v>0</v>
      </c>
      <c r="BG51" s="76">
        <f t="shared" ca="1" si="3"/>
        <v>508019.95999999996</v>
      </c>
      <c r="BH51" s="349">
        <f t="shared" ca="1" si="4"/>
        <v>0</v>
      </c>
      <c r="BJ51" s="76">
        <f t="shared" ca="1" si="2"/>
        <v>0</v>
      </c>
    </row>
    <row r="52" spans="1:62" x14ac:dyDescent="0.25">
      <c r="A52" s="139" t="s">
        <v>419</v>
      </c>
      <c r="B52" s="259" t="s">
        <v>247</v>
      </c>
      <c r="C52" s="69" t="str">
        <f>INDEX(ACTUALS!$E:$E,MATCH($B52,ACTUALS!$A:$A,0))</f>
        <v>USD</v>
      </c>
      <c r="D52" s="352" t="str">
        <f ca="1">OFFSET(ACTUALS!$O$2,MATCH($B52,ACTUALS!$A:$A,0)-2,MATCH($E$4,ACTUALS!$P$2:$P$2,0))</f>
        <v>RU Only</v>
      </c>
      <c r="E52" s="73">
        <f ca="1">IF($C52=E$3,SUMIFS(OFFSET(ACTUALS!$A:$A,,MATCH(E$4,ACTUALS!$2:$2,0)-1,,),ACTUALS!$A:$A,$B52)*-1000,F52*'2020 Assumptions'!$B$4)</f>
        <v>304855.28502000001</v>
      </c>
      <c r="F52" s="317">
        <f ca="1">IF($C52=F$3,SUMIFS(OFFSET(ACTUALS!$A:$A,,MATCH(F$4,ACTUALS!$2:$2,0)-1,,),ACTUALS!$A:$A,$B52)*-1000,E52/'2020 Assumptions'!$B$4)</f>
        <v>226793.1</v>
      </c>
      <c r="G52" s="73">
        <f ca="1">IF($C52=G$3,SUMIFS(OFFSET('Non-margin Costs'!$A:$A,,MATCH(G$4,'Non-margin Costs'!$2:$2,0)-1,,),'Non-margin Costs'!$A:$A,$B52)*1000,(SUMIFS(OFFSET('Non-margin Costs'!$A:$A,,MATCH(G$4,'Non-margin Costs'!$2:$2,0)-1,,),'Non-margin Costs'!$A:$A,$B52)*1000)/'2020 Assumptions'!$B$4)</f>
        <v>34617.550000000003</v>
      </c>
      <c r="I52" s="73">
        <f ca="1">OFFSET('Allocation %'!$A$1,MATCH(I$4,'Allocation %'!$A:$A,0)-1,MATCH($D52,'Allocation %'!$5:$5,0)-1)*$F52</f>
        <v>0</v>
      </c>
      <c r="J52" s="73">
        <f ca="1">OFFSET('Allocation %'!$A$1,MATCH(J$4,'Allocation %'!$A:$A,0)-1,MATCH($D52,'Allocation %'!$5:$5,0)-1)*$F52</f>
        <v>780.85393034283879</v>
      </c>
      <c r="K52" s="73">
        <f ca="1">OFFSET('Allocation %'!$A$1,MATCH(K$4,'Allocation %'!$A:$A,0)-1,MATCH($D52,'Allocation %'!$5:$5,0)-1)*$F52</f>
        <v>246.38980880337829</v>
      </c>
      <c r="L52" s="73">
        <f ca="1">OFFSET('Allocation %'!$A$1,MATCH(L$4,'Allocation %'!$A:$A,0)-1,MATCH($D52,'Allocation %'!$5:$5,0)-1)*$F52</f>
        <v>266.62569205242545</v>
      </c>
      <c r="M52" s="73">
        <f ca="1">OFFSET('Allocation %'!$A$1,MATCH(M$4,'Allocation %'!$A:$A,0)-1,MATCH($D52,'Allocation %'!$5:$5,0)-1)*$F52</f>
        <v>431.2054418958366</v>
      </c>
      <c r="N52" s="73">
        <f ca="1">OFFSET('Allocation %'!$A$1,MATCH(N$4,'Allocation %'!$A:$A,0)-1,MATCH($D52,'Allocation %'!$5:$5,0)-1)*$F52</f>
        <v>379.05147356716066</v>
      </c>
      <c r="O52" s="73">
        <f ca="1">OFFSET('Allocation %'!$A$1,MATCH(O$4,'Allocation %'!$A:$A,0)-1,MATCH($D52,'Allocation %'!$5:$5,0)-1)*$F52</f>
        <v>887.71339862279228</v>
      </c>
      <c r="P52" s="73">
        <f ca="1">OFFSET('Allocation %'!$A$1,MATCH(P$4,'Allocation %'!$A:$A,0)-1,MATCH($D52,'Allocation %'!$5:$5,0)-1)*$F52</f>
        <v>128.89494671207819</v>
      </c>
      <c r="Q52" s="73">
        <f ca="1">OFFSET('Allocation %'!$A$1,MATCH(Q$4,'Allocation %'!$A:$A,0)-1,MATCH($D52,'Allocation %'!$5:$5,0)-1)*$F52</f>
        <v>281.28387862621173</v>
      </c>
      <c r="R52" s="73">
        <f ca="1">OFFSET('Allocation %'!$A$1,MATCH(R$4,'Allocation %'!$A:$A,0)-1,MATCH($D52,'Allocation %'!$5:$5,0)-1)*$F52</f>
        <v>259.59527953394633</v>
      </c>
      <c r="S52" s="73">
        <f ca="1">OFFSET('Allocation %'!$A$1,MATCH(S$4,'Allocation %'!$A:$A,0)-1,MATCH($D52,'Allocation %'!$5:$5,0)-1)*$F52</f>
        <v>249.6898964549294</v>
      </c>
      <c r="T52" s="73">
        <f ca="1">OFFSET('Allocation %'!$A$1,MATCH(T$4,'Allocation %'!$A:$A,0)-1,MATCH($D52,'Allocation %'!$5:$5,0)-1)*$F52</f>
        <v>896.15329181008292</v>
      </c>
      <c r="U52" s="73">
        <f ca="1">OFFSET('Allocation %'!$A$1,MATCH(U$4,'Allocation %'!$A:$A,0)-1,MATCH($D52,'Allocation %'!$5:$5,0)-1)*$F52</f>
        <v>573.23525512885669</v>
      </c>
      <c r="V52" s="73">
        <f ca="1">OFFSET('Allocation %'!$A$1,MATCH(V$4,'Allocation %'!$A:$A,0)-1,MATCH($D52,'Allocation %'!$5:$5,0)-1)*$F52</f>
        <v>597.42715715666884</v>
      </c>
      <c r="W52" s="73">
        <f ca="1">OFFSET('Allocation %'!$A$1,MATCH(W$4,'Allocation %'!$A:$A,0)-1,MATCH($D52,'Allocation %'!$5:$5,0)-1)*$F52</f>
        <v>966.63840943954585</v>
      </c>
      <c r="X52" s="73">
        <f ca="1">OFFSET('Allocation %'!$A$1,MATCH(X$4,'Allocation %'!$A:$A,0)-1,MATCH($D52,'Allocation %'!$5:$5,0)-1)*$F52</f>
        <v>23.013103762799862</v>
      </c>
      <c r="Y52" s="73">
        <f ca="1">OFFSET('Allocation %'!$A$1,MATCH(Y$4,'Allocation %'!$A:$A,0)-1,MATCH($D52,'Allocation %'!$5:$5,0)-1)*$F52</f>
        <v>18.166013250725303</v>
      </c>
      <c r="Z52" s="73">
        <f ca="1">OFFSET('Allocation %'!$A$1,MATCH(Z$4,'Allocation %'!$A:$A,0)-1,MATCH($D52,'Allocation %'!$5:$5,0)-1)*$F52</f>
        <v>52.980660236385937</v>
      </c>
      <c r="AA52" s="73">
        <f ca="1">OFFSET('Allocation %'!$A$1,MATCH(AA$4,'Allocation %'!$A:$A,0)-1,MATCH($D52,'Allocation %'!$5:$5,0)-1)*$F52</f>
        <v>48.3478484972565</v>
      </c>
      <c r="AB52" s="73">
        <f ca="1">OFFSET('Allocation %'!$A$1,MATCH(AB$4,'Allocation %'!$A:$A,0)-1,MATCH($D52,'Allocation %'!$5:$5,0)-1)*$F52</f>
        <v>46.805254537770963</v>
      </c>
      <c r="AC52" s="73">
        <f ca="1">OFFSET('Allocation %'!$A$1,MATCH(AC$4,'Allocation %'!$A:$A,0)-1,MATCH($D52,'Allocation %'!$5:$5,0)-1)*$F52</f>
        <v>52.911772871464372</v>
      </c>
      <c r="AD52" s="73">
        <f ca="1">OFFSET('Allocation %'!$A$1,MATCH(AD$4,'Allocation %'!$A:$A,0)-1,MATCH($D52,'Allocation %'!$5:$5,0)-1)*$F52</f>
        <v>117.01238908706496</v>
      </c>
      <c r="AE52" s="73">
        <f ca="1">OFFSET('Allocation %'!$A$1,MATCH(AE$4,'Allocation %'!$A:$A,0)-1,MATCH($D52,'Allocation %'!$5:$5,0)-1)*$F52</f>
        <v>111.89666782801802</v>
      </c>
      <c r="AF52" s="73">
        <f ca="1">OFFSET('Allocation %'!$A$1,MATCH(AF$4,'Allocation %'!$A:$A,0)-1,MATCH($D52,'Allocation %'!$5:$5,0)-1)*$F52</f>
        <v>0</v>
      </c>
      <c r="AG52" s="73">
        <f ca="1">OFFSET('Allocation %'!$A$1,MATCH(AG$4,'Allocation %'!$A:$A,0)-1,MATCH($D52,'Allocation %'!$5:$5,0)-1)*$F52</f>
        <v>825.51875787983113</v>
      </c>
      <c r="AH52" s="73">
        <f ca="1">OFFSET('Allocation %'!$A$1,MATCH(AH$4,'Allocation %'!$A:$A,0)-1,MATCH($D52,'Allocation %'!$5:$5,0)-1)*$F52</f>
        <v>7634.0484106619979</v>
      </c>
      <c r="AI52" s="73">
        <f ca="1">OFFSET('Allocation %'!$A$1,MATCH(AI$4,'Allocation %'!$A:$A,0)-1,MATCH($D52,'Allocation %'!$5:$5,0)-1)*$F52</f>
        <v>45.582164090302925</v>
      </c>
      <c r="AJ52" s="73">
        <f ca="1">OFFSET('Allocation %'!$A$1,MATCH(AJ$4,'Allocation %'!$A:$A,0)-1,MATCH($D52,'Allocation %'!$5:$5,0)-1)*$F52</f>
        <v>0</v>
      </c>
      <c r="AK52" s="73">
        <f ca="1">OFFSET('Allocation %'!$A$1,MATCH(AK$4,'Allocation %'!$A:$A,0)-1,MATCH($D52,'Allocation %'!$5:$5,0)-1)*$F52</f>
        <v>0</v>
      </c>
      <c r="AL52" s="73">
        <f ca="1">OFFSET('Allocation %'!$A$1,MATCH(AL$4,'Allocation %'!$A:$A,0)-1,MATCH($D52,'Allocation %'!$5:$5,0)-1)*$F52</f>
        <v>0</v>
      </c>
      <c r="AM52" s="73">
        <f ca="1">OFFSET('Allocation %'!$A$1,MATCH(AM$4,'Allocation %'!$A:$A,0)-1,MATCH($D52,'Allocation %'!$5:$5,0)-1)*$F52</f>
        <v>126.08138855753126</v>
      </c>
      <c r="AN52" s="73">
        <f ca="1">OFFSET('Allocation %'!$A$1,MATCH(AN$4,'Allocation %'!$A:$A,0)-1,MATCH($D52,'Allocation %'!$5:$5,0)-1)*$F52</f>
        <v>0</v>
      </c>
      <c r="AO52" s="73">
        <f ca="1">OFFSET('Allocation %'!$A$1,MATCH(AO$4,'Allocation %'!$A:$A,0)-1,MATCH($D52,'Allocation %'!$5:$5,0)-1)*$F52</f>
        <v>0</v>
      </c>
      <c r="AP52" s="73">
        <f ca="1">OFFSET('Allocation %'!$A$1,MATCH(AP$4,'Allocation %'!$A:$A,0)-1,MATCH($D52,'Allocation %'!$5:$5,0)-1)*$F52</f>
        <v>0</v>
      </c>
      <c r="AQ52" s="73">
        <f ca="1">OFFSET('Allocation %'!$A$1,MATCH(AQ$4,'Allocation %'!$A:$A,0)-1,MATCH($D52,'Allocation %'!$5:$5,0)-1)*$F52</f>
        <v>911.91824624370258</v>
      </c>
      <c r="AR52" s="73">
        <f ca="1">OFFSET('Allocation %'!$A$1,MATCH(AR$4,'Allocation %'!$A:$A,0)-1,MATCH($D52,'Allocation %'!$5:$5,0)-1)*$F52</f>
        <v>23.916458150722928</v>
      </c>
      <c r="AS52" s="73">
        <f ca="1">OFFSET('Allocation %'!$A$1,MATCH(AS$4,'Allocation %'!$A:$A,0)-1,MATCH($D52,'Allocation %'!$5:$5,0)-1)*$F52</f>
        <v>1671.9500216796434</v>
      </c>
      <c r="AT52" s="73">
        <f ca="1">OFFSET('Allocation %'!$A$1,MATCH(AT$4,'Allocation %'!$A:$A,0)-1,MATCH($D52,'Allocation %'!$5:$5,0)-1)*$F52</f>
        <v>982.05365961661471</v>
      </c>
      <c r="AU52" s="73">
        <f ca="1">OFFSET('Allocation %'!$A$1,MATCH(AU$4,'Allocation %'!$A:$A,0)-1,MATCH($D52,'Allocation %'!$5:$5,0)-1)*$F52</f>
        <v>1186.0498373520018</v>
      </c>
      <c r="AV52" s="73">
        <f ca="1">OFFSET('Allocation %'!$A$1,MATCH(AV$4,'Allocation %'!$A:$A,0)-1,MATCH($D52,'Allocation %'!$5:$5,0)-1)*$F52</f>
        <v>1830.3885458040083</v>
      </c>
      <c r="AW52" s="73">
        <f ca="1">OFFSET('Allocation %'!$A$1,MATCH(AW$4,'Allocation %'!$A:$A,0)-1,MATCH($D52,'Allocation %'!$5:$5,0)-1)*$F52</f>
        <v>0</v>
      </c>
      <c r="AX52" s="73">
        <f ca="1">OFFSET('Allocation %'!$A$1,MATCH(AX$4,'Allocation %'!$A:$A,0)-1,MATCH($D52,'Allocation %'!$5:$5,0)-1)*$F52</f>
        <v>126.68815026125951</v>
      </c>
      <c r="AY52" s="73">
        <f ca="1">OFFSET('Allocation %'!$A$1,MATCH(AY$4,'Allocation %'!$A:$A,0)-1,MATCH($D52,'Allocation %'!$5:$5,0)-1)*$F52</f>
        <v>0</v>
      </c>
      <c r="AZ52" s="73">
        <f ca="1">OFFSET('Allocation %'!$A$1,MATCH(AZ$4,'Allocation %'!$A:$A,0)-1,MATCH($D52,'Allocation %'!$5:$5,0)-1)*$F52</f>
        <v>170338.92285035489</v>
      </c>
      <c r="BA52" s="73">
        <f ca="1">OFFSET('Allocation %'!$A$1,MATCH(BA$4,'Allocation %'!$A:$A,0)-1,MATCH($D52,'Allocation %'!$5:$5,0)-1)*$F52</f>
        <v>33674.089939129255</v>
      </c>
      <c r="BB52" s="73">
        <f ca="1">OFFSET('Allocation %'!$A$1,MATCH(BB$4,'Allocation %'!$A:$A,0)-1,MATCH($D52,'Allocation %'!$5:$5,0)-1)*$F52</f>
        <v>0</v>
      </c>
      <c r="BC52" s="73">
        <f ca="1">OFFSET('Allocation %'!$A$1,MATCH(BC$4,'Allocation %'!$A:$A,0)-1,MATCH($D52,'Allocation %'!$5:$5,0)-1)*$F52</f>
        <v>0</v>
      </c>
      <c r="BD52" s="73">
        <f ca="1">OFFSET('Allocation %'!$A$1,MATCH(BD$4,'Allocation %'!$A:$A,0)-1,MATCH($D52,'Allocation %'!$5:$5,0)-1)*$F52</f>
        <v>0</v>
      </c>
      <c r="BE52" s="73">
        <f ca="1">OFFSET('Allocation %'!$A$1,MATCH(BE$4,'Allocation %'!$A:$A,0)-1,MATCH($D52,'Allocation %'!$5:$5,0)-1)*$F52</f>
        <v>0</v>
      </c>
      <c r="BG52" s="76">
        <f t="shared" ca="1" si="3"/>
        <v>226793.1</v>
      </c>
      <c r="BH52" s="349">
        <f t="shared" ca="1" si="4"/>
        <v>0</v>
      </c>
      <c r="BJ52" s="76">
        <f t="shared" ca="1" si="2"/>
        <v>22780.087210515852</v>
      </c>
    </row>
    <row r="53" spans="1:62" x14ac:dyDescent="0.25">
      <c r="A53" s="139" t="s">
        <v>419</v>
      </c>
      <c r="B53" s="259" t="s">
        <v>248</v>
      </c>
      <c r="C53" s="69" t="str">
        <f>INDEX(ACTUALS!$E:$E,MATCH($B53,ACTUALS!$A:$A,0))</f>
        <v>USD</v>
      </c>
      <c r="D53" s="352" t="str">
        <f ca="1">OFFSET(ACTUALS!$O$2,MATCH($B53,ACTUALS!$A:$A,0)-2,MATCH($E$4,ACTUALS!$P$2:$P$2,0))</f>
        <v>RU - L48</v>
      </c>
      <c r="E53" s="73">
        <f ca="1">IF($C53=E$3,SUMIFS(OFFSET(ACTUALS!$A:$A,,MATCH(E$4,ACTUALS!$2:$2,0)-1,,),ACTUALS!$A:$A,$B53)*-1000,F53*'2020 Assumptions'!$B$4)</f>
        <v>274321.08303600003</v>
      </c>
      <c r="F53" s="317">
        <f ca="1">IF($C53=F$3,SUMIFS(OFFSET(ACTUALS!$A:$A,,MATCH(F$4,ACTUALS!$2:$2,0)-1,,),ACTUALS!$A:$A,$B53)*-1000,E53/'2020 Assumptions'!$B$4)</f>
        <v>204077.58000000002</v>
      </c>
      <c r="G53" s="73">
        <f ca="1">IF($C53=G$3,SUMIFS(OFFSET('Non-margin Costs'!$A:$A,,MATCH(G$4,'Non-margin Costs'!$2:$2,0)-1,,),'Non-margin Costs'!$A:$A,$B53)*1000,(SUMIFS(OFFSET('Non-margin Costs'!$A:$A,,MATCH(G$4,'Non-margin Costs'!$2:$2,0)-1,,),'Non-margin Costs'!$A:$A,$B53)*1000)/'2020 Assumptions'!$B$4)</f>
        <v>1167.9299999999998</v>
      </c>
      <c r="I53" s="73">
        <f ca="1">OFFSET('Allocation %'!$A$1,MATCH(I$4,'Allocation %'!$A:$A,0)-1,MATCH($D53,'Allocation %'!$5:$5,0)-1)*$F53</f>
        <v>0</v>
      </c>
      <c r="J53" s="73">
        <f ca="1">OFFSET('Allocation %'!$A$1,MATCH(J$4,'Allocation %'!$A:$A,0)-1,MATCH($D53,'Allocation %'!$5:$5,0)-1)*$F53</f>
        <v>0</v>
      </c>
      <c r="K53" s="73">
        <f ca="1">OFFSET('Allocation %'!$A$1,MATCH(K$4,'Allocation %'!$A:$A,0)-1,MATCH($D53,'Allocation %'!$5:$5,0)-1)*$F53</f>
        <v>0</v>
      </c>
      <c r="L53" s="73">
        <f ca="1">OFFSET('Allocation %'!$A$1,MATCH(L$4,'Allocation %'!$A:$A,0)-1,MATCH($D53,'Allocation %'!$5:$5,0)-1)*$F53</f>
        <v>0</v>
      </c>
      <c r="M53" s="73">
        <f ca="1">OFFSET('Allocation %'!$A$1,MATCH(M$4,'Allocation %'!$A:$A,0)-1,MATCH($D53,'Allocation %'!$5:$5,0)-1)*$F53</f>
        <v>0</v>
      </c>
      <c r="N53" s="73">
        <f ca="1">OFFSET('Allocation %'!$A$1,MATCH(N$4,'Allocation %'!$A:$A,0)-1,MATCH($D53,'Allocation %'!$5:$5,0)-1)*$F53</f>
        <v>0</v>
      </c>
      <c r="O53" s="73">
        <f ca="1">OFFSET('Allocation %'!$A$1,MATCH(O$4,'Allocation %'!$A:$A,0)-1,MATCH($D53,'Allocation %'!$5:$5,0)-1)*$F53</f>
        <v>0</v>
      </c>
      <c r="P53" s="73">
        <f ca="1">OFFSET('Allocation %'!$A$1,MATCH(P$4,'Allocation %'!$A:$A,0)-1,MATCH($D53,'Allocation %'!$5:$5,0)-1)*$F53</f>
        <v>0</v>
      </c>
      <c r="Q53" s="73">
        <f ca="1">OFFSET('Allocation %'!$A$1,MATCH(Q$4,'Allocation %'!$A:$A,0)-1,MATCH($D53,'Allocation %'!$5:$5,0)-1)*$F53</f>
        <v>0</v>
      </c>
      <c r="R53" s="73">
        <f ca="1">OFFSET('Allocation %'!$A$1,MATCH(R$4,'Allocation %'!$A:$A,0)-1,MATCH($D53,'Allocation %'!$5:$5,0)-1)*$F53</f>
        <v>0</v>
      </c>
      <c r="S53" s="73">
        <f ca="1">OFFSET('Allocation %'!$A$1,MATCH(S$4,'Allocation %'!$A:$A,0)-1,MATCH($D53,'Allocation %'!$5:$5,0)-1)*$F53</f>
        <v>0</v>
      </c>
      <c r="T53" s="73">
        <f ca="1">OFFSET('Allocation %'!$A$1,MATCH(T$4,'Allocation %'!$A:$A,0)-1,MATCH($D53,'Allocation %'!$5:$5,0)-1)*$F53</f>
        <v>0</v>
      </c>
      <c r="U53" s="73">
        <f ca="1">OFFSET('Allocation %'!$A$1,MATCH(U$4,'Allocation %'!$A:$A,0)-1,MATCH($D53,'Allocation %'!$5:$5,0)-1)*$F53</f>
        <v>0</v>
      </c>
      <c r="V53" s="73">
        <f ca="1">OFFSET('Allocation %'!$A$1,MATCH(V$4,'Allocation %'!$A:$A,0)-1,MATCH($D53,'Allocation %'!$5:$5,0)-1)*$F53</f>
        <v>0</v>
      </c>
      <c r="W53" s="73">
        <f ca="1">OFFSET('Allocation %'!$A$1,MATCH(W$4,'Allocation %'!$A:$A,0)-1,MATCH($D53,'Allocation %'!$5:$5,0)-1)*$F53</f>
        <v>0</v>
      </c>
      <c r="X53" s="73">
        <f ca="1">OFFSET('Allocation %'!$A$1,MATCH(X$4,'Allocation %'!$A:$A,0)-1,MATCH($D53,'Allocation %'!$5:$5,0)-1)*$F53</f>
        <v>0</v>
      </c>
      <c r="Y53" s="73">
        <f ca="1">OFFSET('Allocation %'!$A$1,MATCH(Y$4,'Allocation %'!$A:$A,0)-1,MATCH($D53,'Allocation %'!$5:$5,0)-1)*$F53</f>
        <v>0</v>
      </c>
      <c r="Z53" s="73">
        <f ca="1">OFFSET('Allocation %'!$A$1,MATCH(Z$4,'Allocation %'!$A:$A,0)-1,MATCH($D53,'Allocation %'!$5:$5,0)-1)*$F53</f>
        <v>0</v>
      </c>
      <c r="AA53" s="73">
        <f ca="1">OFFSET('Allocation %'!$A$1,MATCH(AA$4,'Allocation %'!$A:$A,0)-1,MATCH($D53,'Allocation %'!$5:$5,0)-1)*$F53</f>
        <v>0</v>
      </c>
      <c r="AB53" s="73">
        <f ca="1">OFFSET('Allocation %'!$A$1,MATCH(AB$4,'Allocation %'!$A:$A,0)-1,MATCH($D53,'Allocation %'!$5:$5,0)-1)*$F53</f>
        <v>0</v>
      </c>
      <c r="AC53" s="73">
        <f ca="1">OFFSET('Allocation %'!$A$1,MATCH(AC$4,'Allocation %'!$A:$A,0)-1,MATCH($D53,'Allocation %'!$5:$5,0)-1)*$F53</f>
        <v>0</v>
      </c>
      <c r="AD53" s="73">
        <f ca="1">OFFSET('Allocation %'!$A$1,MATCH(AD$4,'Allocation %'!$A:$A,0)-1,MATCH($D53,'Allocation %'!$5:$5,0)-1)*$F53</f>
        <v>0</v>
      </c>
      <c r="AE53" s="73">
        <f ca="1">OFFSET('Allocation %'!$A$1,MATCH(AE$4,'Allocation %'!$A:$A,0)-1,MATCH($D53,'Allocation %'!$5:$5,0)-1)*$F53</f>
        <v>0</v>
      </c>
      <c r="AF53" s="73">
        <f ca="1">OFFSET('Allocation %'!$A$1,MATCH(AF$4,'Allocation %'!$A:$A,0)-1,MATCH($D53,'Allocation %'!$5:$5,0)-1)*$F53</f>
        <v>0</v>
      </c>
      <c r="AG53" s="73">
        <f ca="1">OFFSET('Allocation %'!$A$1,MATCH(AG$4,'Allocation %'!$A:$A,0)-1,MATCH($D53,'Allocation %'!$5:$5,0)-1)*$F53</f>
        <v>0</v>
      </c>
      <c r="AH53" s="73">
        <f ca="1">OFFSET('Allocation %'!$A$1,MATCH(AH$4,'Allocation %'!$A:$A,0)-1,MATCH($D53,'Allocation %'!$5:$5,0)-1)*$F53</f>
        <v>0</v>
      </c>
      <c r="AI53" s="73">
        <f ca="1">OFFSET('Allocation %'!$A$1,MATCH(AI$4,'Allocation %'!$A:$A,0)-1,MATCH($D53,'Allocation %'!$5:$5,0)-1)*$F53</f>
        <v>0</v>
      </c>
      <c r="AJ53" s="73">
        <f ca="1">OFFSET('Allocation %'!$A$1,MATCH(AJ$4,'Allocation %'!$A:$A,0)-1,MATCH($D53,'Allocation %'!$5:$5,0)-1)*$F53</f>
        <v>0</v>
      </c>
      <c r="AK53" s="73">
        <f ca="1">OFFSET('Allocation %'!$A$1,MATCH(AK$4,'Allocation %'!$A:$A,0)-1,MATCH($D53,'Allocation %'!$5:$5,0)-1)*$F53</f>
        <v>0</v>
      </c>
      <c r="AL53" s="73">
        <f ca="1">OFFSET('Allocation %'!$A$1,MATCH(AL$4,'Allocation %'!$A:$A,0)-1,MATCH($D53,'Allocation %'!$5:$5,0)-1)*$F53</f>
        <v>0</v>
      </c>
      <c r="AM53" s="73">
        <f ca="1">OFFSET('Allocation %'!$A$1,MATCH(AM$4,'Allocation %'!$A:$A,0)-1,MATCH($D53,'Allocation %'!$5:$5,0)-1)*$F53</f>
        <v>0</v>
      </c>
      <c r="AN53" s="73">
        <f ca="1">OFFSET('Allocation %'!$A$1,MATCH(AN$4,'Allocation %'!$A:$A,0)-1,MATCH($D53,'Allocation %'!$5:$5,0)-1)*$F53</f>
        <v>0</v>
      </c>
      <c r="AO53" s="73">
        <f ca="1">OFFSET('Allocation %'!$A$1,MATCH(AO$4,'Allocation %'!$A:$A,0)-1,MATCH($D53,'Allocation %'!$5:$5,0)-1)*$F53</f>
        <v>0</v>
      </c>
      <c r="AP53" s="73">
        <f ca="1">OFFSET('Allocation %'!$A$1,MATCH(AP$4,'Allocation %'!$A:$A,0)-1,MATCH($D53,'Allocation %'!$5:$5,0)-1)*$F53</f>
        <v>0</v>
      </c>
      <c r="AQ53" s="73">
        <f ca="1">OFFSET('Allocation %'!$A$1,MATCH(AQ$4,'Allocation %'!$A:$A,0)-1,MATCH($D53,'Allocation %'!$5:$5,0)-1)*$F53</f>
        <v>0</v>
      </c>
      <c r="AR53" s="73">
        <f ca="1">OFFSET('Allocation %'!$A$1,MATCH(AR$4,'Allocation %'!$A:$A,0)-1,MATCH($D53,'Allocation %'!$5:$5,0)-1)*$F53</f>
        <v>0</v>
      </c>
      <c r="AS53" s="73">
        <f ca="1">OFFSET('Allocation %'!$A$1,MATCH(AS$4,'Allocation %'!$A:$A,0)-1,MATCH($D53,'Allocation %'!$5:$5,0)-1)*$F53</f>
        <v>0</v>
      </c>
      <c r="AT53" s="73">
        <f ca="1">OFFSET('Allocation %'!$A$1,MATCH(AT$4,'Allocation %'!$A:$A,0)-1,MATCH($D53,'Allocation %'!$5:$5,0)-1)*$F53</f>
        <v>0</v>
      </c>
      <c r="AU53" s="73">
        <f ca="1">OFFSET('Allocation %'!$A$1,MATCH(AU$4,'Allocation %'!$A:$A,0)-1,MATCH($D53,'Allocation %'!$5:$5,0)-1)*$F53</f>
        <v>0</v>
      </c>
      <c r="AV53" s="73">
        <f ca="1">OFFSET('Allocation %'!$A$1,MATCH(AV$4,'Allocation %'!$A:$A,0)-1,MATCH($D53,'Allocation %'!$5:$5,0)-1)*$F53</f>
        <v>0</v>
      </c>
      <c r="AW53" s="73">
        <f ca="1">OFFSET('Allocation %'!$A$1,MATCH(AW$4,'Allocation %'!$A:$A,0)-1,MATCH($D53,'Allocation %'!$5:$5,0)-1)*$F53</f>
        <v>0</v>
      </c>
      <c r="AX53" s="73">
        <f ca="1">OFFSET('Allocation %'!$A$1,MATCH(AX$4,'Allocation %'!$A:$A,0)-1,MATCH($D53,'Allocation %'!$5:$5,0)-1)*$F53</f>
        <v>0</v>
      </c>
      <c r="AY53" s="73">
        <f ca="1">OFFSET('Allocation %'!$A$1,MATCH(AY$4,'Allocation %'!$A:$A,0)-1,MATCH($D53,'Allocation %'!$5:$5,0)-1)*$F53</f>
        <v>0</v>
      </c>
      <c r="AZ53" s="73">
        <f ca="1">OFFSET('Allocation %'!$A$1,MATCH(AZ$4,'Allocation %'!$A:$A,0)-1,MATCH($D53,'Allocation %'!$5:$5,0)-1)*$F53</f>
        <v>204077.58000000002</v>
      </c>
      <c r="BA53" s="73">
        <f ca="1">OFFSET('Allocation %'!$A$1,MATCH(BA$4,'Allocation %'!$A:$A,0)-1,MATCH($D53,'Allocation %'!$5:$5,0)-1)*$F53</f>
        <v>0</v>
      </c>
      <c r="BB53" s="73">
        <f ca="1">OFFSET('Allocation %'!$A$1,MATCH(BB$4,'Allocation %'!$A:$A,0)-1,MATCH($D53,'Allocation %'!$5:$5,0)-1)*$F53</f>
        <v>0</v>
      </c>
      <c r="BC53" s="73">
        <f ca="1">OFFSET('Allocation %'!$A$1,MATCH(BC$4,'Allocation %'!$A:$A,0)-1,MATCH($D53,'Allocation %'!$5:$5,0)-1)*$F53</f>
        <v>0</v>
      </c>
      <c r="BD53" s="73">
        <f ca="1">OFFSET('Allocation %'!$A$1,MATCH(BD$4,'Allocation %'!$A:$A,0)-1,MATCH($D53,'Allocation %'!$5:$5,0)-1)*$F53</f>
        <v>0</v>
      </c>
      <c r="BE53" s="73">
        <f ca="1">OFFSET('Allocation %'!$A$1,MATCH(BE$4,'Allocation %'!$A:$A,0)-1,MATCH($D53,'Allocation %'!$5:$5,0)-1)*$F53</f>
        <v>0</v>
      </c>
      <c r="BG53" s="76">
        <f t="shared" ca="1" si="3"/>
        <v>204077.58000000002</v>
      </c>
      <c r="BH53" s="349">
        <f t="shared" ca="1" si="4"/>
        <v>0</v>
      </c>
      <c r="BJ53" s="76">
        <f t="shared" ca="1" si="2"/>
        <v>0</v>
      </c>
    </row>
    <row r="54" spans="1:62" x14ac:dyDescent="0.25">
      <c r="A54" s="139" t="s">
        <v>419</v>
      </c>
      <c r="B54" s="259" t="s">
        <v>282</v>
      </c>
      <c r="C54" s="69" t="str">
        <f>INDEX(ACTUALS!$E:$E,MATCH($B54,ACTUALS!$A:$A,0))</f>
        <v>USD</v>
      </c>
      <c r="D54" s="352" t="str">
        <f ca="1">OFFSET(ACTUALS!$O$2,MATCH($B54,ACTUALS!$A:$A,0)-2,MATCH($E$4,ACTUALS!$P$2:$P$2,0))</f>
        <v>ALL</v>
      </c>
      <c r="E54" s="73">
        <f ca="1">IF($C54=E$3,SUMIFS(OFFSET(ACTUALS!$A:$A,,MATCH(E$4,ACTUALS!$2:$2,0)-1,,),ACTUALS!$A:$A,$B54)*-1000,F54*'2020 Assumptions'!$B$4)</f>
        <v>85056.163764000012</v>
      </c>
      <c r="F54" s="317">
        <f ca="1">IF($C54=F$3,SUMIFS(OFFSET(ACTUALS!$A:$A,,MATCH(F$4,ACTUALS!$2:$2,0)-1,,),ACTUALS!$A:$A,$B54)*-1000,E54/'2020 Assumptions'!$B$4)</f>
        <v>63276.420000000006</v>
      </c>
      <c r="G54" s="73">
        <f ca="1">IF($C54=G$3,SUMIFS(OFFSET('Non-margin Costs'!$A:$A,,MATCH(G$4,'Non-margin Costs'!$2:$2,0)-1,,),'Non-margin Costs'!$A:$A,$B54)*1000,(SUMIFS(OFFSET('Non-margin Costs'!$A:$A,,MATCH(G$4,'Non-margin Costs'!$2:$2,0)-1,,),'Non-margin Costs'!$A:$A,$B54)*1000)/'2020 Assumptions'!$B$4)</f>
        <v>0</v>
      </c>
      <c r="I54" s="73">
        <f ca="1">OFFSET('Allocation %'!$A$1,MATCH(I$4,'Allocation %'!$A:$A,0)-1,MATCH($D54,'Allocation %'!$5:$5,0)-1)*$F54</f>
        <v>0</v>
      </c>
      <c r="J54" s="73">
        <f ca="1">OFFSET('Allocation %'!$A$1,MATCH(J$4,'Allocation %'!$A:$A,0)-1,MATCH($D54,'Allocation %'!$5:$5,0)-1)*$F54</f>
        <v>153.19969727519683</v>
      </c>
      <c r="K54" s="73">
        <f ca="1">OFFSET('Allocation %'!$A$1,MATCH(K$4,'Allocation %'!$A:$A,0)-1,MATCH($D54,'Allocation %'!$5:$5,0)-1)*$F54</f>
        <v>48.23043697856523</v>
      </c>
      <c r="L54" s="73">
        <f ca="1">OFFSET('Allocation %'!$A$1,MATCH(L$4,'Allocation %'!$A:$A,0)-1,MATCH($D54,'Allocation %'!$5:$5,0)-1)*$F54</f>
        <v>52.131784553778566</v>
      </c>
      <c r="M54" s="73">
        <f ca="1">OFFSET('Allocation %'!$A$1,MATCH(M$4,'Allocation %'!$A:$A,0)-1,MATCH($D54,'Allocation %'!$5:$5,0)-1)*$F54</f>
        <v>84.868110177797902</v>
      </c>
      <c r="N54" s="73">
        <f ca="1">OFFSET('Allocation %'!$A$1,MATCH(N$4,'Allocation %'!$A:$A,0)-1,MATCH($D54,'Allocation %'!$5:$5,0)-1)*$F54</f>
        <v>74.266322976003295</v>
      </c>
      <c r="O54" s="73">
        <f ca="1">OFFSET('Allocation %'!$A$1,MATCH(O$4,'Allocation %'!$A:$A,0)-1,MATCH($D54,'Allocation %'!$5:$5,0)-1)*$F54</f>
        <v>173.63604864557564</v>
      </c>
      <c r="P54" s="73">
        <f ca="1">OFFSET('Allocation %'!$A$1,MATCH(P$4,'Allocation %'!$A:$A,0)-1,MATCH($D54,'Allocation %'!$5:$5,0)-1)*$F54</f>
        <v>25.212531045442564</v>
      </c>
      <c r="Q54" s="73">
        <f ca="1">OFFSET('Allocation %'!$A$1,MATCH(Q$4,'Allocation %'!$A:$A,0)-1,MATCH($D54,'Allocation %'!$5:$5,0)-1)*$F54</f>
        <v>55.0205907659413</v>
      </c>
      <c r="R54" s="73">
        <f ca="1">OFFSET('Allocation %'!$A$1,MATCH(R$4,'Allocation %'!$A:$A,0)-1,MATCH($D54,'Allocation %'!$5:$5,0)-1)*$F54</f>
        <v>50.778983271813381</v>
      </c>
      <c r="S54" s="73">
        <f ca="1">OFFSET('Allocation %'!$A$1,MATCH(S$4,'Allocation %'!$A:$A,0)-1,MATCH($D54,'Allocation %'!$5:$5,0)-1)*$F54</f>
        <v>48.840768194485491</v>
      </c>
      <c r="T54" s="73">
        <f ca="1">OFFSET('Allocation %'!$A$1,MATCH(T$4,'Allocation %'!$A:$A,0)-1,MATCH($D54,'Allocation %'!$5:$5,0)-1)*$F54</f>
        <v>175.29427332845702</v>
      </c>
      <c r="U54" s="73">
        <f ca="1">OFFSET('Allocation %'!$A$1,MATCH(U$4,'Allocation %'!$A:$A,0)-1,MATCH($D54,'Allocation %'!$5:$5,0)-1)*$F54</f>
        <v>112.12715130475762</v>
      </c>
      <c r="V54" s="73">
        <f ca="1">OFFSET('Allocation %'!$A$1,MATCH(V$4,'Allocation %'!$A:$A,0)-1,MATCH($D54,'Allocation %'!$5:$5,0)-1)*$F54</f>
        <v>118.99802839022952</v>
      </c>
      <c r="W54" s="73">
        <f ca="1">OFFSET('Allocation %'!$A$1,MATCH(W$4,'Allocation %'!$A:$A,0)-1,MATCH($D54,'Allocation %'!$5:$5,0)-1)*$F54</f>
        <v>192.7104600711539</v>
      </c>
      <c r="X54" s="73">
        <f ca="1">OFFSET('Allocation %'!$A$1,MATCH(X$4,'Allocation %'!$A:$A,0)-1,MATCH($D54,'Allocation %'!$5:$5,0)-1)*$F54</f>
        <v>4.4633105315671733</v>
      </c>
      <c r="Y54" s="73">
        <f ca="1">OFFSET('Allocation %'!$A$1,MATCH(Y$4,'Allocation %'!$A:$A,0)-1,MATCH($D54,'Allocation %'!$5:$5,0)-1)*$F54</f>
        <v>3.5218222554394658</v>
      </c>
      <c r="Z54" s="73">
        <f ca="1">OFFSET('Allocation %'!$A$1,MATCH(Z$4,'Allocation %'!$A:$A,0)-1,MATCH($D54,'Allocation %'!$5:$5,0)-1)*$F54</f>
        <v>10.270200386627458</v>
      </c>
      <c r="AA54" s="73">
        <f ca="1">OFFSET('Allocation %'!$A$1,MATCH(AA$4,'Allocation %'!$A:$A,0)-1,MATCH($D54,'Allocation %'!$5:$5,0)-1)*$F54</f>
        <v>9.3707582244969156</v>
      </c>
      <c r="AB54" s="73">
        <f ca="1">OFFSET('Allocation %'!$A$1,MATCH(AB$4,'Allocation %'!$A:$A,0)-1,MATCH($D54,'Allocation %'!$5:$5,0)-1)*$F54</f>
        <v>9.0674133690360996</v>
      </c>
      <c r="AC54" s="73">
        <f ca="1">OFFSET('Allocation %'!$A$1,MATCH(AC$4,'Allocation %'!$A:$A,0)-1,MATCH($D54,'Allocation %'!$5:$5,0)-1)*$F54</f>
        <v>10.257841118161625</v>
      </c>
      <c r="AD54" s="73">
        <f ca="1">OFFSET('Allocation %'!$A$1,MATCH(AD$4,'Allocation %'!$A:$A,0)-1,MATCH($D54,'Allocation %'!$5:$5,0)-1)*$F54</f>
        <v>22.668130923213294</v>
      </c>
      <c r="AE54" s="73">
        <f ca="1">OFFSET('Allocation %'!$A$1,MATCH(AE$4,'Allocation %'!$A:$A,0)-1,MATCH($D54,'Allocation %'!$5:$5,0)-1)*$F54</f>
        <v>21.699319168144285</v>
      </c>
      <c r="AF54" s="73">
        <f ca="1">OFFSET('Allocation %'!$A$1,MATCH(AF$4,'Allocation %'!$A:$A,0)-1,MATCH($D54,'Allocation %'!$5:$5,0)-1)*$F54</f>
        <v>106.97774789374883</v>
      </c>
      <c r="AG54" s="73">
        <f ca="1">OFFSET('Allocation %'!$A$1,MATCH(AG$4,'Allocation %'!$A:$A,0)-1,MATCH($D54,'Allocation %'!$5:$5,0)-1)*$F54</f>
        <v>168.35982003558499</v>
      </c>
      <c r="AH54" s="73">
        <f ca="1">OFFSET('Allocation %'!$A$1,MATCH(AH$4,'Allocation %'!$A:$A,0)-1,MATCH($D54,'Allocation %'!$5:$5,0)-1)*$F54</f>
        <v>1489.1850732143112</v>
      </c>
      <c r="AI54" s="73">
        <f ca="1">OFFSET('Allocation %'!$A$1,MATCH(AI$4,'Allocation %'!$A:$A,0)-1,MATCH($D54,'Allocation %'!$5:$5,0)-1)*$F54</f>
        <v>8.8447068310316297</v>
      </c>
      <c r="AJ54" s="73">
        <f ca="1">OFFSET('Allocation %'!$A$1,MATCH(AJ$4,'Allocation %'!$A:$A,0)-1,MATCH($D54,'Allocation %'!$5:$5,0)-1)*$F54</f>
        <v>207.14546639291333</v>
      </c>
      <c r="AK54" s="73">
        <f ca="1">OFFSET('Allocation %'!$A$1,MATCH(AK$4,'Allocation %'!$A:$A,0)-1,MATCH($D54,'Allocation %'!$5:$5,0)-1)*$F54</f>
        <v>186.4252734664091</v>
      </c>
      <c r="AL54" s="73">
        <f ca="1">OFFSET('Allocation %'!$A$1,MATCH(AL$4,'Allocation %'!$A:$A,0)-1,MATCH($D54,'Allocation %'!$5:$5,0)-1)*$F54</f>
        <v>0</v>
      </c>
      <c r="AM54" s="73">
        <f ca="1">OFFSET('Allocation %'!$A$1,MATCH(AM$4,'Allocation %'!$A:$A,0)-1,MATCH($D54,'Allocation %'!$5:$5,0)-1)*$F54</f>
        <v>24.442029438052767</v>
      </c>
      <c r="AN54" s="73">
        <f ca="1">OFFSET('Allocation %'!$A$1,MATCH(AN$4,'Allocation %'!$A:$A,0)-1,MATCH($D54,'Allocation %'!$5:$5,0)-1)*$F54</f>
        <v>0</v>
      </c>
      <c r="AO54" s="73">
        <f ca="1">OFFSET('Allocation %'!$A$1,MATCH(AO$4,'Allocation %'!$A:$A,0)-1,MATCH($D54,'Allocation %'!$5:$5,0)-1)*$F54</f>
        <v>200.98589308298907</v>
      </c>
      <c r="AP54" s="73">
        <f ca="1">OFFSET('Allocation %'!$A$1,MATCH(AP$4,'Allocation %'!$A:$A,0)-1,MATCH($D54,'Allocation %'!$5:$5,0)-1)*$F54</f>
        <v>41.766850534152091</v>
      </c>
      <c r="AQ54" s="73">
        <f ca="1">OFFSET('Allocation %'!$A$1,MATCH(AQ$4,'Allocation %'!$A:$A,0)-1,MATCH($D54,'Allocation %'!$5:$5,0)-1)*$F54</f>
        <v>184.70959573573771</v>
      </c>
      <c r="AR54" s="73">
        <f ca="1">OFFSET('Allocation %'!$A$1,MATCH(AR$4,'Allocation %'!$A:$A,0)-1,MATCH($D54,'Allocation %'!$5:$5,0)-1)*$F54</f>
        <v>4.6349803213493868</v>
      </c>
      <c r="AS54" s="73">
        <f ca="1">OFFSET('Allocation %'!$A$1,MATCH(AS$4,'Allocation %'!$A:$A,0)-1,MATCH($D54,'Allocation %'!$5:$5,0)-1)*$F54</f>
        <v>339.50763305187269</v>
      </c>
      <c r="AT54" s="73">
        <f ca="1">OFFSET('Allocation %'!$A$1,MATCH(AT$4,'Allocation %'!$A:$A,0)-1,MATCH($D54,'Allocation %'!$5:$5,0)-1)*$F54</f>
        <v>199.90338582874537</v>
      </c>
      <c r="AU54" s="73">
        <f ca="1">OFFSET('Allocation %'!$A$1,MATCH(AU$4,'Allocation %'!$A:$A,0)-1,MATCH($D54,'Allocation %'!$5:$5,0)-1)*$F54</f>
        <v>238.94689963510183</v>
      </c>
      <c r="AV54" s="73">
        <f ca="1">OFFSET('Allocation %'!$A$1,MATCH(AV$4,'Allocation %'!$A:$A,0)-1,MATCH($D54,'Allocation %'!$5:$5,0)-1)*$F54</f>
        <v>368.112691939434</v>
      </c>
      <c r="AW54" s="73">
        <f ca="1">OFFSET('Allocation %'!$A$1,MATCH(AW$4,'Allocation %'!$A:$A,0)-1,MATCH($D54,'Allocation %'!$5:$5,0)-1)*$F54</f>
        <v>1406.9368858811497</v>
      </c>
      <c r="AX54" s="73">
        <f ca="1">OFFSET('Allocation %'!$A$1,MATCH(AX$4,'Allocation %'!$A:$A,0)-1,MATCH($D54,'Allocation %'!$5:$5,0)-1)*$F54</f>
        <v>24.542559971193747</v>
      </c>
      <c r="AY54" s="73">
        <f ca="1">OFFSET('Allocation %'!$A$1,MATCH(AY$4,'Allocation %'!$A:$A,0)-1,MATCH($D54,'Allocation %'!$5:$5,0)-1)*$F54</f>
        <v>0</v>
      </c>
      <c r="AZ54" s="73">
        <f ca="1">OFFSET('Allocation %'!$A$1,MATCH(AZ$4,'Allocation %'!$A:$A,0)-1,MATCH($D54,'Allocation %'!$5:$5,0)-1)*$F54</f>
        <v>33492.050416317492</v>
      </c>
      <c r="BA54" s="73">
        <f ca="1">OFFSET('Allocation %'!$A$1,MATCH(BA$4,'Allocation %'!$A:$A,0)-1,MATCH($D54,'Allocation %'!$5:$5,0)-1)*$F54</f>
        <v>6629.477158119339</v>
      </c>
      <c r="BB54" s="73">
        <f ca="1">OFFSET('Allocation %'!$A$1,MATCH(BB$4,'Allocation %'!$A:$A,0)-1,MATCH($D54,'Allocation %'!$5:$5,0)-1)*$F54</f>
        <v>4321.9823136788591</v>
      </c>
      <c r="BC54" s="73">
        <f ca="1">OFFSET('Allocation %'!$A$1,MATCH(BC$4,'Allocation %'!$A:$A,0)-1,MATCH($D54,'Allocation %'!$5:$5,0)-1)*$F54</f>
        <v>134.01545384722954</v>
      </c>
      <c r="BD54" s="73">
        <f ca="1">OFFSET('Allocation %'!$A$1,MATCH(BD$4,'Allocation %'!$A:$A,0)-1,MATCH($D54,'Allocation %'!$5:$5,0)-1)*$F54</f>
        <v>2579.2930931068017</v>
      </c>
      <c r="BE54" s="73">
        <f ca="1">OFFSET('Allocation %'!$A$1,MATCH(BE$4,'Allocation %'!$A:$A,0)-1,MATCH($D54,'Allocation %'!$5:$5,0)-1)*$F54</f>
        <v>9461.5400887206233</v>
      </c>
      <c r="BG54" s="76">
        <f t="shared" ca="1" si="3"/>
        <v>63276.420000000013</v>
      </c>
      <c r="BH54" s="349">
        <f t="shared" ca="1" si="4"/>
        <v>0</v>
      </c>
      <c r="BJ54" s="76">
        <f t="shared" ca="1" si="2"/>
        <v>23154.892425563175</v>
      </c>
    </row>
    <row r="55" spans="1:62" s="166" customFormat="1" x14ac:dyDescent="0.25">
      <c r="A55" s="139" t="s">
        <v>419</v>
      </c>
      <c r="B55" s="259" t="s">
        <v>249</v>
      </c>
      <c r="C55" s="69" t="str">
        <f>INDEX(ACTUALS!$E:$E,MATCH($B55,ACTUALS!$A:$A,0))</f>
        <v>USD</v>
      </c>
      <c r="D55" s="352" t="str">
        <f ca="1">OFFSET(ACTUALS!$O$2,MATCH($B55,ACTUALS!$A:$A,0)-2,MATCH($E$4,ACTUALS!$P$2:$P$2,0))</f>
        <v>RU - L48</v>
      </c>
      <c r="E55" s="73">
        <f ca="1">IF($C55=E$3,SUMIFS(OFFSET(ACTUALS!$A:$A,,MATCH(E$4,ACTUALS!$2:$2,0)-1,,),ACTUALS!$A:$A,$B55)*-1000,F55*'2020 Assumptions'!$B$4)</f>
        <v>139683.16133199999</v>
      </c>
      <c r="F55" s="317">
        <f ca="1">IF($C55=F$3,SUMIFS(OFFSET(ACTUALS!$A:$A,,MATCH(F$4,ACTUALS!$2:$2,0)-1,,),ACTUALS!$A:$A,$B55)*-1000,E55/'2020 Assumptions'!$B$4)</f>
        <v>103915.45999999999</v>
      </c>
      <c r="G55" s="73">
        <f ca="1">IF($C55=G$3,SUMIFS(OFFSET('Non-margin Costs'!$A:$A,,MATCH(G$4,'Non-margin Costs'!$2:$2,0)-1,,),'Non-margin Costs'!$A:$A,$B55)*1000,(SUMIFS(OFFSET('Non-margin Costs'!$A:$A,,MATCH(G$4,'Non-margin Costs'!$2:$2,0)-1,,),'Non-margin Costs'!$A:$A,$B55)*1000)/'2020 Assumptions'!$B$4)</f>
        <v>756</v>
      </c>
      <c r="I55" s="73">
        <f ca="1">OFFSET('Allocation %'!$A$1,MATCH(I$4,'Allocation %'!$A:$A,0)-1,MATCH($D55,'Allocation %'!$5:$5,0)-1)*$F55</f>
        <v>0</v>
      </c>
      <c r="J55" s="73">
        <f ca="1">OFFSET('Allocation %'!$A$1,MATCH(J$4,'Allocation %'!$A:$A,0)-1,MATCH($D55,'Allocation %'!$5:$5,0)-1)*$F55</f>
        <v>0</v>
      </c>
      <c r="K55" s="73">
        <f ca="1">OFFSET('Allocation %'!$A$1,MATCH(K$4,'Allocation %'!$A:$A,0)-1,MATCH($D55,'Allocation %'!$5:$5,0)-1)*$F55</f>
        <v>0</v>
      </c>
      <c r="L55" s="73">
        <f ca="1">OFFSET('Allocation %'!$A$1,MATCH(L$4,'Allocation %'!$A:$A,0)-1,MATCH($D55,'Allocation %'!$5:$5,0)-1)*$F55</f>
        <v>0</v>
      </c>
      <c r="M55" s="73">
        <f ca="1">OFFSET('Allocation %'!$A$1,MATCH(M$4,'Allocation %'!$A:$A,0)-1,MATCH($D55,'Allocation %'!$5:$5,0)-1)*$F55</f>
        <v>0</v>
      </c>
      <c r="N55" s="73">
        <f ca="1">OFFSET('Allocation %'!$A$1,MATCH(N$4,'Allocation %'!$A:$A,0)-1,MATCH($D55,'Allocation %'!$5:$5,0)-1)*$F55</f>
        <v>0</v>
      </c>
      <c r="O55" s="73">
        <f ca="1">OFFSET('Allocation %'!$A$1,MATCH(O$4,'Allocation %'!$A:$A,0)-1,MATCH($D55,'Allocation %'!$5:$5,0)-1)*$F55</f>
        <v>0</v>
      </c>
      <c r="P55" s="73">
        <f ca="1">OFFSET('Allocation %'!$A$1,MATCH(P$4,'Allocation %'!$A:$A,0)-1,MATCH($D55,'Allocation %'!$5:$5,0)-1)*$F55</f>
        <v>0</v>
      </c>
      <c r="Q55" s="73">
        <f ca="1">OFFSET('Allocation %'!$A$1,MATCH(Q$4,'Allocation %'!$A:$A,0)-1,MATCH($D55,'Allocation %'!$5:$5,0)-1)*$F55</f>
        <v>0</v>
      </c>
      <c r="R55" s="73">
        <f ca="1">OFFSET('Allocation %'!$A$1,MATCH(R$4,'Allocation %'!$A:$A,0)-1,MATCH($D55,'Allocation %'!$5:$5,0)-1)*$F55</f>
        <v>0</v>
      </c>
      <c r="S55" s="73">
        <f ca="1">OFFSET('Allocation %'!$A$1,MATCH(S$4,'Allocation %'!$A:$A,0)-1,MATCH($D55,'Allocation %'!$5:$5,0)-1)*$F55</f>
        <v>0</v>
      </c>
      <c r="T55" s="73">
        <f ca="1">OFFSET('Allocation %'!$A$1,MATCH(T$4,'Allocation %'!$A:$A,0)-1,MATCH($D55,'Allocation %'!$5:$5,0)-1)*$F55</f>
        <v>0</v>
      </c>
      <c r="U55" s="73">
        <f ca="1">OFFSET('Allocation %'!$A$1,MATCH(U$4,'Allocation %'!$A:$A,0)-1,MATCH($D55,'Allocation %'!$5:$5,0)-1)*$F55</f>
        <v>0</v>
      </c>
      <c r="V55" s="73">
        <f ca="1">OFFSET('Allocation %'!$A$1,MATCH(V$4,'Allocation %'!$A:$A,0)-1,MATCH($D55,'Allocation %'!$5:$5,0)-1)*$F55</f>
        <v>0</v>
      </c>
      <c r="W55" s="73">
        <f ca="1">OFFSET('Allocation %'!$A$1,MATCH(W$4,'Allocation %'!$A:$A,0)-1,MATCH($D55,'Allocation %'!$5:$5,0)-1)*$F55</f>
        <v>0</v>
      </c>
      <c r="X55" s="73">
        <f ca="1">OFFSET('Allocation %'!$A$1,MATCH(X$4,'Allocation %'!$A:$A,0)-1,MATCH($D55,'Allocation %'!$5:$5,0)-1)*$F55</f>
        <v>0</v>
      </c>
      <c r="Y55" s="73">
        <f ca="1">OFFSET('Allocation %'!$A$1,MATCH(Y$4,'Allocation %'!$A:$A,0)-1,MATCH($D55,'Allocation %'!$5:$5,0)-1)*$F55</f>
        <v>0</v>
      </c>
      <c r="Z55" s="73">
        <f ca="1">OFFSET('Allocation %'!$A$1,MATCH(Z$4,'Allocation %'!$A:$A,0)-1,MATCH($D55,'Allocation %'!$5:$5,0)-1)*$F55</f>
        <v>0</v>
      </c>
      <c r="AA55" s="73">
        <f ca="1">OFFSET('Allocation %'!$A$1,MATCH(AA$4,'Allocation %'!$A:$A,0)-1,MATCH($D55,'Allocation %'!$5:$5,0)-1)*$F55</f>
        <v>0</v>
      </c>
      <c r="AB55" s="73">
        <f ca="1">OFFSET('Allocation %'!$A$1,MATCH(AB$4,'Allocation %'!$A:$A,0)-1,MATCH($D55,'Allocation %'!$5:$5,0)-1)*$F55</f>
        <v>0</v>
      </c>
      <c r="AC55" s="73">
        <f ca="1">OFFSET('Allocation %'!$A$1,MATCH(AC$4,'Allocation %'!$A:$A,0)-1,MATCH($D55,'Allocation %'!$5:$5,0)-1)*$F55</f>
        <v>0</v>
      </c>
      <c r="AD55" s="73">
        <f ca="1">OFFSET('Allocation %'!$A$1,MATCH(AD$4,'Allocation %'!$A:$A,0)-1,MATCH($D55,'Allocation %'!$5:$5,0)-1)*$F55</f>
        <v>0</v>
      </c>
      <c r="AE55" s="73">
        <f ca="1">OFFSET('Allocation %'!$A$1,MATCH(AE$4,'Allocation %'!$A:$A,0)-1,MATCH($D55,'Allocation %'!$5:$5,0)-1)*$F55</f>
        <v>0</v>
      </c>
      <c r="AF55" s="73">
        <f ca="1">OFFSET('Allocation %'!$A$1,MATCH(AF$4,'Allocation %'!$A:$A,0)-1,MATCH($D55,'Allocation %'!$5:$5,0)-1)*$F55</f>
        <v>0</v>
      </c>
      <c r="AG55" s="73">
        <f ca="1">OFFSET('Allocation %'!$A$1,MATCH(AG$4,'Allocation %'!$A:$A,0)-1,MATCH($D55,'Allocation %'!$5:$5,0)-1)*$F55</f>
        <v>0</v>
      </c>
      <c r="AH55" s="73">
        <f ca="1">OFFSET('Allocation %'!$A$1,MATCH(AH$4,'Allocation %'!$A:$A,0)-1,MATCH($D55,'Allocation %'!$5:$5,0)-1)*$F55</f>
        <v>0</v>
      </c>
      <c r="AI55" s="73">
        <f ca="1">OFFSET('Allocation %'!$A$1,MATCH(AI$4,'Allocation %'!$A:$A,0)-1,MATCH($D55,'Allocation %'!$5:$5,0)-1)*$F55</f>
        <v>0</v>
      </c>
      <c r="AJ55" s="73">
        <f ca="1">OFFSET('Allocation %'!$A$1,MATCH(AJ$4,'Allocation %'!$A:$A,0)-1,MATCH($D55,'Allocation %'!$5:$5,0)-1)*$F55</f>
        <v>0</v>
      </c>
      <c r="AK55" s="73">
        <f ca="1">OFFSET('Allocation %'!$A$1,MATCH(AK$4,'Allocation %'!$A:$A,0)-1,MATCH($D55,'Allocation %'!$5:$5,0)-1)*$F55</f>
        <v>0</v>
      </c>
      <c r="AL55" s="73">
        <f ca="1">OFFSET('Allocation %'!$A$1,MATCH(AL$4,'Allocation %'!$A:$A,0)-1,MATCH($D55,'Allocation %'!$5:$5,0)-1)*$F55</f>
        <v>0</v>
      </c>
      <c r="AM55" s="73">
        <f ca="1">OFFSET('Allocation %'!$A$1,MATCH(AM$4,'Allocation %'!$A:$A,0)-1,MATCH($D55,'Allocation %'!$5:$5,0)-1)*$F55</f>
        <v>0</v>
      </c>
      <c r="AN55" s="73">
        <f ca="1">OFFSET('Allocation %'!$A$1,MATCH(AN$4,'Allocation %'!$A:$A,0)-1,MATCH($D55,'Allocation %'!$5:$5,0)-1)*$F55</f>
        <v>0</v>
      </c>
      <c r="AO55" s="73">
        <f ca="1">OFFSET('Allocation %'!$A$1,MATCH(AO$4,'Allocation %'!$A:$A,0)-1,MATCH($D55,'Allocation %'!$5:$5,0)-1)*$F55</f>
        <v>0</v>
      </c>
      <c r="AP55" s="73">
        <f ca="1">OFFSET('Allocation %'!$A$1,MATCH(AP$4,'Allocation %'!$A:$A,0)-1,MATCH($D55,'Allocation %'!$5:$5,0)-1)*$F55</f>
        <v>0</v>
      </c>
      <c r="AQ55" s="73">
        <f ca="1">OFFSET('Allocation %'!$A$1,MATCH(AQ$4,'Allocation %'!$A:$A,0)-1,MATCH($D55,'Allocation %'!$5:$5,0)-1)*$F55</f>
        <v>0</v>
      </c>
      <c r="AR55" s="73">
        <f ca="1">OFFSET('Allocation %'!$A$1,MATCH(AR$4,'Allocation %'!$A:$A,0)-1,MATCH($D55,'Allocation %'!$5:$5,0)-1)*$F55</f>
        <v>0</v>
      </c>
      <c r="AS55" s="73">
        <f ca="1">OFFSET('Allocation %'!$A$1,MATCH(AS$4,'Allocation %'!$A:$A,0)-1,MATCH($D55,'Allocation %'!$5:$5,0)-1)*$F55</f>
        <v>0</v>
      </c>
      <c r="AT55" s="73">
        <f ca="1">OFFSET('Allocation %'!$A$1,MATCH(AT$4,'Allocation %'!$A:$A,0)-1,MATCH($D55,'Allocation %'!$5:$5,0)-1)*$F55</f>
        <v>0</v>
      </c>
      <c r="AU55" s="73">
        <f ca="1">OFFSET('Allocation %'!$A$1,MATCH(AU$4,'Allocation %'!$A:$A,0)-1,MATCH($D55,'Allocation %'!$5:$5,0)-1)*$F55</f>
        <v>0</v>
      </c>
      <c r="AV55" s="73">
        <f ca="1">OFFSET('Allocation %'!$A$1,MATCH(AV$4,'Allocation %'!$A:$A,0)-1,MATCH($D55,'Allocation %'!$5:$5,0)-1)*$F55</f>
        <v>0</v>
      </c>
      <c r="AW55" s="73">
        <f ca="1">OFFSET('Allocation %'!$A$1,MATCH(AW$4,'Allocation %'!$A:$A,0)-1,MATCH($D55,'Allocation %'!$5:$5,0)-1)*$F55</f>
        <v>0</v>
      </c>
      <c r="AX55" s="73">
        <f ca="1">OFFSET('Allocation %'!$A$1,MATCH(AX$4,'Allocation %'!$A:$A,0)-1,MATCH($D55,'Allocation %'!$5:$5,0)-1)*$F55</f>
        <v>0</v>
      </c>
      <c r="AY55" s="73">
        <f ca="1">OFFSET('Allocation %'!$A$1,MATCH(AY$4,'Allocation %'!$A:$A,0)-1,MATCH($D55,'Allocation %'!$5:$5,0)-1)*$F55</f>
        <v>0</v>
      </c>
      <c r="AZ55" s="73">
        <f ca="1">OFFSET('Allocation %'!$A$1,MATCH(AZ$4,'Allocation %'!$A:$A,0)-1,MATCH($D55,'Allocation %'!$5:$5,0)-1)*$F55</f>
        <v>103915.45999999999</v>
      </c>
      <c r="BA55" s="73">
        <f ca="1">OFFSET('Allocation %'!$A$1,MATCH(BA$4,'Allocation %'!$A:$A,0)-1,MATCH($D55,'Allocation %'!$5:$5,0)-1)*$F55</f>
        <v>0</v>
      </c>
      <c r="BB55" s="73">
        <f ca="1">OFFSET('Allocation %'!$A$1,MATCH(BB$4,'Allocation %'!$A:$A,0)-1,MATCH($D55,'Allocation %'!$5:$5,0)-1)*$F55</f>
        <v>0</v>
      </c>
      <c r="BC55" s="73">
        <f ca="1">OFFSET('Allocation %'!$A$1,MATCH(BC$4,'Allocation %'!$A:$A,0)-1,MATCH($D55,'Allocation %'!$5:$5,0)-1)*$F55</f>
        <v>0</v>
      </c>
      <c r="BD55" s="73">
        <f ca="1">OFFSET('Allocation %'!$A$1,MATCH(BD$4,'Allocation %'!$A:$A,0)-1,MATCH($D55,'Allocation %'!$5:$5,0)-1)*$F55</f>
        <v>0</v>
      </c>
      <c r="BE55" s="73">
        <f ca="1">OFFSET('Allocation %'!$A$1,MATCH(BE$4,'Allocation %'!$A:$A,0)-1,MATCH($D55,'Allocation %'!$5:$5,0)-1)*$F55</f>
        <v>0</v>
      </c>
      <c r="BG55" s="76">
        <f t="shared" ca="1" si="3"/>
        <v>103915.45999999999</v>
      </c>
      <c r="BH55" s="349">
        <f t="shared" ca="1" si="4"/>
        <v>0</v>
      </c>
      <c r="BJ55" s="76">
        <f t="shared" ca="1" si="2"/>
        <v>0</v>
      </c>
    </row>
    <row r="56" spans="1:62" s="166" customFormat="1" x14ac:dyDescent="0.25">
      <c r="A56" s="139" t="s">
        <v>419</v>
      </c>
      <c r="B56" s="259" t="s">
        <v>250</v>
      </c>
      <c r="C56" s="69" t="str">
        <f>INDEX(ACTUALS!$E:$E,MATCH($B56,ACTUALS!$A:$A,0))</f>
        <v>USD</v>
      </c>
      <c r="D56" s="352" t="str">
        <f ca="1">OFFSET(ACTUALS!$O$2,MATCH($B56,ACTUALS!$A:$A,0)-2,MATCH($E$4,ACTUALS!$P$2:$P$2,0))</f>
        <v>RU - L48</v>
      </c>
      <c r="E56" s="73">
        <f ca="1">IF($C56=E$3,SUMIFS(OFFSET(ACTUALS!$A:$A,,MATCH(E$4,ACTUALS!$2:$2,0)-1,,),ACTUALS!$A:$A,$B56)*-1000,F56*'2020 Assumptions'!$B$4)</f>
        <v>559023.36890400003</v>
      </c>
      <c r="F56" s="317">
        <f ca="1">IF($C56=F$3,SUMIFS(OFFSET(ACTUALS!$A:$A,,MATCH(F$4,ACTUALS!$2:$2,0)-1,,),ACTUALS!$A:$A,$B56)*-1000,E56/'2020 Assumptions'!$B$4)</f>
        <v>415878.12</v>
      </c>
      <c r="G56" s="73">
        <f ca="1">IF($C56=G$3,SUMIFS(OFFSET('Non-margin Costs'!$A:$A,,MATCH(G$4,'Non-margin Costs'!$2:$2,0)-1,,),'Non-margin Costs'!$A:$A,$B56)*1000,(SUMIFS(OFFSET('Non-margin Costs'!$A:$A,,MATCH(G$4,'Non-margin Costs'!$2:$2,0)-1,,),'Non-margin Costs'!$A:$A,$B56)*1000)/'2020 Assumptions'!$B$4)</f>
        <v>197.4</v>
      </c>
      <c r="I56" s="73">
        <f ca="1">OFFSET('Allocation %'!$A$1,MATCH(I$4,'Allocation %'!$A:$A,0)-1,MATCH($D56,'Allocation %'!$5:$5,0)-1)*$F56</f>
        <v>0</v>
      </c>
      <c r="J56" s="73">
        <f ca="1">OFFSET('Allocation %'!$A$1,MATCH(J$4,'Allocation %'!$A:$A,0)-1,MATCH($D56,'Allocation %'!$5:$5,0)-1)*$F56</f>
        <v>0</v>
      </c>
      <c r="K56" s="73">
        <f ca="1">OFFSET('Allocation %'!$A$1,MATCH(K$4,'Allocation %'!$A:$A,0)-1,MATCH($D56,'Allocation %'!$5:$5,0)-1)*$F56</f>
        <v>0</v>
      </c>
      <c r="L56" s="73">
        <f ca="1">OFFSET('Allocation %'!$A$1,MATCH(L$4,'Allocation %'!$A:$A,0)-1,MATCH($D56,'Allocation %'!$5:$5,0)-1)*$F56</f>
        <v>0</v>
      </c>
      <c r="M56" s="73">
        <f ca="1">OFFSET('Allocation %'!$A$1,MATCH(M$4,'Allocation %'!$A:$A,0)-1,MATCH($D56,'Allocation %'!$5:$5,0)-1)*$F56</f>
        <v>0</v>
      </c>
      <c r="N56" s="73">
        <f ca="1">OFFSET('Allocation %'!$A$1,MATCH(N$4,'Allocation %'!$A:$A,0)-1,MATCH($D56,'Allocation %'!$5:$5,0)-1)*$F56</f>
        <v>0</v>
      </c>
      <c r="O56" s="73">
        <f ca="1">OFFSET('Allocation %'!$A$1,MATCH(O$4,'Allocation %'!$A:$A,0)-1,MATCH($D56,'Allocation %'!$5:$5,0)-1)*$F56</f>
        <v>0</v>
      </c>
      <c r="P56" s="73">
        <f ca="1">OFFSET('Allocation %'!$A$1,MATCH(P$4,'Allocation %'!$A:$A,0)-1,MATCH($D56,'Allocation %'!$5:$5,0)-1)*$F56</f>
        <v>0</v>
      </c>
      <c r="Q56" s="73">
        <f ca="1">OFFSET('Allocation %'!$A$1,MATCH(Q$4,'Allocation %'!$A:$A,0)-1,MATCH($D56,'Allocation %'!$5:$5,0)-1)*$F56</f>
        <v>0</v>
      </c>
      <c r="R56" s="73">
        <f ca="1">OFFSET('Allocation %'!$A$1,MATCH(R$4,'Allocation %'!$A:$A,0)-1,MATCH($D56,'Allocation %'!$5:$5,0)-1)*$F56</f>
        <v>0</v>
      </c>
      <c r="S56" s="73">
        <f ca="1">OFFSET('Allocation %'!$A$1,MATCH(S$4,'Allocation %'!$A:$A,0)-1,MATCH($D56,'Allocation %'!$5:$5,0)-1)*$F56</f>
        <v>0</v>
      </c>
      <c r="T56" s="73">
        <f ca="1">OFFSET('Allocation %'!$A$1,MATCH(T$4,'Allocation %'!$A:$A,0)-1,MATCH($D56,'Allocation %'!$5:$5,0)-1)*$F56</f>
        <v>0</v>
      </c>
      <c r="U56" s="73">
        <f ca="1">OFFSET('Allocation %'!$A$1,MATCH(U$4,'Allocation %'!$A:$A,0)-1,MATCH($D56,'Allocation %'!$5:$5,0)-1)*$F56</f>
        <v>0</v>
      </c>
      <c r="V56" s="73">
        <f ca="1">OFFSET('Allocation %'!$A$1,MATCH(V$4,'Allocation %'!$A:$A,0)-1,MATCH($D56,'Allocation %'!$5:$5,0)-1)*$F56</f>
        <v>0</v>
      </c>
      <c r="W56" s="73">
        <f ca="1">OFFSET('Allocation %'!$A$1,MATCH(W$4,'Allocation %'!$A:$A,0)-1,MATCH($D56,'Allocation %'!$5:$5,0)-1)*$F56</f>
        <v>0</v>
      </c>
      <c r="X56" s="73">
        <f ca="1">OFFSET('Allocation %'!$A$1,MATCH(X$4,'Allocation %'!$A:$A,0)-1,MATCH($D56,'Allocation %'!$5:$5,0)-1)*$F56</f>
        <v>0</v>
      </c>
      <c r="Y56" s="73">
        <f ca="1">OFFSET('Allocation %'!$A$1,MATCH(Y$4,'Allocation %'!$A:$A,0)-1,MATCH($D56,'Allocation %'!$5:$5,0)-1)*$F56</f>
        <v>0</v>
      </c>
      <c r="Z56" s="73">
        <f ca="1">OFFSET('Allocation %'!$A$1,MATCH(Z$4,'Allocation %'!$A:$A,0)-1,MATCH($D56,'Allocation %'!$5:$5,0)-1)*$F56</f>
        <v>0</v>
      </c>
      <c r="AA56" s="73">
        <f ca="1">OFFSET('Allocation %'!$A$1,MATCH(AA$4,'Allocation %'!$A:$A,0)-1,MATCH($D56,'Allocation %'!$5:$5,0)-1)*$F56</f>
        <v>0</v>
      </c>
      <c r="AB56" s="73">
        <f ca="1">OFFSET('Allocation %'!$A$1,MATCH(AB$4,'Allocation %'!$A:$A,0)-1,MATCH($D56,'Allocation %'!$5:$5,0)-1)*$F56</f>
        <v>0</v>
      </c>
      <c r="AC56" s="73">
        <f ca="1">OFFSET('Allocation %'!$A$1,MATCH(AC$4,'Allocation %'!$A:$A,0)-1,MATCH($D56,'Allocation %'!$5:$5,0)-1)*$F56</f>
        <v>0</v>
      </c>
      <c r="AD56" s="73">
        <f ca="1">OFFSET('Allocation %'!$A$1,MATCH(AD$4,'Allocation %'!$A:$A,0)-1,MATCH($D56,'Allocation %'!$5:$5,0)-1)*$F56</f>
        <v>0</v>
      </c>
      <c r="AE56" s="73">
        <f ca="1">OFFSET('Allocation %'!$A$1,MATCH(AE$4,'Allocation %'!$A:$A,0)-1,MATCH($D56,'Allocation %'!$5:$5,0)-1)*$F56</f>
        <v>0</v>
      </c>
      <c r="AF56" s="73">
        <f ca="1">OFFSET('Allocation %'!$A$1,MATCH(AF$4,'Allocation %'!$A:$A,0)-1,MATCH($D56,'Allocation %'!$5:$5,0)-1)*$F56</f>
        <v>0</v>
      </c>
      <c r="AG56" s="73">
        <f ca="1">OFFSET('Allocation %'!$A$1,MATCH(AG$4,'Allocation %'!$A:$A,0)-1,MATCH($D56,'Allocation %'!$5:$5,0)-1)*$F56</f>
        <v>0</v>
      </c>
      <c r="AH56" s="73">
        <f ca="1">OFFSET('Allocation %'!$A$1,MATCH(AH$4,'Allocation %'!$A:$A,0)-1,MATCH($D56,'Allocation %'!$5:$5,0)-1)*$F56</f>
        <v>0</v>
      </c>
      <c r="AI56" s="73">
        <f ca="1">OFFSET('Allocation %'!$A$1,MATCH(AI$4,'Allocation %'!$A:$A,0)-1,MATCH($D56,'Allocation %'!$5:$5,0)-1)*$F56</f>
        <v>0</v>
      </c>
      <c r="AJ56" s="73">
        <f ca="1">OFFSET('Allocation %'!$A$1,MATCH(AJ$4,'Allocation %'!$A:$A,0)-1,MATCH($D56,'Allocation %'!$5:$5,0)-1)*$F56</f>
        <v>0</v>
      </c>
      <c r="AK56" s="73">
        <f ca="1">OFFSET('Allocation %'!$A$1,MATCH(AK$4,'Allocation %'!$A:$A,0)-1,MATCH($D56,'Allocation %'!$5:$5,0)-1)*$F56</f>
        <v>0</v>
      </c>
      <c r="AL56" s="73">
        <f ca="1">OFFSET('Allocation %'!$A$1,MATCH(AL$4,'Allocation %'!$A:$A,0)-1,MATCH($D56,'Allocation %'!$5:$5,0)-1)*$F56</f>
        <v>0</v>
      </c>
      <c r="AM56" s="73">
        <f ca="1">OFFSET('Allocation %'!$A$1,MATCH(AM$4,'Allocation %'!$A:$A,0)-1,MATCH($D56,'Allocation %'!$5:$5,0)-1)*$F56</f>
        <v>0</v>
      </c>
      <c r="AN56" s="73">
        <f ca="1">OFFSET('Allocation %'!$A$1,MATCH(AN$4,'Allocation %'!$A:$A,0)-1,MATCH($D56,'Allocation %'!$5:$5,0)-1)*$F56</f>
        <v>0</v>
      </c>
      <c r="AO56" s="73">
        <f ca="1">OFFSET('Allocation %'!$A$1,MATCH(AO$4,'Allocation %'!$A:$A,0)-1,MATCH($D56,'Allocation %'!$5:$5,0)-1)*$F56</f>
        <v>0</v>
      </c>
      <c r="AP56" s="73">
        <f ca="1">OFFSET('Allocation %'!$A$1,MATCH(AP$4,'Allocation %'!$A:$A,0)-1,MATCH($D56,'Allocation %'!$5:$5,0)-1)*$F56</f>
        <v>0</v>
      </c>
      <c r="AQ56" s="73">
        <f ca="1">OFFSET('Allocation %'!$A$1,MATCH(AQ$4,'Allocation %'!$A:$A,0)-1,MATCH($D56,'Allocation %'!$5:$5,0)-1)*$F56</f>
        <v>0</v>
      </c>
      <c r="AR56" s="73">
        <f ca="1">OFFSET('Allocation %'!$A$1,MATCH(AR$4,'Allocation %'!$A:$A,0)-1,MATCH($D56,'Allocation %'!$5:$5,0)-1)*$F56</f>
        <v>0</v>
      </c>
      <c r="AS56" s="73">
        <f ca="1">OFFSET('Allocation %'!$A$1,MATCH(AS$4,'Allocation %'!$A:$A,0)-1,MATCH($D56,'Allocation %'!$5:$5,0)-1)*$F56</f>
        <v>0</v>
      </c>
      <c r="AT56" s="73">
        <f ca="1">OFFSET('Allocation %'!$A$1,MATCH(AT$4,'Allocation %'!$A:$A,0)-1,MATCH($D56,'Allocation %'!$5:$5,0)-1)*$F56</f>
        <v>0</v>
      </c>
      <c r="AU56" s="73">
        <f ca="1">OFFSET('Allocation %'!$A$1,MATCH(AU$4,'Allocation %'!$A:$A,0)-1,MATCH($D56,'Allocation %'!$5:$5,0)-1)*$F56</f>
        <v>0</v>
      </c>
      <c r="AV56" s="73">
        <f ca="1">OFFSET('Allocation %'!$A$1,MATCH(AV$4,'Allocation %'!$A:$A,0)-1,MATCH($D56,'Allocation %'!$5:$5,0)-1)*$F56</f>
        <v>0</v>
      </c>
      <c r="AW56" s="73">
        <f ca="1">OFFSET('Allocation %'!$A$1,MATCH(AW$4,'Allocation %'!$A:$A,0)-1,MATCH($D56,'Allocation %'!$5:$5,0)-1)*$F56</f>
        <v>0</v>
      </c>
      <c r="AX56" s="73">
        <f ca="1">OFFSET('Allocation %'!$A$1,MATCH(AX$4,'Allocation %'!$A:$A,0)-1,MATCH($D56,'Allocation %'!$5:$5,0)-1)*$F56</f>
        <v>0</v>
      </c>
      <c r="AY56" s="73">
        <f ca="1">OFFSET('Allocation %'!$A$1,MATCH(AY$4,'Allocation %'!$A:$A,0)-1,MATCH($D56,'Allocation %'!$5:$5,0)-1)*$F56</f>
        <v>0</v>
      </c>
      <c r="AZ56" s="73">
        <f ca="1">OFFSET('Allocation %'!$A$1,MATCH(AZ$4,'Allocation %'!$A:$A,0)-1,MATCH($D56,'Allocation %'!$5:$5,0)-1)*$F56</f>
        <v>415878.12</v>
      </c>
      <c r="BA56" s="73">
        <f ca="1">OFFSET('Allocation %'!$A$1,MATCH(BA$4,'Allocation %'!$A:$A,0)-1,MATCH($D56,'Allocation %'!$5:$5,0)-1)*$F56</f>
        <v>0</v>
      </c>
      <c r="BB56" s="73">
        <f ca="1">OFFSET('Allocation %'!$A$1,MATCH(BB$4,'Allocation %'!$A:$A,0)-1,MATCH($D56,'Allocation %'!$5:$5,0)-1)*$F56</f>
        <v>0</v>
      </c>
      <c r="BC56" s="73">
        <f ca="1">OFFSET('Allocation %'!$A$1,MATCH(BC$4,'Allocation %'!$A:$A,0)-1,MATCH($D56,'Allocation %'!$5:$5,0)-1)*$F56</f>
        <v>0</v>
      </c>
      <c r="BD56" s="73">
        <f ca="1">OFFSET('Allocation %'!$A$1,MATCH(BD$4,'Allocation %'!$A:$A,0)-1,MATCH($D56,'Allocation %'!$5:$5,0)-1)*$F56</f>
        <v>0</v>
      </c>
      <c r="BE56" s="73">
        <f ca="1">OFFSET('Allocation %'!$A$1,MATCH(BE$4,'Allocation %'!$A:$A,0)-1,MATCH($D56,'Allocation %'!$5:$5,0)-1)*$F56</f>
        <v>0</v>
      </c>
      <c r="BG56" s="76">
        <f t="shared" ca="1" si="3"/>
        <v>415878.12</v>
      </c>
      <c r="BH56" s="349">
        <f t="shared" ca="1" si="4"/>
        <v>0</v>
      </c>
      <c r="BJ56" s="76">
        <f t="shared" ca="1" si="2"/>
        <v>0</v>
      </c>
    </row>
    <row r="57" spans="1:62" s="166" customFormat="1" x14ac:dyDescent="0.25">
      <c r="A57" s="139" t="s">
        <v>419</v>
      </c>
      <c r="B57" s="259" t="s">
        <v>251</v>
      </c>
      <c r="C57" s="69" t="str">
        <f>INDEX(ACTUALS!$E:$E,MATCH($B57,ACTUALS!$A:$A,0))</f>
        <v>USD</v>
      </c>
      <c r="D57" s="352" t="str">
        <f ca="1">OFFSET(ACTUALS!$O$2,MATCH($B57,ACTUALS!$A:$A,0)-2,MATCH($E$4,ACTUALS!$P$2:$P$2,0))</f>
        <v>RU - L48</v>
      </c>
      <c r="E57" s="73">
        <f ca="1">IF($C57=E$3,SUMIFS(OFFSET(ACTUALS!$A:$A,,MATCH(E$4,ACTUALS!$2:$2,0)-1,,),ACTUALS!$A:$A,$B57)*-1000,F57*'2020 Assumptions'!$B$4)</f>
        <v>86875.283066000018</v>
      </c>
      <c r="F57" s="317">
        <f ca="1">IF($C57=F$3,SUMIFS(OFFSET(ACTUALS!$A:$A,,MATCH(F$4,ACTUALS!$2:$2,0)-1,,),ACTUALS!$A:$A,$B57)*-1000,E57/'2020 Assumptions'!$B$4)</f>
        <v>64629.73000000001</v>
      </c>
      <c r="G57" s="73">
        <f ca="1">IF($C57=G$3,SUMIFS(OFFSET('Non-margin Costs'!$A:$A,,MATCH(G$4,'Non-margin Costs'!$2:$2,0)-1,,),'Non-margin Costs'!$A:$A,$B57)*1000,(SUMIFS(OFFSET('Non-margin Costs'!$A:$A,,MATCH(G$4,'Non-margin Costs'!$2:$2,0)-1,,),'Non-margin Costs'!$A:$A,$B57)*1000)/'2020 Assumptions'!$B$4)</f>
        <v>0</v>
      </c>
      <c r="I57" s="73">
        <f ca="1">OFFSET('Allocation %'!$A$1,MATCH(I$4,'Allocation %'!$A:$A,0)-1,MATCH($D57,'Allocation %'!$5:$5,0)-1)*$F57</f>
        <v>0</v>
      </c>
      <c r="J57" s="73">
        <f ca="1">OFFSET('Allocation %'!$A$1,MATCH(J$4,'Allocation %'!$A:$A,0)-1,MATCH($D57,'Allocation %'!$5:$5,0)-1)*$F57</f>
        <v>0</v>
      </c>
      <c r="K57" s="73">
        <f ca="1">OFFSET('Allocation %'!$A$1,MATCH(K$4,'Allocation %'!$A:$A,0)-1,MATCH($D57,'Allocation %'!$5:$5,0)-1)*$F57</f>
        <v>0</v>
      </c>
      <c r="L57" s="73">
        <f ca="1">OFFSET('Allocation %'!$A$1,MATCH(L$4,'Allocation %'!$A:$A,0)-1,MATCH($D57,'Allocation %'!$5:$5,0)-1)*$F57</f>
        <v>0</v>
      </c>
      <c r="M57" s="73">
        <f ca="1">OFFSET('Allocation %'!$A$1,MATCH(M$4,'Allocation %'!$A:$A,0)-1,MATCH($D57,'Allocation %'!$5:$5,0)-1)*$F57</f>
        <v>0</v>
      </c>
      <c r="N57" s="73">
        <f ca="1">OFFSET('Allocation %'!$A$1,MATCH(N$4,'Allocation %'!$A:$A,0)-1,MATCH($D57,'Allocation %'!$5:$5,0)-1)*$F57</f>
        <v>0</v>
      </c>
      <c r="O57" s="73">
        <f ca="1">OFFSET('Allocation %'!$A$1,MATCH(O$4,'Allocation %'!$A:$A,0)-1,MATCH($D57,'Allocation %'!$5:$5,0)-1)*$F57</f>
        <v>0</v>
      </c>
      <c r="P57" s="73">
        <f ca="1">OFFSET('Allocation %'!$A$1,MATCH(P$4,'Allocation %'!$A:$A,0)-1,MATCH($D57,'Allocation %'!$5:$5,0)-1)*$F57</f>
        <v>0</v>
      </c>
      <c r="Q57" s="73">
        <f ca="1">OFFSET('Allocation %'!$A$1,MATCH(Q$4,'Allocation %'!$A:$A,0)-1,MATCH($D57,'Allocation %'!$5:$5,0)-1)*$F57</f>
        <v>0</v>
      </c>
      <c r="R57" s="73">
        <f ca="1">OFFSET('Allocation %'!$A$1,MATCH(R$4,'Allocation %'!$A:$A,0)-1,MATCH($D57,'Allocation %'!$5:$5,0)-1)*$F57</f>
        <v>0</v>
      </c>
      <c r="S57" s="73">
        <f ca="1">OFFSET('Allocation %'!$A$1,MATCH(S$4,'Allocation %'!$A:$A,0)-1,MATCH($D57,'Allocation %'!$5:$5,0)-1)*$F57</f>
        <v>0</v>
      </c>
      <c r="T57" s="73">
        <f ca="1">OFFSET('Allocation %'!$A$1,MATCH(T$4,'Allocation %'!$A:$A,0)-1,MATCH($D57,'Allocation %'!$5:$5,0)-1)*$F57</f>
        <v>0</v>
      </c>
      <c r="U57" s="73">
        <f ca="1">OFFSET('Allocation %'!$A$1,MATCH(U$4,'Allocation %'!$A:$A,0)-1,MATCH($D57,'Allocation %'!$5:$5,0)-1)*$F57</f>
        <v>0</v>
      </c>
      <c r="V57" s="73">
        <f ca="1">OFFSET('Allocation %'!$A$1,MATCH(V$4,'Allocation %'!$A:$A,0)-1,MATCH($D57,'Allocation %'!$5:$5,0)-1)*$F57</f>
        <v>0</v>
      </c>
      <c r="W57" s="73">
        <f ca="1">OFFSET('Allocation %'!$A$1,MATCH(W$4,'Allocation %'!$A:$A,0)-1,MATCH($D57,'Allocation %'!$5:$5,0)-1)*$F57</f>
        <v>0</v>
      </c>
      <c r="X57" s="73">
        <f ca="1">OFFSET('Allocation %'!$A$1,MATCH(X$4,'Allocation %'!$A:$A,0)-1,MATCH($D57,'Allocation %'!$5:$5,0)-1)*$F57</f>
        <v>0</v>
      </c>
      <c r="Y57" s="73">
        <f ca="1">OFFSET('Allocation %'!$A$1,MATCH(Y$4,'Allocation %'!$A:$A,0)-1,MATCH($D57,'Allocation %'!$5:$5,0)-1)*$F57</f>
        <v>0</v>
      </c>
      <c r="Z57" s="73">
        <f ca="1">OFFSET('Allocation %'!$A$1,MATCH(Z$4,'Allocation %'!$A:$A,0)-1,MATCH($D57,'Allocation %'!$5:$5,0)-1)*$F57</f>
        <v>0</v>
      </c>
      <c r="AA57" s="73">
        <f ca="1">OFFSET('Allocation %'!$A$1,MATCH(AA$4,'Allocation %'!$A:$A,0)-1,MATCH($D57,'Allocation %'!$5:$5,0)-1)*$F57</f>
        <v>0</v>
      </c>
      <c r="AB57" s="73">
        <f ca="1">OFFSET('Allocation %'!$A$1,MATCH(AB$4,'Allocation %'!$A:$A,0)-1,MATCH($D57,'Allocation %'!$5:$5,0)-1)*$F57</f>
        <v>0</v>
      </c>
      <c r="AC57" s="73">
        <f ca="1">OFFSET('Allocation %'!$A$1,MATCH(AC$4,'Allocation %'!$A:$A,0)-1,MATCH($D57,'Allocation %'!$5:$5,0)-1)*$F57</f>
        <v>0</v>
      </c>
      <c r="AD57" s="73">
        <f ca="1">OFFSET('Allocation %'!$A$1,MATCH(AD$4,'Allocation %'!$A:$A,0)-1,MATCH($D57,'Allocation %'!$5:$5,0)-1)*$F57</f>
        <v>0</v>
      </c>
      <c r="AE57" s="73">
        <f ca="1">OFFSET('Allocation %'!$A$1,MATCH(AE$4,'Allocation %'!$A:$A,0)-1,MATCH($D57,'Allocation %'!$5:$5,0)-1)*$F57</f>
        <v>0</v>
      </c>
      <c r="AF57" s="73">
        <f ca="1">OFFSET('Allocation %'!$A$1,MATCH(AF$4,'Allocation %'!$A:$A,0)-1,MATCH($D57,'Allocation %'!$5:$5,0)-1)*$F57</f>
        <v>0</v>
      </c>
      <c r="AG57" s="73">
        <f ca="1">OFFSET('Allocation %'!$A$1,MATCH(AG$4,'Allocation %'!$A:$A,0)-1,MATCH($D57,'Allocation %'!$5:$5,0)-1)*$F57</f>
        <v>0</v>
      </c>
      <c r="AH57" s="73">
        <f ca="1">OFFSET('Allocation %'!$A$1,MATCH(AH$4,'Allocation %'!$A:$A,0)-1,MATCH($D57,'Allocation %'!$5:$5,0)-1)*$F57</f>
        <v>0</v>
      </c>
      <c r="AI57" s="73">
        <f ca="1">OFFSET('Allocation %'!$A$1,MATCH(AI$4,'Allocation %'!$A:$A,0)-1,MATCH($D57,'Allocation %'!$5:$5,0)-1)*$F57</f>
        <v>0</v>
      </c>
      <c r="AJ57" s="73">
        <f ca="1">OFFSET('Allocation %'!$A$1,MATCH(AJ$4,'Allocation %'!$A:$A,0)-1,MATCH($D57,'Allocation %'!$5:$5,0)-1)*$F57</f>
        <v>0</v>
      </c>
      <c r="AK57" s="73">
        <f ca="1">OFFSET('Allocation %'!$A$1,MATCH(AK$4,'Allocation %'!$A:$A,0)-1,MATCH($D57,'Allocation %'!$5:$5,0)-1)*$F57</f>
        <v>0</v>
      </c>
      <c r="AL57" s="73">
        <f ca="1">OFFSET('Allocation %'!$A$1,MATCH(AL$4,'Allocation %'!$A:$A,0)-1,MATCH($D57,'Allocation %'!$5:$5,0)-1)*$F57</f>
        <v>0</v>
      </c>
      <c r="AM57" s="73">
        <f ca="1">OFFSET('Allocation %'!$A$1,MATCH(AM$4,'Allocation %'!$A:$A,0)-1,MATCH($D57,'Allocation %'!$5:$5,0)-1)*$F57</f>
        <v>0</v>
      </c>
      <c r="AN57" s="73">
        <f ca="1">OFFSET('Allocation %'!$A$1,MATCH(AN$4,'Allocation %'!$A:$A,0)-1,MATCH($D57,'Allocation %'!$5:$5,0)-1)*$F57</f>
        <v>0</v>
      </c>
      <c r="AO57" s="73">
        <f ca="1">OFFSET('Allocation %'!$A$1,MATCH(AO$4,'Allocation %'!$A:$A,0)-1,MATCH($D57,'Allocation %'!$5:$5,0)-1)*$F57</f>
        <v>0</v>
      </c>
      <c r="AP57" s="73">
        <f ca="1">OFFSET('Allocation %'!$A$1,MATCH(AP$4,'Allocation %'!$A:$A,0)-1,MATCH($D57,'Allocation %'!$5:$5,0)-1)*$F57</f>
        <v>0</v>
      </c>
      <c r="AQ57" s="73">
        <f ca="1">OFFSET('Allocation %'!$A$1,MATCH(AQ$4,'Allocation %'!$A:$A,0)-1,MATCH($D57,'Allocation %'!$5:$5,0)-1)*$F57</f>
        <v>0</v>
      </c>
      <c r="AR57" s="73">
        <f ca="1">OFFSET('Allocation %'!$A$1,MATCH(AR$4,'Allocation %'!$A:$A,0)-1,MATCH($D57,'Allocation %'!$5:$5,0)-1)*$F57</f>
        <v>0</v>
      </c>
      <c r="AS57" s="73">
        <f ca="1">OFFSET('Allocation %'!$A$1,MATCH(AS$4,'Allocation %'!$A:$A,0)-1,MATCH($D57,'Allocation %'!$5:$5,0)-1)*$F57</f>
        <v>0</v>
      </c>
      <c r="AT57" s="73">
        <f ca="1">OFFSET('Allocation %'!$A$1,MATCH(AT$4,'Allocation %'!$A:$A,0)-1,MATCH($D57,'Allocation %'!$5:$5,0)-1)*$F57</f>
        <v>0</v>
      </c>
      <c r="AU57" s="73">
        <f ca="1">OFFSET('Allocation %'!$A$1,MATCH(AU$4,'Allocation %'!$A:$A,0)-1,MATCH($D57,'Allocation %'!$5:$5,0)-1)*$F57</f>
        <v>0</v>
      </c>
      <c r="AV57" s="73">
        <f ca="1">OFFSET('Allocation %'!$A$1,MATCH(AV$4,'Allocation %'!$A:$A,0)-1,MATCH($D57,'Allocation %'!$5:$5,0)-1)*$F57</f>
        <v>0</v>
      </c>
      <c r="AW57" s="73">
        <f ca="1">OFFSET('Allocation %'!$A$1,MATCH(AW$4,'Allocation %'!$A:$A,0)-1,MATCH($D57,'Allocation %'!$5:$5,0)-1)*$F57</f>
        <v>0</v>
      </c>
      <c r="AX57" s="73">
        <f ca="1">OFFSET('Allocation %'!$A$1,MATCH(AX$4,'Allocation %'!$A:$A,0)-1,MATCH($D57,'Allocation %'!$5:$5,0)-1)*$F57</f>
        <v>0</v>
      </c>
      <c r="AY57" s="73">
        <f ca="1">OFFSET('Allocation %'!$A$1,MATCH(AY$4,'Allocation %'!$A:$A,0)-1,MATCH($D57,'Allocation %'!$5:$5,0)-1)*$F57</f>
        <v>0</v>
      </c>
      <c r="AZ57" s="73">
        <f ca="1">OFFSET('Allocation %'!$A$1,MATCH(AZ$4,'Allocation %'!$A:$A,0)-1,MATCH($D57,'Allocation %'!$5:$5,0)-1)*$F57</f>
        <v>64629.73000000001</v>
      </c>
      <c r="BA57" s="73">
        <f ca="1">OFFSET('Allocation %'!$A$1,MATCH(BA$4,'Allocation %'!$A:$A,0)-1,MATCH($D57,'Allocation %'!$5:$5,0)-1)*$F57</f>
        <v>0</v>
      </c>
      <c r="BB57" s="73">
        <f ca="1">OFFSET('Allocation %'!$A$1,MATCH(BB$4,'Allocation %'!$A:$A,0)-1,MATCH($D57,'Allocation %'!$5:$5,0)-1)*$F57</f>
        <v>0</v>
      </c>
      <c r="BC57" s="73">
        <f ca="1">OFFSET('Allocation %'!$A$1,MATCH(BC$4,'Allocation %'!$A:$A,0)-1,MATCH($D57,'Allocation %'!$5:$5,0)-1)*$F57</f>
        <v>0</v>
      </c>
      <c r="BD57" s="73">
        <f ca="1">OFFSET('Allocation %'!$A$1,MATCH(BD$4,'Allocation %'!$A:$A,0)-1,MATCH($D57,'Allocation %'!$5:$5,0)-1)*$F57</f>
        <v>0</v>
      </c>
      <c r="BE57" s="73">
        <f ca="1">OFFSET('Allocation %'!$A$1,MATCH(BE$4,'Allocation %'!$A:$A,0)-1,MATCH($D57,'Allocation %'!$5:$5,0)-1)*$F57</f>
        <v>0</v>
      </c>
      <c r="BG57" s="76">
        <f t="shared" ca="1" si="3"/>
        <v>64629.73000000001</v>
      </c>
      <c r="BH57" s="349">
        <f t="shared" ca="1" si="4"/>
        <v>0</v>
      </c>
      <c r="BJ57" s="76">
        <f t="shared" ca="1" si="2"/>
        <v>0</v>
      </c>
    </row>
    <row r="58" spans="1:62" s="166" customFormat="1" x14ac:dyDescent="0.25">
      <c r="A58" s="139" t="s">
        <v>419</v>
      </c>
      <c r="B58" s="259" t="s">
        <v>252</v>
      </c>
      <c r="C58" s="69" t="str">
        <f>INDEX(ACTUALS!$E:$E,MATCH($B58,ACTUALS!$A:$A,0))</f>
        <v>USD</v>
      </c>
      <c r="D58" s="352" t="str">
        <f ca="1">OFFSET(ACTUALS!$O$2,MATCH($B58,ACTUALS!$A:$A,0)-2,MATCH($E$4,ACTUALS!$P$2:$P$2,0))</f>
        <v>ALL - Except Doyon</v>
      </c>
      <c r="E58" s="73">
        <f ca="1">IF($C58=E$3,SUMIFS(OFFSET(ACTUALS!$A:$A,,MATCH(E$4,ACTUALS!$2:$2,0)-1,,),ACTUALS!$A:$A,$B58)*-1000,F58*'2020 Assumptions'!$B$4)</f>
        <v>0</v>
      </c>
      <c r="F58" s="317">
        <f ca="1">IF($C58=F$3,SUMIFS(OFFSET(ACTUALS!$A:$A,,MATCH(F$4,ACTUALS!$2:$2,0)-1,,),ACTUALS!$A:$A,$B58)*-1000,E58/'2020 Assumptions'!$B$4)</f>
        <v>0</v>
      </c>
      <c r="G58" s="73">
        <f ca="1">IF($C58=G$3,SUMIFS(OFFSET('Non-margin Costs'!$A:$A,,MATCH(G$4,'Non-margin Costs'!$2:$2,0)-1,,),'Non-margin Costs'!$A:$A,$B58)*1000,(SUMIFS(OFFSET('Non-margin Costs'!$A:$A,,MATCH(G$4,'Non-margin Costs'!$2:$2,0)-1,,),'Non-margin Costs'!$A:$A,$B58)*1000)/'2020 Assumptions'!$B$4)</f>
        <v>0</v>
      </c>
      <c r="I58" s="73">
        <f ca="1">OFFSET('Allocation %'!$A$1,MATCH(I$4,'Allocation %'!$A:$A,0)-1,MATCH($D58,'Allocation %'!$5:$5,0)-1)*$F58</f>
        <v>0</v>
      </c>
      <c r="J58" s="73">
        <f ca="1">OFFSET('Allocation %'!$A$1,MATCH(J$4,'Allocation %'!$A:$A,0)-1,MATCH($D58,'Allocation %'!$5:$5,0)-1)*$F58</f>
        <v>0</v>
      </c>
      <c r="K58" s="73">
        <f ca="1">OFFSET('Allocation %'!$A$1,MATCH(K$4,'Allocation %'!$A:$A,0)-1,MATCH($D58,'Allocation %'!$5:$5,0)-1)*$F58</f>
        <v>0</v>
      </c>
      <c r="L58" s="73">
        <f ca="1">OFFSET('Allocation %'!$A$1,MATCH(L$4,'Allocation %'!$A:$A,0)-1,MATCH($D58,'Allocation %'!$5:$5,0)-1)*$F58</f>
        <v>0</v>
      </c>
      <c r="M58" s="73">
        <f ca="1">OFFSET('Allocation %'!$A$1,MATCH(M$4,'Allocation %'!$A:$A,0)-1,MATCH($D58,'Allocation %'!$5:$5,0)-1)*$F58</f>
        <v>0</v>
      </c>
      <c r="N58" s="73">
        <f ca="1">OFFSET('Allocation %'!$A$1,MATCH(N$4,'Allocation %'!$A:$A,0)-1,MATCH($D58,'Allocation %'!$5:$5,0)-1)*$F58</f>
        <v>0</v>
      </c>
      <c r="O58" s="73">
        <f ca="1">OFFSET('Allocation %'!$A$1,MATCH(O$4,'Allocation %'!$A:$A,0)-1,MATCH($D58,'Allocation %'!$5:$5,0)-1)*$F58</f>
        <v>0</v>
      </c>
      <c r="P58" s="73">
        <f ca="1">OFFSET('Allocation %'!$A$1,MATCH(P$4,'Allocation %'!$A:$A,0)-1,MATCH($D58,'Allocation %'!$5:$5,0)-1)*$F58</f>
        <v>0</v>
      </c>
      <c r="Q58" s="73">
        <f ca="1">OFFSET('Allocation %'!$A$1,MATCH(Q$4,'Allocation %'!$A:$A,0)-1,MATCH($D58,'Allocation %'!$5:$5,0)-1)*$F58</f>
        <v>0</v>
      </c>
      <c r="R58" s="73">
        <f ca="1">OFFSET('Allocation %'!$A$1,MATCH(R$4,'Allocation %'!$A:$A,0)-1,MATCH($D58,'Allocation %'!$5:$5,0)-1)*$F58</f>
        <v>0</v>
      </c>
      <c r="S58" s="73">
        <f ca="1">OFFSET('Allocation %'!$A$1,MATCH(S$4,'Allocation %'!$A:$A,0)-1,MATCH($D58,'Allocation %'!$5:$5,0)-1)*$F58</f>
        <v>0</v>
      </c>
      <c r="T58" s="73">
        <f ca="1">OFFSET('Allocation %'!$A$1,MATCH(T$4,'Allocation %'!$A:$A,0)-1,MATCH($D58,'Allocation %'!$5:$5,0)-1)*$F58</f>
        <v>0</v>
      </c>
      <c r="U58" s="73">
        <f ca="1">OFFSET('Allocation %'!$A$1,MATCH(U$4,'Allocation %'!$A:$A,0)-1,MATCH($D58,'Allocation %'!$5:$5,0)-1)*$F58</f>
        <v>0</v>
      </c>
      <c r="V58" s="73">
        <f ca="1">OFFSET('Allocation %'!$A$1,MATCH(V$4,'Allocation %'!$A:$A,0)-1,MATCH($D58,'Allocation %'!$5:$5,0)-1)*$F58</f>
        <v>0</v>
      </c>
      <c r="W58" s="73">
        <f ca="1">OFFSET('Allocation %'!$A$1,MATCH(W$4,'Allocation %'!$A:$A,0)-1,MATCH($D58,'Allocation %'!$5:$5,0)-1)*$F58</f>
        <v>0</v>
      </c>
      <c r="X58" s="73">
        <f ca="1">OFFSET('Allocation %'!$A$1,MATCH(X$4,'Allocation %'!$A:$A,0)-1,MATCH($D58,'Allocation %'!$5:$5,0)-1)*$F58</f>
        <v>0</v>
      </c>
      <c r="Y58" s="73">
        <f ca="1">OFFSET('Allocation %'!$A$1,MATCH(Y$4,'Allocation %'!$A:$A,0)-1,MATCH($D58,'Allocation %'!$5:$5,0)-1)*$F58</f>
        <v>0</v>
      </c>
      <c r="Z58" s="73">
        <f ca="1">OFFSET('Allocation %'!$A$1,MATCH(Z$4,'Allocation %'!$A:$A,0)-1,MATCH($D58,'Allocation %'!$5:$5,0)-1)*$F58</f>
        <v>0</v>
      </c>
      <c r="AA58" s="73">
        <f ca="1">OFFSET('Allocation %'!$A$1,MATCH(AA$4,'Allocation %'!$A:$A,0)-1,MATCH($D58,'Allocation %'!$5:$5,0)-1)*$F58</f>
        <v>0</v>
      </c>
      <c r="AB58" s="73">
        <f ca="1">OFFSET('Allocation %'!$A$1,MATCH(AB$4,'Allocation %'!$A:$A,0)-1,MATCH($D58,'Allocation %'!$5:$5,0)-1)*$F58</f>
        <v>0</v>
      </c>
      <c r="AC58" s="73">
        <f ca="1">OFFSET('Allocation %'!$A$1,MATCH(AC$4,'Allocation %'!$A:$A,0)-1,MATCH($D58,'Allocation %'!$5:$5,0)-1)*$F58</f>
        <v>0</v>
      </c>
      <c r="AD58" s="73">
        <f ca="1">OFFSET('Allocation %'!$A$1,MATCH(AD$4,'Allocation %'!$A:$A,0)-1,MATCH($D58,'Allocation %'!$5:$5,0)-1)*$F58</f>
        <v>0</v>
      </c>
      <c r="AE58" s="73">
        <f ca="1">OFFSET('Allocation %'!$A$1,MATCH(AE$4,'Allocation %'!$A:$A,0)-1,MATCH($D58,'Allocation %'!$5:$5,0)-1)*$F58</f>
        <v>0</v>
      </c>
      <c r="AF58" s="73">
        <f ca="1">OFFSET('Allocation %'!$A$1,MATCH(AF$4,'Allocation %'!$A:$A,0)-1,MATCH($D58,'Allocation %'!$5:$5,0)-1)*$F58</f>
        <v>0</v>
      </c>
      <c r="AG58" s="73">
        <f ca="1">OFFSET('Allocation %'!$A$1,MATCH(AG$4,'Allocation %'!$A:$A,0)-1,MATCH($D58,'Allocation %'!$5:$5,0)-1)*$F58</f>
        <v>0</v>
      </c>
      <c r="AH58" s="73">
        <f ca="1">OFFSET('Allocation %'!$A$1,MATCH(AH$4,'Allocation %'!$A:$A,0)-1,MATCH($D58,'Allocation %'!$5:$5,0)-1)*$F58</f>
        <v>0</v>
      </c>
      <c r="AI58" s="73">
        <f ca="1">OFFSET('Allocation %'!$A$1,MATCH(AI$4,'Allocation %'!$A:$A,0)-1,MATCH($D58,'Allocation %'!$5:$5,0)-1)*$F58</f>
        <v>0</v>
      </c>
      <c r="AJ58" s="73">
        <f ca="1">OFFSET('Allocation %'!$A$1,MATCH(AJ$4,'Allocation %'!$A:$A,0)-1,MATCH($D58,'Allocation %'!$5:$5,0)-1)*$F58</f>
        <v>0</v>
      </c>
      <c r="AK58" s="73">
        <f ca="1">OFFSET('Allocation %'!$A$1,MATCH(AK$4,'Allocation %'!$A:$A,0)-1,MATCH($D58,'Allocation %'!$5:$5,0)-1)*$F58</f>
        <v>0</v>
      </c>
      <c r="AL58" s="73">
        <f ca="1">OFFSET('Allocation %'!$A$1,MATCH(AL$4,'Allocation %'!$A:$A,0)-1,MATCH($D58,'Allocation %'!$5:$5,0)-1)*$F58</f>
        <v>0</v>
      </c>
      <c r="AM58" s="73">
        <f ca="1">OFFSET('Allocation %'!$A$1,MATCH(AM$4,'Allocation %'!$A:$A,0)-1,MATCH($D58,'Allocation %'!$5:$5,0)-1)*$F58</f>
        <v>0</v>
      </c>
      <c r="AN58" s="73">
        <f ca="1">OFFSET('Allocation %'!$A$1,MATCH(AN$4,'Allocation %'!$A:$A,0)-1,MATCH($D58,'Allocation %'!$5:$5,0)-1)*$F58</f>
        <v>0</v>
      </c>
      <c r="AO58" s="73">
        <f ca="1">OFFSET('Allocation %'!$A$1,MATCH(AO$4,'Allocation %'!$A:$A,0)-1,MATCH($D58,'Allocation %'!$5:$5,0)-1)*$F58</f>
        <v>0</v>
      </c>
      <c r="AP58" s="73">
        <f ca="1">OFFSET('Allocation %'!$A$1,MATCH(AP$4,'Allocation %'!$A:$A,0)-1,MATCH($D58,'Allocation %'!$5:$5,0)-1)*$F58</f>
        <v>0</v>
      </c>
      <c r="AQ58" s="73">
        <f ca="1">OFFSET('Allocation %'!$A$1,MATCH(AQ$4,'Allocation %'!$A:$A,0)-1,MATCH($D58,'Allocation %'!$5:$5,0)-1)*$F58</f>
        <v>0</v>
      </c>
      <c r="AR58" s="73">
        <f ca="1">OFFSET('Allocation %'!$A$1,MATCH(AR$4,'Allocation %'!$A:$A,0)-1,MATCH($D58,'Allocation %'!$5:$5,0)-1)*$F58</f>
        <v>0</v>
      </c>
      <c r="AS58" s="73">
        <f ca="1">OFFSET('Allocation %'!$A$1,MATCH(AS$4,'Allocation %'!$A:$A,0)-1,MATCH($D58,'Allocation %'!$5:$5,0)-1)*$F58</f>
        <v>0</v>
      </c>
      <c r="AT58" s="73">
        <f ca="1">OFFSET('Allocation %'!$A$1,MATCH(AT$4,'Allocation %'!$A:$A,0)-1,MATCH($D58,'Allocation %'!$5:$5,0)-1)*$F58</f>
        <v>0</v>
      </c>
      <c r="AU58" s="73">
        <f ca="1">OFFSET('Allocation %'!$A$1,MATCH(AU$4,'Allocation %'!$A:$A,0)-1,MATCH($D58,'Allocation %'!$5:$5,0)-1)*$F58</f>
        <v>0</v>
      </c>
      <c r="AV58" s="73">
        <f ca="1">OFFSET('Allocation %'!$A$1,MATCH(AV$4,'Allocation %'!$A:$A,0)-1,MATCH($D58,'Allocation %'!$5:$5,0)-1)*$F58</f>
        <v>0</v>
      </c>
      <c r="AW58" s="73">
        <f ca="1">OFFSET('Allocation %'!$A$1,MATCH(AW$4,'Allocation %'!$A:$A,0)-1,MATCH($D58,'Allocation %'!$5:$5,0)-1)*$F58</f>
        <v>0</v>
      </c>
      <c r="AX58" s="73">
        <f ca="1">OFFSET('Allocation %'!$A$1,MATCH(AX$4,'Allocation %'!$A:$A,0)-1,MATCH($D58,'Allocation %'!$5:$5,0)-1)*$F58</f>
        <v>0</v>
      </c>
      <c r="AY58" s="73">
        <f ca="1">OFFSET('Allocation %'!$A$1,MATCH(AY$4,'Allocation %'!$A:$A,0)-1,MATCH($D58,'Allocation %'!$5:$5,0)-1)*$F58</f>
        <v>0</v>
      </c>
      <c r="AZ58" s="73">
        <f ca="1">OFFSET('Allocation %'!$A$1,MATCH(AZ$4,'Allocation %'!$A:$A,0)-1,MATCH($D58,'Allocation %'!$5:$5,0)-1)*$F58</f>
        <v>0</v>
      </c>
      <c r="BA58" s="73">
        <f ca="1">OFFSET('Allocation %'!$A$1,MATCH(BA$4,'Allocation %'!$A:$A,0)-1,MATCH($D58,'Allocation %'!$5:$5,0)-1)*$F58</f>
        <v>0</v>
      </c>
      <c r="BB58" s="73">
        <f ca="1">OFFSET('Allocation %'!$A$1,MATCH(BB$4,'Allocation %'!$A:$A,0)-1,MATCH($D58,'Allocation %'!$5:$5,0)-1)*$F58</f>
        <v>0</v>
      </c>
      <c r="BC58" s="73">
        <f ca="1">OFFSET('Allocation %'!$A$1,MATCH(BC$4,'Allocation %'!$A:$A,0)-1,MATCH($D58,'Allocation %'!$5:$5,0)-1)*$F58</f>
        <v>0</v>
      </c>
      <c r="BD58" s="73">
        <f ca="1">OFFSET('Allocation %'!$A$1,MATCH(BD$4,'Allocation %'!$A:$A,0)-1,MATCH($D58,'Allocation %'!$5:$5,0)-1)*$F58</f>
        <v>0</v>
      </c>
      <c r="BE58" s="73">
        <f ca="1">OFFSET('Allocation %'!$A$1,MATCH(BE$4,'Allocation %'!$A:$A,0)-1,MATCH($D58,'Allocation %'!$5:$5,0)-1)*$F58</f>
        <v>0</v>
      </c>
      <c r="BG58" s="76">
        <f t="shared" ca="1" si="3"/>
        <v>0</v>
      </c>
      <c r="BH58" s="349">
        <f t="shared" ca="1" si="4"/>
        <v>0</v>
      </c>
      <c r="BJ58" s="76">
        <f t="shared" ca="1" si="2"/>
        <v>0</v>
      </c>
    </row>
    <row r="59" spans="1:62" s="166" customFormat="1" x14ac:dyDescent="0.25">
      <c r="A59" s="139" t="s">
        <v>419</v>
      </c>
      <c r="B59" s="259" t="s">
        <v>300</v>
      </c>
      <c r="C59" s="69" t="str">
        <f>INDEX(ACTUALS!$E:$E,MATCH($B59,ACTUALS!$A:$A,0))</f>
        <v>USD</v>
      </c>
      <c r="D59" s="352" t="str">
        <f ca="1">OFFSET(ACTUALS!$O$2,MATCH($B59,ACTUALS!$A:$A,0)-2,MATCH($E$4,ACTUALS!$P$2:$P$2,0))</f>
        <v>ALL</v>
      </c>
      <c r="E59" s="73">
        <f ca="1">IF($C59=E$3,SUMIFS(OFFSET(ACTUALS!$A:$A,,MATCH(E$4,ACTUALS!$2:$2,0)-1,,),ACTUALS!$A:$A,$B59)*-1000,F59*'2020 Assumptions'!$B$4)</f>
        <v>0</v>
      </c>
      <c r="F59" s="317">
        <f ca="1">IF($C59=F$3,SUMIFS(OFFSET(ACTUALS!$A:$A,,MATCH(F$4,ACTUALS!$2:$2,0)-1,,),ACTUALS!$A:$A,$B59)*-1000,E59/'2020 Assumptions'!$B$4)</f>
        <v>0</v>
      </c>
      <c r="G59" s="73">
        <f ca="1">IF($C59=G$3,SUMIFS(OFFSET('Non-margin Costs'!$A:$A,,MATCH(G$4,'Non-margin Costs'!$2:$2,0)-1,,),'Non-margin Costs'!$A:$A,$B59)*1000,(SUMIFS(OFFSET('Non-margin Costs'!$A:$A,,MATCH(G$4,'Non-margin Costs'!$2:$2,0)-1,,),'Non-margin Costs'!$A:$A,$B59)*1000)/'2020 Assumptions'!$B$4)</f>
        <v>0</v>
      </c>
      <c r="I59" s="73">
        <f ca="1">OFFSET('Allocation %'!$A$1,MATCH(I$4,'Allocation %'!$A:$A,0)-1,MATCH($D59,'Allocation %'!$5:$5,0)-1)*$F59</f>
        <v>0</v>
      </c>
      <c r="J59" s="73">
        <f ca="1">OFFSET('Allocation %'!$A$1,MATCH(J$4,'Allocation %'!$A:$A,0)-1,MATCH($D59,'Allocation %'!$5:$5,0)-1)*$F59</f>
        <v>0</v>
      </c>
      <c r="K59" s="73">
        <f ca="1">OFFSET('Allocation %'!$A$1,MATCH(K$4,'Allocation %'!$A:$A,0)-1,MATCH($D59,'Allocation %'!$5:$5,0)-1)*$F59</f>
        <v>0</v>
      </c>
      <c r="L59" s="73">
        <f ca="1">OFFSET('Allocation %'!$A$1,MATCH(L$4,'Allocation %'!$A:$A,0)-1,MATCH($D59,'Allocation %'!$5:$5,0)-1)*$F59</f>
        <v>0</v>
      </c>
      <c r="M59" s="73">
        <f ca="1">OFFSET('Allocation %'!$A$1,MATCH(M$4,'Allocation %'!$A:$A,0)-1,MATCH($D59,'Allocation %'!$5:$5,0)-1)*$F59</f>
        <v>0</v>
      </c>
      <c r="N59" s="73">
        <f ca="1">OFFSET('Allocation %'!$A$1,MATCH(N$4,'Allocation %'!$A:$A,0)-1,MATCH($D59,'Allocation %'!$5:$5,0)-1)*$F59</f>
        <v>0</v>
      </c>
      <c r="O59" s="73">
        <f ca="1">OFFSET('Allocation %'!$A$1,MATCH(O$4,'Allocation %'!$A:$A,0)-1,MATCH($D59,'Allocation %'!$5:$5,0)-1)*$F59</f>
        <v>0</v>
      </c>
      <c r="P59" s="73">
        <f ca="1">OFFSET('Allocation %'!$A$1,MATCH(P$4,'Allocation %'!$A:$A,0)-1,MATCH($D59,'Allocation %'!$5:$5,0)-1)*$F59</f>
        <v>0</v>
      </c>
      <c r="Q59" s="73">
        <f ca="1">OFFSET('Allocation %'!$A$1,MATCH(Q$4,'Allocation %'!$A:$A,0)-1,MATCH($D59,'Allocation %'!$5:$5,0)-1)*$F59</f>
        <v>0</v>
      </c>
      <c r="R59" s="73">
        <f ca="1">OFFSET('Allocation %'!$A$1,MATCH(R$4,'Allocation %'!$A:$A,0)-1,MATCH($D59,'Allocation %'!$5:$5,0)-1)*$F59</f>
        <v>0</v>
      </c>
      <c r="S59" s="73">
        <f ca="1">OFFSET('Allocation %'!$A$1,MATCH(S$4,'Allocation %'!$A:$A,0)-1,MATCH($D59,'Allocation %'!$5:$5,0)-1)*$F59</f>
        <v>0</v>
      </c>
      <c r="T59" s="73">
        <f ca="1">OFFSET('Allocation %'!$A$1,MATCH(T$4,'Allocation %'!$A:$A,0)-1,MATCH($D59,'Allocation %'!$5:$5,0)-1)*$F59</f>
        <v>0</v>
      </c>
      <c r="U59" s="73">
        <f ca="1">OFFSET('Allocation %'!$A$1,MATCH(U$4,'Allocation %'!$A:$A,0)-1,MATCH($D59,'Allocation %'!$5:$5,0)-1)*$F59</f>
        <v>0</v>
      </c>
      <c r="V59" s="73">
        <f ca="1">OFFSET('Allocation %'!$A$1,MATCH(V$4,'Allocation %'!$A:$A,0)-1,MATCH($D59,'Allocation %'!$5:$5,0)-1)*$F59</f>
        <v>0</v>
      </c>
      <c r="W59" s="73">
        <f ca="1">OFFSET('Allocation %'!$A$1,MATCH(W$4,'Allocation %'!$A:$A,0)-1,MATCH($D59,'Allocation %'!$5:$5,0)-1)*$F59</f>
        <v>0</v>
      </c>
      <c r="X59" s="73">
        <f ca="1">OFFSET('Allocation %'!$A$1,MATCH(X$4,'Allocation %'!$A:$A,0)-1,MATCH($D59,'Allocation %'!$5:$5,0)-1)*$F59</f>
        <v>0</v>
      </c>
      <c r="Y59" s="73">
        <f ca="1">OFFSET('Allocation %'!$A$1,MATCH(Y$4,'Allocation %'!$A:$A,0)-1,MATCH($D59,'Allocation %'!$5:$5,0)-1)*$F59</f>
        <v>0</v>
      </c>
      <c r="Z59" s="73">
        <f ca="1">OFFSET('Allocation %'!$A$1,MATCH(Z$4,'Allocation %'!$A:$A,0)-1,MATCH($D59,'Allocation %'!$5:$5,0)-1)*$F59</f>
        <v>0</v>
      </c>
      <c r="AA59" s="73">
        <f ca="1">OFFSET('Allocation %'!$A$1,MATCH(AA$4,'Allocation %'!$A:$A,0)-1,MATCH($D59,'Allocation %'!$5:$5,0)-1)*$F59</f>
        <v>0</v>
      </c>
      <c r="AB59" s="73">
        <f ca="1">OFFSET('Allocation %'!$A$1,MATCH(AB$4,'Allocation %'!$A:$A,0)-1,MATCH($D59,'Allocation %'!$5:$5,0)-1)*$F59</f>
        <v>0</v>
      </c>
      <c r="AC59" s="73">
        <f ca="1">OFFSET('Allocation %'!$A$1,MATCH(AC$4,'Allocation %'!$A:$A,0)-1,MATCH($D59,'Allocation %'!$5:$5,0)-1)*$F59</f>
        <v>0</v>
      </c>
      <c r="AD59" s="73">
        <f ca="1">OFFSET('Allocation %'!$A$1,MATCH(AD$4,'Allocation %'!$A:$A,0)-1,MATCH($D59,'Allocation %'!$5:$5,0)-1)*$F59</f>
        <v>0</v>
      </c>
      <c r="AE59" s="73">
        <f ca="1">OFFSET('Allocation %'!$A$1,MATCH(AE$4,'Allocation %'!$A:$A,0)-1,MATCH($D59,'Allocation %'!$5:$5,0)-1)*$F59</f>
        <v>0</v>
      </c>
      <c r="AF59" s="73">
        <f ca="1">OFFSET('Allocation %'!$A$1,MATCH(AF$4,'Allocation %'!$A:$A,0)-1,MATCH($D59,'Allocation %'!$5:$5,0)-1)*$F59</f>
        <v>0</v>
      </c>
      <c r="AG59" s="73">
        <f ca="1">OFFSET('Allocation %'!$A$1,MATCH(AG$4,'Allocation %'!$A:$A,0)-1,MATCH($D59,'Allocation %'!$5:$5,0)-1)*$F59</f>
        <v>0</v>
      </c>
      <c r="AH59" s="73">
        <f ca="1">OFFSET('Allocation %'!$A$1,MATCH(AH$4,'Allocation %'!$A:$A,0)-1,MATCH($D59,'Allocation %'!$5:$5,0)-1)*$F59</f>
        <v>0</v>
      </c>
      <c r="AI59" s="73">
        <f ca="1">OFFSET('Allocation %'!$A$1,MATCH(AI$4,'Allocation %'!$A:$A,0)-1,MATCH($D59,'Allocation %'!$5:$5,0)-1)*$F59</f>
        <v>0</v>
      </c>
      <c r="AJ59" s="73">
        <f ca="1">OFFSET('Allocation %'!$A$1,MATCH(AJ$4,'Allocation %'!$A:$A,0)-1,MATCH($D59,'Allocation %'!$5:$5,0)-1)*$F59</f>
        <v>0</v>
      </c>
      <c r="AK59" s="73">
        <f ca="1">OFFSET('Allocation %'!$A$1,MATCH(AK$4,'Allocation %'!$A:$A,0)-1,MATCH($D59,'Allocation %'!$5:$5,0)-1)*$F59</f>
        <v>0</v>
      </c>
      <c r="AL59" s="73">
        <f ca="1">OFFSET('Allocation %'!$A$1,MATCH(AL$4,'Allocation %'!$A:$A,0)-1,MATCH($D59,'Allocation %'!$5:$5,0)-1)*$F59</f>
        <v>0</v>
      </c>
      <c r="AM59" s="73">
        <f ca="1">OFFSET('Allocation %'!$A$1,MATCH(AM$4,'Allocation %'!$A:$A,0)-1,MATCH($D59,'Allocation %'!$5:$5,0)-1)*$F59</f>
        <v>0</v>
      </c>
      <c r="AN59" s="73">
        <f ca="1">OFFSET('Allocation %'!$A$1,MATCH(AN$4,'Allocation %'!$A:$A,0)-1,MATCH($D59,'Allocation %'!$5:$5,0)-1)*$F59</f>
        <v>0</v>
      </c>
      <c r="AO59" s="73">
        <f ca="1">OFFSET('Allocation %'!$A$1,MATCH(AO$4,'Allocation %'!$A:$A,0)-1,MATCH($D59,'Allocation %'!$5:$5,0)-1)*$F59</f>
        <v>0</v>
      </c>
      <c r="AP59" s="73">
        <f ca="1">OFFSET('Allocation %'!$A$1,MATCH(AP$4,'Allocation %'!$A:$A,0)-1,MATCH($D59,'Allocation %'!$5:$5,0)-1)*$F59</f>
        <v>0</v>
      </c>
      <c r="AQ59" s="73">
        <f ca="1">OFFSET('Allocation %'!$A$1,MATCH(AQ$4,'Allocation %'!$A:$A,0)-1,MATCH($D59,'Allocation %'!$5:$5,0)-1)*$F59</f>
        <v>0</v>
      </c>
      <c r="AR59" s="73">
        <f ca="1">OFFSET('Allocation %'!$A$1,MATCH(AR$4,'Allocation %'!$A:$A,0)-1,MATCH($D59,'Allocation %'!$5:$5,0)-1)*$F59</f>
        <v>0</v>
      </c>
      <c r="AS59" s="73">
        <f ca="1">OFFSET('Allocation %'!$A$1,MATCH(AS$4,'Allocation %'!$A:$A,0)-1,MATCH($D59,'Allocation %'!$5:$5,0)-1)*$F59</f>
        <v>0</v>
      </c>
      <c r="AT59" s="73">
        <f ca="1">OFFSET('Allocation %'!$A$1,MATCH(AT$4,'Allocation %'!$A:$A,0)-1,MATCH($D59,'Allocation %'!$5:$5,0)-1)*$F59</f>
        <v>0</v>
      </c>
      <c r="AU59" s="73">
        <f ca="1">OFFSET('Allocation %'!$A$1,MATCH(AU$4,'Allocation %'!$A:$A,0)-1,MATCH($D59,'Allocation %'!$5:$5,0)-1)*$F59</f>
        <v>0</v>
      </c>
      <c r="AV59" s="73">
        <f ca="1">OFFSET('Allocation %'!$A$1,MATCH(AV$4,'Allocation %'!$A:$A,0)-1,MATCH($D59,'Allocation %'!$5:$5,0)-1)*$F59</f>
        <v>0</v>
      </c>
      <c r="AW59" s="73">
        <f ca="1">OFFSET('Allocation %'!$A$1,MATCH(AW$4,'Allocation %'!$A:$A,0)-1,MATCH($D59,'Allocation %'!$5:$5,0)-1)*$F59</f>
        <v>0</v>
      </c>
      <c r="AX59" s="73">
        <f ca="1">OFFSET('Allocation %'!$A$1,MATCH(AX$4,'Allocation %'!$A:$A,0)-1,MATCH($D59,'Allocation %'!$5:$5,0)-1)*$F59</f>
        <v>0</v>
      </c>
      <c r="AY59" s="73">
        <f ca="1">OFFSET('Allocation %'!$A$1,MATCH(AY$4,'Allocation %'!$A:$A,0)-1,MATCH($D59,'Allocation %'!$5:$5,0)-1)*$F59</f>
        <v>0</v>
      </c>
      <c r="AZ59" s="73">
        <f ca="1">OFFSET('Allocation %'!$A$1,MATCH(AZ$4,'Allocation %'!$A:$A,0)-1,MATCH($D59,'Allocation %'!$5:$5,0)-1)*$F59</f>
        <v>0</v>
      </c>
      <c r="BA59" s="73">
        <f ca="1">OFFSET('Allocation %'!$A$1,MATCH(BA$4,'Allocation %'!$A:$A,0)-1,MATCH($D59,'Allocation %'!$5:$5,0)-1)*$F59</f>
        <v>0</v>
      </c>
      <c r="BB59" s="73">
        <f ca="1">OFFSET('Allocation %'!$A$1,MATCH(BB$4,'Allocation %'!$A:$A,0)-1,MATCH($D59,'Allocation %'!$5:$5,0)-1)*$F59</f>
        <v>0</v>
      </c>
      <c r="BC59" s="73">
        <f ca="1">OFFSET('Allocation %'!$A$1,MATCH(BC$4,'Allocation %'!$A:$A,0)-1,MATCH($D59,'Allocation %'!$5:$5,0)-1)*$F59</f>
        <v>0</v>
      </c>
      <c r="BD59" s="73">
        <f ca="1">OFFSET('Allocation %'!$A$1,MATCH(BD$4,'Allocation %'!$A:$A,0)-1,MATCH($D59,'Allocation %'!$5:$5,0)-1)*$F59</f>
        <v>0</v>
      </c>
      <c r="BE59" s="73">
        <f ca="1">OFFSET('Allocation %'!$A$1,MATCH(BE$4,'Allocation %'!$A:$A,0)-1,MATCH($D59,'Allocation %'!$5:$5,0)-1)*$F59</f>
        <v>0</v>
      </c>
      <c r="BG59" s="76">
        <f t="shared" ca="1" si="3"/>
        <v>0</v>
      </c>
      <c r="BH59" s="349">
        <f t="shared" ca="1" si="4"/>
        <v>0</v>
      </c>
      <c r="BJ59" s="76">
        <f t="shared" ca="1" si="2"/>
        <v>0</v>
      </c>
    </row>
    <row r="60" spans="1:62" s="176" customFormat="1" x14ac:dyDescent="0.25">
      <c r="A60" s="139" t="s">
        <v>419</v>
      </c>
      <c r="B60" s="259" t="s">
        <v>307</v>
      </c>
      <c r="C60" s="69" t="str">
        <f>INDEX(ACTUALS!$E:$E,MATCH($B60,ACTUALS!$A:$A,0))</f>
        <v>USD</v>
      </c>
      <c r="D60" s="352" t="str">
        <f ca="1">OFFSET(ACTUALS!$O$2,MATCH($B60,ACTUALS!$A:$A,0)-2,MATCH($E$4,ACTUALS!$P$2:$P$2,0))</f>
        <v>ALL</v>
      </c>
      <c r="E60" s="73">
        <f ca="1">IF($C60=E$3,SUMIFS(OFFSET(ACTUALS!$A:$A,,MATCH(E$4,ACTUALS!$2:$2,0)-1,,),ACTUALS!$A:$A,$B60)*-1000,F60*'2020 Assumptions'!$B$4)</f>
        <v>41564.357691999998</v>
      </c>
      <c r="F60" s="317">
        <f ca="1">IF($C60=F$3,SUMIFS(OFFSET(ACTUALS!$A:$A,,MATCH(F$4,ACTUALS!$2:$2,0)-1,,),ACTUALS!$A:$A,$B60)*-1000,E60/'2020 Assumptions'!$B$4)</f>
        <v>30921.26</v>
      </c>
      <c r="G60" s="73">
        <f ca="1">IF($C60=G$3,SUMIFS(OFFSET('Non-margin Costs'!$A:$A,,MATCH(G$4,'Non-margin Costs'!$2:$2,0)-1,,),'Non-margin Costs'!$A:$A,$B60)*1000,(SUMIFS(OFFSET('Non-margin Costs'!$A:$A,,MATCH(G$4,'Non-margin Costs'!$2:$2,0)-1,,),'Non-margin Costs'!$A:$A,$B60)*1000)/'2020 Assumptions'!$B$4)</f>
        <v>15837</v>
      </c>
      <c r="I60" s="73">
        <f ca="1">OFFSET('Allocation %'!$A$1,MATCH(I$4,'Allocation %'!$A:$A,0)-1,MATCH($D60,'Allocation %'!$5:$5,0)-1)*$F60</f>
        <v>0</v>
      </c>
      <c r="J60" s="73">
        <f ca="1">OFFSET('Allocation %'!$A$1,MATCH(J$4,'Allocation %'!$A:$A,0)-1,MATCH($D60,'Allocation %'!$5:$5,0)-1)*$F60</f>
        <v>74.86402788539003</v>
      </c>
      <c r="K60" s="73">
        <f ca="1">OFFSET('Allocation %'!$A$1,MATCH(K$4,'Allocation %'!$A:$A,0)-1,MATCH($D60,'Allocation %'!$5:$5,0)-1)*$F60</f>
        <v>23.568746173184728</v>
      </c>
      <c r="L60" s="73">
        <f ca="1">OFFSET('Allocation %'!$A$1,MATCH(L$4,'Allocation %'!$A:$A,0)-1,MATCH($D60,'Allocation %'!$5:$5,0)-1)*$F60</f>
        <v>25.475215956455358</v>
      </c>
      <c r="M60" s="73">
        <f ca="1">OFFSET('Allocation %'!$A$1,MATCH(M$4,'Allocation %'!$A:$A,0)-1,MATCH($D60,'Allocation %'!$5:$5,0)-1)*$F60</f>
        <v>41.472461629724549</v>
      </c>
      <c r="N60" s="73">
        <f ca="1">OFFSET('Allocation %'!$A$1,MATCH(N$4,'Allocation %'!$A:$A,0)-1,MATCH($D60,'Allocation %'!$5:$5,0)-1)*$F60</f>
        <v>36.291690996187384</v>
      </c>
      <c r="O60" s="73">
        <f ca="1">OFFSET('Allocation %'!$A$1,MATCH(O$4,'Allocation %'!$A:$A,0)-1,MATCH($D60,'Allocation %'!$5:$5,0)-1)*$F60</f>
        <v>84.850650614280823</v>
      </c>
      <c r="P60" s="73">
        <f ca="1">OFFSET('Allocation %'!$A$1,MATCH(P$4,'Allocation %'!$A:$A,0)-1,MATCH($D60,'Allocation %'!$5:$5,0)-1)*$F60</f>
        <v>12.320596325048118</v>
      </c>
      <c r="Q60" s="73">
        <f ca="1">OFFSET('Allocation %'!$A$1,MATCH(Q$4,'Allocation %'!$A:$A,0)-1,MATCH($D60,'Allocation %'!$5:$5,0)-1)*$F60</f>
        <v>26.886887602479245</v>
      </c>
      <c r="R60" s="73">
        <f ca="1">OFFSET('Allocation %'!$A$1,MATCH(R$4,'Allocation %'!$A:$A,0)-1,MATCH($D60,'Allocation %'!$5:$5,0)-1)*$F60</f>
        <v>24.814143156066539</v>
      </c>
      <c r="S60" s="73">
        <f ca="1">OFFSET('Allocation %'!$A$1,MATCH(S$4,'Allocation %'!$A:$A,0)-1,MATCH($D60,'Allocation %'!$5:$5,0)-1)*$F60</f>
        <v>23.866996456838365</v>
      </c>
      <c r="T60" s="73">
        <f ca="1">OFFSET('Allocation %'!$A$1,MATCH(T$4,'Allocation %'!$A:$A,0)-1,MATCH($D60,'Allocation %'!$5:$5,0)-1)*$F60</f>
        <v>85.660974532065566</v>
      </c>
      <c r="U60" s="73">
        <f ca="1">OFFSET('Allocation %'!$A$1,MATCH(U$4,'Allocation %'!$A:$A,0)-1,MATCH($D60,'Allocation %'!$5:$5,0)-1)*$F60</f>
        <v>54.793125125500929</v>
      </c>
      <c r="V60" s="73">
        <f ca="1">OFFSET('Allocation %'!$A$1,MATCH(V$4,'Allocation %'!$A:$A,0)-1,MATCH($D60,'Allocation %'!$5:$5,0)-1)*$F60</f>
        <v>58.150713572949734</v>
      </c>
      <c r="W60" s="73">
        <f ca="1">OFFSET('Allocation %'!$A$1,MATCH(W$4,'Allocation %'!$A:$A,0)-1,MATCH($D60,'Allocation %'!$5:$5,0)-1)*$F60</f>
        <v>94.171734756482223</v>
      </c>
      <c r="X60" s="73">
        <f ca="1">OFFSET('Allocation %'!$A$1,MATCH(X$4,'Allocation %'!$A:$A,0)-1,MATCH($D60,'Allocation %'!$5:$5,0)-1)*$F60</f>
        <v>2.1810839710484058</v>
      </c>
      <c r="Y60" s="73">
        <f ca="1">OFFSET('Allocation %'!$A$1,MATCH(Y$4,'Allocation %'!$A:$A,0)-1,MATCH($D60,'Allocation %'!$5:$5,0)-1)*$F60</f>
        <v>1.7210073141658475</v>
      </c>
      <c r="Z60" s="73">
        <f ca="1">OFFSET('Allocation %'!$A$1,MATCH(Z$4,'Allocation %'!$A:$A,0)-1,MATCH($D60,'Allocation %'!$5:$5,0)-1)*$F60</f>
        <v>5.0187342521433438</v>
      </c>
      <c r="AA60" s="73">
        <f ca="1">OFFSET('Allocation %'!$A$1,MATCH(AA$4,'Allocation %'!$A:$A,0)-1,MATCH($D60,'Allocation %'!$5:$5,0)-1)*$F60</f>
        <v>4.5792042510750042</v>
      </c>
      <c r="AB60" s="73">
        <f ca="1">OFFSET('Allocation %'!$A$1,MATCH(AB$4,'Allocation %'!$A:$A,0)-1,MATCH($D60,'Allocation %'!$5:$5,0)-1)*$F60</f>
        <v>4.4309688555616953</v>
      </c>
      <c r="AC60" s="73">
        <f ca="1">OFFSET('Allocation %'!$A$1,MATCH(AC$4,'Allocation %'!$A:$A,0)-1,MATCH($D60,'Allocation %'!$5:$5,0)-1)*$F60</f>
        <v>5.0126946539226829</v>
      </c>
      <c r="AD60" s="73">
        <f ca="1">OFFSET('Allocation %'!$A$1,MATCH(AD$4,'Allocation %'!$A:$A,0)-1,MATCH($D60,'Allocation %'!$5:$5,0)-1)*$F60</f>
        <v>11.077225449712834</v>
      </c>
      <c r="AE60" s="73">
        <f ca="1">OFFSET('Allocation %'!$A$1,MATCH(AE$4,'Allocation %'!$A:$A,0)-1,MATCH($D60,'Allocation %'!$5:$5,0)-1)*$F60</f>
        <v>10.603796640536444</v>
      </c>
      <c r="AF60" s="73">
        <f ca="1">OFFSET('Allocation %'!$A$1,MATCH(AF$4,'Allocation %'!$A:$A,0)-1,MATCH($D60,'Allocation %'!$5:$5,0)-1)*$F60</f>
        <v>52.276768452403907</v>
      </c>
      <c r="AG60" s="73">
        <f ca="1">OFFSET('Allocation %'!$A$1,MATCH(AG$4,'Allocation %'!$A:$A,0)-1,MATCH($D60,'Allocation %'!$5:$5,0)-1)*$F60</f>
        <v>82.272318327641358</v>
      </c>
      <c r="AH60" s="73">
        <f ca="1">OFFSET('Allocation %'!$A$1,MATCH(AH$4,'Allocation %'!$A:$A,0)-1,MATCH($D60,'Allocation %'!$5:$5,0)-1)*$F60</f>
        <v>727.71940696042452</v>
      </c>
      <c r="AI60" s="73">
        <f ca="1">OFFSET('Allocation %'!$A$1,MATCH(AI$4,'Allocation %'!$A:$A,0)-1,MATCH($D60,'Allocation %'!$5:$5,0)-1)*$F60</f>
        <v>4.3221389507514019</v>
      </c>
      <c r="AJ60" s="73">
        <f ca="1">OFFSET('Allocation %'!$A$1,MATCH(AJ$4,'Allocation %'!$A:$A,0)-1,MATCH($D60,'Allocation %'!$5:$5,0)-1)*$F60</f>
        <v>101.22568287138455</v>
      </c>
      <c r="AK60" s="73">
        <f ca="1">OFFSET('Allocation %'!$A$1,MATCH(AK$4,'Allocation %'!$A:$A,0)-1,MATCH($D60,'Allocation %'!$5:$5,0)-1)*$F60</f>
        <v>91.100355415586662</v>
      </c>
      <c r="AL60" s="73">
        <f ca="1">OFFSET('Allocation %'!$A$1,MATCH(AL$4,'Allocation %'!$A:$A,0)-1,MATCH($D60,'Allocation %'!$5:$5,0)-1)*$F60</f>
        <v>0</v>
      </c>
      <c r="AM60" s="73">
        <f ca="1">OFFSET('Allocation %'!$A$1,MATCH(AM$4,'Allocation %'!$A:$A,0)-1,MATCH($D60,'Allocation %'!$5:$5,0)-1)*$F60</f>
        <v>11.944075647479478</v>
      </c>
      <c r="AN60" s="73">
        <f ca="1">OFFSET('Allocation %'!$A$1,MATCH(AN$4,'Allocation %'!$A:$A,0)-1,MATCH($D60,'Allocation %'!$5:$5,0)-1)*$F60</f>
        <v>0</v>
      </c>
      <c r="AO60" s="73">
        <f ca="1">OFFSET('Allocation %'!$A$1,MATCH(AO$4,'Allocation %'!$A:$A,0)-1,MATCH($D60,'Allocation %'!$5:$5,0)-1)*$F60</f>
        <v>98.215686923364274</v>
      </c>
      <c r="AP60" s="73">
        <f ca="1">OFFSET('Allocation %'!$A$1,MATCH(AP$4,'Allocation %'!$A:$A,0)-1,MATCH($D60,'Allocation %'!$5:$5,0)-1)*$F60</f>
        <v>20.410188262035931</v>
      </c>
      <c r="AQ60" s="73">
        <f ca="1">OFFSET('Allocation %'!$A$1,MATCH(AQ$4,'Allocation %'!$A:$A,0)-1,MATCH($D60,'Allocation %'!$5:$5,0)-1)*$F60</f>
        <v>90.261955942508067</v>
      </c>
      <c r="AR60" s="73">
        <f ca="1">OFFSET('Allocation %'!$A$1,MATCH(AR$4,'Allocation %'!$A:$A,0)-1,MATCH($D60,'Allocation %'!$5:$5,0)-1)*$F60</f>
        <v>2.2649737708190179</v>
      </c>
      <c r="AS60" s="73">
        <f ca="1">OFFSET('Allocation %'!$A$1,MATCH(AS$4,'Allocation %'!$A:$A,0)-1,MATCH($D60,'Allocation %'!$5:$5,0)-1)*$F60</f>
        <v>165.90704394435633</v>
      </c>
      <c r="AT60" s="73">
        <f ca="1">OFFSET('Allocation %'!$A$1,MATCH(AT$4,'Allocation %'!$A:$A,0)-1,MATCH($D60,'Allocation %'!$5:$5,0)-1)*$F60</f>
        <v>97.686698585206784</v>
      </c>
      <c r="AU60" s="73">
        <f ca="1">OFFSET('Allocation %'!$A$1,MATCH(AU$4,'Allocation %'!$A:$A,0)-1,MATCH($D60,'Allocation %'!$5:$5,0)-1)*$F60</f>
        <v>116.76607510050169</v>
      </c>
      <c r="AV60" s="73">
        <f ca="1">OFFSET('Allocation %'!$A$1,MATCH(AV$4,'Allocation %'!$A:$A,0)-1,MATCH($D60,'Allocation %'!$5:$5,0)-1)*$F60</f>
        <v>179.8854653401558</v>
      </c>
      <c r="AW60" s="73">
        <f ca="1">OFFSET('Allocation %'!$A$1,MATCH(AW$4,'Allocation %'!$A:$A,0)-1,MATCH($D60,'Allocation %'!$5:$5,0)-1)*$F60</f>
        <v>687.52722186118228</v>
      </c>
      <c r="AX60" s="73">
        <f ca="1">OFFSET('Allocation %'!$A$1,MATCH(AX$4,'Allocation %'!$A:$A,0)-1,MATCH($D60,'Allocation %'!$5:$5,0)-1)*$F60</f>
        <v>11.993201858368002</v>
      </c>
      <c r="AY60" s="73">
        <f ca="1">OFFSET('Allocation %'!$A$1,MATCH(AY$4,'Allocation %'!$A:$A,0)-1,MATCH($D60,'Allocation %'!$5:$5,0)-1)*$F60</f>
        <v>0</v>
      </c>
      <c r="AZ60" s="73">
        <f ca="1">OFFSET('Allocation %'!$A$1,MATCH(AZ$4,'Allocation %'!$A:$A,0)-1,MATCH($D60,'Allocation %'!$5:$5,0)-1)*$F60</f>
        <v>16366.545371183471</v>
      </c>
      <c r="BA60" s="73">
        <f ca="1">OFFSET('Allocation %'!$A$1,MATCH(BA$4,'Allocation %'!$A:$A,0)-1,MATCH($D60,'Allocation %'!$5:$5,0)-1)*$F60</f>
        <v>3239.6236523853463</v>
      </c>
      <c r="BB60" s="73">
        <f ca="1">OFFSET('Allocation %'!$A$1,MATCH(BB$4,'Allocation %'!$A:$A,0)-1,MATCH($D60,'Allocation %'!$5:$5,0)-1)*$F60</f>
        <v>2112.0211737115587</v>
      </c>
      <c r="BC60" s="73">
        <f ca="1">OFFSET('Allocation %'!$A$1,MATCH(BC$4,'Allocation %'!$A:$A,0)-1,MATCH($D60,'Allocation %'!$5:$5,0)-1)*$F60</f>
        <v>65.489272187462319</v>
      </c>
      <c r="BD60" s="73">
        <f ca="1">OFFSET('Allocation %'!$A$1,MATCH(BD$4,'Allocation %'!$A:$A,0)-1,MATCH($D60,'Allocation %'!$5:$5,0)-1)*$F60</f>
        <v>1260.4220078847636</v>
      </c>
      <c r="BE60" s="73">
        <f ca="1">OFFSET('Allocation %'!$A$1,MATCH(BE$4,'Allocation %'!$A:$A,0)-1,MATCH($D60,'Allocation %'!$5:$5,0)-1)*$F60</f>
        <v>4623.5665842624057</v>
      </c>
      <c r="BG60" s="76">
        <f t="shared" ca="1" si="3"/>
        <v>30921.260000000002</v>
      </c>
      <c r="BH60" s="349">
        <f t="shared" ca="1" si="4"/>
        <v>0</v>
      </c>
      <c r="BJ60" s="76">
        <f t="shared" ca="1" si="2"/>
        <v>11315.09097643118</v>
      </c>
    </row>
    <row r="61" spans="1:62" s="177" customFormat="1" x14ac:dyDescent="0.25">
      <c r="B61" s="177" t="s">
        <v>315</v>
      </c>
      <c r="C61" s="177" t="str">
        <f>INDEX(ACTUALS!$E:$E,MATCH($B61,ACTUALS!$A:$A,0))</f>
        <v>USD</v>
      </c>
      <c r="D61" s="159" t="str">
        <f ca="1">OFFSET(ACTUALS!$O$2,MATCH($B61,ACTUALS!$A:$A,0)-2,MATCH($E$4,ACTUALS!$P$2:$P$2,0))</f>
        <v>Alaska</v>
      </c>
      <c r="E61" s="73">
        <f ca="1">IF($C61=E$3,SUMIFS(OFFSET(ACTUALS!$A:$A,,MATCH(E$4,ACTUALS!$2:$2,0)-1,,),ACTUALS!$A:$A,$B61)*-1000,F61*'2020 Assumptions'!$B$4)</f>
        <v>-81492.125</v>
      </c>
      <c r="F61" s="73">
        <f ca="1">IF($C61=F$3,SUMIFS(OFFSET(ACTUALS!$A:$A,,MATCH(F$4,ACTUALS!$2:$2,0)-1,,),ACTUALS!$A:$A,$B61)*-1000,E61/'2020 Assumptions'!$B$4)</f>
        <v>-60625</v>
      </c>
      <c r="G61" s="73">
        <f ca="1">IF($C61=G$3,SUMIFS(OFFSET('Non-margin Costs'!$A:$A,,MATCH(G$4,'Non-margin Costs'!$2:$2,0)-1,,),'Non-margin Costs'!$A:$A,$B61)*1000,(SUMIFS(OFFSET('Non-margin Costs'!$A:$A,,MATCH(G$4,'Non-margin Costs'!$2:$2,0)-1,,),'Non-margin Costs'!$A:$A,$B61)*1000)/'2020 Assumptions'!$B$4)</f>
        <v>0</v>
      </c>
      <c r="I61" s="73">
        <f ca="1">OFFSET('Allocation %'!$A$1,MATCH(I$4,'Allocation %'!$A:$A,0)-1,MATCH($D61,'Allocation %'!$5:$5,0)-1)*$F61</f>
        <v>0</v>
      </c>
      <c r="J61" s="73">
        <f ca="1">OFFSET('Allocation %'!$A$1,MATCH(J$4,'Allocation %'!$A:$A,0)-1,MATCH($D61,'Allocation %'!$5:$5,0)-1)*$F61</f>
        <v>0</v>
      </c>
      <c r="K61" s="73">
        <f ca="1">OFFSET('Allocation %'!$A$1,MATCH(K$4,'Allocation %'!$A:$A,0)-1,MATCH($D61,'Allocation %'!$5:$5,0)-1)*$F61</f>
        <v>0</v>
      </c>
      <c r="L61" s="73">
        <f ca="1">OFFSET('Allocation %'!$A$1,MATCH(L$4,'Allocation %'!$A:$A,0)-1,MATCH($D61,'Allocation %'!$5:$5,0)-1)*$F61</f>
        <v>0</v>
      </c>
      <c r="M61" s="73">
        <f ca="1">OFFSET('Allocation %'!$A$1,MATCH(M$4,'Allocation %'!$A:$A,0)-1,MATCH($D61,'Allocation %'!$5:$5,0)-1)*$F61</f>
        <v>0</v>
      </c>
      <c r="N61" s="73">
        <f ca="1">OFFSET('Allocation %'!$A$1,MATCH(N$4,'Allocation %'!$A:$A,0)-1,MATCH($D61,'Allocation %'!$5:$5,0)-1)*$F61</f>
        <v>0</v>
      </c>
      <c r="O61" s="73">
        <f ca="1">OFFSET('Allocation %'!$A$1,MATCH(O$4,'Allocation %'!$A:$A,0)-1,MATCH($D61,'Allocation %'!$5:$5,0)-1)*$F61</f>
        <v>0</v>
      </c>
      <c r="P61" s="73">
        <f ca="1">OFFSET('Allocation %'!$A$1,MATCH(P$4,'Allocation %'!$A:$A,0)-1,MATCH($D61,'Allocation %'!$5:$5,0)-1)*$F61</f>
        <v>0</v>
      </c>
      <c r="Q61" s="73">
        <f ca="1">OFFSET('Allocation %'!$A$1,MATCH(Q$4,'Allocation %'!$A:$A,0)-1,MATCH($D61,'Allocation %'!$5:$5,0)-1)*$F61</f>
        <v>0</v>
      </c>
      <c r="R61" s="73">
        <f ca="1">OFFSET('Allocation %'!$A$1,MATCH(R$4,'Allocation %'!$A:$A,0)-1,MATCH($D61,'Allocation %'!$5:$5,0)-1)*$F61</f>
        <v>0</v>
      </c>
      <c r="S61" s="73">
        <f ca="1">OFFSET('Allocation %'!$A$1,MATCH(S$4,'Allocation %'!$A:$A,0)-1,MATCH($D61,'Allocation %'!$5:$5,0)-1)*$F61</f>
        <v>0</v>
      </c>
      <c r="T61" s="73">
        <f ca="1">OFFSET('Allocation %'!$A$1,MATCH(T$4,'Allocation %'!$A:$A,0)-1,MATCH($D61,'Allocation %'!$5:$5,0)-1)*$F61</f>
        <v>0</v>
      </c>
      <c r="U61" s="73">
        <f ca="1">OFFSET('Allocation %'!$A$1,MATCH(U$4,'Allocation %'!$A:$A,0)-1,MATCH($D61,'Allocation %'!$5:$5,0)-1)*$F61</f>
        <v>0</v>
      </c>
      <c r="V61" s="73">
        <f ca="1">OFFSET('Allocation %'!$A$1,MATCH(V$4,'Allocation %'!$A:$A,0)-1,MATCH($D61,'Allocation %'!$5:$5,0)-1)*$F61</f>
        <v>0</v>
      </c>
      <c r="W61" s="73">
        <f ca="1">OFFSET('Allocation %'!$A$1,MATCH(W$4,'Allocation %'!$A:$A,0)-1,MATCH($D61,'Allocation %'!$5:$5,0)-1)*$F61</f>
        <v>0</v>
      </c>
      <c r="X61" s="73">
        <f ca="1">OFFSET('Allocation %'!$A$1,MATCH(X$4,'Allocation %'!$A:$A,0)-1,MATCH($D61,'Allocation %'!$5:$5,0)-1)*$F61</f>
        <v>0</v>
      </c>
      <c r="Y61" s="73">
        <f ca="1">OFFSET('Allocation %'!$A$1,MATCH(Y$4,'Allocation %'!$A:$A,0)-1,MATCH($D61,'Allocation %'!$5:$5,0)-1)*$F61</f>
        <v>0</v>
      </c>
      <c r="Z61" s="73">
        <f ca="1">OFFSET('Allocation %'!$A$1,MATCH(Z$4,'Allocation %'!$A:$A,0)-1,MATCH($D61,'Allocation %'!$5:$5,0)-1)*$F61</f>
        <v>0</v>
      </c>
      <c r="AA61" s="73">
        <f ca="1">OFFSET('Allocation %'!$A$1,MATCH(AA$4,'Allocation %'!$A:$A,0)-1,MATCH($D61,'Allocation %'!$5:$5,0)-1)*$F61</f>
        <v>0</v>
      </c>
      <c r="AB61" s="73">
        <f ca="1">OFFSET('Allocation %'!$A$1,MATCH(AB$4,'Allocation %'!$A:$A,0)-1,MATCH($D61,'Allocation %'!$5:$5,0)-1)*$F61</f>
        <v>0</v>
      </c>
      <c r="AC61" s="73">
        <f ca="1">OFFSET('Allocation %'!$A$1,MATCH(AC$4,'Allocation %'!$A:$A,0)-1,MATCH($D61,'Allocation %'!$5:$5,0)-1)*$F61</f>
        <v>0</v>
      </c>
      <c r="AD61" s="73">
        <f ca="1">OFFSET('Allocation %'!$A$1,MATCH(AD$4,'Allocation %'!$A:$A,0)-1,MATCH($D61,'Allocation %'!$5:$5,0)-1)*$F61</f>
        <v>0</v>
      </c>
      <c r="AE61" s="73">
        <f ca="1">OFFSET('Allocation %'!$A$1,MATCH(AE$4,'Allocation %'!$A:$A,0)-1,MATCH($D61,'Allocation %'!$5:$5,0)-1)*$F61</f>
        <v>0</v>
      </c>
      <c r="AF61" s="73">
        <f ca="1">OFFSET('Allocation %'!$A$1,MATCH(AF$4,'Allocation %'!$A:$A,0)-1,MATCH($D61,'Allocation %'!$5:$5,0)-1)*$F61</f>
        <v>0</v>
      </c>
      <c r="AG61" s="73">
        <f ca="1">OFFSET('Allocation %'!$A$1,MATCH(AG$4,'Allocation %'!$A:$A,0)-1,MATCH($D61,'Allocation %'!$5:$5,0)-1)*$F61</f>
        <v>0</v>
      </c>
      <c r="AH61" s="73">
        <f ca="1">OFFSET('Allocation %'!$A$1,MATCH(AH$4,'Allocation %'!$A:$A,0)-1,MATCH($D61,'Allocation %'!$5:$5,0)-1)*$F61</f>
        <v>0</v>
      </c>
      <c r="AI61" s="73">
        <f ca="1">OFFSET('Allocation %'!$A$1,MATCH(AI$4,'Allocation %'!$A:$A,0)-1,MATCH($D61,'Allocation %'!$5:$5,0)-1)*$F61</f>
        <v>0</v>
      </c>
      <c r="AJ61" s="73">
        <f ca="1">OFFSET('Allocation %'!$A$1,MATCH(AJ$4,'Allocation %'!$A:$A,0)-1,MATCH($D61,'Allocation %'!$5:$5,0)-1)*$F61</f>
        <v>0</v>
      </c>
      <c r="AK61" s="73">
        <f ca="1">OFFSET('Allocation %'!$A$1,MATCH(AK$4,'Allocation %'!$A:$A,0)-1,MATCH($D61,'Allocation %'!$5:$5,0)-1)*$F61</f>
        <v>0</v>
      </c>
      <c r="AL61" s="73">
        <f ca="1">OFFSET('Allocation %'!$A$1,MATCH(AL$4,'Allocation %'!$A:$A,0)-1,MATCH($D61,'Allocation %'!$5:$5,0)-1)*$F61</f>
        <v>0</v>
      </c>
      <c r="AM61" s="73">
        <f ca="1">OFFSET('Allocation %'!$A$1,MATCH(AM$4,'Allocation %'!$A:$A,0)-1,MATCH($D61,'Allocation %'!$5:$5,0)-1)*$F61</f>
        <v>0</v>
      </c>
      <c r="AN61" s="73">
        <f ca="1">OFFSET('Allocation %'!$A$1,MATCH(AN$4,'Allocation %'!$A:$A,0)-1,MATCH($D61,'Allocation %'!$5:$5,0)-1)*$F61</f>
        <v>0</v>
      </c>
      <c r="AO61" s="73">
        <f ca="1">OFFSET('Allocation %'!$A$1,MATCH(AO$4,'Allocation %'!$A:$A,0)-1,MATCH($D61,'Allocation %'!$5:$5,0)-1)*$F61</f>
        <v>0</v>
      </c>
      <c r="AP61" s="73">
        <f ca="1">OFFSET('Allocation %'!$A$1,MATCH(AP$4,'Allocation %'!$A:$A,0)-1,MATCH($D61,'Allocation %'!$5:$5,0)-1)*$F61</f>
        <v>0</v>
      </c>
      <c r="AQ61" s="73">
        <f ca="1">OFFSET('Allocation %'!$A$1,MATCH(AQ$4,'Allocation %'!$A:$A,0)-1,MATCH($D61,'Allocation %'!$5:$5,0)-1)*$F61</f>
        <v>0</v>
      </c>
      <c r="AR61" s="73">
        <f ca="1">OFFSET('Allocation %'!$A$1,MATCH(AR$4,'Allocation %'!$A:$A,0)-1,MATCH($D61,'Allocation %'!$5:$5,0)-1)*$F61</f>
        <v>0</v>
      </c>
      <c r="AS61" s="73">
        <f ca="1">OFFSET('Allocation %'!$A$1,MATCH(AS$4,'Allocation %'!$A:$A,0)-1,MATCH($D61,'Allocation %'!$5:$5,0)-1)*$F61</f>
        <v>0</v>
      </c>
      <c r="AT61" s="73">
        <f ca="1">OFFSET('Allocation %'!$A$1,MATCH(AT$4,'Allocation %'!$A:$A,0)-1,MATCH($D61,'Allocation %'!$5:$5,0)-1)*$F61</f>
        <v>0</v>
      </c>
      <c r="AU61" s="73">
        <f ca="1">OFFSET('Allocation %'!$A$1,MATCH(AU$4,'Allocation %'!$A:$A,0)-1,MATCH($D61,'Allocation %'!$5:$5,0)-1)*$F61</f>
        <v>0</v>
      </c>
      <c r="AV61" s="73">
        <f ca="1">OFFSET('Allocation %'!$A$1,MATCH(AV$4,'Allocation %'!$A:$A,0)-1,MATCH($D61,'Allocation %'!$5:$5,0)-1)*$F61</f>
        <v>0</v>
      </c>
      <c r="AW61" s="73">
        <f ca="1">OFFSET('Allocation %'!$A$1,MATCH(AW$4,'Allocation %'!$A:$A,0)-1,MATCH($D61,'Allocation %'!$5:$5,0)-1)*$F61</f>
        <v>0</v>
      </c>
      <c r="AX61" s="73">
        <f ca="1">OFFSET('Allocation %'!$A$1,MATCH(AX$4,'Allocation %'!$A:$A,0)-1,MATCH($D61,'Allocation %'!$5:$5,0)-1)*$F61</f>
        <v>0</v>
      </c>
      <c r="AY61" s="73">
        <f ca="1">OFFSET('Allocation %'!$A$1,MATCH(AY$4,'Allocation %'!$A:$A,0)-1,MATCH($D61,'Allocation %'!$5:$5,0)-1)*$F61</f>
        <v>0</v>
      </c>
      <c r="AZ61" s="73">
        <f ca="1">OFFSET('Allocation %'!$A$1,MATCH(AZ$4,'Allocation %'!$A:$A,0)-1,MATCH($D61,'Allocation %'!$5:$5,0)-1)*$F61</f>
        <v>0</v>
      </c>
      <c r="BA61" s="73">
        <f ca="1">OFFSET('Allocation %'!$A$1,MATCH(BA$4,'Allocation %'!$A:$A,0)-1,MATCH($D61,'Allocation %'!$5:$5,0)-1)*$F61</f>
        <v>-60625</v>
      </c>
      <c r="BB61" s="73">
        <f ca="1">OFFSET('Allocation %'!$A$1,MATCH(BB$4,'Allocation %'!$A:$A,0)-1,MATCH($D61,'Allocation %'!$5:$5,0)-1)*$F61</f>
        <v>0</v>
      </c>
      <c r="BC61" s="73">
        <f ca="1">OFFSET('Allocation %'!$A$1,MATCH(BC$4,'Allocation %'!$A:$A,0)-1,MATCH($D61,'Allocation %'!$5:$5,0)-1)*$F61</f>
        <v>0</v>
      </c>
      <c r="BD61" s="73">
        <f ca="1">OFFSET('Allocation %'!$A$1,MATCH(BD$4,'Allocation %'!$A:$A,0)-1,MATCH($D61,'Allocation %'!$5:$5,0)-1)*$F61</f>
        <v>0</v>
      </c>
      <c r="BE61" s="73">
        <f ca="1">OFFSET('Allocation %'!$A$1,MATCH(BE$4,'Allocation %'!$A:$A,0)-1,MATCH($D61,'Allocation %'!$5:$5,0)-1)*$F61</f>
        <v>0</v>
      </c>
      <c r="BG61" s="76">
        <f t="shared" ca="1" si="3"/>
        <v>-60625</v>
      </c>
      <c r="BH61" s="349">
        <f t="shared" ca="1" si="4"/>
        <v>0</v>
      </c>
      <c r="BJ61" s="76">
        <f t="shared" ca="1" si="2"/>
        <v>0</v>
      </c>
    </row>
    <row r="62" spans="1:62" x14ac:dyDescent="0.25">
      <c r="B62" s="177" t="s">
        <v>421</v>
      </c>
      <c r="C62" s="177" t="str">
        <f>INDEX(ACTUALS!$E:$E,MATCH($B62,ACTUALS!$A:$A,0))</f>
        <v>USD</v>
      </c>
      <c r="D62" s="328" t="s">
        <v>178</v>
      </c>
      <c r="E62" s="73">
        <f ca="1">IF($C62=E$3,SUMIFS(OFFSET(ACTUALS!$A:$A,,MATCH(E$4,ACTUALS!$2:$2,0)-1,,),ACTUALS!$A:$A,$B62)*-1000,F62*'2020 Assumptions'!$B$4)</f>
        <v>-42846.375</v>
      </c>
      <c r="F62" s="73">
        <f ca="1">IF($C62=F$3,SUMIFS(OFFSET(ACTUALS!$A:$A,,MATCH(F$4,ACTUALS!$2:$2,0)-1,,),ACTUALS!$A:$A,$B62)*-1000,E62/'2020 Assumptions'!$B$4)</f>
        <v>-31875</v>
      </c>
      <c r="G62" s="73">
        <f ca="1">IF($C62=G$3,SUMIFS(OFFSET('Non-margin Costs'!$A:$A,,MATCH(G$4,'Non-margin Costs'!$2:$2,0)-1,,),'Non-margin Costs'!$A:$A,$B62)*1000,(SUMIFS(OFFSET('Non-margin Costs'!$A:$A,,MATCH(G$4,'Non-margin Costs'!$2:$2,0)-1,,),'Non-margin Costs'!$A:$A,$B62)*1000)/'2020 Assumptions'!$B$4)</f>
        <v>0</v>
      </c>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f ca="1">F62</f>
        <v>-31875</v>
      </c>
      <c r="BG62" s="76">
        <f t="shared" ca="1" si="3"/>
        <v>-31875</v>
      </c>
      <c r="BH62" s="349">
        <f t="shared" ca="1" si="4"/>
        <v>0</v>
      </c>
      <c r="BJ62" s="76">
        <f t="shared" ca="1" si="2"/>
        <v>-31875</v>
      </c>
    </row>
    <row r="63" spans="1:62" ht="15.75" thickBot="1" x14ac:dyDescent="0.3">
      <c r="B63" s="153" t="s">
        <v>162</v>
      </c>
      <c r="C63" s="153"/>
      <c r="D63" s="153"/>
      <c r="E63" s="160">
        <f ca="1">SUM(E6:E62)</f>
        <v>11647863.658403998</v>
      </c>
      <c r="F63" s="160">
        <f ca="1">SUM(F6:F62)</f>
        <v>8665275.7464692742</v>
      </c>
      <c r="G63" s="160">
        <f ca="1">SUM(G6:G62)</f>
        <v>1536816.9907677423</v>
      </c>
      <c r="H63" s="153"/>
      <c r="I63" s="160">
        <f t="shared" ref="I63:AN63" ca="1" si="5">SUM(I6:I62)</f>
        <v>26850.182859693501</v>
      </c>
      <c r="J63" s="298">
        <f t="shared" ca="1" si="5"/>
        <v>24690.815317017557</v>
      </c>
      <c r="K63" s="298">
        <f t="shared" ca="1" si="5"/>
        <v>7302.0968163087609</v>
      </c>
      <c r="L63" s="298">
        <f t="shared" ca="1" si="5"/>
        <v>7636.1665229946702</v>
      </c>
      <c r="M63" s="298">
        <f t="shared" ca="1" si="5"/>
        <v>14824.216456968537</v>
      </c>
      <c r="N63" s="298">
        <f t="shared" ca="1" si="5"/>
        <v>11533.858877526487</v>
      </c>
      <c r="O63" s="298">
        <f t="shared" ca="1" si="5"/>
        <v>29467.691755950909</v>
      </c>
      <c r="P63" s="298">
        <f t="shared" ca="1" si="5"/>
        <v>4503.7562622770492</v>
      </c>
      <c r="Q63" s="298">
        <f t="shared" ca="1" si="5"/>
        <v>9823.0324518934121</v>
      </c>
      <c r="R63" s="298">
        <f t="shared" ca="1" si="5"/>
        <v>9295.1507193955331</v>
      </c>
      <c r="S63" s="298">
        <f t="shared" ca="1" si="5"/>
        <v>8755.7153158476431</v>
      </c>
      <c r="T63" s="298">
        <f t="shared" ca="1" si="5"/>
        <v>31879.926563679466</v>
      </c>
      <c r="U63" s="298">
        <f t="shared" ca="1" si="5"/>
        <v>19831.499736782833</v>
      </c>
      <c r="V63" s="298">
        <f t="shared" ca="1" si="5"/>
        <v>18175.759316201049</v>
      </c>
      <c r="W63" s="298">
        <f t="shared" ca="1" si="5"/>
        <v>29954.85482732307</v>
      </c>
      <c r="X63" s="298">
        <f t="shared" ca="1" si="5"/>
        <v>780.7475492101056</v>
      </c>
      <c r="Y63" s="298">
        <f t="shared" ca="1" si="5"/>
        <v>578.88767016829456</v>
      </c>
      <c r="Z63" s="160">
        <f t="shared" ca="1" si="5"/>
        <v>1659.3244097881741</v>
      </c>
      <c r="AA63" s="160">
        <f t="shared" ca="1" si="5"/>
        <v>1477.6513034380303</v>
      </c>
      <c r="AB63" s="160">
        <f t="shared" ca="1" si="5"/>
        <v>1314.9800619836674</v>
      </c>
      <c r="AC63" s="160">
        <f t="shared" ca="1" si="5"/>
        <v>1683.5155934656991</v>
      </c>
      <c r="AD63" s="160">
        <f t="shared" ca="1" si="5"/>
        <v>3280.6000247962311</v>
      </c>
      <c r="AE63" s="160">
        <f t="shared" ca="1" si="5"/>
        <v>3726.1208558592753</v>
      </c>
      <c r="AF63" s="160">
        <f t="shared" ca="1" si="5"/>
        <v>19316.902827419151</v>
      </c>
      <c r="AG63" s="160">
        <f t="shared" ca="1" si="5"/>
        <v>23954.436370050367</v>
      </c>
      <c r="AH63" s="160">
        <f t="shared" ca="1" si="5"/>
        <v>240041.61887442891</v>
      </c>
      <c r="AI63" s="160">
        <f t="shared" ca="1" si="5"/>
        <v>1657.8866688980952</v>
      </c>
      <c r="AJ63" s="160">
        <f t="shared" ca="1" si="5"/>
        <v>35973.771304285598</v>
      </c>
      <c r="AK63" s="160">
        <f t="shared" ca="1" si="5"/>
        <v>31427.526056981369</v>
      </c>
      <c r="AL63" s="160">
        <f t="shared" ca="1" si="5"/>
        <v>0</v>
      </c>
      <c r="AM63" s="160">
        <f t="shared" ca="1" si="5"/>
        <v>3985.6726122768141</v>
      </c>
      <c r="AN63" s="160">
        <f t="shared" ca="1" si="5"/>
        <v>0</v>
      </c>
      <c r="AO63" s="160">
        <f t="shared" ref="AO63:BE63" ca="1" si="6">SUM(AO6:AO62)</f>
        <v>32568.941962786073</v>
      </c>
      <c r="AP63" s="160">
        <f t="shared" ca="1" si="6"/>
        <v>7152.443596660235</v>
      </c>
      <c r="AQ63" s="160">
        <f t="shared" ca="1" si="6"/>
        <v>26326.987219452167</v>
      </c>
      <c r="AR63" s="160">
        <f t="shared" ca="1" si="6"/>
        <v>717.7924692129061</v>
      </c>
      <c r="AS63" s="160">
        <f t="shared" ca="1" si="6"/>
        <v>48229.834854197914</v>
      </c>
      <c r="AT63" s="160">
        <f t="shared" ca="1" si="6"/>
        <v>28367.722153029757</v>
      </c>
      <c r="AU63" s="160">
        <f t="shared" ca="1" si="6"/>
        <v>34259.30984798292</v>
      </c>
      <c r="AV63" s="160">
        <f t="shared" ca="1" si="6"/>
        <v>52570.898400093211</v>
      </c>
      <c r="AW63" s="160">
        <f t="shared" ca="1" si="6"/>
        <v>201824.65053985294</v>
      </c>
      <c r="AX63" s="160">
        <f t="shared" ca="1" si="6"/>
        <v>3551.8730292672922</v>
      </c>
      <c r="AY63" s="160">
        <f t="shared" ca="1" si="6"/>
        <v>0</v>
      </c>
      <c r="AZ63" s="160">
        <f t="shared" ca="1" si="6"/>
        <v>5731975.3213474425</v>
      </c>
      <c r="BA63" s="160">
        <f t="shared" ca="1" si="6"/>
        <v>331593.24843433429</v>
      </c>
      <c r="BB63" s="160">
        <f t="shared" ca="1" si="6"/>
        <v>414834.15299619397</v>
      </c>
      <c r="BC63" s="160">
        <f t="shared" ca="1" si="6"/>
        <v>13057.810958970809</v>
      </c>
      <c r="BD63" s="160">
        <f t="shared" ca="1" si="6"/>
        <v>244147.52996715929</v>
      </c>
      <c r="BE63" s="160">
        <f t="shared" ca="1" si="6"/>
        <v>868712.86270972912</v>
      </c>
      <c r="BG63" s="76">
        <f t="shared" ca="1" si="3"/>
        <v>8665275.746469276</v>
      </c>
      <c r="BH63" s="349">
        <f t="shared" ca="1" si="4"/>
        <v>0</v>
      </c>
    </row>
    <row r="64" spans="1:62" ht="15.75" thickTop="1" x14ac:dyDescent="0.25">
      <c r="F64" s="76"/>
      <c r="G64" s="76"/>
      <c r="I64" s="73"/>
    </row>
    <row r="65" spans="2:60" x14ac:dyDescent="0.25">
      <c r="G65" s="204"/>
    </row>
    <row r="66" spans="2:60" s="177" customFormat="1" x14ac:dyDescent="0.25">
      <c r="B66" s="172" t="str">
        <f t="shared" ref="B66:B95" si="7">B6&amp;" Mark up"</f>
        <v>1010-000100 - Corporate Admin Mark up</v>
      </c>
      <c r="C66" s="177" t="str">
        <f t="shared" ref="C66:D95" si="8">C6</f>
        <v>CAD</v>
      </c>
      <c r="D66" s="159" t="str">
        <f t="shared" ca="1" si="8"/>
        <v>ALL + Tribus</v>
      </c>
      <c r="E66" s="173">
        <f ca="1">F66*'2020 Assumptions'!$B$4</f>
        <v>27890.187661726774</v>
      </c>
      <c r="F66" s="73">
        <f ca="1">SUM(I66:BE66)</f>
        <v>20748.540144120496</v>
      </c>
      <c r="G66" s="73"/>
      <c r="I66" s="73">
        <f ca="1">IF(I$5="Doyon Notional Allocation",0,IF($C66&lt;&gt;I$3,OFFSET('Allocation %'!$A$1,MATCH(I$4,'Allocation %'!$A:$A,0)-1,MATCH($D66,'Allocation %'!$5:$5,0)-1)*($F6-$G6)*'2020 Assumptions'!$B$20,0))</f>
        <v>553.0392471358432</v>
      </c>
      <c r="J66" s="73">
        <f ca="1">IF(J$5="Doyon Notional Allocation",0,IF($C66&lt;&gt;J$3,OFFSET('Allocation %'!$A$1,MATCH(J$4,'Allocation %'!$A:$A,0)-1,MATCH($D66,'Allocation %'!$5:$5,0)-1)*($F6-$G6)*'2020 Assumptions'!$B$20,0))</f>
        <v>0</v>
      </c>
      <c r="K66" s="73">
        <f ca="1">IF(K$5="Doyon Notional Allocation",0,IF($C66&lt;&gt;K$3,OFFSET('Allocation %'!$A$1,MATCH(K$4,'Allocation %'!$A:$A,0)-1,MATCH($D66,'Allocation %'!$5:$5,0)-1)*($F6-$G6)*'2020 Assumptions'!$B$20,0))</f>
        <v>0</v>
      </c>
      <c r="L66" s="73">
        <f ca="1">IF(L$5="Doyon Notional Allocation",0,IF($C66&lt;&gt;L$3,OFFSET('Allocation %'!$A$1,MATCH(L$4,'Allocation %'!$A:$A,0)-1,MATCH($D66,'Allocation %'!$5:$5,0)-1)*($F6-$G6)*'2020 Assumptions'!$B$20,0))</f>
        <v>0</v>
      </c>
      <c r="M66" s="73">
        <f ca="1">IF(M$5="Doyon Notional Allocation",0,IF($C66&lt;&gt;M$3,OFFSET('Allocation %'!$A$1,MATCH(M$4,'Allocation %'!$A:$A,0)-1,MATCH($D66,'Allocation %'!$5:$5,0)-1)*($F6-$G6)*'2020 Assumptions'!$B$20,0))</f>
        <v>0</v>
      </c>
      <c r="N66" s="73">
        <f ca="1">IF(N$5="Doyon Notional Allocation",0,IF($C66&lt;&gt;N$3,OFFSET('Allocation %'!$A$1,MATCH(N$4,'Allocation %'!$A:$A,0)-1,MATCH($D66,'Allocation %'!$5:$5,0)-1)*($F6-$G6)*'2020 Assumptions'!$B$20,0))</f>
        <v>0</v>
      </c>
      <c r="O66" s="73">
        <f ca="1">IF(O$5="Doyon Notional Allocation",0,IF($C66&lt;&gt;O$3,OFFSET('Allocation %'!$A$1,MATCH(O$4,'Allocation %'!$A:$A,0)-1,MATCH($D66,'Allocation %'!$5:$5,0)-1)*($F6-$G6)*'2020 Assumptions'!$B$20,0))</f>
        <v>0</v>
      </c>
      <c r="P66" s="73">
        <f ca="1">IF(P$5="Doyon Notional Allocation",0,IF($C66&lt;&gt;P$3,OFFSET('Allocation %'!$A$1,MATCH(P$4,'Allocation %'!$A:$A,0)-1,MATCH($D66,'Allocation %'!$5:$5,0)-1)*($F6-$G6)*'2020 Assumptions'!$B$20,0))</f>
        <v>0</v>
      </c>
      <c r="Q66" s="73">
        <f ca="1">IF(Q$5="Doyon Notional Allocation",0,IF($C66&lt;&gt;Q$3,OFFSET('Allocation %'!$A$1,MATCH(Q$4,'Allocation %'!$A:$A,0)-1,MATCH($D66,'Allocation %'!$5:$5,0)-1)*($F6-$G6)*'2020 Assumptions'!$B$20,0))</f>
        <v>0</v>
      </c>
      <c r="R66" s="73">
        <f ca="1">IF(R$5="Doyon Notional Allocation",0,IF($C66&lt;&gt;R$3,OFFSET('Allocation %'!$A$1,MATCH(R$4,'Allocation %'!$A:$A,0)-1,MATCH($D66,'Allocation %'!$5:$5,0)-1)*($F6-$G6)*'2020 Assumptions'!$B$20,0))</f>
        <v>0</v>
      </c>
      <c r="S66" s="73">
        <f ca="1">IF(S$5="Doyon Notional Allocation",0,IF($C66&lt;&gt;S$3,OFFSET('Allocation %'!$A$1,MATCH(S$4,'Allocation %'!$A:$A,0)-1,MATCH($D66,'Allocation %'!$5:$5,0)-1)*($F6-$G6)*'2020 Assumptions'!$B$20,0))</f>
        <v>0</v>
      </c>
      <c r="T66" s="73">
        <f ca="1">IF(T$5="Doyon Notional Allocation",0,IF($C66&lt;&gt;T$3,OFFSET('Allocation %'!$A$1,MATCH(T$4,'Allocation %'!$A:$A,0)-1,MATCH($D66,'Allocation %'!$5:$5,0)-1)*($F6-$G6)*'2020 Assumptions'!$B$20,0))</f>
        <v>0</v>
      </c>
      <c r="U66" s="73">
        <f ca="1">IF(U$5="Doyon Notional Allocation",0,IF($C66&lt;&gt;U$3,OFFSET('Allocation %'!$A$1,MATCH(U$4,'Allocation %'!$A:$A,0)-1,MATCH($D66,'Allocation %'!$5:$5,0)-1)*($F6-$G6)*'2020 Assumptions'!$B$20,0))</f>
        <v>0</v>
      </c>
      <c r="V66" s="73">
        <f ca="1">IF(V$5="Doyon Notional Allocation",0,IF($C66&lt;&gt;V$3,OFFSET('Allocation %'!$A$1,MATCH(V$4,'Allocation %'!$A:$A,0)-1,MATCH($D66,'Allocation %'!$5:$5,0)-1)*($F6-$G6)*'2020 Assumptions'!$B$20,0))</f>
        <v>0</v>
      </c>
      <c r="W66" s="73">
        <f ca="1">IF(W$5="Doyon Notional Allocation",0,IF($C66&lt;&gt;W$3,OFFSET('Allocation %'!$A$1,MATCH(W$4,'Allocation %'!$A:$A,0)-1,MATCH($D66,'Allocation %'!$5:$5,0)-1)*($F6-$G6)*'2020 Assumptions'!$B$20,0))</f>
        <v>0</v>
      </c>
      <c r="X66" s="73">
        <f ca="1">IF(X$5="Doyon Notional Allocation",0,IF($C66&lt;&gt;X$3,OFFSET('Allocation %'!$A$1,MATCH(X$4,'Allocation %'!$A:$A,0)-1,MATCH($D66,'Allocation %'!$5:$5,0)-1)*($F6-$G6)*'2020 Assumptions'!$B$20,0))</f>
        <v>0</v>
      </c>
      <c r="Y66" s="73">
        <f ca="1">IF(Y$5="Doyon Notional Allocation",0,IF($C66&lt;&gt;Y$3,OFFSET('Allocation %'!$A$1,MATCH(Y$4,'Allocation %'!$A:$A,0)-1,MATCH($D66,'Allocation %'!$5:$5,0)-1)*($F6-$G6)*'2020 Assumptions'!$B$20,0))</f>
        <v>0</v>
      </c>
      <c r="Z66" s="73">
        <f ca="1">IF(Z$5="Doyon Notional Allocation",0,IF($C66&lt;&gt;Z$3,OFFSET('Allocation %'!$A$1,MATCH(Z$4,'Allocation %'!$A:$A,0)-1,MATCH($D66,'Allocation %'!$5:$5,0)-1)*($F6-$G6)*'2020 Assumptions'!$B$20,0))</f>
        <v>0</v>
      </c>
      <c r="AA66" s="73">
        <f ca="1">IF(AA$5="Doyon Notional Allocation",0,IF($C66&lt;&gt;AA$3,OFFSET('Allocation %'!$A$1,MATCH(AA$4,'Allocation %'!$A:$A,0)-1,MATCH($D66,'Allocation %'!$5:$5,0)-1)*($F6-$G6)*'2020 Assumptions'!$B$20,0))</f>
        <v>0</v>
      </c>
      <c r="AB66" s="73">
        <f ca="1">IF(AB$5="Doyon Notional Allocation",0,IF($C66&lt;&gt;AB$3,OFFSET('Allocation %'!$A$1,MATCH(AB$4,'Allocation %'!$A:$A,0)-1,MATCH($D66,'Allocation %'!$5:$5,0)-1)*($F6-$G6)*'2020 Assumptions'!$B$20,0))</f>
        <v>0</v>
      </c>
      <c r="AC66" s="73">
        <f ca="1">IF(AC$5="Doyon Notional Allocation",0,IF($C66&lt;&gt;AC$3,OFFSET('Allocation %'!$A$1,MATCH(AC$4,'Allocation %'!$A:$A,0)-1,MATCH($D66,'Allocation %'!$5:$5,0)-1)*($F6-$G6)*'2020 Assumptions'!$B$20,0))</f>
        <v>0</v>
      </c>
      <c r="AD66" s="73">
        <f ca="1">IF(AD$5="Doyon Notional Allocation",0,IF($C66&lt;&gt;AD$3,OFFSET('Allocation %'!$A$1,MATCH(AD$4,'Allocation %'!$A:$A,0)-1,MATCH($D66,'Allocation %'!$5:$5,0)-1)*($F6-$G6)*'2020 Assumptions'!$B$20,0))</f>
        <v>0</v>
      </c>
      <c r="AE66" s="73">
        <f ca="1">IF(AE$5="Doyon Notional Allocation",0,IF($C66&lt;&gt;AE$3,OFFSET('Allocation %'!$A$1,MATCH(AE$4,'Allocation %'!$A:$A,0)-1,MATCH($D66,'Allocation %'!$5:$5,0)-1)*($F6-$G6)*'2020 Assumptions'!$B$20,0))</f>
        <v>0</v>
      </c>
      <c r="AF66" s="73">
        <f ca="1">IF(AF$5="Doyon Notional Allocation",0,IF($C66&lt;&gt;AF$3,OFFSET('Allocation %'!$A$1,MATCH(AF$4,'Allocation %'!$A:$A,0)-1,MATCH($D66,'Allocation %'!$5:$5,0)-1)*($F6-$G6)*'2020 Assumptions'!$B$20,0))</f>
        <v>0</v>
      </c>
      <c r="AG66" s="73">
        <f ca="1">IF(AG$5="Doyon Notional Allocation",0,IF($C66&lt;&gt;AG$3,OFFSET('Allocation %'!$A$1,MATCH(AG$4,'Allocation %'!$A:$A,0)-1,MATCH($D66,'Allocation %'!$5:$5,0)-1)*($F6-$G6)*'2020 Assumptions'!$B$20,0))</f>
        <v>0</v>
      </c>
      <c r="AH66" s="73">
        <f ca="1">IF(AH$5="Doyon Notional Allocation",0,IF($C66&lt;&gt;AH$3,OFFSET('Allocation %'!$A$1,MATCH(AH$4,'Allocation %'!$A:$A,0)-1,MATCH($D66,'Allocation %'!$5:$5,0)-1)*($F6-$G6)*'2020 Assumptions'!$B$20,0))</f>
        <v>0</v>
      </c>
      <c r="AI66" s="73">
        <f ca="1">IF(AI$5="Doyon Notional Allocation",0,IF($C66&lt;&gt;AI$3,OFFSET('Allocation %'!$A$1,MATCH(AI$4,'Allocation %'!$A:$A,0)-1,MATCH($D66,'Allocation %'!$5:$5,0)-1)*($F6-$G6)*'2020 Assumptions'!$B$20,0))</f>
        <v>0</v>
      </c>
      <c r="AJ66" s="73">
        <f ca="1">IF(AJ$5="Doyon Notional Allocation",0,IF($C66&lt;&gt;AJ$3,OFFSET('Allocation %'!$A$1,MATCH(AJ$4,'Allocation %'!$A:$A,0)-1,MATCH($D66,'Allocation %'!$5:$5,0)-1)*($F6-$G6)*'2020 Assumptions'!$B$20,0))</f>
        <v>0</v>
      </c>
      <c r="AK66" s="73">
        <f ca="1">IF(AK$5="Doyon Notional Allocation",0,IF($C66&lt;&gt;AK$3,OFFSET('Allocation %'!$A$1,MATCH(AK$4,'Allocation %'!$A:$A,0)-1,MATCH($D66,'Allocation %'!$5:$5,0)-1)*($F6-$G6)*'2020 Assumptions'!$B$20,0))</f>
        <v>0</v>
      </c>
      <c r="AL66" s="73">
        <f ca="1">IF(AL$5="Doyon Notional Allocation",0,IF($C66&lt;&gt;AL$3,OFFSET('Allocation %'!$A$1,MATCH(AL$4,'Allocation %'!$A:$A,0)-1,MATCH($D66,'Allocation %'!$5:$5,0)-1)*($F6-$G6)*'2020 Assumptions'!$B$20,0))</f>
        <v>0</v>
      </c>
      <c r="AM66" s="73">
        <f ca="1">IF(AM$5="Doyon Notional Allocation",0,IF($C66&lt;&gt;AM$3,OFFSET('Allocation %'!$A$1,MATCH(AM$4,'Allocation %'!$A:$A,0)-1,MATCH($D66,'Allocation %'!$5:$5,0)-1)*($F6-$G6)*'2020 Assumptions'!$B$20,0))</f>
        <v>0</v>
      </c>
      <c r="AN66" s="73">
        <f ca="1">IF(AN$5="Doyon Notional Allocation",0,IF($C66&lt;&gt;AN$3,OFFSET('Allocation %'!$A$1,MATCH(AN$4,'Allocation %'!$A:$A,0)-1,MATCH($D66,'Allocation %'!$5:$5,0)-1)*($F6-$G6)*'2020 Assumptions'!$B$20,0))</f>
        <v>0</v>
      </c>
      <c r="AO66" s="73">
        <f ca="1">IF(AO$5="Doyon Notional Allocation",0,IF($C66&lt;&gt;AO$3,OFFSET('Allocation %'!$A$1,MATCH(AO$4,'Allocation %'!$A:$A,0)-1,MATCH($D66,'Allocation %'!$5:$5,0)-1)*($F6-$G6)*'2020 Assumptions'!$B$20,0))</f>
        <v>0</v>
      </c>
      <c r="AP66" s="73">
        <f ca="1">IF(AP$5="Doyon Notional Allocation",0,IF($C66&lt;&gt;AP$3,OFFSET('Allocation %'!$A$1,MATCH(AP$4,'Allocation %'!$A:$A,0)-1,MATCH($D66,'Allocation %'!$5:$5,0)-1)*($F6-$G6)*'2020 Assumptions'!$B$20,0))</f>
        <v>0</v>
      </c>
      <c r="AQ66" s="73">
        <f ca="1">IF(AQ$5="Doyon Notional Allocation",0,IF($C66&lt;&gt;AQ$3,OFFSET('Allocation %'!$A$1,MATCH(AQ$4,'Allocation %'!$A:$A,0)-1,MATCH($D66,'Allocation %'!$5:$5,0)-1)*($F6-$G6)*'2020 Assumptions'!$B$20,0))</f>
        <v>0</v>
      </c>
      <c r="AR66" s="73">
        <f ca="1">IF(AR$5="Doyon Notional Allocation",0,IF($C66&lt;&gt;AR$3,OFFSET('Allocation %'!$A$1,MATCH(AR$4,'Allocation %'!$A:$A,0)-1,MATCH($D66,'Allocation %'!$5:$5,0)-1)*($F6-$G6)*'2020 Assumptions'!$B$20,0))</f>
        <v>0</v>
      </c>
      <c r="AS66" s="73">
        <f ca="1">IF(AS$5="Doyon Notional Allocation",0,IF($C66&lt;&gt;AS$3,OFFSET('Allocation %'!$A$1,MATCH(AS$4,'Allocation %'!$A:$A,0)-1,MATCH($D66,'Allocation %'!$5:$5,0)-1)*($F6-$G6)*'2020 Assumptions'!$B$20,0))</f>
        <v>0</v>
      </c>
      <c r="AT66" s="73">
        <f ca="1">IF(AT$5="Doyon Notional Allocation",0,IF($C66&lt;&gt;AT$3,OFFSET('Allocation %'!$A$1,MATCH(AT$4,'Allocation %'!$A:$A,0)-1,MATCH($D66,'Allocation %'!$5:$5,0)-1)*($F6-$G6)*'2020 Assumptions'!$B$20,0))</f>
        <v>0</v>
      </c>
      <c r="AU66" s="73">
        <f ca="1">IF(AU$5="Doyon Notional Allocation",0,IF($C66&lt;&gt;AU$3,OFFSET('Allocation %'!$A$1,MATCH(AU$4,'Allocation %'!$A:$A,0)-1,MATCH($D66,'Allocation %'!$5:$5,0)-1)*($F6-$G6)*'2020 Assumptions'!$B$20,0))</f>
        <v>0</v>
      </c>
      <c r="AV66" s="73">
        <f ca="1">IF(AV$5="Doyon Notional Allocation",0,IF($C66&lt;&gt;AV$3,OFFSET('Allocation %'!$A$1,MATCH(AV$4,'Allocation %'!$A:$A,0)-1,MATCH($D66,'Allocation %'!$5:$5,0)-1)*($F6-$G6)*'2020 Assumptions'!$B$20,0))</f>
        <v>0</v>
      </c>
      <c r="AW66" s="73">
        <f ca="1">IF(AW$5="Doyon Notional Allocation",0,IF($C66&lt;&gt;AW$3,OFFSET('Allocation %'!$A$1,MATCH(AW$4,'Allocation %'!$A:$A,0)-1,MATCH($D66,'Allocation %'!$5:$5,0)-1)*($F6-$G6)*'2020 Assumptions'!$B$20,0))</f>
        <v>0</v>
      </c>
      <c r="AX66" s="73">
        <f ca="1">IF(AX$5="Doyon Notional Allocation",0,IF($C66&lt;&gt;AX$3,OFFSET('Allocation %'!$A$1,MATCH(AX$4,'Allocation %'!$A:$A,0)-1,MATCH($D66,'Allocation %'!$5:$5,0)-1)*($F6-$G6)*'2020 Assumptions'!$B$20,0))</f>
        <v>0</v>
      </c>
      <c r="AY66" s="73">
        <f ca="1">IF(AY$5="Doyon Notional Allocation",0,IF($C66&lt;&gt;AY$3,OFFSET('Allocation %'!$A$1,MATCH(AY$4,'Allocation %'!$A:$A,0)-1,MATCH($D66,'Allocation %'!$5:$5,0)-1)*($F6-$G6)*'2020 Assumptions'!$B$20,0))</f>
        <v>0</v>
      </c>
      <c r="AZ66" s="73">
        <f ca="1">IF(AZ$5="Doyon Notional Allocation",0,IF($C66&lt;&gt;AZ$3,OFFSET('Allocation %'!$A$1,MATCH(AZ$4,'Allocation %'!$A:$A,0)-1,MATCH($D66,'Allocation %'!$5:$5,0)-1)*($F6-$G6)*'2020 Assumptions'!$B$20,0))</f>
        <v>14343.392041087664</v>
      </c>
      <c r="BA66" s="73">
        <f ca="1">IF(BA$5="Doyon Notional Allocation",0,IF($C66&lt;&gt;BA$3,OFFSET('Allocation %'!$A$1,MATCH(BA$4,'Allocation %'!$A:$A,0)-1,MATCH($D66,'Allocation %'!$5:$5,0)-1)*($F6-$G6)*'2020 Assumptions'!$B$20,0))</f>
        <v>2839.1570156007374</v>
      </c>
      <c r="BB66" s="73">
        <f ca="1">IF(BB$5="Doyon Notional Allocation",0,IF($C66&lt;&gt;BB$3,OFFSET('Allocation %'!$A$1,MATCH(BB$4,'Allocation %'!$A:$A,0)-1,MATCH($D66,'Allocation %'!$5:$5,0)-1)*($F6-$G6)*'2020 Assumptions'!$B$20,0))</f>
        <v>1850.9433118952984</v>
      </c>
      <c r="BC66" s="73">
        <f ca="1">IF(BC$5="Doyon Notional Allocation",0,IF($C66&lt;&gt;BC$3,OFFSET('Allocation %'!$A$1,MATCH(BC$4,'Allocation %'!$A:$A,0)-1,MATCH($D66,'Allocation %'!$5:$5,0)-1)*($F6-$G6)*'2020 Assumptions'!$B$20,0))</f>
        <v>57.393804505877036</v>
      </c>
      <c r="BD66" s="73">
        <f ca="1">IF(BD$5="Doyon Notional Allocation",0,IF($C66&lt;&gt;BD$3,OFFSET('Allocation %'!$A$1,MATCH(BD$4,'Allocation %'!$A:$A,0)-1,MATCH($D66,'Allocation %'!$5:$5,0)-1)*($F6-$G6)*'2020 Assumptions'!$B$20,0))</f>
        <v>1104.614723895075</v>
      </c>
      <c r="BE66" s="73">
        <f ca="1">IF(BE$5="Doyon Notional Allocation",0,IF($C66&lt;&gt;BE$3,OFFSET('Allocation %'!$A$1,MATCH(BE$4,'Allocation %'!$A:$A,0)-1,MATCH($D66,'Allocation %'!$5:$5,0)-1)*($F6-$G6)*'2020 Assumptions'!$B$20,0))</f>
        <v>0</v>
      </c>
      <c r="BG66" s="76">
        <f t="shared" ref="BG66:BG123" ca="1" si="9">SUM(I66:BF66)</f>
        <v>20748.540144120496</v>
      </c>
      <c r="BH66" s="349">
        <f t="shared" ref="BH66:BH123" ca="1" si="10">BG66-F66</f>
        <v>0</v>
      </c>
    </row>
    <row r="67" spans="2:60" s="177" customFormat="1" x14ac:dyDescent="0.25">
      <c r="B67" s="172" t="str">
        <f t="shared" si="7"/>
        <v>1010-000110 - Corporate Recovery Mark up</v>
      </c>
      <c r="C67" s="177" t="str">
        <f t="shared" si="8"/>
        <v>CAD</v>
      </c>
      <c r="D67" s="159" t="str">
        <f t="shared" ca="1" si="8"/>
        <v>ALL</v>
      </c>
      <c r="E67" s="173">
        <f ca="1">F67*'2020 Assumptions'!$B$4</f>
        <v>4.471506299035538E-4</v>
      </c>
      <c r="F67" s="73">
        <f t="shared" ref="F67:F121" ca="1" si="11">SUM(I67:BE67)</f>
        <v>3.3265185977053547E-4</v>
      </c>
      <c r="G67" s="73"/>
      <c r="I67" s="73">
        <f ca="1">IF(I$5="Doyon Notional Allocation",0,IF($C67&lt;&gt;I$3,OFFSET('Allocation %'!$A$1,MATCH(I$4,'Allocation %'!$A:$A,0)-1,MATCH($D67,'Allocation %'!$5:$5,0)-1)*($F7-$G7)*'2020 Assumptions'!$B$20,0))</f>
        <v>0</v>
      </c>
      <c r="J67" s="73">
        <f ca="1">IF(J$5="Doyon Notional Allocation",0,IF($C67&lt;&gt;J$3,OFFSET('Allocation %'!$A$1,MATCH(J$4,'Allocation %'!$A:$A,0)-1,MATCH($D67,'Allocation %'!$5:$5,0)-1)*($F7-$G7)*'2020 Assumptions'!$B$20,0))</f>
        <v>0</v>
      </c>
      <c r="K67" s="73">
        <f ca="1">IF(K$5="Doyon Notional Allocation",0,IF($C67&lt;&gt;K$3,OFFSET('Allocation %'!$A$1,MATCH(K$4,'Allocation %'!$A:$A,0)-1,MATCH($D67,'Allocation %'!$5:$5,0)-1)*($F7-$G7)*'2020 Assumptions'!$B$20,0))</f>
        <v>0</v>
      </c>
      <c r="L67" s="73">
        <f ca="1">IF(L$5="Doyon Notional Allocation",0,IF($C67&lt;&gt;L$3,OFFSET('Allocation %'!$A$1,MATCH(L$4,'Allocation %'!$A:$A,0)-1,MATCH($D67,'Allocation %'!$5:$5,0)-1)*($F7-$G7)*'2020 Assumptions'!$B$20,0))</f>
        <v>0</v>
      </c>
      <c r="M67" s="73">
        <f ca="1">IF(M$5="Doyon Notional Allocation",0,IF($C67&lt;&gt;M$3,OFFSET('Allocation %'!$A$1,MATCH(M$4,'Allocation %'!$A:$A,0)-1,MATCH($D67,'Allocation %'!$5:$5,0)-1)*($F7-$G7)*'2020 Assumptions'!$B$20,0))</f>
        <v>0</v>
      </c>
      <c r="N67" s="73">
        <f ca="1">IF(N$5="Doyon Notional Allocation",0,IF($C67&lt;&gt;N$3,OFFSET('Allocation %'!$A$1,MATCH(N$4,'Allocation %'!$A:$A,0)-1,MATCH($D67,'Allocation %'!$5:$5,0)-1)*($F7-$G7)*'2020 Assumptions'!$B$20,0))</f>
        <v>0</v>
      </c>
      <c r="O67" s="73">
        <f ca="1">IF(O$5="Doyon Notional Allocation",0,IF($C67&lt;&gt;O$3,OFFSET('Allocation %'!$A$1,MATCH(O$4,'Allocation %'!$A:$A,0)-1,MATCH($D67,'Allocation %'!$5:$5,0)-1)*($F7-$G7)*'2020 Assumptions'!$B$20,0))</f>
        <v>0</v>
      </c>
      <c r="P67" s="73">
        <f ca="1">IF(P$5="Doyon Notional Allocation",0,IF($C67&lt;&gt;P$3,OFFSET('Allocation %'!$A$1,MATCH(P$4,'Allocation %'!$A:$A,0)-1,MATCH($D67,'Allocation %'!$5:$5,0)-1)*($F7-$G7)*'2020 Assumptions'!$B$20,0))</f>
        <v>0</v>
      </c>
      <c r="Q67" s="73">
        <f ca="1">IF(Q$5="Doyon Notional Allocation",0,IF($C67&lt;&gt;Q$3,OFFSET('Allocation %'!$A$1,MATCH(Q$4,'Allocation %'!$A:$A,0)-1,MATCH($D67,'Allocation %'!$5:$5,0)-1)*($F7-$G7)*'2020 Assumptions'!$B$20,0))</f>
        <v>0</v>
      </c>
      <c r="R67" s="73">
        <f ca="1">IF(R$5="Doyon Notional Allocation",0,IF($C67&lt;&gt;R$3,OFFSET('Allocation %'!$A$1,MATCH(R$4,'Allocation %'!$A:$A,0)-1,MATCH($D67,'Allocation %'!$5:$5,0)-1)*($F7-$G7)*'2020 Assumptions'!$B$20,0))</f>
        <v>0</v>
      </c>
      <c r="S67" s="73">
        <f ca="1">IF(S$5="Doyon Notional Allocation",0,IF($C67&lt;&gt;S$3,OFFSET('Allocation %'!$A$1,MATCH(S$4,'Allocation %'!$A:$A,0)-1,MATCH($D67,'Allocation %'!$5:$5,0)-1)*($F7-$G7)*'2020 Assumptions'!$B$20,0))</f>
        <v>0</v>
      </c>
      <c r="T67" s="73">
        <f ca="1">IF(T$5="Doyon Notional Allocation",0,IF($C67&lt;&gt;T$3,OFFSET('Allocation %'!$A$1,MATCH(T$4,'Allocation %'!$A:$A,0)-1,MATCH($D67,'Allocation %'!$5:$5,0)-1)*($F7-$G7)*'2020 Assumptions'!$B$20,0))</f>
        <v>0</v>
      </c>
      <c r="U67" s="73">
        <f ca="1">IF(U$5="Doyon Notional Allocation",0,IF($C67&lt;&gt;U$3,OFFSET('Allocation %'!$A$1,MATCH(U$4,'Allocation %'!$A:$A,0)-1,MATCH($D67,'Allocation %'!$5:$5,0)-1)*($F7-$G7)*'2020 Assumptions'!$B$20,0))</f>
        <v>0</v>
      </c>
      <c r="V67" s="73">
        <f ca="1">IF(V$5="Doyon Notional Allocation",0,IF($C67&lt;&gt;V$3,OFFSET('Allocation %'!$A$1,MATCH(V$4,'Allocation %'!$A:$A,0)-1,MATCH($D67,'Allocation %'!$5:$5,0)-1)*($F7-$G7)*'2020 Assumptions'!$B$20,0))</f>
        <v>0</v>
      </c>
      <c r="W67" s="73">
        <f ca="1">IF(W$5="Doyon Notional Allocation",0,IF($C67&lt;&gt;W$3,OFFSET('Allocation %'!$A$1,MATCH(W$4,'Allocation %'!$A:$A,0)-1,MATCH($D67,'Allocation %'!$5:$5,0)-1)*($F7-$G7)*'2020 Assumptions'!$B$20,0))</f>
        <v>0</v>
      </c>
      <c r="X67" s="73">
        <f ca="1">IF(X$5="Doyon Notional Allocation",0,IF($C67&lt;&gt;X$3,OFFSET('Allocation %'!$A$1,MATCH(X$4,'Allocation %'!$A:$A,0)-1,MATCH($D67,'Allocation %'!$5:$5,0)-1)*($F7-$G7)*'2020 Assumptions'!$B$20,0))</f>
        <v>0</v>
      </c>
      <c r="Y67" s="73">
        <f ca="1">IF(Y$5="Doyon Notional Allocation",0,IF($C67&lt;&gt;Y$3,OFFSET('Allocation %'!$A$1,MATCH(Y$4,'Allocation %'!$A:$A,0)-1,MATCH($D67,'Allocation %'!$5:$5,0)-1)*($F7-$G7)*'2020 Assumptions'!$B$20,0))</f>
        <v>0</v>
      </c>
      <c r="Z67" s="73">
        <f ca="1">IF(Z$5="Doyon Notional Allocation",0,IF($C67&lt;&gt;Z$3,OFFSET('Allocation %'!$A$1,MATCH(Z$4,'Allocation %'!$A:$A,0)-1,MATCH($D67,'Allocation %'!$5:$5,0)-1)*($F7-$G7)*'2020 Assumptions'!$B$20,0))</f>
        <v>0</v>
      </c>
      <c r="AA67" s="73">
        <f ca="1">IF(AA$5="Doyon Notional Allocation",0,IF($C67&lt;&gt;AA$3,OFFSET('Allocation %'!$A$1,MATCH(AA$4,'Allocation %'!$A:$A,0)-1,MATCH($D67,'Allocation %'!$5:$5,0)-1)*($F7-$G7)*'2020 Assumptions'!$B$20,0))</f>
        <v>0</v>
      </c>
      <c r="AB67" s="73">
        <f ca="1">IF(AB$5="Doyon Notional Allocation",0,IF($C67&lt;&gt;AB$3,OFFSET('Allocation %'!$A$1,MATCH(AB$4,'Allocation %'!$A:$A,0)-1,MATCH($D67,'Allocation %'!$5:$5,0)-1)*($F7-$G7)*'2020 Assumptions'!$B$20,0))</f>
        <v>0</v>
      </c>
      <c r="AC67" s="73">
        <f ca="1">IF(AC$5="Doyon Notional Allocation",0,IF($C67&lt;&gt;AC$3,OFFSET('Allocation %'!$A$1,MATCH(AC$4,'Allocation %'!$A:$A,0)-1,MATCH($D67,'Allocation %'!$5:$5,0)-1)*($F7-$G7)*'2020 Assumptions'!$B$20,0))</f>
        <v>0</v>
      </c>
      <c r="AD67" s="73">
        <f ca="1">IF(AD$5="Doyon Notional Allocation",0,IF($C67&lt;&gt;AD$3,OFFSET('Allocation %'!$A$1,MATCH(AD$4,'Allocation %'!$A:$A,0)-1,MATCH($D67,'Allocation %'!$5:$5,0)-1)*($F7-$G7)*'2020 Assumptions'!$B$20,0))</f>
        <v>0</v>
      </c>
      <c r="AE67" s="73">
        <f ca="1">IF(AE$5="Doyon Notional Allocation",0,IF($C67&lt;&gt;AE$3,OFFSET('Allocation %'!$A$1,MATCH(AE$4,'Allocation %'!$A:$A,0)-1,MATCH($D67,'Allocation %'!$5:$5,0)-1)*($F7-$G7)*'2020 Assumptions'!$B$20,0))</f>
        <v>0</v>
      </c>
      <c r="AF67" s="73">
        <f ca="1">IF(AF$5="Doyon Notional Allocation",0,IF($C67&lt;&gt;AF$3,OFFSET('Allocation %'!$A$1,MATCH(AF$4,'Allocation %'!$A:$A,0)-1,MATCH($D67,'Allocation %'!$5:$5,0)-1)*($F7-$G7)*'2020 Assumptions'!$B$20,0))</f>
        <v>0</v>
      </c>
      <c r="AG67" s="73">
        <f ca="1">IF(AG$5="Doyon Notional Allocation",0,IF($C67&lt;&gt;AG$3,OFFSET('Allocation %'!$A$1,MATCH(AG$4,'Allocation %'!$A:$A,0)-1,MATCH($D67,'Allocation %'!$5:$5,0)-1)*($F7-$G7)*'2020 Assumptions'!$B$20,0))</f>
        <v>0</v>
      </c>
      <c r="AH67" s="73">
        <f ca="1">IF(AH$5="Doyon Notional Allocation",0,IF($C67&lt;&gt;AH$3,OFFSET('Allocation %'!$A$1,MATCH(AH$4,'Allocation %'!$A:$A,0)-1,MATCH($D67,'Allocation %'!$5:$5,0)-1)*($F7-$G7)*'2020 Assumptions'!$B$20,0))</f>
        <v>0</v>
      </c>
      <c r="AI67" s="73">
        <f ca="1">IF(AI$5="Doyon Notional Allocation",0,IF($C67&lt;&gt;AI$3,OFFSET('Allocation %'!$A$1,MATCH(AI$4,'Allocation %'!$A:$A,0)-1,MATCH($D67,'Allocation %'!$5:$5,0)-1)*($F7-$G7)*'2020 Assumptions'!$B$20,0))</f>
        <v>0</v>
      </c>
      <c r="AJ67" s="73">
        <f ca="1">IF(AJ$5="Doyon Notional Allocation",0,IF($C67&lt;&gt;AJ$3,OFFSET('Allocation %'!$A$1,MATCH(AJ$4,'Allocation %'!$A:$A,0)-1,MATCH($D67,'Allocation %'!$5:$5,0)-1)*($F7-$G7)*'2020 Assumptions'!$B$20,0))</f>
        <v>0</v>
      </c>
      <c r="AK67" s="73">
        <f ca="1">IF(AK$5="Doyon Notional Allocation",0,IF($C67&lt;&gt;AK$3,OFFSET('Allocation %'!$A$1,MATCH(AK$4,'Allocation %'!$A:$A,0)-1,MATCH($D67,'Allocation %'!$5:$5,0)-1)*($F7-$G7)*'2020 Assumptions'!$B$20,0))</f>
        <v>0</v>
      </c>
      <c r="AL67" s="73">
        <f ca="1">IF(AL$5="Doyon Notional Allocation",0,IF($C67&lt;&gt;AL$3,OFFSET('Allocation %'!$A$1,MATCH(AL$4,'Allocation %'!$A:$A,0)-1,MATCH($D67,'Allocation %'!$5:$5,0)-1)*($F7-$G7)*'2020 Assumptions'!$B$20,0))</f>
        <v>0</v>
      </c>
      <c r="AM67" s="73">
        <f ca="1">IF(AM$5="Doyon Notional Allocation",0,IF($C67&lt;&gt;AM$3,OFFSET('Allocation %'!$A$1,MATCH(AM$4,'Allocation %'!$A:$A,0)-1,MATCH($D67,'Allocation %'!$5:$5,0)-1)*($F7-$G7)*'2020 Assumptions'!$B$20,0))</f>
        <v>0</v>
      </c>
      <c r="AN67" s="73">
        <f ca="1">IF(AN$5="Doyon Notional Allocation",0,IF($C67&lt;&gt;AN$3,OFFSET('Allocation %'!$A$1,MATCH(AN$4,'Allocation %'!$A:$A,0)-1,MATCH($D67,'Allocation %'!$5:$5,0)-1)*($F7-$G7)*'2020 Assumptions'!$B$20,0))</f>
        <v>0</v>
      </c>
      <c r="AO67" s="73">
        <f ca="1">IF(AO$5="Doyon Notional Allocation",0,IF($C67&lt;&gt;AO$3,OFFSET('Allocation %'!$A$1,MATCH(AO$4,'Allocation %'!$A:$A,0)-1,MATCH($D67,'Allocation %'!$5:$5,0)-1)*($F7-$G7)*'2020 Assumptions'!$B$20,0))</f>
        <v>0</v>
      </c>
      <c r="AP67" s="73">
        <f ca="1">IF(AP$5="Doyon Notional Allocation",0,IF($C67&lt;&gt;AP$3,OFFSET('Allocation %'!$A$1,MATCH(AP$4,'Allocation %'!$A:$A,0)-1,MATCH($D67,'Allocation %'!$5:$5,0)-1)*($F7-$G7)*'2020 Assumptions'!$B$20,0))</f>
        <v>0</v>
      </c>
      <c r="AQ67" s="73">
        <f ca="1">IF(AQ$5="Doyon Notional Allocation",0,IF($C67&lt;&gt;AQ$3,OFFSET('Allocation %'!$A$1,MATCH(AQ$4,'Allocation %'!$A:$A,0)-1,MATCH($D67,'Allocation %'!$5:$5,0)-1)*($F7-$G7)*'2020 Assumptions'!$B$20,0))</f>
        <v>0</v>
      </c>
      <c r="AR67" s="73">
        <f ca="1">IF(AR$5="Doyon Notional Allocation",0,IF($C67&lt;&gt;AR$3,OFFSET('Allocation %'!$A$1,MATCH(AR$4,'Allocation %'!$A:$A,0)-1,MATCH($D67,'Allocation %'!$5:$5,0)-1)*($F7-$G7)*'2020 Assumptions'!$B$20,0))</f>
        <v>0</v>
      </c>
      <c r="AS67" s="73">
        <f ca="1">IF(AS$5="Doyon Notional Allocation",0,IF($C67&lt;&gt;AS$3,OFFSET('Allocation %'!$A$1,MATCH(AS$4,'Allocation %'!$A:$A,0)-1,MATCH($D67,'Allocation %'!$5:$5,0)-1)*($F7-$G7)*'2020 Assumptions'!$B$20,0))</f>
        <v>0</v>
      </c>
      <c r="AT67" s="73">
        <f ca="1">IF(AT$5="Doyon Notional Allocation",0,IF($C67&lt;&gt;AT$3,OFFSET('Allocation %'!$A$1,MATCH(AT$4,'Allocation %'!$A:$A,0)-1,MATCH($D67,'Allocation %'!$5:$5,0)-1)*($F7-$G7)*'2020 Assumptions'!$B$20,0))</f>
        <v>0</v>
      </c>
      <c r="AU67" s="73">
        <f ca="1">IF(AU$5="Doyon Notional Allocation",0,IF($C67&lt;&gt;AU$3,OFFSET('Allocation %'!$A$1,MATCH(AU$4,'Allocation %'!$A:$A,0)-1,MATCH($D67,'Allocation %'!$5:$5,0)-1)*($F7-$G7)*'2020 Assumptions'!$B$20,0))</f>
        <v>0</v>
      </c>
      <c r="AV67" s="73">
        <f ca="1">IF(AV$5="Doyon Notional Allocation",0,IF($C67&lt;&gt;AV$3,OFFSET('Allocation %'!$A$1,MATCH(AV$4,'Allocation %'!$A:$A,0)-1,MATCH($D67,'Allocation %'!$5:$5,0)-1)*($F7-$G7)*'2020 Assumptions'!$B$20,0))</f>
        <v>0</v>
      </c>
      <c r="AW67" s="73">
        <f ca="1">IF(AW$5="Doyon Notional Allocation",0,IF($C67&lt;&gt;AW$3,OFFSET('Allocation %'!$A$1,MATCH(AW$4,'Allocation %'!$A:$A,0)-1,MATCH($D67,'Allocation %'!$5:$5,0)-1)*($F7-$G7)*'2020 Assumptions'!$B$20,0))</f>
        <v>0</v>
      </c>
      <c r="AX67" s="73">
        <f ca="1">IF(AX$5="Doyon Notional Allocation",0,IF($C67&lt;&gt;AX$3,OFFSET('Allocation %'!$A$1,MATCH(AX$4,'Allocation %'!$A:$A,0)-1,MATCH($D67,'Allocation %'!$5:$5,0)-1)*($F7-$G7)*'2020 Assumptions'!$B$20,0))</f>
        <v>0</v>
      </c>
      <c r="AY67" s="73">
        <f ca="1">IF(AY$5="Doyon Notional Allocation",0,IF($C67&lt;&gt;AY$3,OFFSET('Allocation %'!$A$1,MATCH(AY$4,'Allocation %'!$A:$A,0)-1,MATCH($D67,'Allocation %'!$5:$5,0)-1)*($F7-$G7)*'2020 Assumptions'!$B$20,0))</f>
        <v>0</v>
      </c>
      <c r="AZ67" s="73">
        <f ca="1">IF(AZ$5="Doyon Notional Allocation",0,IF($C67&lt;&gt;AZ$3,OFFSET('Allocation %'!$A$1,MATCH(AZ$4,'Allocation %'!$A:$A,0)-1,MATCH($D67,'Allocation %'!$5:$5,0)-1)*($F7-$G7)*'2020 Assumptions'!$B$20,0))</f>
        <v>2.3625836577284941E-4</v>
      </c>
      <c r="BA67" s="73">
        <f ca="1">IF(BA$5="Doyon Notional Allocation",0,IF($C67&lt;&gt;BA$3,OFFSET('Allocation %'!$A$1,MATCH(BA$4,'Allocation %'!$A:$A,0)-1,MATCH($D67,'Allocation %'!$5:$5,0)-1)*($F7-$G7)*'2020 Assumptions'!$B$20,0))</f>
        <v>4.6765409099665484E-5</v>
      </c>
      <c r="BB67" s="73">
        <f ca="1">IF(BB$5="Doyon Notional Allocation",0,IF($C67&lt;&gt;BB$3,OFFSET('Allocation %'!$A$1,MATCH(BB$4,'Allocation %'!$A:$A,0)-1,MATCH($D67,'Allocation %'!$5:$5,0)-1)*($F7-$G7)*'2020 Assumptions'!$B$20,0))</f>
        <v>3.048796552125811E-5</v>
      </c>
      <c r="BC67" s="73">
        <f ca="1">IF(BC$5="Doyon Notional Allocation",0,IF($C67&lt;&gt;BC$3,OFFSET('Allocation %'!$A$1,MATCH(BC$4,'Allocation %'!$A:$A,0)-1,MATCH($D67,'Allocation %'!$5:$5,0)-1)*($F7-$G7)*'2020 Assumptions'!$B$20,0))</f>
        <v>9.4536678766096564E-7</v>
      </c>
      <c r="BD67" s="73">
        <f ca="1">IF(BD$5="Doyon Notional Allocation",0,IF($C67&lt;&gt;BD$3,OFFSET('Allocation %'!$A$1,MATCH(BD$4,'Allocation %'!$A:$A,0)-1,MATCH($D67,'Allocation %'!$5:$5,0)-1)*($F7-$G7)*'2020 Assumptions'!$B$20,0))</f>
        <v>1.8194752589101507E-5</v>
      </c>
      <c r="BE67" s="73">
        <f ca="1">IF(BE$5="Doyon Notional Allocation",0,IF($C67&lt;&gt;BE$3,OFFSET('Allocation %'!$A$1,MATCH(BE$4,'Allocation %'!$A:$A,0)-1,MATCH($D67,'Allocation %'!$5:$5,0)-1)*($F7-$G7)*'2020 Assumptions'!$B$20,0))</f>
        <v>0</v>
      </c>
      <c r="BG67" s="76">
        <f t="shared" ca="1" si="9"/>
        <v>3.3265185977053547E-4</v>
      </c>
      <c r="BH67" s="349">
        <f t="shared" ca="1" si="10"/>
        <v>0</v>
      </c>
    </row>
    <row r="68" spans="2:60" s="177" customFormat="1" x14ac:dyDescent="0.25">
      <c r="B68" s="172" t="str">
        <f t="shared" si="7"/>
        <v>1010-000120 - Transformation Mark up</v>
      </c>
      <c r="C68" s="177" t="str">
        <f t="shared" si="8"/>
        <v>CAD</v>
      </c>
      <c r="D68" s="159" t="str">
        <f t="shared" ca="1" si="8"/>
        <v>ALL</v>
      </c>
      <c r="E68" s="173">
        <f ca="1">F68*'2020 Assumptions'!$B$4</f>
        <v>2961.4348010895055</v>
      </c>
      <c r="F68" s="73">
        <f t="shared" ca="1" si="11"/>
        <v>2203.1206673779984</v>
      </c>
      <c r="G68" s="73"/>
      <c r="I68" s="73">
        <f ca="1">IF(I$5="Doyon Notional Allocation",0,IF($C68&lt;&gt;I$3,OFFSET('Allocation %'!$A$1,MATCH(I$4,'Allocation %'!$A:$A,0)-1,MATCH($D68,'Allocation %'!$5:$5,0)-1)*($F8-$G8)*'2020 Assumptions'!$B$20,0))</f>
        <v>0</v>
      </c>
      <c r="J68" s="73">
        <f ca="1">IF(J$5="Doyon Notional Allocation",0,IF($C68&lt;&gt;J$3,OFFSET('Allocation %'!$A$1,MATCH(J$4,'Allocation %'!$A:$A,0)-1,MATCH($D68,'Allocation %'!$5:$5,0)-1)*($F8-$G8)*'2020 Assumptions'!$B$20,0))</f>
        <v>0</v>
      </c>
      <c r="K68" s="73">
        <f ca="1">IF(K$5="Doyon Notional Allocation",0,IF($C68&lt;&gt;K$3,OFFSET('Allocation %'!$A$1,MATCH(K$4,'Allocation %'!$A:$A,0)-1,MATCH($D68,'Allocation %'!$5:$5,0)-1)*($F8-$G8)*'2020 Assumptions'!$B$20,0))</f>
        <v>0</v>
      </c>
      <c r="L68" s="73">
        <f ca="1">IF(L$5="Doyon Notional Allocation",0,IF($C68&lt;&gt;L$3,OFFSET('Allocation %'!$A$1,MATCH(L$4,'Allocation %'!$A:$A,0)-1,MATCH($D68,'Allocation %'!$5:$5,0)-1)*($F8-$G8)*'2020 Assumptions'!$B$20,0))</f>
        <v>0</v>
      </c>
      <c r="M68" s="73">
        <f ca="1">IF(M$5="Doyon Notional Allocation",0,IF($C68&lt;&gt;M$3,OFFSET('Allocation %'!$A$1,MATCH(M$4,'Allocation %'!$A:$A,0)-1,MATCH($D68,'Allocation %'!$5:$5,0)-1)*($F8-$G8)*'2020 Assumptions'!$B$20,0))</f>
        <v>0</v>
      </c>
      <c r="N68" s="73">
        <f ca="1">IF(N$5="Doyon Notional Allocation",0,IF($C68&lt;&gt;N$3,OFFSET('Allocation %'!$A$1,MATCH(N$4,'Allocation %'!$A:$A,0)-1,MATCH($D68,'Allocation %'!$5:$5,0)-1)*($F8-$G8)*'2020 Assumptions'!$B$20,0))</f>
        <v>0</v>
      </c>
      <c r="O68" s="73">
        <f ca="1">IF(O$5="Doyon Notional Allocation",0,IF($C68&lt;&gt;O$3,OFFSET('Allocation %'!$A$1,MATCH(O$4,'Allocation %'!$A:$A,0)-1,MATCH($D68,'Allocation %'!$5:$5,0)-1)*($F8-$G8)*'2020 Assumptions'!$B$20,0))</f>
        <v>0</v>
      </c>
      <c r="P68" s="73">
        <f ca="1">IF(P$5="Doyon Notional Allocation",0,IF($C68&lt;&gt;P$3,OFFSET('Allocation %'!$A$1,MATCH(P$4,'Allocation %'!$A:$A,0)-1,MATCH($D68,'Allocation %'!$5:$5,0)-1)*($F8-$G8)*'2020 Assumptions'!$B$20,0))</f>
        <v>0</v>
      </c>
      <c r="Q68" s="73">
        <f ca="1">IF(Q$5="Doyon Notional Allocation",0,IF($C68&lt;&gt;Q$3,OFFSET('Allocation %'!$A$1,MATCH(Q$4,'Allocation %'!$A:$A,0)-1,MATCH($D68,'Allocation %'!$5:$5,0)-1)*($F8-$G8)*'2020 Assumptions'!$B$20,0))</f>
        <v>0</v>
      </c>
      <c r="R68" s="73">
        <f ca="1">IF(R$5="Doyon Notional Allocation",0,IF($C68&lt;&gt;R$3,OFFSET('Allocation %'!$A$1,MATCH(R$4,'Allocation %'!$A:$A,0)-1,MATCH($D68,'Allocation %'!$5:$5,0)-1)*($F8-$G8)*'2020 Assumptions'!$B$20,0))</f>
        <v>0</v>
      </c>
      <c r="S68" s="73">
        <f ca="1">IF(S$5="Doyon Notional Allocation",0,IF($C68&lt;&gt;S$3,OFFSET('Allocation %'!$A$1,MATCH(S$4,'Allocation %'!$A:$A,0)-1,MATCH($D68,'Allocation %'!$5:$5,0)-1)*($F8-$G8)*'2020 Assumptions'!$B$20,0))</f>
        <v>0</v>
      </c>
      <c r="T68" s="73">
        <f ca="1">IF(T$5="Doyon Notional Allocation",0,IF($C68&lt;&gt;T$3,OFFSET('Allocation %'!$A$1,MATCH(T$4,'Allocation %'!$A:$A,0)-1,MATCH($D68,'Allocation %'!$5:$5,0)-1)*($F8-$G8)*'2020 Assumptions'!$B$20,0))</f>
        <v>0</v>
      </c>
      <c r="U68" s="73">
        <f ca="1">IF(U$5="Doyon Notional Allocation",0,IF($C68&lt;&gt;U$3,OFFSET('Allocation %'!$A$1,MATCH(U$4,'Allocation %'!$A:$A,0)-1,MATCH($D68,'Allocation %'!$5:$5,0)-1)*($F8-$G8)*'2020 Assumptions'!$B$20,0))</f>
        <v>0</v>
      </c>
      <c r="V68" s="73">
        <f ca="1">IF(V$5="Doyon Notional Allocation",0,IF($C68&lt;&gt;V$3,OFFSET('Allocation %'!$A$1,MATCH(V$4,'Allocation %'!$A:$A,0)-1,MATCH($D68,'Allocation %'!$5:$5,0)-1)*($F8-$G8)*'2020 Assumptions'!$B$20,0))</f>
        <v>0</v>
      </c>
      <c r="W68" s="73">
        <f ca="1">IF(W$5="Doyon Notional Allocation",0,IF($C68&lt;&gt;W$3,OFFSET('Allocation %'!$A$1,MATCH(W$4,'Allocation %'!$A:$A,0)-1,MATCH($D68,'Allocation %'!$5:$5,0)-1)*($F8-$G8)*'2020 Assumptions'!$B$20,0))</f>
        <v>0</v>
      </c>
      <c r="X68" s="73">
        <f ca="1">IF(X$5="Doyon Notional Allocation",0,IF($C68&lt;&gt;X$3,OFFSET('Allocation %'!$A$1,MATCH(X$4,'Allocation %'!$A:$A,0)-1,MATCH($D68,'Allocation %'!$5:$5,0)-1)*($F8-$G8)*'2020 Assumptions'!$B$20,0))</f>
        <v>0</v>
      </c>
      <c r="Y68" s="73">
        <f ca="1">IF(Y$5="Doyon Notional Allocation",0,IF($C68&lt;&gt;Y$3,OFFSET('Allocation %'!$A$1,MATCH(Y$4,'Allocation %'!$A:$A,0)-1,MATCH($D68,'Allocation %'!$5:$5,0)-1)*($F8-$G8)*'2020 Assumptions'!$B$20,0))</f>
        <v>0</v>
      </c>
      <c r="Z68" s="73">
        <f ca="1">IF(Z$5="Doyon Notional Allocation",0,IF($C68&lt;&gt;Z$3,OFFSET('Allocation %'!$A$1,MATCH(Z$4,'Allocation %'!$A:$A,0)-1,MATCH($D68,'Allocation %'!$5:$5,0)-1)*($F8-$G8)*'2020 Assumptions'!$B$20,0))</f>
        <v>0</v>
      </c>
      <c r="AA68" s="73">
        <f ca="1">IF(AA$5="Doyon Notional Allocation",0,IF($C68&lt;&gt;AA$3,OFFSET('Allocation %'!$A$1,MATCH(AA$4,'Allocation %'!$A:$A,0)-1,MATCH($D68,'Allocation %'!$5:$5,0)-1)*($F8-$G8)*'2020 Assumptions'!$B$20,0))</f>
        <v>0</v>
      </c>
      <c r="AB68" s="73">
        <f ca="1">IF(AB$5="Doyon Notional Allocation",0,IF($C68&lt;&gt;AB$3,OFFSET('Allocation %'!$A$1,MATCH(AB$4,'Allocation %'!$A:$A,0)-1,MATCH($D68,'Allocation %'!$5:$5,0)-1)*($F8-$G8)*'2020 Assumptions'!$B$20,0))</f>
        <v>0</v>
      </c>
      <c r="AC68" s="73">
        <f ca="1">IF(AC$5="Doyon Notional Allocation",0,IF($C68&lt;&gt;AC$3,OFFSET('Allocation %'!$A$1,MATCH(AC$4,'Allocation %'!$A:$A,0)-1,MATCH($D68,'Allocation %'!$5:$5,0)-1)*($F8-$G8)*'2020 Assumptions'!$B$20,0))</f>
        <v>0</v>
      </c>
      <c r="AD68" s="73">
        <f ca="1">IF(AD$5="Doyon Notional Allocation",0,IF($C68&lt;&gt;AD$3,OFFSET('Allocation %'!$A$1,MATCH(AD$4,'Allocation %'!$A:$A,0)-1,MATCH($D68,'Allocation %'!$5:$5,0)-1)*($F8-$G8)*'2020 Assumptions'!$B$20,0))</f>
        <v>0</v>
      </c>
      <c r="AE68" s="73">
        <f ca="1">IF(AE$5="Doyon Notional Allocation",0,IF($C68&lt;&gt;AE$3,OFFSET('Allocation %'!$A$1,MATCH(AE$4,'Allocation %'!$A:$A,0)-1,MATCH($D68,'Allocation %'!$5:$5,0)-1)*($F8-$G8)*'2020 Assumptions'!$B$20,0))</f>
        <v>0</v>
      </c>
      <c r="AF68" s="73">
        <f ca="1">IF(AF$5="Doyon Notional Allocation",0,IF($C68&lt;&gt;AF$3,OFFSET('Allocation %'!$A$1,MATCH(AF$4,'Allocation %'!$A:$A,0)-1,MATCH($D68,'Allocation %'!$5:$5,0)-1)*($F8-$G8)*'2020 Assumptions'!$B$20,0))</f>
        <v>0</v>
      </c>
      <c r="AG68" s="73">
        <f ca="1">IF(AG$5="Doyon Notional Allocation",0,IF($C68&lt;&gt;AG$3,OFFSET('Allocation %'!$A$1,MATCH(AG$4,'Allocation %'!$A:$A,0)-1,MATCH($D68,'Allocation %'!$5:$5,0)-1)*($F8-$G8)*'2020 Assumptions'!$B$20,0))</f>
        <v>0</v>
      </c>
      <c r="AH68" s="73">
        <f ca="1">IF(AH$5="Doyon Notional Allocation",0,IF($C68&lt;&gt;AH$3,OFFSET('Allocation %'!$A$1,MATCH(AH$4,'Allocation %'!$A:$A,0)-1,MATCH($D68,'Allocation %'!$5:$5,0)-1)*($F8-$G8)*'2020 Assumptions'!$B$20,0))</f>
        <v>0</v>
      </c>
      <c r="AI68" s="73">
        <f ca="1">IF(AI$5="Doyon Notional Allocation",0,IF($C68&lt;&gt;AI$3,OFFSET('Allocation %'!$A$1,MATCH(AI$4,'Allocation %'!$A:$A,0)-1,MATCH($D68,'Allocation %'!$5:$5,0)-1)*($F8-$G8)*'2020 Assumptions'!$B$20,0))</f>
        <v>0</v>
      </c>
      <c r="AJ68" s="73">
        <f ca="1">IF(AJ$5="Doyon Notional Allocation",0,IF($C68&lt;&gt;AJ$3,OFFSET('Allocation %'!$A$1,MATCH(AJ$4,'Allocation %'!$A:$A,0)-1,MATCH($D68,'Allocation %'!$5:$5,0)-1)*($F8-$G8)*'2020 Assumptions'!$B$20,0))</f>
        <v>0</v>
      </c>
      <c r="AK68" s="73">
        <f ca="1">IF(AK$5="Doyon Notional Allocation",0,IF($C68&lt;&gt;AK$3,OFFSET('Allocation %'!$A$1,MATCH(AK$4,'Allocation %'!$A:$A,0)-1,MATCH($D68,'Allocation %'!$5:$5,0)-1)*($F8-$G8)*'2020 Assumptions'!$B$20,0))</f>
        <v>0</v>
      </c>
      <c r="AL68" s="73">
        <f ca="1">IF(AL$5="Doyon Notional Allocation",0,IF($C68&lt;&gt;AL$3,OFFSET('Allocation %'!$A$1,MATCH(AL$4,'Allocation %'!$A:$A,0)-1,MATCH($D68,'Allocation %'!$5:$5,0)-1)*($F8-$G8)*'2020 Assumptions'!$B$20,0))</f>
        <v>0</v>
      </c>
      <c r="AM68" s="73">
        <f ca="1">IF(AM$5="Doyon Notional Allocation",0,IF($C68&lt;&gt;AM$3,OFFSET('Allocation %'!$A$1,MATCH(AM$4,'Allocation %'!$A:$A,0)-1,MATCH($D68,'Allocation %'!$5:$5,0)-1)*($F8-$G8)*'2020 Assumptions'!$B$20,0))</f>
        <v>0</v>
      </c>
      <c r="AN68" s="73">
        <f ca="1">IF(AN$5="Doyon Notional Allocation",0,IF($C68&lt;&gt;AN$3,OFFSET('Allocation %'!$A$1,MATCH(AN$4,'Allocation %'!$A:$A,0)-1,MATCH($D68,'Allocation %'!$5:$5,0)-1)*($F8-$G8)*'2020 Assumptions'!$B$20,0))</f>
        <v>0</v>
      </c>
      <c r="AO68" s="73">
        <f ca="1">IF(AO$5="Doyon Notional Allocation",0,IF($C68&lt;&gt;AO$3,OFFSET('Allocation %'!$A$1,MATCH(AO$4,'Allocation %'!$A:$A,0)-1,MATCH($D68,'Allocation %'!$5:$5,0)-1)*($F8-$G8)*'2020 Assumptions'!$B$20,0))</f>
        <v>0</v>
      </c>
      <c r="AP68" s="73">
        <f ca="1">IF(AP$5="Doyon Notional Allocation",0,IF($C68&lt;&gt;AP$3,OFFSET('Allocation %'!$A$1,MATCH(AP$4,'Allocation %'!$A:$A,0)-1,MATCH($D68,'Allocation %'!$5:$5,0)-1)*($F8-$G8)*'2020 Assumptions'!$B$20,0))</f>
        <v>0</v>
      </c>
      <c r="AQ68" s="73">
        <f ca="1">IF(AQ$5="Doyon Notional Allocation",0,IF($C68&lt;&gt;AQ$3,OFFSET('Allocation %'!$A$1,MATCH(AQ$4,'Allocation %'!$A:$A,0)-1,MATCH($D68,'Allocation %'!$5:$5,0)-1)*($F8-$G8)*'2020 Assumptions'!$B$20,0))</f>
        <v>0</v>
      </c>
      <c r="AR68" s="73">
        <f ca="1">IF(AR$5="Doyon Notional Allocation",0,IF($C68&lt;&gt;AR$3,OFFSET('Allocation %'!$A$1,MATCH(AR$4,'Allocation %'!$A:$A,0)-1,MATCH($D68,'Allocation %'!$5:$5,0)-1)*($F8-$G8)*'2020 Assumptions'!$B$20,0))</f>
        <v>0</v>
      </c>
      <c r="AS68" s="73">
        <f ca="1">IF(AS$5="Doyon Notional Allocation",0,IF($C68&lt;&gt;AS$3,OFFSET('Allocation %'!$A$1,MATCH(AS$4,'Allocation %'!$A:$A,0)-1,MATCH($D68,'Allocation %'!$5:$5,0)-1)*($F8-$G8)*'2020 Assumptions'!$B$20,0))</f>
        <v>0</v>
      </c>
      <c r="AT68" s="73">
        <f ca="1">IF(AT$5="Doyon Notional Allocation",0,IF($C68&lt;&gt;AT$3,OFFSET('Allocation %'!$A$1,MATCH(AT$4,'Allocation %'!$A:$A,0)-1,MATCH($D68,'Allocation %'!$5:$5,0)-1)*($F8-$G8)*'2020 Assumptions'!$B$20,0))</f>
        <v>0</v>
      </c>
      <c r="AU68" s="73">
        <f ca="1">IF(AU$5="Doyon Notional Allocation",0,IF($C68&lt;&gt;AU$3,OFFSET('Allocation %'!$A$1,MATCH(AU$4,'Allocation %'!$A:$A,0)-1,MATCH($D68,'Allocation %'!$5:$5,0)-1)*($F8-$G8)*'2020 Assumptions'!$B$20,0))</f>
        <v>0</v>
      </c>
      <c r="AV68" s="73">
        <f ca="1">IF(AV$5="Doyon Notional Allocation",0,IF($C68&lt;&gt;AV$3,OFFSET('Allocation %'!$A$1,MATCH(AV$4,'Allocation %'!$A:$A,0)-1,MATCH($D68,'Allocation %'!$5:$5,0)-1)*($F8-$G8)*'2020 Assumptions'!$B$20,0))</f>
        <v>0</v>
      </c>
      <c r="AW68" s="73">
        <f ca="1">IF(AW$5="Doyon Notional Allocation",0,IF($C68&lt;&gt;AW$3,OFFSET('Allocation %'!$A$1,MATCH(AW$4,'Allocation %'!$A:$A,0)-1,MATCH($D68,'Allocation %'!$5:$5,0)-1)*($F8-$G8)*'2020 Assumptions'!$B$20,0))</f>
        <v>0</v>
      </c>
      <c r="AX68" s="73">
        <f ca="1">IF(AX$5="Doyon Notional Allocation",0,IF($C68&lt;&gt;AX$3,OFFSET('Allocation %'!$A$1,MATCH(AX$4,'Allocation %'!$A:$A,0)-1,MATCH($D68,'Allocation %'!$5:$5,0)-1)*($F8-$G8)*'2020 Assumptions'!$B$20,0))</f>
        <v>0</v>
      </c>
      <c r="AY68" s="73">
        <f ca="1">IF(AY$5="Doyon Notional Allocation",0,IF($C68&lt;&gt;AY$3,OFFSET('Allocation %'!$A$1,MATCH(AY$4,'Allocation %'!$A:$A,0)-1,MATCH($D68,'Allocation %'!$5:$5,0)-1)*($F8-$G8)*'2020 Assumptions'!$B$20,0))</f>
        <v>0</v>
      </c>
      <c r="AZ68" s="73">
        <f ca="1">IF(AZ$5="Doyon Notional Allocation",0,IF($C68&lt;&gt;AZ$3,OFFSET('Allocation %'!$A$1,MATCH(AZ$4,'Allocation %'!$A:$A,0)-1,MATCH($D68,'Allocation %'!$5:$5,0)-1)*($F8-$G8)*'2020 Assumptions'!$B$20,0))</f>
        <v>1564.7160031937356</v>
      </c>
      <c r="BA68" s="73">
        <f ca="1">IF(BA$5="Doyon Notional Allocation",0,IF($C68&lt;&gt;BA$3,OFFSET('Allocation %'!$A$1,MATCH(BA$4,'Allocation %'!$A:$A,0)-1,MATCH($D68,'Allocation %'!$5:$5,0)-1)*($F8-$G8)*'2020 Assumptions'!$B$20,0))</f>
        <v>309.72272145699259</v>
      </c>
      <c r="BB68" s="73">
        <f ca="1">IF(BB$5="Doyon Notional Allocation",0,IF($C68&lt;&gt;BB$3,OFFSET('Allocation %'!$A$1,MATCH(BB$4,'Allocation %'!$A:$A,0)-1,MATCH($D68,'Allocation %'!$5:$5,0)-1)*($F8-$G8)*'2020 Assumptions'!$B$20,0))</f>
        <v>201.9188078266713</v>
      </c>
      <c r="BC68" s="73">
        <f ca="1">IF(BC$5="Doyon Notional Allocation",0,IF($C68&lt;&gt;BC$3,OFFSET('Allocation %'!$A$1,MATCH(BC$4,'Allocation %'!$A:$A,0)-1,MATCH($D68,'Allocation %'!$5:$5,0)-1)*($F8-$G8)*'2020 Assumptions'!$B$20,0))</f>
        <v>6.2610715887333832</v>
      </c>
      <c r="BD68" s="73">
        <f ca="1">IF(BD$5="Doyon Notional Allocation",0,IF($C68&lt;&gt;BD$3,OFFSET('Allocation %'!$A$1,MATCH(BD$4,'Allocation %'!$A:$A,0)-1,MATCH($D68,'Allocation %'!$5:$5,0)-1)*($F8-$G8)*'2020 Assumptions'!$B$20,0))</f>
        <v>120.50206331186551</v>
      </c>
      <c r="BE68" s="73">
        <f ca="1">IF(BE$5="Doyon Notional Allocation",0,IF($C68&lt;&gt;BE$3,OFFSET('Allocation %'!$A$1,MATCH(BE$4,'Allocation %'!$A:$A,0)-1,MATCH($D68,'Allocation %'!$5:$5,0)-1)*($F8-$G8)*'2020 Assumptions'!$B$20,0))</f>
        <v>0</v>
      </c>
      <c r="BG68" s="76">
        <f t="shared" ca="1" si="9"/>
        <v>2203.1206673779984</v>
      </c>
      <c r="BH68" s="349">
        <f t="shared" ca="1" si="10"/>
        <v>0</v>
      </c>
    </row>
    <row r="69" spans="2:60" s="177" customFormat="1" x14ac:dyDescent="0.25">
      <c r="B69" s="172" t="str">
        <f t="shared" si="7"/>
        <v>1010-000140 - Restructuring Adjustment Mark up</v>
      </c>
      <c r="C69" s="177" t="str">
        <f t="shared" si="8"/>
        <v>CAD</v>
      </c>
      <c r="D69" s="159" t="str">
        <f t="shared" ca="1" si="8"/>
        <v>ALL</v>
      </c>
      <c r="E69" s="173">
        <f ca="1">F69*'2020 Assumptions'!$B$4</f>
        <v>0</v>
      </c>
      <c r="F69" s="73">
        <f t="shared" ca="1" si="11"/>
        <v>0</v>
      </c>
      <c r="G69" s="73"/>
      <c r="I69" s="73">
        <f ca="1">IF(I$5="Doyon Notional Allocation",0,IF($C69&lt;&gt;I$3,OFFSET('Allocation %'!$A$1,MATCH(I$4,'Allocation %'!$A:$A,0)-1,MATCH($D69,'Allocation %'!$5:$5,0)-1)*($F9-$G9)*'2020 Assumptions'!$B$20,0))</f>
        <v>0</v>
      </c>
      <c r="J69" s="73">
        <f ca="1">IF(J$5="Doyon Notional Allocation",0,IF($C69&lt;&gt;J$3,OFFSET('Allocation %'!$A$1,MATCH(J$4,'Allocation %'!$A:$A,0)-1,MATCH($D69,'Allocation %'!$5:$5,0)-1)*($F9-$G9)*'2020 Assumptions'!$B$20,0))</f>
        <v>0</v>
      </c>
      <c r="K69" s="73">
        <f ca="1">IF(K$5="Doyon Notional Allocation",0,IF($C69&lt;&gt;K$3,OFFSET('Allocation %'!$A$1,MATCH(K$4,'Allocation %'!$A:$A,0)-1,MATCH($D69,'Allocation %'!$5:$5,0)-1)*($F9-$G9)*'2020 Assumptions'!$B$20,0))</f>
        <v>0</v>
      </c>
      <c r="L69" s="73">
        <f ca="1">IF(L$5="Doyon Notional Allocation",0,IF($C69&lt;&gt;L$3,OFFSET('Allocation %'!$A$1,MATCH(L$4,'Allocation %'!$A:$A,0)-1,MATCH($D69,'Allocation %'!$5:$5,0)-1)*($F9-$G9)*'2020 Assumptions'!$B$20,0))</f>
        <v>0</v>
      </c>
      <c r="M69" s="73">
        <f ca="1">IF(M$5="Doyon Notional Allocation",0,IF($C69&lt;&gt;M$3,OFFSET('Allocation %'!$A$1,MATCH(M$4,'Allocation %'!$A:$A,0)-1,MATCH($D69,'Allocation %'!$5:$5,0)-1)*($F9-$G9)*'2020 Assumptions'!$B$20,0))</f>
        <v>0</v>
      </c>
      <c r="N69" s="73">
        <f ca="1">IF(N$5="Doyon Notional Allocation",0,IF($C69&lt;&gt;N$3,OFFSET('Allocation %'!$A$1,MATCH(N$4,'Allocation %'!$A:$A,0)-1,MATCH($D69,'Allocation %'!$5:$5,0)-1)*($F9-$G9)*'2020 Assumptions'!$B$20,0))</f>
        <v>0</v>
      </c>
      <c r="O69" s="73">
        <f ca="1">IF(O$5="Doyon Notional Allocation",0,IF($C69&lt;&gt;O$3,OFFSET('Allocation %'!$A$1,MATCH(O$4,'Allocation %'!$A:$A,0)-1,MATCH($D69,'Allocation %'!$5:$5,0)-1)*($F9-$G9)*'2020 Assumptions'!$B$20,0))</f>
        <v>0</v>
      </c>
      <c r="P69" s="73">
        <f ca="1">IF(P$5="Doyon Notional Allocation",0,IF($C69&lt;&gt;P$3,OFFSET('Allocation %'!$A$1,MATCH(P$4,'Allocation %'!$A:$A,0)-1,MATCH($D69,'Allocation %'!$5:$5,0)-1)*($F9-$G9)*'2020 Assumptions'!$B$20,0))</f>
        <v>0</v>
      </c>
      <c r="Q69" s="73">
        <f ca="1">IF(Q$5="Doyon Notional Allocation",0,IF($C69&lt;&gt;Q$3,OFFSET('Allocation %'!$A$1,MATCH(Q$4,'Allocation %'!$A:$A,0)-1,MATCH($D69,'Allocation %'!$5:$5,0)-1)*($F9-$G9)*'2020 Assumptions'!$B$20,0))</f>
        <v>0</v>
      </c>
      <c r="R69" s="73">
        <f ca="1">IF(R$5="Doyon Notional Allocation",0,IF($C69&lt;&gt;R$3,OFFSET('Allocation %'!$A$1,MATCH(R$4,'Allocation %'!$A:$A,0)-1,MATCH($D69,'Allocation %'!$5:$5,0)-1)*($F9-$G9)*'2020 Assumptions'!$B$20,0))</f>
        <v>0</v>
      </c>
      <c r="S69" s="73">
        <f ca="1">IF(S$5="Doyon Notional Allocation",0,IF($C69&lt;&gt;S$3,OFFSET('Allocation %'!$A$1,MATCH(S$4,'Allocation %'!$A:$A,0)-1,MATCH($D69,'Allocation %'!$5:$5,0)-1)*($F9-$G9)*'2020 Assumptions'!$B$20,0))</f>
        <v>0</v>
      </c>
      <c r="T69" s="73">
        <f ca="1">IF(T$5="Doyon Notional Allocation",0,IF($C69&lt;&gt;T$3,OFFSET('Allocation %'!$A$1,MATCH(T$4,'Allocation %'!$A:$A,0)-1,MATCH($D69,'Allocation %'!$5:$5,0)-1)*($F9-$G9)*'2020 Assumptions'!$B$20,0))</f>
        <v>0</v>
      </c>
      <c r="U69" s="73">
        <f ca="1">IF(U$5="Doyon Notional Allocation",0,IF($C69&lt;&gt;U$3,OFFSET('Allocation %'!$A$1,MATCH(U$4,'Allocation %'!$A:$A,0)-1,MATCH($D69,'Allocation %'!$5:$5,0)-1)*($F9-$G9)*'2020 Assumptions'!$B$20,0))</f>
        <v>0</v>
      </c>
      <c r="V69" s="73">
        <f ca="1">IF(V$5="Doyon Notional Allocation",0,IF($C69&lt;&gt;V$3,OFFSET('Allocation %'!$A$1,MATCH(V$4,'Allocation %'!$A:$A,0)-1,MATCH($D69,'Allocation %'!$5:$5,0)-1)*($F9-$G9)*'2020 Assumptions'!$B$20,0))</f>
        <v>0</v>
      </c>
      <c r="W69" s="73">
        <f ca="1">IF(W$5="Doyon Notional Allocation",0,IF($C69&lt;&gt;W$3,OFFSET('Allocation %'!$A$1,MATCH(W$4,'Allocation %'!$A:$A,0)-1,MATCH($D69,'Allocation %'!$5:$5,0)-1)*($F9-$G9)*'2020 Assumptions'!$B$20,0))</f>
        <v>0</v>
      </c>
      <c r="X69" s="73">
        <f ca="1">IF(X$5="Doyon Notional Allocation",0,IF($C69&lt;&gt;X$3,OFFSET('Allocation %'!$A$1,MATCH(X$4,'Allocation %'!$A:$A,0)-1,MATCH($D69,'Allocation %'!$5:$5,0)-1)*($F9-$G9)*'2020 Assumptions'!$B$20,0))</f>
        <v>0</v>
      </c>
      <c r="Y69" s="73">
        <f ca="1">IF(Y$5="Doyon Notional Allocation",0,IF($C69&lt;&gt;Y$3,OFFSET('Allocation %'!$A$1,MATCH(Y$4,'Allocation %'!$A:$A,0)-1,MATCH($D69,'Allocation %'!$5:$5,0)-1)*($F9-$G9)*'2020 Assumptions'!$B$20,0))</f>
        <v>0</v>
      </c>
      <c r="Z69" s="73">
        <f ca="1">IF(Z$5="Doyon Notional Allocation",0,IF($C69&lt;&gt;Z$3,OFFSET('Allocation %'!$A$1,MATCH(Z$4,'Allocation %'!$A:$A,0)-1,MATCH($D69,'Allocation %'!$5:$5,0)-1)*($F9-$G9)*'2020 Assumptions'!$B$20,0))</f>
        <v>0</v>
      </c>
      <c r="AA69" s="73">
        <f ca="1">IF(AA$5="Doyon Notional Allocation",0,IF($C69&lt;&gt;AA$3,OFFSET('Allocation %'!$A$1,MATCH(AA$4,'Allocation %'!$A:$A,0)-1,MATCH($D69,'Allocation %'!$5:$5,0)-1)*($F9-$G9)*'2020 Assumptions'!$B$20,0))</f>
        <v>0</v>
      </c>
      <c r="AB69" s="73">
        <f ca="1">IF(AB$5="Doyon Notional Allocation",0,IF($C69&lt;&gt;AB$3,OFFSET('Allocation %'!$A$1,MATCH(AB$4,'Allocation %'!$A:$A,0)-1,MATCH($D69,'Allocation %'!$5:$5,0)-1)*($F9-$G9)*'2020 Assumptions'!$B$20,0))</f>
        <v>0</v>
      </c>
      <c r="AC69" s="73">
        <f ca="1">IF(AC$5="Doyon Notional Allocation",0,IF($C69&lt;&gt;AC$3,OFFSET('Allocation %'!$A$1,MATCH(AC$4,'Allocation %'!$A:$A,0)-1,MATCH($D69,'Allocation %'!$5:$5,0)-1)*($F9-$G9)*'2020 Assumptions'!$B$20,0))</f>
        <v>0</v>
      </c>
      <c r="AD69" s="73">
        <f ca="1">IF(AD$5="Doyon Notional Allocation",0,IF($C69&lt;&gt;AD$3,OFFSET('Allocation %'!$A$1,MATCH(AD$4,'Allocation %'!$A:$A,0)-1,MATCH($D69,'Allocation %'!$5:$5,0)-1)*($F9-$G9)*'2020 Assumptions'!$B$20,0))</f>
        <v>0</v>
      </c>
      <c r="AE69" s="73">
        <f ca="1">IF(AE$5="Doyon Notional Allocation",0,IF($C69&lt;&gt;AE$3,OFFSET('Allocation %'!$A$1,MATCH(AE$4,'Allocation %'!$A:$A,0)-1,MATCH($D69,'Allocation %'!$5:$5,0)-1)*($F9-$G9)*'2020 Assumptions'!$B$20,0))</f>
        <v>0</v>
      </c>
      <c r="AF69" s="73">
        <f ca="1">IF(AF$5="Doyon Notional Allocation",0,IF($C69&lt;&gt;AF$3,OFFSET('Allocation %'!$A$1,MATCH(AF$4,'Allocation %'!$A:$A,0)-1,MATCH($D69,'Allocation %'!$5:$5,0)-1)*($F9-$G9)*'2020 Assumptions'!$B$20,0))</f>
        <v>0</v>
      </c>
      <c r="AG69" s="73">
        <f ca="1">IF(AG$5="Doyon Notional Allocation",0,IF($C69&lt;&gt;AG$3,OFFSET('Allocation %'!$A$1,MATCH(AG$4,'Allocation %'!$A:$A,0)-1,MATCH($D69,'Allocation %'!$5:$5,0)-1)*($F9-$G9)*'2020 Assumptions'!$B$20,0))</f>
        <v>0</v>
      </c>
      <c r="AH69" s="73">
        <f ca="1">IF(AH$5="Doyon Notional Allocation",0,IF($C69&lt;&gt;AH$3,OFFSET('Allocation %'!$A$1,MATCH(AH$4,'Allocation %'!$A:$A,0)-1,MATCH($D69,'Allocation %'!$5:$5,0)-1)*($F9-$G9)*'2020 Assumptions'!$B$20,0))</f>
        <v>0</v>
      </c>
      <c r="AI69" s="73">
        <f ca="1">IF(AI$5="Doyon Notional Allocation",0,IF($C69&lt;&gt;AI$3,OFFSET('Allocation %'!$A$1,MATCH(AI$4,'Allocation %'!$A:$A,0)-1,MATCH($D69,'Allocation %'!$5:$5,0)-1)*($F9-$G9)*'2020 Assumptions'!$B$20,0))</f>
        <v>0</v>
      </c>
      <c r="AJ69" s="73">
        <f ca="1">IF(AJ$5="Doyon Notional Allocation",0,IF($C69&lt;&gt;AJ$3,OFFSET('Allocation %'!$A$1,MATCH(AJ$4,'Allocation %'!$A:$A,0)-1,MATCH($D69,'Allocation %'!$5:$5,0)-1)*($F9-$G9)*'2020 Assumptions'!$B$20,0))</f>
        <v>0</v>
      </c>
      <c r="AK69" s="73">
        <f ca="1">IF(AK$5="Doyon Notional Allocation",0,IF($C69&lt;&gt;AK$3,OFFSET('Allocation %'!$A$1,MATCH(AK$4,'Allocation %'!$A:$A,0)-1,MATCH($D69,'Allocation %'!$5:$5,0)-1)*($F9-$G9)*'2020 Assumptions'!$B$20,0))</f>
        <v>0</v>
      </c>
      <c r="AL69" s="73">
        <f ca="1">IF(AL$5="Doyon Notional Allocation",0,IF($C69&lt;&gt;AL$3,OFFSET('Allocation %'!$A$1,MATCH(AL$4,'Allocation %'!$A:$A,0)-1,MATCH($D69,'Allocation %'!$5:$5,0)-1)*($F9-$G9)*'2020 Assumptions'!$B$20,0))</f>
        <v>0</v>
      </c>
      <c r="AM69" s="73">
        <f ca="1">IF(AM$5="Doyon Notional Allocation",0,IF($C69&lt;&gt;AM$3,OFFSET('Allocation %'!$A$1,MATCH(AM$4,'Allocation %'!$A:$A,0)-1,MATCH($D69,'Allocation %'!$5:$5,0)-1)*($F9-$G9)*'2020 Assumptions'!$B$20,0))</f>
        <v>0</v>
      </c>
      <c r="AN69" s="73">
        <f ca="1">IF(AN$5="Doyon Notional Allocation",0,IF($C69&lt;&gt;AN$3,OFFSET('Allocation %'!$A$1,MATCH(AN$4,'Allocation %'!$A:$A,0)-1,MATCH($D69,'Allocation %'!$5:$5,0)-1)*($F9-$G9)*'2020 Assumptions'!$B$20,0))</f>
        <v>0</v>
      </c>
      <c r="AO69" s="73">
        <f ca="1">IF(AO$5="Doyon Notional Allocation",0,IF($C69&lt;&gt;AO$3,OFFSET('Allocation %'!$A$1,MATCH(AO$4,'Allocation %'!$A:$A,0)-1,MATCH($D69,'Allocation %'!$5:$5,0)-1)*($F9-$G9)*'2020 Assumptions'!$B$20,0))</f>
        <v>0</v>
      </c>
      <c r="AP69" s="73">
        <f ca="1">IF(AP$5="Doyon Notional Allocation",0,IF($C69&lt;&gt;AP$3,OFFSET('Allocation %'!$A$1,MATCH(AP$4,'Allocation %'!$A:$A,0)-1,MATCH($D69,'Allocation %'!$5:$5,0)-1)*($F9-$G9)*'2020 Assumptions'!$B$20,0))</f>
        <v>0</v>
      </c>
      <c r="AQ69" s="73">
        <f ca="1">IF(AQ$5="Doyon Notional Allocation",0,IF($C69&lt;&gt;AQ$3,OFFSET('Allocation %'!$A$1,MATCH(AQ$4,'Allocation %'!$A:$A,0)-1,MATCH($D69,'Allocation %'!$5:$5,0)-1)*($F9-$G9)*'2020 Assumptions'!$B$20,0))</f>
        <v>0</v>
      </c>
      <c r="AR69" s="73">
        <f ca="1">IF(AR$5="Doyon Notional Allocation",0,IF($C69&lt;&gt;AR$3,OFFSET('Allocation %'!$A$1,MATCH(AR$4,'Allocation %'!$A:$A,0)-1,MATCH($D69,'Allocation %'!$5:$5,0)-1)*($F9-$G9)*'2020 Assumptions'!$B$20,0))</f>
        <v>0</v>
      </c>
      <c r="AS69" s="73">
        <f ca="1">IF(AS$5="Doyon Notional Allocation",0,IF($C69&lt;&gt;AS$3,OFFSET('Allocation %'!$A$1,MATCH(AS$4,'Allocation %'!$A:$A,0)-1,MATCH($D69,'Allocation %'!$5:$5,0)-1)*($F9-$G9)*'2020 Assumptions'!$B$20,0))</f>
        <v>0</v>
      </c>
      <c r="AT69" s="73">
        <f ca="1">IF(AT$5="Doyon Notional Allocation",0,IF($C69&lt;&gt;AT$3,OFFSET('Allocation %'!$A$1,MATCH(AT$4,'Allocation %'!$A:$A,0)-1,MATCH($D69,'Allocation %'!$5:$5,0)-1)*($F9-$G9)*'2020 Assumptions'!$B$20,0))</f>
        <v>0</v>
      </c>
      <c r="AU69" s="73">
        <f ca="1">IF(AU$5="Doyon Notional Allocation",0,IF($C69&lt;&gt;AU$3,OFFSET('Allocation %'!$A$1,MATCH(AU$4,'Allocation %'!$A:$A,0)-1,MATCH($D69,'Allocation %'!$5:$5,0)-1)*($F9-$G9)*'2020 Assumptions'!$B$20,0))</f>
        <v>0</v>
      </c>
      <c r="AV69" s="73">
        <f ca="1">IF(AV$5="Doyon Notional Allocation",0,IF($C69&lt;&gt;AV$3,OFFSET('Allocation %'!$A$1,MATCH(AV$4,'Allocation %'!$A:$A,0)-1,MATCH($D69,'Allocation %'!$5:$5,0)-1)*($F9-$G9)*'2020 Assumptions'!$B$20,0))</f>
        <v>0</v>
      </c>
      <c r="AW69" s="73">
        <f ca="1">IF(AW$5="Doyon Notional Allocation",0,IF($C69&lt;&gt;AW$3,OFFSET('Allocation %'!$A$1,MATCH(AW$4,'Allocation %'!$A:$A,0)-1,MATCH($D69,'Allocation %'!$5:$5,0)-1)*($F9-$G9)*'2020 Assumptions'!$B$20,0))</f>
        <v>0</v>
      </c>
      <c r="AX69" s="73">
        <f ca="1">IF(AX$5="Doyon Notional Allocation",0,IF($C69&lt;&gt;AX$3,OFFSET('Allocation %'!$A$1,MATCH(AX$4,'Allocation %'!$A:$A,0)-1,MATCH($D69,'Allocation %'!$5:$5,0)-1)*($F9-$G9)*'2020 Assumptions'!$B$20,0))</f>
        <v>0</v>
      </c>
      <c r="AY69" s="73">
        <f ca="1">IF(AY$5="Doyon Notional Allocation",0,IF($C69&lt;&gt;AY$3,OFFSET('Allocation %'!$A$1,MATCH(AY$4,'Allocation %'!$A:$A,0)-1,MATCH($D69,'Allocation %'!$5:$5,0)-1)*($F9-$G9)*'2020 Assumptions'!$B$20,0))</f>
        <v>0</v>
      </c>
      <c r="AZ69" s="73">
        <f ca="1">IF(AZ$5="Doyon Notional Allocation",0,IF($C69&lt;&gt;AZ$3,OFFSET('Allocation %'!$A$1,MATCH(AZ$4,'Allocation %'!$A:$A,0)-1,MATCH($D69,'Allocation %'!$5:$5,0)-1)*($F9-$G9)*'2020 Assumptions'!$B$20,0))</f>
        <v>0</v>
      </c>
      <c r="BA69" s="73">
        <f ca="1">IF(BA$5="Doyon Notional Allocation",0,IF($C69&lt;&gt;BA$3,OFFSET('Allocation %'!$A$1,MATCH(BA$4,'Allocation %'!$A:$A,0)-1,MATCH($D69,'Allocation %'!$5:$5,0)-1)*($F9-$G9)*'2020 Assumptions'!$B$20,0))</f>
        <v>0</v>
      </c>
      <c r="BB69" s="73">
        <f ca="1">IF(BB$5="Doyon Notional Allocation",0,IF($C69&lt;&gt;BB$3,OFFSET('Allocation %'!$A$1,MATCH(BB$4,'Allocation %'!$A:$A,0)-1,MATCH($D69,'Allocation %'!$5:$5,0)-1)*($F9-$G9)*'2020 Assumptions'!$B$20,0))</f>
        <v>0</v>
      </c>
      <c r="BC69" s="73">
        <f ca="1">IF(BC$5="Doyon Notional Allocation",0,IF($C69&lt;&gt;BC$3,OFFSET('Allocation %'!$A$1,MATCH(BC$4,'Allocation %'!$A:$A,0)-1,MATCH($D69,'Allocation %'!$5:$5,0)-1)*($F9-$G9)*'2020 Assumptions'!$B$20,0))</f>
        <v>0</v>
      </c>
      <c r="BD69" s="73">
        <f ca="1">IF(BD$5="Doyon Notional Allocation",0,IF($C69&lt;&gt;BD$3,OFFSET('Allocation %'!$A$1,MATCH(BD$4,'Allocation %'!$A:$A,0)-1,MATCH($D69,'Allocation %'!$5:$5,0)-1)*($F9-$G9)*'2020 Assumptions'!$B$20,0))</f>
        <v>0</v>
      </c>
      <c r="BE69" s="73">
        <f ca="1">IF(BE$5="Doyon Notional Allocation",0,IF($C69&lt;&gt;BE$3,OFFSET('Allocation %'!$A$1,MATCH(BE$4,'Allocation %'!$A:$A,0)-1,MATCH($D69,'Allocation %'!$5:$5,0)-1)*($F9-$G9)*'2020 Assumptions'!$B$20,0))</f>
        <v>0</v>
      </c>
      <c r="BG69" s="76">
        <f t="shared" ca="1" si="9"/>
        <v>0</v>
      </c>
      <c r="BH69" s="349">
        <f t="shared" ca="1" si="10"/>
        <v>0</v>
      </c>
    </row>
    <row r="70" spans="2:60" s="177" customFormat="1" x14ac:dyDescent="0.25">
      <c r="B70" s="172" t="str">
        <f t="shared" si="7"/>
        <v>1010-000200 - Business Development Mark up</v>
      </c>
      <c r="C70" s="177" t="str">
        <f t="shared" si="8"/>
        <v>CAD</v>
      </c>
      <c r="D70" s="159" t="str">
        <f t="shared" ca="1" si="8"/>
        <v>ALL</v>
      </c>
      <c r="E70" s="173">
        <f ca="1">F70*'2020 Assumptions'!$B$4</f>
        <v>8966.1414644028373</v>
      </c>
      <c r="F70" s="73">
        <f t="shared" ca="1" si="11"/>
        <v>6670.2436128573408</v>
      </c>
      <c r="G70" s="73"/>
      <c r="I70" s="73">
        <f ca="1">IF(I$5="Doyon Notional Allocation",0,IF($C70&lt;&gt;I$3,OFFSET('Allocation %'!$A$1,MATCH(I$4,'Allocation %'!$A:$A,0)-1,MATCH($D70,'Allocation %'!$5:$5,0)-1)*($F10-$G10)*'2020 Assumptions'!$B$20,0))</f>
        <v>0</v>
      </c>
      <c r="J70" s="73">
        <f ca="1">IF(J$5="Doyon Notional Allocation",0,IF($C70&lt;&gt;J$3,OFFSET('Allocation %'!$A$1,MATCH(J$4,'Allocation %'!$A:$A,0)-1,MATCH($D70,'Allocation %'!$5:$5,0)-1)*($F10-$G10)*'2020 Assumptions'!$B$20,0))</f>
        <v>0</v>
      </c>
      <c r="K70" s="73">
        <f ca="1">IF(K$5="Doyon Notional Allocation",0,IF($C70&lt;&gt;K$3,OFFSET('Allocation %'!$A$1,MATCH(K$4,'Allocation %'!$A:$A,0)-1,MATCH($D70,'Allocation %'!$5:$5,0)-1)*($F10-$G10)*'2020 Assumptions'!$B$20,0))</f>
        <v>0</v>
      </c>
      <c r="L70" s="73">
        <f ca="1">IF(L$5="Doyon Notional Allocation",0,IF($C70&lt;&gt;L$3,OFFSET('Allocation %'!$A$1,MATCH(L$4,'Allocation %'!$A:$A,0)-1,MATCH($D70,'Allocation %'!$5:$5,0)-1)*($F10-$G10)*'2020 Assumptions'!$B$20,0))</f>
        <v>0</v>
      </c>
      <c r="M70" s="73">
        <f ca="1">IF(M$5="Doyon Notional Allocation",0,IF($C70&lt;&gt;M$3,OFFSET('Allocation %'!$A$1,MATCH(M$4,'Allocation %'!$A:$A,0)-1,MATCH($D70,'Allocation %'!$5:$5,0)-1)*($F10-$G10)*'2020 Assumptions'!$B$20,0))</f>
        <v>0</v>
      </c>
      <c r="N70" s="73">
        <f ca="1">IF(N$5="Doyon Notional Allocation",0,IF($C70&lt;&gt;N$3,OFFSET('Allocation %'!$A$1,MATCH(N$4,'Allocation %'!$A:$A,0)-1,MATCH($D70,'Allocation %'!$5:$5,0)-1)*($F10-$G10)*'2020 Assumptions'!$B$20,0))</f>
        <v>0</v>
      </c>
      <c r="O70" s="73">
        <f ca="1">IF(O$5="Doyon Notional Allocation",0,IF($C70&lt;&gt;O$3,OFFSET('Allocation %'!$A$1,MATCH(O$4,'Allocation %'!$A:$A,0)-1,MATCH($D70,'Allocation %'!$5:$5,0)-1)*($F10-$G10)*'2020 Assumptions'!$B$20,0))</f>
        <v>0</v>
      </c>
      <c r="P70" s="73">
        <f ca="1">IF(P$5="Doyon Notional Allocation",0,IF($C70&lt;&gt;P$3,OFFSET('Allocation %'!$A$1,MATCH(P$4,'Allocation %'!$A:$A,0)-1,MATCH($D70,'Allocation %'!$5:$5,0)-1)*($F10-$G10)*'2020 Assumptions'!$B$20,0))</f>
        <v>0</v>
      </c>
      <c r="Q70" s="73">
        <f ca="1">IF(Q$5="Doyon Notional Allocation",0,IF($C70&lt;&gt;Q$3,OFFSET('Allocation %'!$A$1,MATCH(Q$4,'Allocation %'!$A:$A,0)-1,MATCH($D70,'Allocation %'!$5:$5,0)-1)*($F10-$G10)*'2020 Assumptions'!$B$20,0))</f>
        <v>0</v>
      </c>
      <c r="R70" s="73">
        <f ca="1">IF(R$5="Doyon Notional Allocation",0,IF($C70&lt;&gt;R$3,OFFSET('Allocation %'!$A$1,MATCH(R$4,'Allocation %'!$A:$A,0)-1,MATCH($D70,'Allocation %'!$5:$5,0)-1)*($F10-$G10)*'2020 Assumptions'!$B$20,0))</f>
        <v>0</v>
      </c>
      <c r="S70" s="73">
        <f ca="1">IF(S$5="Doyon Notional Allocation",0,IF($C70&lt;&gt;S$3,OFFSET('Allocation %'!$A$1,MATCH(S$4,'Allocation %'!$A:$A,0)-1,MATCH($D70,'Allocation %'!$5:$5,0)-1)*($F10-$G10)*'2020 Assumptions'!$B$20,0))</f>
        <v>0</v>
      </c>
      <c r="T70" s="73">
        <f ca="1">IF(T$5="Doyon Notional Allocation",0,IF($C70&lt;&gt;T$3,OFFSET('Allocation %'!$A$1,MATCH(T$4,'Allocation %'!$A:$A,0)-1,MATCH($D70,'Allocation %'!$5:$5,0)-1)*($F10-$G10)*'2020 Assumptions'!$B$20,0))</f>
        <v>0</v>
      </c>
      <c r="U70" s="73">
        <f ca="1">IF(U$5="Doyon Notional Allocation",0,IF($C70&lt;&gt;U$3,OFFSET('Allocation %'!$A$1,MATCH(U$4,'Allocation %'!$A:$A,0)-1,MATCH($D70,'Allocation %'!$5:$5,0)-1)*($F10-$G10)*'2020 Assumptions'!$B$20,0))</f>
        <v>0</v>
      </c>
      <c r="V70" s="73">
        <f ca="1">IF(V$5="Doyon Notional Allocation",0,IF($C70&lt;&gt;V$3,OFFSET('Allocation %'!$A$1,MATCH(V$4,'Allocation %'!$A:$A,0)-1,MATCH($D70,'Allocation %'!$5:$5,0)-1)*($F10-$G10)*'2020 Assumptions'!$B$20,0))</f>
        <v>0</v>
      </c>
      <c r="W70" s="73">
        <f ca="1">IF(W$5="Doyon Notional Allocation",0,IF($C70&lt;&gt;W$3,OFFSET('Allocation %'!$A$1,MATCH(W$4,'Allocation %'!$A:$A,0)-1,MATCH($D70,'Allocation %'!$5:$5,0)-1)*($F10-$G10)*'2020 Assumptions'!$B$20,0))</f>
        <v>0</v>
      </c>
      <c r="X70" s="73">
        <f ca="1">IF(X$5="Doyon Notional Allocation",0,IF($C70&lt;&gt;X$3,OFFSET('Allocation %'!$A$1,MATCH(X$4,'Allocation %'!$A:$A,0)-1,MATCH($D70,'Allocation %'!$5:$5,0)-1)*($F10-$G10)*'2020 Assumptions'!$B$20,0))</f>
        <v>0</v>
      </c>
      <c r="Y70" s="73">
        <f ca="1">IF(Y$5="Doyon Notional Allocation",0,IF($C70&lt;&gt;Y$3,OFFSET('Allocation %'!$A$1,MATCH(Y$4,'Allocation %'!$A:$A,0)-1,MATCH($D70,'Allocation %'!$5:$5,0)-1)*($F10-$G10)*'2020 Assumptions'!$B$20,0))</f>
        <v>0</v>
      </c>
      <c r="Z70" s="73">
        <f ca="1">IF(Z$5="Doyon Notional Allocation",0,IF($C70&lt;&gt;Z$3,OFFSET('Allocation %'!$A$1,MATCH(Z$4,'Allocation %'!$A:$A,0)-1,MATCH($D70,'Allocation %'!$5:$5,0)-1)*($F10-$G10)*'2020 Assumptions'!$B$20,0))</f>
        <v>0</v>
      </c>
      <c r="AA70" s="73">
        <f ca="1">IF(AA$5="Doyon Notional Allocation",0,IF($C70&lt;&gt;AA$3,OFFSET('Allocation %'!$A$1,MATCH(AA$4,'Allocation %'!$A:$A,0)-1,MATCH($D70,'Allocation %'!$5:$5,0)-1)*($F10-$G10)*'2020 Assumptions'!$B$20,0))</f>
        <v>0</v>
      </c>
      <c r="AB70" s="73">
        <f ca="1">IF(AB$5="Doyon Notional Allocation",0,IF($C70&lt;&gt;AB$3,OFFSET('Allocation %'!$A$1,MATCH(AB$4,'Allocation %'!$A:$A,0)-1,MATCH($D70,'Allocation %'!$5:$5,0)-1)*($F10-$G10)*'2020 Assumptions'!$B$20,0))</f>
        <v>0</v>
      </c>
      <c r="AC70" s="73">
        <f ca="1">IF(AC$5="Doyon Notional Allocation",0,IF($C70&lt;&gt;AC$3,OFFSET('Allocation %'!$A$1,MATCH(AC$4,'Allocation %'!$A:$A,0)-1,MATCH($D70,'Allocation %'!$5:$5,0)-1)*($F10-$G10)*'2020 Assumptions'!$B$20,0))</f>
        <v>0</v>
      </c>
      <c r="AD70" s="73">
        <f ca="1">IF(AD$5="Doyon Notional Allocation",0,IF($C70&lt;&gt;AD$3,OFFSET('Allocation %'!$A$1,MATCH(AD$4,'Allocation %'!$A:$A,0)-1,MATCH($D70,'Allocation %'!$5:$5,0)-1)*($F10-$G10)*'2020 Assumptions'!$B$20,0))</f>
        <v>0</v>
      </c>
      <c r="AE70" s="73">
        <f ca="1">IF(AE$5="Doyon Notional Allocation",0,IF($C70&lt;&gt;AE$3,OFFSET('Allocation %'!$A$1,MATCH(AE$4,'Allocation %'!$A:$A,0)-1,MATCH($D70,'Allocation %'!$5:$5,0)-1)*($F10-$G10)*'2020 Assumptions'!$B$20,0))</f>
        <v>0</v>
      </c>
      <c r="AF70" s="73">
        <f ca="1">IF(AF$5="Doyon Notional Allocation",0,IF($C70&lt;&gt;AF$3,OFFSET('Allocation %'!$A$1,MATCH(AF$4,'Allocation %'!$A:$A,0)-1,MATCH($D70,'Allocation %'!$5:$5,0)-1)*($F10-$G10)*'2020 Assumptions'!$B$20,0))</f>
        <v>0</v>
      </c>
      <c r="AG70" s="73">
        <f ca="1">IF(AG$5="Doyon Notional Allocation",0,IF($C70&lt;&gt;AG$3,OFFSET('Allocation %'!$A$1,MATCH(AG$4,'Allocation %'!$A:$A,0)-1,MATCH($D70,'Allocation %'!$5:$5,0)-1)*($F10-$G10)*'2020 Assumptions'!$B$20,0))</f>
        <v>0</v>
      </c>
      <c r="AH70" s="73">
        <f ca="1">IF(AH$5="Doyon Notional Allocation",0,IF($C70&lt;&gt;AH$3,OFFSET('Allocation %'!$A$1,MATCH(AH$4,'Allocation %'!$A:$A,0)-1,MATCH($D70,'Allocation %'!$5:$5,0)-1)*($F10-$G10)*'2020 Assumptions'!$B$20,0))</f>
        <v>0</v>
      </c>
      <c r="AI70" s="73">
        <f ca="1">IF(AI$5="Doyon Notional Allocation",0,IF($C70&lt;&gt;AI$3,OFFSET('Allocation %'!$A$1,MATCH(AI$4,'Allocation %'!$A:$A,0)-1,MATCH($D70,'Allocation %'!$5:$5,0)-1)*($F10-$G10)*'2020 Assumptions'!$B$20,0))</f>
        <v>0</v>
      </c>
      <c r="AJ70" s="73">
        <f ca="1">IF(AJ$5="Doyon Notional Allocation",0,IF($C70&lt;&gt;AJ$3,OFFSET('Allocation %'!$A$1,MATCH(AJ$4,'Allocation %'!$A:$A,0)-1,MATCH($D70,'Allocation %'!$5:$5,0)-1)*($F10-$G10)*'2020 Assumptions'!$B$20,0))</f>
        <v>0</v>
      </c>
      <c r="AK70" s="73">
        <f ca="1">IF(AK$5="Doyon Notional Allocation",0,IF($C70&lt;&gt;AK$3,OFFSET('Allocation %'!$A$1,MATCH(AK$4,'Allocation %'!$A:$A,0)-1,MATCH($D70,'Allocation %'!$5:$5,0)-1)*($F10-$G10)*'2020 Assumptions'!$B$20,0))</f>
        <v>0</v>
      </c>
      <c r="AL70" s="73">
        <f ca="1">IF(AL$5="Doyon Notional Allocation",0,IF($C70&lt;&gt;AL$3,OFFSET('Allocation %'!$A$1,MATCH(AL$4,'Allocation %'!$A:$A,0)-1,MATCH($D70,'Allocation %'!$5:$5,0)-1)*($F10-$G10)*'2020 Assumptions'!$B$20,0))</f>
        <v>0</v>
      </c>
      <c r="AM70" s="73">
        <f ca="1">IF(AM$5="Doyon Notional Allocation",0,IF($C70&lt;&gt;AM$3,OFFSET('Allocation %'!$A$1,MATCH(AM$4,'Allocation %'!$A:$A,0)-1,MATCH($D70,'Allocation %'!$5:$5,0)-1)*($F10-$G10)*'2020 Assumptions'!$B$20,0))</f>
        <v>0</v>
      </c>
      <c r="AN70" s="73">
        <f ca="1">IF(AN$5="Doyon Notional Allocation",0,IF($C70&lt;&gt;AN$3,OFFSET('Allocation %'!$A$1,MATCH(AN$4,'Allocation %'!$A:$A,0)-1,MATCH($D70,'Allocation %'!$5:$5,0)-1)*($F10-$G10)*'2020 Assumptions'!$B$20,0))</f>
        <v>0</v>
      </c>
      <c r="AO70" s="73">
        <f ca="1">IF(AO$5="Doyon Notional Allocation",0,IF($C70&lt;&gt;AO$3,OFFSET('Allocation %'!$A$1,MATCH(AO$4,'Allocation %'!$A:$A,0)-1,MATCH($D70,'Allocation %'!$5:$5,0)-1)*($F10-$G10)*'2020 Assumptions'!$B$20,0))</f>
        <v>0</v>
      </c>
      <c r="AP70" s="73">
        <f ca="1">IF(AP$5="Doyon Notional Allocation",0,IF($C70&lt;&gt;AP$3,OFFSET('Allocation %'!$A$1,MATCH(AP$4,'Allocation %'!$A:$A,0)-1,MATCH($D70,'Allocation %'!$5:$5,0)-1)*($F10-$G10)*'2020 Assumptions'!$B$20,0))</f>
        <v>0</v>
      </c>
      <c r="AQ70" s="73">
        <f ca="1">IF(AQ$5="Doyon Notional Allocation",0,IF($C70&lt;&gt;AQ$3,OFFSET('Allocation %'!$A$1,MATCH(AQ$4,'Allocation %'!$A:$A,0)-1,MATCH($D70,'Allocation %'!$5:$5,0)-1)*($F10-$G10)*'2020 Assumptions'!$B$20,0))</f>
        <v>0</v>
      </c>
      <c r="AR70" s="73">
        <f ca="1">IF(AR$5="Doyon Notional Allocation",0,IF($C70&lt;&gt;AR$3,OFFSET('Allocation %'!$A$1,MATCH(AR$4,'Allocation %'!$A:$A,0)-1,MATCH($D70,'Allocation %'!$5:$5,0)-1)*($F10-$G10)*'2020 Assumptions'!$B$20,0))</f>
        <v>0</v>
      </c>
      <c r="AS70" s="73">
        <f ca="1">IF(AS$5="Doyon Notional Allocation",0,IF($C70&lt;&gt;AS$3,OFFSET('Allocation %'!$A$1,MATCH(AS$4,'Allocation %'!$A:$A,0)-1,MATCH($D70,'Allocation %'!$5:$5,0)-1)*($F10-$G10)*'2020 Assumptions'!$B$20,0))</f>
        <v>0</v>
      </c>
      <c r="AT70" s="73">
        <f ca="1">IF(AT$5="Doyon Notional Allocation",0,IF($C70&lt;&gt;AT$3,OFFSET('Allocation %'!$A$1,MATCH(AT$4,'Allocation %'!$A:$A,0)-1,MATCH($D70,'Allocation %'!$5:$5,0)-1)*($F10-$G10)*'2020 Assumptions'!$B$20,0))</f>
        <v>0</v>
      </c>
      <c r="AU70" s="73">
        <f ca="1">IF(AU$5="Doyon Notional Allocation",0,IF($C70&lt;&gt;AU$3,OFFSET('Allocation %'!$A$1,MATCH(AU$4,'Allocation %'!$A:$A,0)-1,MATCH($D70,'Allocation %'!$5:$5,0)-1)*($F10-$G10)*'2020 Assumptions'!$B$20,0))</f>
        <v>0</v>
      </c>
      <c r="AV70" s="73">
        <f ca="1">IF(AV$5="Doyon Notional Allocation",0,IF($C70&lt;&gt;AV$3,OFFSET('Allocation %'!$A$1,MATCH(AV$4,'Allocation %'!$A:$A,0)-1,MATCH($D70,'Allocation %'!$5:$5,0)-1)*($F10-$G10)*'2020 Assumptions'!$B$20,0))</f>
        <v>0</v>
      </c>
      <c r="AW70" s="73">
        <f ca="1">IF(AW$5="Doyon Notional Allocation",0,IF($C70&lt;&gt;AW$3,OFFSET('Allocation %'!$A$1,MATCH(AW$4,'Allocation %'!$A:$A,0)-1,MATCH($D70,'Allocation %'!$5:$5,0)-1)*($F10-$G10)*'2020 Assumptions'!$B$20,0))</f>
        <v>0</v>
      </c>
      <c r="AX70" s="73">
        <f ca="1">IF(AX$5="Doyon Notional Allocation",0,IF($C70&lt;&gt;AX$3,OFFSET('Allocation %'!$A$1,MATCH(AX$4,'Allocation %'!$A:$A,0)-1,MATCH($D70,'Allocation %'!$5:$5,0)-1)*($F10-$G10)*'2020 Assumptions'!$B$20,0))</f>
        <v>0</v>
      </c>
      <c r="AY70" s="73">
        <f ca="1">IF(AY$5="Doyon Notional Allocation",0,IF($C70&lt;&gt;AY$3,OFFSET('Allocation %'!$A$1,MATCH(AY$4,'Allocation %'!$A:$A,0)-1,MATCH($D70,'Allocation %'!$5:$5,0)-1)*($F10-$G10)*'2020 Assumptions'!$B$20,0))</f>
        <v>0</v>
      </c>
      <c r="AZ70" s="73">
        <f ca="1">IF(AZ$5="Doyon Notional Allocation",0,IF($C70&lt;&gt;AZ$3,OFFSET('Allocation %'!$A$1,MATCH(AZ$4,'Allocation %'!$A:$A,0)-1,MATCH($D70,'Allocation %'!$5:$5,0)-1)*($F10-$G10)*'2020 Assumptions'!$B$20,0))</f>
        <v>4737.3877794265891</v>
      </c>
      <c r="BA70" s="73">
        <f ca="1">IF(BA$5="Doyon Notional Allocation",0,IF($C70&lt;&gt;BA$3,OFFSET('Allocation %'!$A$1,MATCH(BA$4,'Allocation %'!$A:$A,0)-1,MATCH($D70,'Allocation %'!$5:$5,0)-1)*($F10-$G10)*'2020 Assumptions'!$B$20,0))</f>
        <v>937.72712277898995</v>
      </c>
      <c r="BB70" s="73">
        <f ca="1">IF(BB$5="Doyon Notional Allocation",0,IF($C70&lt;&gt;BB$3,OFFSET('Allocation %'!$A$1,MATCH(BB$4,'Allocation %'!$A:$A,0)-1,MATCH($D70,'Allocation %'!$5:$5,0)-1)*($F10-$G10)*'2020 Assumptions'!$B$20,0))</f>
        <v>611.33630044174936</v>
      </c>
      <c r="BC70" s="73">
        <f ca="1">IF(BC$5="Doyon Notional Allocation",0,IF($C70&lt;&gt;BC$3,OFFSET('Allocation %'!$A$1,MATCH(BC$4,'Allocation %'!$A:$A,0)-1,MATCH($D70,'Allocation %'!$5:$5,0)-1)*($F10-$G10)*'2020 Assumptions'!$B$20,0))</f>
        <v>18.95623485031108</v>
      </c>
      <c r="BD70" s="73">
        <f ca="1">IF(BD$5="Doyon Notional Allocation",0,IF($C70&lt;&gt;BD$3,OFFSET('Allocation %'!$A$1,MATCH(BD$4,'Allocation %'!$A:$A,0)-1,MATCH($D70,'Allocation %'!$5:$5,0)-1)*($F10-$G10)*'2020 Assumptions'!$B$20,0))</f>
        <v>364.83617535970143</v>
      </c>
      <c r="BE70" s="73">
        <f ca="1">IF(BE$5="Doyon Notional Allocation",0,IF($C70&lt;&gt;BE$3,OFFSET('Allocation %'!$A$1,MATCH(BE$4,'Allocation %'!$A:$A,0)-1,MATCH($D70,'Allocation %'!$5:$5,0)-1)*($F10-$G10)*'2020 Assumptions'!$B$20,0))</f>
        <v>0</v>
      </c>
      <c r="BG70" s="76">
        <f t="shared" ca="1" si="9"/>
        <v>6670.2436128573408</v>
      </c>
      <c r="BH70" s="349">
        <f t="shared" ca="1" si="10"/>
        <v>0</v>
      </c>
    </row>
    <row r="71" spans="2:60" s="177" customFormat="1" x14ac:dyDescent="0.25">
      <c r="B71" s="172" t="str">
        <f t="shared" si="7"/>
        <v>1010-000300 - Corporate Communications Mark up</v>
      </c>
      <c r="C71" s="177" t="str">
        <f t="shared" si="8"/>
        <v>CAD</v>
      </c>
      <c r="D71" s="159" t="str">
        <f t="shared" ca="1" si="8"/>
        <v>ALL</v>
      </c>
      <c r="E71" s="173">
        <f ca="1">F71*'2020 Assumptions'!$B$4</f>
        <v>1640.3609070354398</v>
      </c>
      <c r="F71" s="73">
        <f t="shared" ca="1" si="11"/>
        <v>1220.3250312717153</v>
      </c>
      <c r="G71" s="73"/>
      <c r="I71" s="73">
        <f ca="1">IF(I$5="Doyon Notional Allocation",0,IF($C71&lt;&gt;I$3,OFFSET('Allocation %'!$A$1,MATCH(I$4,'Allocation %'!$A:$A,0)-1,MATCH($D71,'Allocation %'!$5:$5,0)-1)*($F11-$G11)*'2020 Assumptions'!$B$20,0))</f>
        <v>0</v>
      </c>
      <c r="J71" s="73">
        <f ca="1">IF(J$5="Doyon Notional Allocation",0,IF($C71&lt;&gt;J$3,OFFSET('Allocation %'!$A$1,MATCH(J$4,'Allocation %'!$A:$A,0)-1,MATCH($D71,'Allocation %'!$5:$5,0)-1)*($F11-$G11)*'2020 Assumptions'!$B$20,0))</f>
        <v>0</v>
      </c>
      <c r="K71" s="73">
        <f ca="1">IF(K$5="Doyon Notional Allocation",0,IF($C71&lt;&gt;K$3,OFFSET('Allocation %'!$A$1,MATCH(K$4,'Allocation %'!$A:$A,0)-1,MATCH($D71,'Allocation %'!$5:$5,0)-1)*($F11-$G11)*'2020 Assumptions'!$B$20,0))</f>
        <v>0</v>
      </c>
      <c r="L71" s="73">
        <f ca="1">IF(L$5="Doyon Notional Allocation",0,IF($C71&lt;&gt;L$3,OFFSET('Allocation %'!$A$1,MATCH(L$4,'Allocation %'!$A:$A,0)-1,MATCH($D71,'Allocation %'!$5:$5,0)-1)*($F11-$G11)*'2020 Assumptions'!$B$20,0))</f>
        <v>0</v>
      </c>
      <c r="M71" s="73">
        <f ca="1">IF(M$5="Doyon Notional Allocation",0,IF($C71&lt;&gt;M$3,OFFSET('Allocation %'!$A$1,MATCH(M$4,'Allocation %'!$A:$A,0)-1,MATCH($D71,'Allocation %'!$5:$5,0)-1)*($F11-$G11)*'2020 Assumptions'!$B$20,0))</f>
        <v>0</v>
      </c>
      <c r="N71" s="73">
        <f ca="1">IF(N$5="Doyon Notional Allocation",0,IF($C71&lt;&gt;N$3,OFFSET('Allocation %'!$A$1,MATCH(N$4,'Allocation %'!$A:$A,0)-1,MATCH($D71,'Allocation %'!$5:$5,0)-1)*($F11-$G11)*'2020 Assumptions'!$B$20,0))</f>
        <v>0</v>
      </c>
      <c r="O71" s="73">
        <f ca="1">IF(O$5="Doyon Notional Allocation",0,IF($C71&lt;&gt;O$3,OFFSET('Allocation %'!$A$1,MATCH(O$4,'Allocation %'!$A:$A,0)-1,MATCH($D71,'Allocation %'!$5:$5,0)-1)*($F11-$G11)*'2020 Assumptions'!$B$20,0))</f>
        <v>0</v>
      </c>
      <c r="P71" s="73">
        <f ca="1">IF(P$5="Doyon Notional Allocation",0,IF($C71&lt;&gt;P$3,OFFSET('Allocation %'!$A$1,MATCH(P$4,'Allocation %'!$A:$A,0)-1,MATCH($D71,'Allocation %'!$5:$5,0)-1)*($F11-$G11)*'2020 Assumptions'!$B$20,0))</f>
        <v>0</v>
      </c>
      <c r="Q71" s="73">
        <f ca="1">IF(Q$5="Doyon Notional Allocation",0,IF($C71&lt;&gt;Q$3,OFFSET('Allocation %'!$A$1,MATCH(Q$4,'Allocation %'!$A:$A,0)-1,MATCH($D71,'Allocation %'!$5:$5,0)-1)*($F11-$G11)*'2020 Assumptions'!$B$20,0))</f>
        <v>0</v>
      </c>
      <c r="R71" s="73">
        <f ca="1">IF(R$5="Doyon Notional Allocation",0,IF($C71&lt;&gt;R$3,OFFSET('Allocation %'!$A$1,MATCH(R$4,'Allocation %'!$A:$A,0)-1,MATCH($D71,'Allocation %'!$5:$5,0)-1)*($F11-$G11)*'2020 Assumptions'!$B$20,0))</f>
        <v>0</v>
      </c>
      <c r="S71" s="73">
        <f ca="1">IF(S$5="Doyon Notional Allocation",0,IF($C71&lt;&gt;S$3,OFFSET('Allocation %'!$A$1,MATCH(S$4,'Allocation %'!$A:$A,0)-1,MATCH($D71,'Allocation %'!$5:$5,0)-1)*($F11-$G11)*'2020 Assumptions'!$B$20,0))</f>
        <v>0</v>
      </c>
      <c r="T71" s="73">
        <f ca="1">IF(T$5="Doyon Notional Allocation",0,IF($C71&lt;&gt;T$3,OFFSET('Allocation %'!$A$1,MATCH(T$4,'Allocation %'!$A:$A,0)-1,MATCH($D71,'Allocation %'!$5:$5,0)-1)*($F11-$G11)*'2020 Assumptions'!$B$20,0))</f>
        <v>0</v>
      </c>
      <c r="U71" s="73">
        <f ca="1">IF(U$5="Doyon Notional Allocation",0,IF($C71&lt;&gt;U$3,OFFSET('Allocation %'!$A$1,MATCH(U$4,'Allocation %'!$A:$A,0)-1,MATCH($D71,'Allocation %'!$5:$5,0)-1)*($F11-$G11)*'2020 Assumptions'!$B$20,0))</f>
        <v>0</v>
      </c>
      <c r="V71" s="73">
        <f ca="1">IF(V$5="Doyon Notional Allocation",0,IF($C71&lt;&gt;V$3,OFFSET('Allocation %'!$A$1,MATCH(V$4,'Allocation %'!$A:$A,0)-1,MATCH($D71,'Allocation %'!$5:$5,0)-1)*($F11-$G11)*'2020 Assumptions'!$B$20,0))</f>
        <v>0</v>
      </c>
      <c r="W71" s="73">
        <f ca="1">IF(W$5="Doyon Notional Allocation",0,IF($C71&lt;&gt;W$3,OFFSET('Allocation %'!$A$1,MATCH(W$4,'Allocation %'!$A:$A,0)-1,MATCH($D71,'Allocation %'!$5:$5,0)-1)*($F11-$G11)*'2020 Assumptions'!$B$20,0))</f>
        <v>0</v>
      </c>
      <c r="X71" s="73">
        <f ca="1">IF(X$5="Doyon Notional Allocation",0,IF($C71&lt;&gt;X$3,OFFSET('Allocation %'!$A$1,MATCH(X$4,'Allocation %'!$A:$A,0)-1,MATCH($D71,'Allocation %'!$5:$5,0)-1)*($F11-$G11)*'2020 Assumptions'!$B$20,0))</f>
        <v>0</v>
      </c>
      <c r="Y71" s="73">
        <f ca="1">IF(Y$5="Doyon Notional Allocation",0,IF($C71&lt;&gt;Y$3,OFFSET('Allocation %'!$A$1,MATCH(Y$4,'Allocation %'!$A:$A,0)-1,MATCH($D71,'Allocation %'!$5:$5,0)-1)*($F11-$G11)*'2020 Assumptions'!$B$20,0))</f>
        <v>0</v>
      </c>
      <c r="Z71" s="73">
        <f ca="1">IF(Z$5="Doyon Notional Allocation",0,IF($C71&lt;&gt;Z$3,OFFSET('Allocation %'!$A$1,MATCH(Z$4,'Allocation %'!$A:$A,0)-1,MATCH($D71,'Allocation %'!$5:$5,0)-1)*($F11-$G11)*'2020 Assumptions'!$B$20,0))</f>
        <v>0</v>
      </c>
      <c r="AA71" s="73">
        <f ca="1">IF(AA$5="Doyon Notional Allocation",0,IF($C71&lt;&gt;AA$3,OFFSET('Allocation %'!$A$1,MATCH(AA$4,'Allocation %'!$A:$A,0)-1,MATCH($D71,'Allocation %'!$5:$5,0)-1)*($F11-$G11)*'2020 Assumptions'!$B$20,0))</f>
        <v>0</v>
      </c>
      <c r="AB71" s="73">
        <f ca="1">IF(AB$5="Doyon Notional Allocation",0,IF($C71&lt;&gt;AB$3,OFFSET('Allocation %'!$A$1,MATCH(AB$4,'Allocation %'!$A:$A,0)-1,MATCH($D71,'Allocation %'!$5:$5,0)-1)*($F11-$G11)*'2020 Assumptions'!$B$20,0))</f>
        <v>0</v>
      </c>
      <c r="AC71" s="73">
        <f ca="1">IF(AC$5="Doyon Notional Allocation",0,IF($C71&lt;&gt;AC$3,OFFSET('Allocation %'!$A$1,MATCH(AC$4,'Allocation %'!$A:$A,0)-1,MATCH($D71,'Allocation %'!$5:$5,0)-1)*($F11-$G11)*'2020 Assumptions'!$B$20,0))</f>
        <v>0</v>
      </c>
      <c r="AD71" s="73">
        <f ca="1">IF(AD$5="Doyon Notional Allocation",0,IF($C71&lt;&gt;AD$3,OFFSET('Allocation %'!$A$1,MATCH(AD$4,'Allocation %'!$A:$A,0)-1,MATCH($D71,'Allocation %'!$5:$5,0)-1)*($F11-$G11)*'2020 Assumptions'!$B$20,0))</f>
        <v>0</v>
      </c>
      <c r="AE71" s="73">
        <f ca="1">IF(AE$5="Doyon Notional Allocation",0,IF($C71&lt;&gt;AE$3,OFFSET('Allocation %'!$A$1,MATCH(AE$4,'Allocation %'!$A:$A,0)-1,MATCH($D71,'Allocation %'!$5:$5,0)-1)*($F11-$G11)*'2020 Assumptions'!$B$20,0))</f>
        <v>0</v>
      </c>
      <c r="AF71" s="73">
        <f ca="1">IF(AF$5="Doyon Notional Allocation",0,IF($C71&lt;&gt;AF$3,OFFSET('Allocation %'!$A$1,MATCH(AF$4,'Allocation %'!$A:$A,0)-1,MATCH($D71,'Allocation %'!$5:$5,0)-1)*($F11-$G11)*'2020 Assumptions'!$B$20,0))</f>
        <v>0</v>
      </c>
      <c r="AG71" s="73">
        <f ca="1">IF(AG$5="Doyon Notional Allocation",0,IF($C71&lt;&gt;AG$3,OFFSET('Allocation %'!$A$1,MATCH(AG$4,'Allocation %'!$A:$A,0)-1,MATCH($D71,'Allocation %'!$5:$5,0)-1)*($F11-$G11)*'2020 Assumptions'!$B$20,0))</f>
        <v>0</v>
      </c>
      <c r="AH71" s="73">
        <f ca="1">IF(AH$5="Doyon Notional Allocation",0,IF($C71&lt;&gt;AH$3,OFFSET('Allocation %'!$A$1,MATCH(AH$4,'Allocation %'!$A:$A,0)-1,MATCH($D71,'Allocation %'!$5:$5,0)-1)*($F11-$G11)*'2020 Assumptions'!$B$20,0))</f>
        <v>0</v>
      </c>
      <c r="AI71" s="73">
        <f ca="1">IF(AI$5="Doyon Notional Allocation",0,IF($C71&lt;&gt;AI$3,OFFSET('Allocation %'!$A$1,MATCH(AI$4,'Allocation %'!$A:$A,0)-1,MATCH($D71,'Allocation %'!$5:$5,0)-1)*($F11-$G11)*'2020 Assumptions'!$B$20,0))</f>
        <v>0</v>
      </c>
      <c r="AJ71" s="73">
        <f ca="1">IF(AJ$5="Doyon Notional Allocation",0,IF($C71&lt;&gt;AJ$3,OFFSET('Allocation %'!$A$1,MATCH(AJ$4,'Allocation %'!$A:$A,0)-1,MATCH($D71,'Allocation %'!$5:$5,0)-1)*($F11-$G11)*'2020 Assumptions'!$B$20,0))</f>
        <v>0</v>
      </c>
      <c r="AK71" s="73">
        <f ca="1">IF(AK$5="Doyon Notional Allocation",0,IF($C71&lt;&gt;AK$3,OFFSET('Allocation %'!$A$1,MATCH(AK$4,'Allocation %'!$A:$A,0)-1,MATCH($D71,'Allocation %'!$5:$5,0)-1)*($F11-$G11)*'2020 Assumptions'!$B$20,0))</f>
        <v>0</v>
      </c>
      <c r="AL71" s="73">
        <f ca="1">IF(AL$5="Doyon Notional Allocation",0,IF($C71&lt;&gt;AL$3,OFFSET('Allocation %'!$A$1,MATCH(AL$4,'Allocation %'!$A:$A,0)-1,MATCH($D71,'Allocation %'!$5:$5,0)-1)*($F11-$G11)*'2020 Assumptions'!$B$20,0))</f>
        <v>0</v>
      </c>
      <c r="AM71" s="73">
        <f ca="1">IF(AM$5="Doyon Notional Allocation",0,IF($C71&lt;&gt;AM$3,OFFSET('Allocation %'!$A$1,MATCH(AM$4,'Allocation %'!$A:$A,0)-1,MATCH($D71,'Allocation %'!$5:$5,0)-1)*($F11-$G11)*'2020 Assumptions'!$B$20,0))</f>
        <v>0</v>
      </c>
      <c r="AN71" s="73">
        <f ca="1">IF(AN$5="Doyon Notional Allocation",0,IF($C71&lt;&gt;AN$3,OFFSET('Allocation %'!$A$1,MATCH(AN$4,'Allocation %'!$A:$A,0)-1,MATCH($D71,'Allocation %'!$5:$5,0)-1)*($F11-$G11)*'2020 Assumptions'!$B$20,0))</f>
        <v>0</v>
      </c>
      <c r="AO71" s="73">
        <f ca="1">IF(AO$5="Doyon Notional Allocation",0,IF($C71&lt;&gt;AO$3,OFFSET('Allocation %'!$A$1,MATCH(AO$4,'Allocation %'!$A:$A,0)-1,MATCH($D71,'Allocation %'!$5:$5,0)-1)*($F11-$G11)*'2020 Assumptions'!$B$20,0))</f>
        <v>0</v>
      </c>
      <c r="AP71" s="73">
        <f ca="1">IF(AP$5="Doyon Notional Allocation",0,IF($C71&lt;&gt;AP$3,OFFSET('Allocation %'!$A$1,MATCH(AP$4,'Allocation %'!$A:$A,0)-1,MATCH($D71,'Allocation %'!$5:$5,0)-1)*($F11-$G11)*'2020 Assumptions'!$B$20,0))</f>
        <v>0</v>
      </c>
      <c r="AQ71" s="73">
        <f ca="1">IF(AQ$5="Doyon Notional Allocation",0,IF($C71&lt;&gt;AQ$3,OFFSET('Allocation %'!$A$1,MATCH(AQ$4,'Allocation %'!$A:$A,0)-1,MATCH($D71,'Allocation %'!$5:$5,0)-1)*($F11-$G11)*'2020 Assumptions'!$B$20,0))</f>
        <v>0</v>
      </c>
      <c r="AR71" s="73">
        <f ca="1">IF(AR$5="Doyon Notional Allocation",0,IF($C71&lt;&gt;AR$3,OFFSET('Allocation %'!$A$1,MATCH(AR$4,'Allocation %'!$A:$A,0)-1,MATCH($D71,'Allocation %'!$5:$5,0)-1)*($F11-$G11)*'2020 Assumptions'!$B$20,0))</f>
        <v>0</v>
      </c>
      <c r="AS71" s="73">
        <f ca="1">IF(AS$5="Doyon Notional Allocation",0,IF($C71&lt;&gt;AS$3,OFFSET('Allocation %'!$A$1,MATCH(AS$4,'Allocation %'!$A:$A,0)-1,MATCH($D71,'Allocation %'!$5:$5,0)-1)*($F11-$G11)*'2020 Assumptions'!$B$20,0))</f>
        <v>0</v>
      </c>
      <c r="AT71" s="73">
        <f ca="1">IF(AT$5="Doyon Notional Allocation",0,IF($C71&lt;&gt;AT$3,OFFSET('Allocation %'!$A$1,MATCH(AT$4,'Allocation %'!$A:$A,0)-1,MATCH($D71,'Allocation %'!$5:$5,0)-1)*($F11-$G11)*'2020 Assumptions'!$B$20,0))</f>
        <v>0</v>
      </c>
      <c r="AU71" s="73">
        <f ca="1">IF(AU$5="Doyon Notional Allocation",0,IF($C71&lt;&gt;AU$3,OFFSET('Allocation %'!$A$1,MATCH(AU$4,'Allocation %'!$A:$A,0)-1,MATCH($D71,'Allocation %'!$5:$5,0)-1)*($F11-$G11)*'2020 Assumptions'!$B$20,0))</f>
        <v>0</v>
      </c>
      <c r="AV71" s="73">
        <f ca="1">IF(AV$5="Doyon Notional Allocation",0,IF($C71&lt;&gt;AV$3,OFFSET('Allocation %'!$A$1,MATCH(AV$4,'Allocation %'!$A:$A,0)-1,MATCH($D71,'Allocation %'!$5:$5,0)-1)*($F11-$G11)*'2020 Assumptions'!$B$20,0))</f>
        <v>0</v>
      </c>
      <c r="AW71" s="73">
        <f ca="1">IF(AW$5="Doyon Notional Allocation",0,IF($C71&lt;&gt;AW$3,OFFSET('Allocation %'!$A$1,MATCH(AW$4,'Allocation %'!$A:$A,0)-1,MATCH($D71,'Allocation %'!$5:$5,0)-1)*($F11-$G11)*'2020 Assumptions'!$B$20,0))</f>
        <v>0</v>
      </c>
      <c r="AX71" s="73">
        <f ca="1">IF(AX$5="Doyon Notional Allocation",0,IF($C71&lt;&gt;AX$3,OFFSET('Allocation %'!$A$1,MATCH(AX$4,'Allocation %'!$A:$A,0)-1,MATCH($D71,'Allocation %'!$5:$5,0)-1)*($F11-$G11)*'2020 Assumptions'!$B$20,0))</f>
        <v>0</v>
      </c>
      <c r="AY71" s="73">
        <f ca="1">IF(AY$5="Doyon Notional Allocation",0,IF($C71&lt;&gt;AY$3,OFFSET('Allocation %'!$A$1,MATCH(AY$4,'Allocation %'!$A:$A,0)-1,MATCH($D71,'Allocation %'!$5:$5,0)-1)*($F11-$G11)*'2020 Assumptions'!$B$20,0))</f>
        <v>0</v>
      </c>
      <c r="AZ71" s="73">
        <f ca="1">IF(AZ$5="Doyon Notional Allocation",0,IF($C71&lt;&gt;AZ$3,OFFSET('Allocation %'!$A$1,MATCH(AZ$4,'Allocation %'!$A:$A,0)-1,MATCH($D71,'Allocation %'!$5:$5,0)-1)*($F11-$G11)*'2020 Assumptions'!$B$20,0))</f>
        <v>866.70790837855384</v>
      </c>
      <c r="BA71" s="73">
        <f ca="1">IF(BA$5="Doyon Notional Allocation",0,IF($C71&lt;&gt;BA$3,OFFSET('Allocation %'!$A$1,MATCH(BA$4,'Allocation %'!$A:$A,0)-1,MATCH($D71,'Allocation %'!$5:$5,0)-1)*($F11-$G11)*'2020 Assumptions'!$B$20,0))</f>
        <v>171.55773414689537</v>
      </c>
      <c r="BB71" s="73">
        <f ca="1">IF(BB$5="Doyon Notional Allocation",0,IF($C71&lt;&gt;BB$3,OFFSET('Allocation %'!$A$1,MATCH(BB$4,'Allocation %'!$A:$A,0)-1,MATCH($D71,'Allocation %'!$5:$5,0)-1)*($F11-$G11)*'2020 Assumptions'!$B$20,0))</f>
        <v>111.84433931559737</v>
      </c>
      <c r="BC71" s="73">
        <f ca="1">IF(BC$5="Doyon Notional Allocation",0,IF($C71&lt;&gt;BC$3,OFFSET('Allocation %'!$A$1,MATCH(BC$4,'Allocation %'!$A:$A,0)-1,MATCH($D71,'Allocation %'!$5:$5,0)-1)*($F11-$G11)*'2020 Assumptions'!$B$20,0))</f>
        <v>3.4680544263645623</v>
      </c>
      <c r="BD71" s="73">
        <f ca="1">IF(BD$5="Doyon Notional Allocation",0,IF($C71&lt;&gt;BD$3,OFFSET('Allocation %'!$A$1,MATCH(BD$4,'Allocation %'!$A:$A,0)-1,MATCH($D71,'Allocation %'!$5:$5,0)-1)*($F11-$G11)*'2020 Assumptions'!$B$20,0))</f>
        <v>66.746995004304168</v>
      </c>
      <c r="BE71" s="73">
        <f ca="1">IF(BE$5="Doyon Notional Allocation",0,IF($C71&lt;&gt;BE$3,OFFSET('Allocation %'!$A$1,MATCH(BE$4,'Allocation %'!$A:$A,0)-1,MATCH($D71,'Allocation %'!$5:$5,0)-1)*($F11-$G11)*'2020 Assumptions'!$B$20,0))</f>
        <v>0</v>
      </c>
      <c r="BG71" s="76">
        <f t="shared" ca="1" si="9"/>
        <v>1220.3250312717153</v>
      </c>
      <c r="BH71" s="349">
        <f t="shared" ca="1" si="10"/>
        <v>0</v>
      </c>
    </row>
    <row r="72" spans="2:60" s="177" customFormat="1" x14ac:dyDescent="0.25">
      <c r="B72" s="172" t="str">
        <f t="shared" si="7"/>
        <v>1010-000400 - Finance Mark up</v>
      </c>
      <c r="C72" s="177" t="str">
        <f t="shared" si="8"/>
        <v>CAD</v>
      </c>
      <c r="D72" s="159" t="str">
        <f t="shared" ca="1" si="8"/>
        <v>ALL + Tribus</v>
      </c>
      <c r="E72" s="173">
        <f ca="1">F72*'2020 Assumptions'!$B$4</f>
        <v>25293.162320054373</v>
      </c>
      <c r="F72" s="73">
        <f t="shared" ca="1" si="11"/>
        <v>18816.517125468214</v>
      </c>
      <c r="G72" s="73"/>
      <c r="I72" s="73">
        <f ca="1">IF(I$5="Doyon Notional Allocation",0,IF($C72&lt;&gt;I$3,OFFSET('Allocation %'!$A$1,MATCH(I$4,'Allocation %'!$A:$A,0)-1,MATCH($D72,'Allocation %'!$5:$5,0)-1)*($F12-$G12)*'2020 Assumptions'!$B$20,0))</f>
        <v>501.54239250111596</v>
      </c>
      <c r="J72" s="73">
        <f ca="1">IF(J$5="Doyon Notional Allocation",0,IF($C72&lt;&gt;J$3,OFFSET('Allocation %'!$A$1,MATCH(J$4,'Allocation %'!$A:$A,0)-1,MATCH($D72,'Allocation %'!$5:$5,0)-1)*($F12-$G12)*'2020 Assumptions'!$B$20,0))</f>
        <v>0</v>
      </c>
      <c r="K72" s="73">
        <f ca="1">IF(K$5="Doyon Notional Allocation",0,IF($C72&lt;&gt;K$3,OFFSET('Allocation %'!$A$1,MATCH(K$4,'Allocation %'!$A:$A,0)-1,MATCH($D72,'Allocation %'!$5:$5,0)-1)*($F12-$G12)*'2020 Assumptions'!$B$20,0))</f>
        <v>0</v>
      </c>
      <c r="L72" s="73">
        <f ca="1">IF(L$5="Doyon Notional Allocation",0,IF($C72&lt;&gt;L$3,OFFSET('Allocation %'!$A$1,MATCH(L$4,'Allocation %'!$A:$A,0)-1,MATCH($D72,'Allocation %'!$5:$5,0)-1)*($F12-$G12)*'2020 Assumptions'!$B$20,0))</f>
        <v>0</v>
      </c>
      <c r="M72" s="73">
        <f ca="1">IF(M$5="Doyon Notional Allocation",0,IF($C72&lt;&gt;M$3,OFFSET('Allocation %'!$A$1,MATCH(M$4,'Allocation %'!$A:$A,0)-1,MATCH($D72,'Allocation %'!$5:$5,0)-1)*($F12-$G12)*'2020 Assumptions'!$B$20,0))</f>
        <v>0</v>
      </c>
      <c r="N72" s="73">
        <f ca="1">IF(N$5="Doyon Notional Allocation",0,IF($C72&lt;&gt;N$3,OFFSET('Allocation %'!$A$1,MATCH(N$4,'Allocation %'!$A:$A,0)-1,MATCH($D72,'Allocation %'!$5:$5,0)-1)*($F12-$G12)*'2020 Assumptions'!$B$20,0))</f>
        <v>0</v>
      </c>
      <c r="O72" s="73">
        <f ca="1">IF(O$5="Doyon Notional Allocation",0,IF($C72&lt;&gt;O$3,OFFSET('Allocation %'!$A$1,MATCH(O$4,'Allocation %'!$A:$A,0)-1,MATCH($D72,'Allocation %'!$5:$5,0)-1)*($F12-$G12)*'2020 Assumptions'!$B$20,0))</f>
        <v>0</v>
      </c>
      <c r="P72" s="73">
        <f ca="1">IF(P$5="Doyon Notional Allocation",0,IF($C72&lt;&gt;P$3,OFFSET('Allocation %'!$A$1,MATCH(P$4,'Allocation %'!$A:$A,0)-1,MATCH($D72,'Allocation %'!$5:$5,0)-1)*($F12-$G12)*'2020 Assumptions'!$B$20,0))</f>
        <v>0</v>
      </c>
      <c r="Q72" s="73">
        <f ca="1">IF(Q$5="Doyon Notional Allocation",0,IF($C72&lt;&gt;Q$3,OFFSET('Allocation %'!$A$1,MATCH(Q$4,'Allocation %'!$A:$A,0)-1,MATCH($D72,'Allocation %'!$5:$5,0)-1)*($F12-$G12)*'2020 Assumptions'!$B$20,0))</f>
        <v>0</v>
      </c>
      <c r="R72" s="73">
        <f ca="1">IF(R$5="Doyon Notional Allocation",0,IF($C72&lt;&gt;R$3,OFFSET('Allocation %'!$A$1,MATCH(R$4,'Allocation %'!$A:$A,0)-1,MATCH($D72,'Allocation %'!$5:$5,0)-1)*($F12-$G12)*'2020 Assumptions'!$B$20,0))</f>
        <v>0</v>
      </c>
      <c r="S72" s="73">
        <f ca="1">IF(S$5="Doyon Notional Allocation",0,IF($C72&lt;&gt;S$3,OFFSET('Allocation %'!$A$1,MATCH(S$4,'Allocation %'!$A:$A,0)-1,MATCH($D72,'Allocation %'!$5:$5,0)-1)*($F12-$G12)*'2020 Assumptions'!$B$20,0))</f>
        <v>0</v>
      </c>
      <c r="T72" s="73">
        <f ca="1">IF(T$5="Doyon Notional Allocation",0,IF($C72&lt;&gt;T$3,OFFSET('Allocation %'!$A$1,MATCH(T$4,'Allocation %'!$A:$A,0)-1,MATCH($D72,'Allocation %'!$5:$5,0)-1)*($F12-$G12)*'2020 Assumptions'!$B$20,0))</f>
        <v>0</v>
      </c>
      <c r="U72" s="73">
        <f ca="1">IF(U$5="Doyon Notional Allocation",0,IF($C72&lt;&gt;U$3,OFFSET('Allocation %'!$A$1,MATCH(U$4,'Allocation %'!$A:$A,0)-1,MATCH($D72,'Allocation %'!$5:$5,0)-1)*($F12-$G12)*'2020 Assumptions'!$B$20,0))</f>
        <v>0</v>
      </c>
      <c r="V72" s="73">
        <f ca="1">IF(V$5="Doyon Notional Allocation",0,IF($C72&lt;&gt;V$3,OFFSET('Allocation %'!$A$1,MATCH(V$4,'Allocation %'!$A:$A,0)-1,MATCH($D72,'Allocation %'!$5:$5,0)-1)*($F12-$G12)*'2020 Assumptions'!$B$20,0))</f>
        <v>0</v>
      </c>
      <c r="W72" s="73">
        <f ca="1">IF(W$5="Doyon Notional Allocation",0,IF($C72&lt;&gt;W$3,OFFSET('Allocation %'!$A$1,MATCH(W$4,'Allocation %'!$A:$A,0)-1,MATCH($D72,'Allocation %'!$5:$5,0)-1)*($F12-$G12)*'2020 Assumptions'!$B$20,0))</f>
        <v>0</v>
      </c>
      <c r="X72" s="73">
        <f ca="1">IF(X$5="Doyon Notional Allocation",0,IF($C72&lt;&gt;X$3,OFFSET('Allocation %'!$A$1,MATCH(X$4,'Allocation %'!$A:$A,0)-1,MATCH($D72,'Allocation %'!$5:$5,0)-1)*($F12-$G12)*'2020 Assumptions'!$B$20,0))</f>
        <v>0</v>
      </c>
      <c r="Y72" s="73">
        <f ca="1">IF(Y$5="Doyon Notional Allocation",0,IF($C72&lt;&gt;Y$3,OFFSET('Allocation %'!$A$1,MATCH(Y$4,'Allocation %'!$A:$A,0)-1,MATCH($D72,'Allocation %'!$5:$5,0)-1)*($F12-$G12)*'2020 Assumptions'!$B$20,0))</f>
        <v>0</v>
      </c>
      <c r="Z72" s="73">
        <f ca="1">IF(Z$5="Doyon Notional Allocation",0,IF($C72&lt;&gt;Z$3,OFFSET('Allocation %'!$A$1,MATCH(Z$4,'Allocation %'!$A:$A,0)-1,MATCH($D72,'Allocation %'!$5:$5,0)-1)*($F12-$G12)*'2020 Assumptions'!$B$20,0))</f>
        <v>0</v>
      </c>
      <c r="AA72" s="73">
        <f ca="1">IF(AA$5="Doyon Notional Allocation",0,IF($C72&lt;&gt;AA$3,OFFSET('Allocation %'!$A$1,MATCH(AA$4,'Allocation %'!$A:$A,0)-1,MATCH($D72,'Allocation %'!$5:$5,0)-1)*($F12-$G12)*'2020 Assumptions'!$B$20,0))</f>
        <v>0</v>
      </c>
      <c r="AB72" s="73">
        <f ca="1">IF(AB$5="Doyon Notional Allocation",0,IF($C72&lt;&gt;AB$3,OFFSET('Allocation %'!$A$1,MATCH(AB$4,'Allocation %'!$A:$A,0)-1,MATCH($D72,'Allocation %'!$5:$5,0)-1)*($F12-$G12)*'2020 Assumptions'!$B$20,0))</f>
        <v>0</v>
      </c>
      <c r="AC72" s="73">
        <f ca="1">IF(AC$5="Doyon Notional Allocation",0,IF($C72&lt;&gt;AC$3,OFFSET('Allocation %'!$A$1,MATCH(AC$4,'Allocation %'!$A:$A,0)-1,MATCH($D72,'Allocation %'!$5:$5,0)-1)*($F12-$G12)*'2020 Assumptions'!$B$20,0))</f>
        <v>0</v>
      </c>
      <c r="AD72" s="73">
        <f ca="1">IF(AD$5="Doyon Notional Allocation",0,IF($C72&lt;&gt;AD$3,OFFSET('Allocation %'!$A$1,MATCH(AD$4,'Allocation %'!$A:$A,0)-1,MATCH($D72,'Allocation %'!$5:$5,0)-1)*($F12-$G12)*'2020 Assumptions'!$B$20,0))</f>
        <v>0</v>
      </c>
      <c r="AE72" s="73">
        <f ca="1">IF(AE$5="Doyon Notional Allocation",0,IF($C72&lt;&gt;AE$3,OFFSET('Allocation %'!$A$1,MATCH(AE$4,'Allocation %'!$A:$A,0)-1,MATCH($D72,'Allocation %'!$5:$5,0)-1)*($F12-$G12)*'2020 Assumptions'!$B$20,0))</f>
        <v>0</v>
      </c>
      <c r="AF72" s="73">
        <f ca="1">IF(AF$5="Doyon Notional Allocation",0,IF($C72&lt;&gt;AF$3,OFFSET('Allocation %'!$A$1,MATCH(AF$4,'Allocation %'!$A:$A,0)-1,MATCH($D72,'Allocation %'!$5:$5,0)-1)*($F12-$G12)*'2020 Assumptions'!$B$20,0))</f>
        <v>0</v>
      </c>
      <c r="AG72" s="73">
        <f ca="1">IF(AG$5="Doyon Notional Allocation",0,IF($C72&lt;&gt;AG$3,OFFSET('Allocation %'!$A$1,MATCH(AG$4,'Allocation %'!$A:$A,0)-1,MATCH($D72,'Allocation %'!$5:$5,0)-1)*($F12-$G12)*'2020 Assumptions'!$B$20,0))</f>
        <v>0</v>
      </c>
      <c r="AH72" s="73">
        <f ca="1">IF(AH$5="Doyon Notional Allocation",0,IF($C72&lt;&gt;AH$3,OFFSET('Allocation %'!$A$1,MATCH(AH$4,'Allocation %'!$A:$A,0)-1,MATCH($D72,'Allocation %'!$5:$5,0)-1)*($F12-$G12)*'2020 Assumptions'!$B$20,0))</f>
        <v>0</v>
      </c>
      <c r="AI72" s="73">
        <f ca="1">IF(AI$5="Doyon Notional Allocation",0,IF($C72&lt;&gt;AI$3,OFFSET('Allocation %'!$A$1,MATCH(AI$4,'Allocation %'!$A:$A,0)-1,MATCH($D72,'Allocation %'!$5:$5,0)-1)*($F12-$G12)*'2020 Assumptions'!$B$20,0))</f>
        <v>0</v>
      </c>
      <c r="AJ72" s="73">
        <f ca="1">IF(AJ$5="Doyon Notional Allocation",0,IF($C72&lt;&gt;AJ$3,OFFSET('Allocation %'!$A$1,MATCH(AJ$4,'Allocation %'!$A:$A,0)-1,MATCH($D72,'Allocation %'!$5:$5,0)-1)*($F12-$G12)*'2020 Assumptions'!$B$20,0))</f>
        <v>0</v>
      </c>
      <c r="AK72" s="73">
        <f ca="1">IF(AK$5="Doyon Notional Allocation",0,IF($C72&lt;&gt;AK$3,OFFSET('Allocation %'!$A$1,MATCH(AK$4,'Allocation %'!$A:$A,0)-1,MATCH($D72,'Allocation %'!$5:$5,0)-1)*($F12-$G12)*'2020 Assumptions'!$B$20,0))</f>
        <v>0</v>
      </c>
      <c r="AL72" s="73">
        <f ca="1">IF(AL$5="Doyon Notional Allocation",0,IF($C72&lt;&gt;AL$3,OFFSET('Allocation %'!$A$1,MATCH(AL$4,'Allocation %'!$A:$A,0)-1,MATCH($D72,'Allocation %'!$5:$5,0)-1)*($F12-$G12)*'2020 Assumptions'!$B$20,0))</f>
        <v>0</v>
      </c>
      <c r="AM72" s="73">
        <f ca="1">IF(AM$5="Doyon Notional Allocation",0,IF($C72&lt;&gt;AM$3,OFFSET('Allocation %'!$A$1,MATCH(AM$4,'Allocation %'!$A:$A,0)-1,MATCH($D72,'Allocation %'!$5:$5,0)-1)*($F12-$G12)*'2020 Assumptions'!$B$20,0))</f>
        <v>0</v>
      </c>
      <c r="AN72" s="73">
        <f ca="1">IF(AN$5="Doyon Notional Allocation",0,IF($C72&lt;&gt;AN$3,OFFSET('Allocation %'!$A$1,MATCH(AN$4,'Allocation %'!$A:$A,0)-1,MATCH($D72,'Allocation %'!$5:$5,0)-1)*($F12-$G12)*'2020 Assumptions'!$B$20,0))</f>
        <v>0</v>
      </c>
      <c r="AO72" s="73">
        <f ca="1">IF(AO$5="Doyon Notional Allocation",0,IF($C72&lt;&gt;AO$3,OFFSET('Allocation %'!$A$1,MATCH(AO$4,'Allocation %'!$A:$A,0)-1,MATCH($D72,'Allocation %'!$5:$5,0)-1)*($F12-$G12)*'2020 Assumptions'!$B$20,0))</f>
        <v>0</v>
      </c>
      <c r="AP72" s="73">
        <f ca="1">IF(AP$5="Doyon Notional Allocation",0,IF($C72&lt;&gt;AP$3,OFFSET('Allocation %'!$A$1,MATCH(AP$4,'Allocation %'!$A:$A,0)-1,MATCH($D72,'Allocation %'!$5:$5,0)-1)*($F12-$G12)*'2020 Assumptions'!$B$20,0))</f>
        <v>0</v>
      </c>
      <c r="AQ72" s="73">
        <f ca="1">IF(AQ$5="Doyon Notional Allocation",0,IF($C72&lt;&gt;AQ$3,OFFSET('Allocation %'!$A$1,MATCH(AQ$4,'Allocation %'!$A:$A,0)-1,MATCH($D72,'Allocation %'!$5:$5,0)-1)*($F12-$G12)*'2020 Assumptions'!$B$20,0))</f>
        <v>0</v>
      </c>
      <c r="AR72" s="73">
        <f ca="1">IF(AR$5="Doyon Notional Allocation",0,IF($C72&lt;&gt;AR$3,OFFSET('Allocation %'!$A$1,MATCH(AR$4,'Allocation %'!$A:$A,0)-1,MATCH($D72,'Allocation %'!$5:$5,0)-1)*($F12-$G12)*'2020 Assumptions'!$B$20,0))</f>
        <v>0</v>
      </c>
      <c r="AS72" s="73">
        <f ca="1">IF(AS$5="Doyon Notional Allocation",0,IF($C72&lt;&gt;AS$3,OFFSET('Allocation %'!$A$1,MATCH(AS$4,'Allocation %'!$A:$A,0)-1,MATCH($D72,'Allocation %'!$5:$5,0)-1)*($F12-$G12)*'2020 Assumptions'!$B$20,0))</f>
        <v>0</v>
      </c>
      <c r="AT72" s="73">
        <f ca="1">IF(AT$5="Doyon Notional Allocation",0,IF($C72&lt;&gt;AT$3,OFFSET('Allocation %'!$A$1,MATCH(AT$4,'Allocation %'!$A:$A,0)-1,MATCH($D72,'Allocation %'!$5:$5,0)-1)*($F12-$G12)*'2020 Assumptions'!$B$20,0))</f>
        <v>0</v>
      </c>
      <c r="AU72" s="73">
        <f ca="1">IF(AU$5="Doyon Notional Allocation",0,IF($C72&lt;&gt;AU$3,OFFSET('Allocation %'!$A$1,MATCH(AU$4,'Allocation %'!$A:$A,0)-1,MATCH($D72,'Allocation %'!$5:$5,0)-1)*($F12-$G12)*'2020 Assumptions'!$B$20,0))</f>
        <v>0</v>
      </c>
      <c r="AV72" s="73">
        <f ca="1">IF(AV$5="Doyon Notional Allocation",0,IF($C72&lt;&gt;AV$3,OFFSET('Allocation %'!$A$1,MATCH(AV$4,'Allocation %'!$A:$A,0)-1,MATCH($D72,'Allocation %'!$5:$5,0)-1)*($F12-$G12)*'2020 Assumptions'!$B$20,0))</f>
        <v>0</v>
      </c>
      <c r="AW72" s="73">
        <f ca="1">IF(AW$5="Doyon Notional Allocation",0,IF($C72&lt;&gt;AW$3,OFFSET('Allocation %'!$A$1,MATCH(AW$4,'Allocation %'!$A:$A,0)-1,MATCH($D72,'Allocation %'!$5:$5,0)-1)*($F12-$G12)*'2020 Assumptions'!$B$20,0))</f>
        <v>0</v>
      </c>
      <c r="AX72" s="73">
        <f ca="1">IF(AX$5="Doyon Notional Allocation",0,IF($C72&lt;&gt;AX$3,OFFSET('Allocation %'!$A$1,MATCH(AX$4,'Allocation %'!$A:$A,0)-1,MATCH($D72,'Allocation %'!$5:$5,0)-1)*($F12-$G12)*'2020 Assumptions'!$B$20,0))</f>
        <v>0</v>
      </c>
      <c r="AY72" s="73">
        <f ca="1">IF(AY$5="Doyon Notional Allocation",0,IF($C72&lt;&gt;AY$3,OFFSET('Allocation %'!$A$1,MATCH(AY$4,'Allocation %'!$A:$A,0)-1,MATCH($D72,'Allocation %'!$5:$5,0)-1)*($F12-$G12)*'2020 Assumptions'!$B$20,0))</f>
        <v>0</v>
      </c>
      <c r="AZ72" s="73">
        <f ca="1">IF(AZ$5="Doyon Notional Allocation",0,IF($C72&lt;&gt;AZ$3,OFFSET('Allocation %'!$A$1,MATCH(AZ$4,'Allocation %'!$A:$A,0)-1,MATCH($D72,'Allocation %'!$5:$5,0)-1)*($F12-$G12)*'2020 Assumptions'!$B$20,0))</f>
        <v>13007.791396586999</v>
      </c>
      <c r="BA72" s="73">
        <f ca="1">IF(BA$5="Doyon Notional Allocation",0,IF($C72&lt;&gt;BA$3,OFFSET('Allocation %'!$A$1,MATCH(BA$4,'Allocation %'!$A:$A,0)-1,MATCH($D72,'Allocation %'!$5:$5,0)-1)*($F12-$G12)*'2020 Assumptions'!$B$20,0))</f>
        <v>2574.7858034765386</v>
      </c>
      <c r="BB72" s="73">
        <f ca="1">IF(BB$5="Doyon Notional Allocation",0,IF($C72&lt;&gt;BB$3,OFFSET('Allocation %'!$A$1,MATCH(BB$4,'Allocation %'!$A:$A,0)-1,MATCH($D72,'Allocation %'!$5:$5,0)-1)*($F12-$G12)*'2020 Assumptions'!$B$20,0))</f>
        <v>1678.5907000988702</v>
      </c>
      <c r="BC72" s="73">
        <f ca="1">IF(BC$5="Doyon Notional Allocation",0,IF($C72&lt;&gt;BC$3,OFFSET('Allocation %'!$A$1,MATCH(BC$4,'Allocation %'!$A:$A,0)-1,MATCH($D72,'Allocation %'!$5:$5,0)-1)*($F12-$G12)*'2020 Assumptions'!$B$20,0))</f>
        <v>52.049517598790466</v>
      </c>
      <c r="BD72" s="73">
        <f ca="1">IF(BD$5="Doyon Notional Allocation",0,IF($C72&lt;&gt;BD$3,OFFSET('Allocation %'!$A$1,MATCH(BD$4,'Allocation %'!$A:$A,0)-1,MATCH($D72,'Allocation %'!$5:$5,0)-1)*($F12-$G12)*'2020 Assumptions'!$B$20,0))</f>
        <v>1001.757315205902</v>
      </c>
      <c r="BE72" s="73">
        <f ca="1">IF(BE$5="Doyon Notional Allocation",0,IF($C72&lt;&gt;BE$3,OFFSET('Allocation %'!$A$1,MATCH(BE$4,'Allocation %'!$A:$A,0)-1,MATCH($D72,'Allocation %'!$5:$5,0)-1)*($F12-$G12)*'2020 Assumptions'!$B$20,0))</f>
        <v>0</v>
      </c>
      <c r="BG72" s="76">
        <f t="shared" ca="1" si="9"/>
        <v>18816.517125468214</v>
      </c>
      <c r="BH72" s="349">
        <f t="shared" ca="1" si="10"/>
        <v>0</v>
      </c>
    </row>
    <row r="73" spans="2:60" s="177" customFormat="1" x14ac:dyDescent="0.25">
      <c r="B73" s="172" t="str">
        <f t="shared" si="7"/>
        <v>1010-000500 - IT Governance Mark up</v>
      </c>
      <c r="C73" s="177" t="str">
        <f t="shared" si="8"/>
        <v>CAD</v>
      </c>
      <c r="D73" s="159" t="str">
        <f t="shared" ca="1" si="8"/>
        <v>ALL</v>
      </c>
      <c r="E73" s="173">
        <f ca="1">F73*'2020 Assumptions'!$B$4</f>
        <v>9651.2710253486239</v>
      </c>
      <c r="F73" s="73">
        <f t="shared" ca="1" si="11"/>
        <v>7179.9367842200745</v>
      </c>
      <c r="G73" s="73"/>
      <c r="I73" s="73">
        <f ca="1">IF(I$5="Doyon Notional Allocation",0,IF($C73&lt;&gt;I$3,OFFSET('Allocation %'!$A$1,MATCH(I$4,'Allocation %'!$A:$A,0)-1,MATCH($D73,'Allocation %'!$5:$5,0)-1)*($F13-$G13)*'2020 Assumptions'!$B$20,0))</f>
        <v>0</v>
      </c>
      <c r="J73" s="73">
        <f ca="1">IF(J$5="Doyon Notional Allocation",0,IF($C73&lt;&gt;J$3,OFFSET('Allocation %'!$A$1,MATCH(J$4,'Allocation %'!$A:$A,0)-1,MATCH($D73,'Allocation %'!$5:$5,0)-1)*($F13-$G13)*'2020 Assumptions'!$B$20,0))</f>
        <v>0</v>
      </c>
      <c r="K73" s="73">
        <f ca="1">IF(K$5="Doyon Notional Allocation",0,IF($C73&lt;&gt;K$3,OFFSET('Allocation %'!$A$1,MATCH(K$4,'Allocation %'!$A:$A,0)-1,MATCH($D73,'Allocation %'!$5:$5,0)-1)*($F13-$G13)*'2020 Assumptions'!$B$20,0))</f>
        <v>0</v>
      </c>
      <c r="L73" s="73">
        <f ca="1">IF(L$5="Doyon Notional Allocation",0,IF($C73&lt;&gt;L$3,OFFSET('Allocation %'!$A$1,MATCH(L$4,'Allocation %'!$A:$A,0)-1,MATCH($D73,'Allocation %'!$5:$5,0)-1)*($F13-$G13)*'2020 Assumptions'!$B$20,0))</f>
        <v>0</v>
      </c>
      <c r="M73" s="73">
        <f ca="1">IF(M$5="Doyon Notional Allocation",0,IF($C73&lt;&gt;M$3,OFFSET('Allocation %'!$A$1,MATCH(M$4,'Allocation %'!$A:$A,0)-1,MATCH($D73,'Allocation %'!$5:$5,0)-1)*($F13-$G13)*'2020 Assumptions'!$B$20,0))</f>
        <v>0</v>
      </c>
      <c r="N73" s="73">
        <f ca="1">IF(N$5="Doyon Notional Allocation",0,IF($C73&lt;&gt;N$3,OFFSET('Allocation %'!$A$1,MATCH(N$4,'Allocation %'!$A:$A,0)-1,MATCH($D73,'Allocation %'!$5:$5,0)-1)*($F13-$G13)*'2020 Assumptions'!$B$20,0))</f>
        <v>0</v>
      </c>
      <c r="O73" s="73">
        <f ca="1">IF(O$5="Doyon Notional Allocation",0,IF($C73&lt;&gt;O$3,OFFSET('Allocation %'!$A$1,MATCH(O$4,'Allocation %'!$A:$A,0)-1,MATCH($D73,'Allocation %'!$5:$5,0)-1)*($F13-$G13)*'2020 Assumptions'!$B$20,0))</f>
        <v>0</v>
      </c>
      <c r="P73" s="73">
        <f ca="1">IF(P$5="Doyon Notional Allocation",0,IF($C73&lt;&gt;P$3,OFFSET('Allocation %'!$A$1,MATCH(P$4,'Allocation %'!$A:$A,0)-1,MATCH($D73,'Allocation %'!$5:$5,0)-1)*($F13-$G13)*'2020 Assumptions'!$B$20,0))</f>
        <v>0</v>
      </c>
      <c r="Q73" s="73">
        <f ca="1">IF(Q$5="Doyon Notional Allocation",0,IF($C73&lt;&gt;Q$3,OFFSET('Allocation %'!$A$1,MATCH(Q$4,'Allocation %'!$A:$A,0)-1,MATCH($D73,'Allocation %'!$5:$5,0)-1)*($F13-$G13)*'2020 Assumptions'!$B$20,0))</f>
        <v>0</v>
      </c>
      <c r="R73" s="73">
        <f ca="1">IF(R$5="Doyon Notional Allocation",0,IF($C73&lt;&gt;R$3,OFFSET('Allocation %'!$A$1,MATCH(R$4,'Allocation %'!$A:$A,0)-1,MATCH($D73,'Allocation %'!$5:$5,0)-1)*($F13-$G13)*'2020 Assumptions'!$B$20,0))</f>
        <v>0</v>
      </c>
      <c r="S73" s="73">
        <f ca="1">IF(S$5="Doyon Notional Allocation",0,IF($C73&lt;&gt;S$3,OFFSET('Allocation %'!$A$1,MATCH(S$4,'Allocation %'!$A:$A,0)-1,MATCH($D73,'Allocation %'!$5:$5,0)-1)*($F13-$G13)*'2020 Assumptions'!$B$20,0))</f>
        <v>0</v>
      </c>
      <c r="T73" s="73">
        <f ca="1">IF(T$5="Doyon Notional Allocation",0,IF($C73&lt;&gt;T$3,OFFSET('Allocation %'!$A$1,MATCH(T$4,'Allocation %'!$A:$A,0)-1,MATCH($D73,'Allocation %'!$5:$5,0)-1)*($F13-$G13)*'2020 Assumptions'!$B$20,0))</f>
        <v>0</v>
      </c>
      <c r="U73" s="73">
        <f ca="1">IF(U$5="Doyon Notional Allocation",0,IF($C73&lt;&gt;U$3,OFFSET('Allocation %'!$A$1,MATCH(U$4,'Allocation %'!$A:$A,0)-1,MATCH($D73,'Allocation %'!$5:$5,0)-1)*($F13-$G13)*'2020 Assumptions'!$B$20,0))</f>
        <v>0</v>
      </c>
      <c r="V73" s="73">
        <f ca="1">IF(V$5="Doyon Notional Allocation",0,IF($C73&lt;&gt;V$3,OFFSET('Allocation %'!$A$1,MATCH(V$4,'Allocation %'!$A:$A,0)-1,MATCH($D73,'Allocation %'!$5:$5,0)-1)*($F13-$G13)*'2020 Assumptions'!$B$20,0))</f>
        <v>0</v>
      </c>
      <c r="W73" s="73">
        <f ca="1">IF(W$5="Doyon Notional Allocation",0,IF($C73&lt;&gt;W$3,OFFSET('Allocation %'!$A$1,MATCH(W$4,'Allocation %'!$A:$A,0)-1,MATCH($D73,'Allocation %'!$5:$5,0)-1)*($F13-$G13)*'2020 Assumptions'!$B$20,0))</f>
        <v>0</v>
      </c>
      <c r="X73" s="73">
        <f ca="1">IF(X$5="Doyon Notional Allocation",0,IF($C73&lt;&gt;X$3,OFFSET('Allocation %'!$A$1,MATCH(X$4,'Allocation %'!$A:$A,0)-1,MATCH($D73,'Allocation %'!$5:$5,0)-1)*($F13-$G13)*'2020 Assumptions'!$B$20,0))</f>
        <v>0</v>
      </c>
      <c r="Y73" s="73">
        <f ca="1">IF(Y$5="Doyon Notional Allocation",0,IF($C73&lt;&gt;Y$3,OFFSET('Allocation %'!$A$1,MATCH(Y$4,'Allocation %'!$A:$A,0)-1,MATCH($D73,'Allocation %'!$5:$5,0)-1)*($F13-$G13)*'2020 Assumptions'!$B$20,0))</f>
        <v>0</v>
      </c>
      <c r="Z73" s="73">
        <f ca="1">IF(Z$5="Doyon Notional Allocation",0,IF($C73&lt;&gt;Z$3,OFFSET('Allocation %'!$A$1,MATCH(Z$4,'Allocation %'!$A:$A,0)-1,MATCH($D73,'Allocation %'!$5:$5,0)-1)*($F13-$G13)*'2020 Assumptions'!$B$20,0))</f>
        <v>0</v>
      </c>
      <c r="AA73" s="73">
        <f ca="1">IF(AA$5="Doyon Notional Allocation",0,IF($C73&lt;&gt;AA$3,OFFSET('Allocation %'!$A$1,MATCH(AA$4,'Allocation %'!$A:$A,0)-1,MATCH($D73,'Allocation %'!$5:$5,0)-1)*($F13-$G13)*'2020 Assumptions'!$B$20,0))</f>
        <v>0</v>
      </c>
      <c r="AB73" s="73">
        <f ca="1">IF(AB$5="Doyon Notional Allocation",0,IF($C73&lt;&gt;AB$3,OFFSET('Allocation %'!$A$1,MATCH(AB$4,'Allocation %'!$A:$A,0)-1,MATCH($D73,'Allocation %'!$5:$5,0)-1)*($F13-$G13)*'2020 Assumptions'!$B$20,0))</f>
        <v>0</v>
      </c>
      <c r="AC73" s="73">
        <f ca="1">IF(AC$5="Doyon Notional Allocation",0,IF($C73&lt;&gt;AC$3,OFFSET('Allocation %'!$A$1,MATCH(AC$4,'Allocation %'!$A:$A,0)-1,MATCH($D73,'Allocation %'!$5:$5,0)-1)*($F13-$G13)*'2020 Assumptions'!$B$20,0))</f>
        <v>0</v>
      </c>
      <c r="AD73" s="73">
        <f ca="1">IF(AD$5="Doyon Notional Allocation",0,IF($C73&lt;&gt;AD$3,OFFSET('Allocation %'!$A$1,MATCH(AD$4,'Allocation %'!$A:$A,0)-1,MATCH($D73,'Allocation %'!$5:$5,0)-1)*($F13-$G13)*'2020 Assumptions'!$B$20,0))</f>
        <v>0</v>
      </c>
      <c r="AE73" s="73">
        <f ca="1">IF(AE$5="Doyon Notional Allocation",0,IF($C73&lt;&gt;AE$3,OFFSET('Allocation %'!$A$1,MATCH(AE$4,'Allocation %'!$A:$A,0)-1,MATCH($D73,'Allocation %'!$5:$5,0)-1)*($F13-$G13)*'2020 Assumptions'!$B$20,0))</f>
        <v>0</v>
      </c>
      <c r="AF73" s="73">
        <f ca="1">IF(AF$5="Doyon Notional Allocation",0,IF($C73&lt;&gt;AF$3,OFFSET('Allocation %'!$A$1,MATCH(AF$4,'Allocation %'!$A:$A,0)-1,MATCH($D73,'Allocation %'!$5:$5,0)-1)*($F13-$G13)*'2020 Assumptions'!$B$20,0))</f>
        <v>0</v>
      </c>
      <c r="AG73" s="73">
        <f ca="1">IF(AG$5="Doyon Notional Allocation",0,IF($C73&lt;&gt;AG$3,OFFSET('Allocation %'!$A$1,MATCH(AG$4,'Allocation %'!$A:$A,0)-1,MATCH($D73,'Allocation %'!$5:$5,0)-1)*($F13-$G13)*'2020 Assumptions'!$B$20,0))</f>
        <v>0</v>
      </c>
      <c r="AH73" s="73">
        <f ca="1">IF(AH$5="Doyon Notional Allocation",0,IF($C73&lt;&gt;AH$3,OFFSET('Allocation %'!$A$1,MATCH(AH$4,'Allocation %'!$A:$A,0)-1,MATCH($D73,'Allocation %'!$5:$5,0)-1)*($F13-$G13)*'2020 Assumptions'!$B$20,0))</f>
        <v>0</v>
      </c>
      <c r="AI73" s="73">
        <f ca="1">IF(AI$5="Doyon Notional Allocation",0,IF($C73&lt;&gt;AI$3,OFFSET('Allocation %'!$A$1,MATCH(AI$4,'Allocation %'!$A:$A,0)-1,MATCH($D73,'Allocation %'!$5:$5,0)-1)*($F13-$G13)*'2020 Assumptions'!$B$20,0))</f>
        <v>0</v>
      </c>
      <c r="AJ73" s="73">
        <f ca="1">IF(AJ$5="Doyon Notional Allocation",0,IF($C73&lt;&gt;AJ$3,OFFSET('Allocation %'!$A$1,MATCH(AJ$4,'Allocation %'!$A:$A,0)-1,MATCH($D73,'Allocation %'!$5:$5,0)-1)*($F13-$G13)*'2020 Assumptions'!$B$20,0))</f>
        <v>0</v>
      </c>
      <c r="AK73" s="73">
        <f ca="1">IF(AK$5="Doyon Notional Allocation",0,IF($C73&lt;&gt;AK$3,OFFSET('Allocation %'!$A$1,MATCH(AK$4,'Allocation %'!$A:$A,0)-1,MATCH($D73,'Allocation %'!$5:$5,0)-1)*($F13-$G13)*'2020 Assumptions'!$B$20,0))</f>
        <v>0</v>
      </c>
      <c r="AL73" s="73">
        <f ca="1">IF(AL$5="Doyon Notional Allocation",0,IF($C73&lt;&gt;AL$3,OFFSET('Allocation %'!$A$1,MATCH(AL$4,'Allocation %'!$A:$A,0)-1,MATCH($D73,'Allocation %'!$5:$5,0)-1)*($F13-$G13)*'2020 Assumptions'!$B$20,0))</f>
        <v>0</v>
      </c>
      <c r="AM73" s="73">
        <f ca="1">IF(AM$5="Doyon Notional Allocation",0,IF($C73&lt;&gt;AM$3,OFFSET('Allocation %'!$A$1,MATCH(AM$4,'Allocation %'!$A:$A,0)-1,MATCH($D73,'Allocation %'!$5:$5,0)-1)*($F13-$G13)*'2020 Assumptions'!$B$20,0))</f>
        <v>0</v>
      </c>
      <c r="AN73" s="73">
        <f ca="1">IF(AN$5="Doyon Notional Allocation",0,IF($C73&lt;&gt;AN$3,OFFSET('Allocation %'!$A$1,MATCH(AN$4,'Allocation %'!$A:$A,0)-1,MATCH($D73,'Allocation %'!$5:$5,0)-1)*($F13-$G13)*'2020 Assumptions'!$B$20,0))</f>
        <v>0</v>
      </c>
      <c r="AO73" s="73">
        <f ca="1">IF(AO$5="Doyon Notional Allocation",0,IF($C73&lt;&gt;AO$3,OFFSET('Allocation %'!$A$1,MATCH(AO$4,'Allocation %'!$A:$A,0)-1,MATCH($D73,'Allocation %'!$5:$5,0)-1)*($F13-$G13)*'2020 Assumptions'!$B$20,0))</f>
        <v>0</v>
      </c>
      <c r="AP73" s="73">
        <f ca="1">IF(AP$5="Doyon Notional Allocation",0,IF($C73&lt;&gt;AP$3,OFFSET('Allocation %'!$A$1,MATCH(AP$4,'Allocation %'!$A:$A,0)-1,MATCH($D73,'Allocation %'!$5:$5,0)-1)*($F13-$G13)*'2020 Assumptions'!$B$20,0))</f>
        <v>0</v>
      </c>
      <c r="AQ73" s="73">
        <f ca="1">IF(AQ$5="Doyon Notional Allocation",0,IF($C73&lt;&gt;AQ$3,OFFSET('Allocation %'!$A$1,MATCH(AQ$4,'Allocation %'!$A:$A,0)-1,MATCH($D73,'Allocation %'!$5:$5,0)-1)*($F13-$G13)*'2020 Assumptions'!$B$20,0))</f>
        <v>0</v>
      </c>
      <c r="AR73" s="73">
        <f ca="1">IF(AR$5="Doyon Notional Allocation",0,IF($C73&lt;&gt;AR$3,OFFSET('Allocation %'!$A$1,MATCH(AR$4,'Allocation %'!$A:$A,0)-1,MATCH($D73,'Allocation %'!$5:$5,0)-1)*($F13-$G13)*'2020 Assumptions'!$B$20,0))</f>
        <v>0</v>
      </c>
      <c r="AS73" s="73">
        <f ca="1">IF(AS$5="Doyon Notional Allocation",0,IF($C73&lt;&gt;AS$3,OFFSET('Allocation %'!$A$1,MATCH(AS$4,'Allocation %'!$A:$A,0)-1,MATCH($D73,'Allocation %'!$5:$5,0)-1)*($F13-$G13)*'2020 Assumptions'!$B$20,0))</f>
        <v>0</v>
      </c>
      <c r="AT73" s="73">
        <f ca="1">IF(AT$5="Doyon Notional Allocation",0,IF($C73&lt;&gt;AT$3,OFFSET('Allocation %'!$A$1,MATCH(AT$4,'Allocation %'!$A:$A,0)-1,MATCH($D73,'Allocation %'!$5:$5,0)-1)*($F13-$G13)*'2020 Assumptions'!$B$20,0))</f>
        <v>0</v>
      </c>
      <c r="AU73" s="73">
        <f ca="1">IF(AU$5="Doyon Notional Allocation",0,IF($C73&lt;&gt;AU$3,OFFSET('Allocation %'!$A$1,MATCH(AU$4,'Allocation %'!$A:$A,0)-1,MATCH($D73,'Allocation %'!$5:$5,0)-1)*($F13-$G13)*'2020 Assumptions'!$B$20,0))</f>
        <v>0</v>
      </c>
      <c r="AV73" s="73">
        <f ca="1">IF(AV$5="Doyon Notional Allocation",0,IF($C73&lt;&gt;AV$3,OFFSET('Allocation %'!$A$1,MATCH(AV$4,'Allocation %'!$A:$A,0)-1,MATCH($D73,'Allocation %'!$5:$5,0)-1)*($F13-$G13)*'2020 Assumptions'!$B$20,0))</f>
        <v>0</v>
      </c>
      <c r="AW73" s="73">
        <f ca="1">IF(AW$5="Doyon Notional Allocation",0,IF($C73&lt;&gt;AW$3,OFFSET('Allocation %'!$A$1,MATCH(AW$4,'Allocation %'!$A:$A,0)-1,MATCH($D73,'Allocation %'!$5:$5,0)-1)*($F13-$G13)*'2020 Assumptions'!$B$20,0))</f>
        <v>0</v>
      </c>
      <c r="AX73" s="73">
        <f ca="1">IF(AX$5="Doyon Notional Allocation",0,IF($C73&lt;&gt;AX$3,OFFSET('Allocation %'!$A$1,MATCH(AX$4,'Allocation %'!$A:$A,0)-1,MATCH($D73,'Allocation %'!$5:$5,0)-1)*($F13-$G13)*'2020 Assumptions'!$B$20,0))</f>
        <v>0</v>
      </c>
      <c r="AY73" s="73">
        <f ca="1">IF(AY$5="Doyon Notional Allocation",0,IF($C73&lt;&gt;AY$3,OFFSET('Allocation %'!$A$1,MATCH(AY$4,'Allocation %'!$A:$A,0)-1,MATCH($D73,'Allocation %'!$5:$5,0)-1)*($F13-$G13)*'2020 Assumptions'!$B$20,0))</f>
        <v>0</v>
      </c>
      <c r="AZ73" s="73">
        <f ca="1">IF(AZ$5="Doyon Notional Allocation",0,IF($C73&lt;&gt;AZ$3,OFFSET('Allocation %'!$A$1,MATCH(AZ$4,'Allocation %'!$A:$A,0)-1,MATCH($D73,'Allocation %'!$5:$5,0)-1)*($F13-$G13)*'2020 Assumptions'!$B$20,0))</f>
        <v>5099.3856825641396</v>
      </c>
      <c r="BA73" s="73">
        <f ca="1">IF(BA$5="Doyon Notional Allocation",0,IF($C73&lt;&gt;BA$3,OFFSET('Allocation %'!$A$1,MATCH(BA$4,'Allocation %'!$A:$A,0)-1,MATCH($D73,'Allocation %'!$5:$5,0)-1)*($F13-$G13)*'2020 Assumptions'!$B$20,0))</f>
        <v>1009.3816437864069</v>
      </c>
      <c r="BB73" s="73">
        <f ca="1">IF(BB$5="Doyon Notional Allocation",0,IF($C73&lt;&gt;BB$3,OFFSET('Allocation %'!$A$1,MATCH(BB$4,'Allocation %'!$A:$A,0)-1,MATCH($D73,'Allocation %'!$5:$5,0)-1)*($F13-$G13)*'2020 Assumptions'!$B$20,0))</f>
        <v>658.05032706900749</v>
      </c>
      <c r="BC73" s="73">
        <f ca="1">IF(BC$5="Doyon Notional Allocation",0,IF($C73&lt;&gt;BC$3,OFFSET('Allocation %'!$A$1,MATCH(BC$4,'Allocation %'!$A:$A,0)-1,MATCH($D73,'Allocation %'!$5:$5,0)-1)*($F13-$G13)*'2020 Assumptions'!$B$20,0))</f>
        <v>20.40473718676667</v>
      </c>
      <c r="BD73" s="73">
        <f ca="1">IF(BD$5="Doyon Notional Allocation",0,IF($C73&lt;&gt;BD$3,OFFSET('Allocation %'!$A$1,MATCH(BD$4,'Allocation %'!$A:$A,0)-1,MATCH($D73,'Allocation %'!$5:$5,0)-1)*($F13-$G13)*'2020 Assumptions'!$B$20,0))</f>
        <v>392.714393613754</v>
      </c>
      <c r="BE73" s="73">
        <f ca="1">IF(BE$5="Doyon Notional Allocation",0,IF($C73&lt;&gt;BE$3,OFFSET('Allocation %'!$A$1,MATCH(BE$4,'Allocation %'!$A:$A,0)-1,MATCH($D73,'Allocation %'!$5:$5,0)-1)*($F13-$G13)*'2020 Assumptions'!$B$20,0))</f>
        <v>0</v>
      </c>
      <c r="BG73" s="76">
        <f t="shared" ca="1" si="9"/>
        <v>7179.9367842200745</v>
      </c>
      <c r="BH73" s="349">
        <f t="shared" ca="1" si="10"/>
        <v>0</v>
      </c>
    </row>
    <row r="74" spans="2:60" s="177" customFormat="1" x14ac:dyDescent="0.25">
      <c r="B74" s="172" t="str">
        <f t="shared" si="7"/>
        <v>1010-000600 - Human Resources Mark up</v>
      </c>
      <c r="C74" s="177" t="str">
        <f t="shared" si="8"/>
        <v>CAD</v>
      </c>
      <c r="D74" s="159" t="str">
        <f t="shared" ca="1" si="8"/>
        <v>ALL</v>
      </c>
      <c r="E74" s="173">
        <f ca="1">F74*'2020 Assumptions'!$B$4</f>
        <v>2999.1041116044703</v>
      </c>
      <c r="F74" s="73">
        <f t="shared" ca="1" si="11"/>
        <v>2231.1442580006474</v>
      </c>
      <c r="G74" s="73"/>
      <c r="I74" s="73">
        <f ca="1">IF(I$5="Doyon Notional Allocation",0,IF($C74&lt;&gt;I$3,OFFSET('Allocation %'!$A$1,MATCH(I$4,'Allocation %'!$A:$A,0)-1,MATCH($D74,'Allocation %'!$5:$5,0)-1)*($F14-$G14)*'2020 Assumptions'!$B$20,0))</f>
        <v>0</v>
      </c>
      <c r="J74" s="73">
        <f ca="1">IF(J$5="Doyon Notional Allocation",0,IF($C74&lt;&gt;J$3,OFFSET('Allocation %'!$A$1,MATCH(J$4,'Allocation %'!$A:$A,0)-1,MATCH($D74,'Allocation %'!$5:$5,0)-1)*($F14-$G14)*'2020 Assumptions'!$B$20,0))</f>
        <v>0</v>
      </c>
      <c r="K74" s="73">
        <f ca="1">IF(K$5="Doyon Notional Allocation",0,IF($C74&lt;&gt;K$3,OFFSET('Allocation %'!$A$1,MATCH(K$4,'Allocation %'!$A:$A,0)-1,MATCH($D74,'Allocation %'!$5:$5,0)-1)*($F14-$G14)*'2020 Assumptions'!$B$20,0))</f>
        <v>0</v>
      </c>
      <c r="L74" s="73">
        <f ca="1">IF(L$5="Doyon Notional Allocation",0,IF($C74&lt;&gt;L$3,OFFSET('Allocation %'!$A$1,MATCH(L$4,'Allocation %'!$A:$A,0)-1,MATCH($D74,'Allocation %'!$5:$5,0)-1)*($F14-$G14)*'2020 Assumptions'!$B$20,0))</f>
        <v>0</v>
      </c>
      <c r="M74" s="73">
        <f ca="1">IF(M$5="Doyon Notional Allocation",0,IF($C74&lt;&gt;M$3,OFFSET('Allocation %'!$A$1,MATCH(M$4,'Allocation %'!$A:$A,0)-1,MATCH($D74,'Allocation %'!$5:$5,0)-1)*($F14-$G14)*'2020 Assumptions'!$B$20,0))</f>
        <v>0</v>
      </c>
      <c r="N74" s="73">
        <f ca="1">IF(N$5="Doyon Notional Allocation",0,IF($C74&lt;&gt;N$3,OFFSET('Allocation %'!$A$1,MATCH(N$4,'Allocation %'!$A:$A,0)-1,MATCH($D74,'Allocation %'!$5:$5,0)-1)*($F14-$G14)*'2020 Assumptions'!$B$20,0))</f>
        <v>0</v>
      </c>
      <c r="O74" s="73">
        <f ca="1">IF(O$5="Doyon Notional Allocation",0,IF($C74&lt;&gt;O$3,OFFSET('Allocation %'!$A$1,MATCH(O$4,'Allocation %'!$A:$A,0)-1,MATCH($D74,'Allocation %'!$5:$5,0)-1)*($F14-$G14)*'2020 Assumptions'!$B$20,0))</f>
        <v>0</v>
      </c>
      <c r="P74" s="73">
        <f ca="1">IF(P$5="Doyon Notional Allocation",0,IF($C74&lt;&gt;P$3,OFFSET('Allocation %'!$A$1,MATCH(P$4,'Allocation %'!$A:$A,0)-1,MATCH($D74,'Allocation %'!$5:$5,0)-1)*($F14-$G14)*'2020 Assumptions'!$B$20,0))</f>
        <v>0</v>
      </c>
      <c r="Q74" s="73">
        <f ca="1">IF(Q$5="Doyon Notional Allocation",0,IF($C74&lt;&gt;Q$3,OFFSET('Allocation %'!$A$1,MATCH(Q$4,'Allocation %'!$A:$A,0)-1,MATCH($D74,'Allocation %'!$5:$5,0)-1)*($F14-$G14)*'2020 Assumptions'!$B$20,0))</f>
        <v>0</v>
      </c>
      <c r="R74" s="73">
        <f ca="1">IF(R$5="Doyon Notional Allocation",0,IF($C74&lt;&gt;R$3,OFFSET('Allocation %'!$A$1,MATCH(R$4,'Allocation %'!$A:$A,0)-1,MATCH($D74,'Allocation %'!$5:$5,0)-1)*($F14-$G14)*'2020 Assumptions'!$B$20,0))</f>
        <v>0</v>
      </c>
      <c r="S74" s="73">
        <f ca="1">IF(S$5="Doyon Notional Allocation",0,IF($C74&lt;&gt;S$3,OFFSET('Allocation %'!$A$1,MATCH(S$4,'Allocation %'!$A:$A,0)-1,MATCH($D74,'Allocation %'!$5:$5,0)-1)*($F14-$G14)*'2020 Assumptions'!$B$20,0))</f>
        <v>0</v>
      </c>
      <c r="T74" s="73">
        <f ca="1">IF(T$5="Doyon Notional Allocation",0,IF($C74&lt;&gt;T$3,OFFSET('Allocation %'!$A$1,MATCH(T$4,'Allocation %'!$A:$A,0)-1,MATCH($D74,'Allocation %'!$5:$5,0)-1)*($F14-$G14)*'2020 Assumptions'!$B$20,0))</f>
        <v>0</v>
      </c>
      <c r="U74" s="73">
        <f ca="1">IF(U$5="Doyon Notional Allocation",0,IF($C74&lt;&gt;U$3,OFFSET('Allocation %'!$A$1,MATCH(U$4,'Allocation %'!$A:$A,0)-1,MATCH($D74,'Allocation %'!$5:$5,0)-1)*($F14-$G14)*'2020 Assumptions'!$B$20,0))</f>
        <v>0</v>
      </c>
      <c r="V74" s="73">
        <f ca="1">IF(V$5="Doyon Notional Allocation",0,IF($C74&lt;&gt;V$3,OFFSET('Allocation %'!$A$1,MATCH(V$4,'Allocation %'!$A:$A,0)-1,MATCH($D74,'Allocation %'!$5:$5,0)-1)*($F14-$G14)*'2020 Assumptions'!$B$20,0))</f>
        <v>0</v>
      </c>
      <c r="W74" s="73">
        <f ca="1">IF(W$5="Doyon Notional Allocation",0,IF($C74&lt;&gt;W$3,OFFSET('Allocation %'!$A$1,MATCH(W$4,'Allocation %'!$A:$A,0)-1,MATCH($D74,'Allocation %'!$5:$5,0)-1)*($F14-$G14)*'2020 Assumptions'!$B$20,0))</f>
        <v>0</v>
      </c>
      <c r="X74" s="73">
        <f ca="1">IF(X$5="Doyon Notional Allocation",0,IF($C74&lt;&gt;X$3,OFFSET('Allocation %'!$A$1,MATCH(X$4,'Allocation %'!$A:$A,0)-1,MATCH($D74,'Allocation %'!$5:$5,0)-1)*($F14-$G14)*'2020 Assumptions'!$B$20,0))</f>
        <v>0</v>
      </c>
      <c r="Y74" s="73">
        <f ca="1">IF(Y$5="Doyon Notional Allocation",0,IF($C74&lt;&gt;Y$3,OFFSET('Allocation %'!$A$1,MATCH(Y$4,'Allocation %'!$A:$A,0)-1,MATCH($D74,'Allocation %'!$5:$5,0)-1)*($F14-$G14)*'2020 Assumptions'!$B$20,0))</f>
        <v>0</v>
      </c>
      <c r="Z74" s="73">
        <f ca="1">IF(Z$5="Doyon Notional Allocation",0,IF($C74&lt;&gt;Z$3,OFFSET('Allocation %'!$A$1,MATCH(Z$4,'Allocation %'!$A:$A,0)-1,MATCH($D74,'Allocation %'!$5:$5,0)-1)*($F14-$G14)*'2020 Assumptions'!$B$20,0))</f>
        <v>0</v>
      </c>
      <c r="AA74" s="73">
        <f ca="1">IF(AA$5="Doyon Notional Allocation",0,IF($C74&lt;&gt;AA$3,OFFSET('Allocation %'!$A$1,MATCH(AA$4,'Allocation %'!$A:$A,0)-1,MATCH($D74,'Allocation %'!$5:$5,0)-1)*($F14-$G14)*'2020 Assumptions'!$B$20,0))</f>
        <v>0</v>
      </c>
      <c r="AB74" s="73">
        <f ca="1">IF(AB$5="Doyon Notional Allocation",0,IF($C74&lt;&gt;AB$3,OFFSET('Allocation %'!$A$1,MATCH(AB$4,'Allocation %'!$A:$A,0)-1,MATCH($D74,'Allocation %'!$5:$5,0)-1)*($F14-$G14)*'2020 Assumptions'!$B$20,0))</f>
        <v>0</v>
      </c>
      <c r="AC74" s="73">
        <f ca="1">IF(AC$5="Doyon Notional Allocation",0,IF($C74&lt;&gt;AC$3,OFFSET('Allocation %'!$A$1,MATCH(AC$4,'Allocation %'!$A:$A,0)-1,MATCH($D74,'Allocation %'!$5:$5,0)-1)*($F14-$G14)*'2020 Assumptions'!$B$20,0))</f>
        <v>0</v>
      </c>
      <c r="AD74" s="73">
        <f ca="1">IF(AD$5="Doyon Notional Allocation",0,IF($C74&lt;&gt;AD$3,OFFSET('Allocation %'!$A$1,MATCH(AD$4,'Allocation %'!$A:$A,0)-1,MATCH($D74,'Allocation %'!$5:$5,0)-1)*($F14-$G14)*'2020 Assumptions'!$B$20,0))</f>
        <v>0</v>
      </c>
      <c r="AE74" s="73">
        <f ca="1">IF(AE$5="Doyon Notional Allocation",0,IF($C74&lt;&gt;AE$3,OFFSET('Allocation %'!$A$1,MATCH(AE$4,'Allocation %'!$A:$A,0)-1,MATCH($D74,'Allocation %'!$5:$5,0)-1)*($F14-$G14)*'2020 Assumptions'!$B$20,0))</f>
        <v>0</v>
      </c>
      <c r="AF74" s="73">
        <f ca="1">IF(AF$5="Doyon Notional Allocation",0,IF($C74&lt;&gt;AF$3,OFFSET('Allocation %'!$A$1,MATCH(AF$4,'Allocation %'!$A:$A,0)-1,MATCH($D74,'Allocation %'!$5:$5,0)-1)*($F14-$G14)*'2020 Assumptions'!$B$20,0))</f>
        <v>0</v>
      </c>
      <c r="AG74" s="73">
        <f ca="1">IF(AG$5="Doyon Notional Allocation",0,IF($C74&lt;&gt;AG$3,OFFSET('Allocation %'!$A$1,MATCH(AG$4,'Allocation %'!$A:$A,0)-1,MATCH($D74,'Allocation %'!$5:$5,0)-1)*($F14-$G14)*'2020 Assumptions'!$B$20,0))</f>
        <v>0</v>
      </c>
      <c r="AH74" s="73">
        <f ca="1">IF(AH$5="Doyon Notional Allocation",0,IF($C74&lt;&gt;AH$3,OFFSET('Allocation %'!$A$1,MATCH(AH$4,'Allocation %'!$A:$A,0)-1,MATCH($D74,'Allocation %'!$5:$5,0)-1)*($F14-$G14)*'2020 Assumptions'!$B$20,0))</f>
        <v>0</v>
      </c>
      <c r="AI74" s="73">
        <f ca="1">IF(AI$5="Doyon Notional Allocation",0,IF($C74&lt;&gt;AI$3,OFFSET('Allocation %'!$A$1,MATCH(AI$4,'Allocation %'!$A:$A,0)-1,MATCH($D74,'Allocation %'!$5:$5,0)-1)*($F14-$G14)*'2020 Assumptions'!$B$20,0))</f>
        <v>0</v>
      </c>
      <c r="AJ74" s="73">
        <f ca="1">IF(AJ$5="Doyon Notional Allocation",0,IF($C74&lt;&gt;AJ$3,OFFSET('Allocation %'!$A$1,MATCH(AJ$4,'Allocation %'!$A:$A,0)-1,MATCH($D74,'Allocation %'!$5:$5,0)-1)*($F14-$G14)*'2020 Assumptions'!$B$20,0))</f>
        <v>0</v>
      </c>
      <c r="AK74" s="73">
        <f ca="1">IF(AK$5="Doyon Notional Allocation",0,IF($C74&lt;&gt;AK$3,OFFSET('Allocation %'!$A$1,MATCH(AK$4,'Allocation %'!$A:$A,0)-1,MATCH($D74,'Allocation %'!$5:$5,0)-1)*($F14-$G14)*'2020 Assumptions'!$B$20,0))</f>
        <v>0</v>
      </c>
      <c r="AL74" s="73">
        <f ca="1">IF(AL$5="Doyon Notional Allocation",0,IF($C74&lt;&gt;AL$3,OFFSET('Allocation %'!$A$1,MATCH(AL$4,'Allocation %'!$A:$A,0)-1,MATCH($D74,'Allocation %'!$5:$5,0)-1)*($F14-$G14)*'2020 Assumptions'!$B$20,0))</f>
        <v>0</v>
      </c>
      <c r="AM74" s="73">
        <f ca="1">IF(AM$5="Doyon Notional Allocation",0,IF($C74&lt;&gt;AM$3,OFFSET('Allocation %'!$A$1,MATCH(AM$4,'Allocation %'!$A:$A,0)-1,MATCH($D74,'Allocation %'!$5:$5,0)-1)*($F14-$G14)*'2020 Assumptions'!$B$20,0))</f>
        <v>0</v>
      </c>
      <c r="AN74" s="73">
        <f ca="1">IF(AN$5="Doyon Notional Allocation",0,IF($C74&lt;&gt;AN$3,OFFSET('Allocation %'!$A$1,MATCH(AN$4,'Allocation %'!$A:$A,0)-1,MATCH($D74,'Allocation %'!$5:$5,0)-1)*($F14-$G14)*'2020 Assumptions'!$B$20,0))</f>
        <v>0</v>
      </c>
      <c r="AO74" s="73">
        <f ca="1">IF(AO$5="Doyon Notional Allocation",0,IF($C74&lt;&gt;AO$3,OFFSET('Allocation %'!$A$1,MATCH(AO$4,'Allocation %'!$A:$A,0)-1,MATCH($D74,'Allocation %'!$5:$5,0)-1)*($F14-$G14)*'2020 Assumptions'!$B$20,0))</f>
        <v>0</v>
      </c>
      <c r="AP74" s="73">
        <f ca="1">IF(AP$5="Doyon Notional Allocation",0,IF($C74&lt;&gt;AP$3,OFFSET('Allocation %'!$A$1,MATCH(AP$4,'Allocation %'!$A:$A,0)-1,MATCH($D74,'Allocation %'!$5:$5,0)-1)*($F14-$G14)*'2020 Assumptions'!$B$20,0))</f>
        <v>0</v>
      </c>
      <c r="AQ74" s="73">
        <f ca="1">IF(AQ$5="Doyon Notional Allocation",0,IF($C74&lt;&gt;AQ$3,OFFSET('Allocation %'!$A$1,MATCH(AQ$4,'Allocation %'!$A:$A,0)-1,MATCH($D74,'Allocation %'!$5:$5,0)-1)*($F14-$G14)*'2020 Assumptions'!$B$20,0))</f>
        <v>0</v>
      </c>
      <c r="AR74" s="73">
        <f ca="1">IF(AR$5="Doyon Notional Allocation",0,IF($C74&lt;&gt;AR$3,OFFSET('Allocation %'!$A$1,MATCH(AR$4,'Allocation %'!$A:$A,0)-1,MATCH($D74,'Allocation %'!$5:$5,0)-1)*($F14-$G14)*'2020 Assumptions'!$B$20,0))</f>
        <v>0</v>
      </c>
      <c r="AS74" s="73">
        <f ca="1">IF(AS$5="Doyon Notional Allocation",0,IF($C74&lt;&gt;AS$3,OFFSET('Allocation %'!$A$1,MATCH(AS$4,'Allocation %'!$A:$A,0)-1,MATCH($D74,'Allocation %'!$5:$5,0)-1)*($F14-$G14)*'2020 Assumptions'!$B$20,0))</f>
        <v>0</v>
      </c>
      <c r="AT74" s="73">
        <f ca="1">IF(AT$5="Doyon Notional Allocation",0,IF($C74&lt;&gt;AT$3,OFFSET('Allocation %'!$A$1,MATCH(AT$4,'Allocation %'!$A:$A,0)-1,MATCH($D74,'Allocation %'!$5:$5,0)-1)*($F14-$G14)*'2020 Assumptions'!$B$20,0))</f>
        <v>0</v>
      </c>
      <c r="AU74" s="73">
        <f ca="1">IF(AU$5="Doyon Notional Allocation",0,IF($C74&lt;&gt;AU$3,OFFSET('Allocation %'!$A$1,MATCH(AU$4,'Allocation %'!$A:$A,0)-1,MATCH($D74,'Allocation %'!$5:$5,0)-1)*($F14-$G14)*'2020 Assumptions'!$B$20,0))</f>
        <v>0</v>
      </c>
      <c r="AV74" s="73">
        <f ca="1">IF(AV$5="Doyon Notional Allocation",0,IF($C74&lt;&gt;AV$3,OFFSET('Allocation %'!$A$1,MATCH(AV$4,'Allocation %'!$A:$A,0)-1,MATCH($D74,'Allocation %'!$5:$5,0)-1)*($F14-$G14)*'2020 Assumptions'!$B$20,0))</f>
        <v>0</v>
      </c>
      <c r="AW74" s="73">
        <f ca="1">IF(AW$5="Doyon Notional Allocation",0,IF($C74&lt;&gt;AW$3,OFFSET('Allocation %'!$A$1,MATCH(AW$4,'Allocation %'!$A:$A,0)-1,MATCH($D74,'Allocation %'!$5:$5,0)-1)*($F14-$G14)*'2020 Assumptions'!$B$20,0))</f>
        <v>0</v>
      </c>
      <c r="AX74" s="73">
        <f ca="1">IF(AX$5="Doyon Notional Allocation",0,IF($C74&lt;&gt;AX$3,OFFSET('Allocation %'!$A$1,MATCH(AX$4,'Allocation %'!$A:$A,0)-1,MATCH($D74,'Allocation %'!$5:$5,0)-1)*($F14-$G14)*'2020 Assumptions'!$B$20,0))</f>
        <v>0</v>
      </c>
      <c r="AY74" s="73">
        <f ca="1">IF(AY$5="Doyon Notional Allocation",0,IF($C74&lt;&gt;AY$3,OFFSET('Allocation %'!$A$1,MATCH(AY$4,'Allocation %'!$A:$A,0)-1,MATCH($D74,'Allocation %'!$5:$5,0)-1)*($F14-$G14)*'2020 Assumptions'!$B$20,0))</f>
        <v>0</v>
      </c>
      <c r="AZ74" s="73">
        <f ca="1">IF(AZ$5="Doyon Notional Allocation",0,IF($C74&lt;&gt;AZ$3,OFFSET('Allocation %'!$A$1,MATCH(AZ$4,'Allocation %'!$A:$A,0)-1,MATCH($D74,'Allocation %'!$5:$5,0)-1)*($F14-$G14)*'2020 Assumptions'!$B$20,0))</f>
        <v>1584.6191167015377</v>
      </c>
      <c r="BA74" s="73">
        <f ca="1">IF(BA$5="Doyon Notional Allocation",0,IF($C74&lt;&gt;BA$3,OFFSET('Allocation %'!$A$1,MATCH(BA$4,'Allocation %'!$A:$A,0)-1,MATCH($D74,'Allocation %'!$5:$5,0)-1)*($F14-$G14)*'2020 Assumptions'!$B$20,0))</f>
        <v>313.66237981577575</v>
      </c>
      <c r="BB74" s="73">
        <f ca="1">IF(BB$5="Doyon Notional Allocation",0,IF($C74&lt;&gt;BB$3,OFFSET('Allocation %'!$A$1,MATCH(BB$4,'Allocation %'!$A:$A,0)-1,MATCH($D74,'Allocation %'!$5:$5,0)-1)*($F14-$G14)*'2020 Assumptions'!$B$20,0))</f>
        <v>204.48720550607868</v>
      </c>
      <c r="BC74" s="73">
        <f ca="1">IF(BC$5="Doyon Notional Allocation",0,IF($C74&lt;&gt;BC$3,OFFSET('Allocation %'!$A$1,MATCH(BC$4,'Allocation %'!$A:$A,0)-1,MATCH($D74,'Allocation %'!$5:$5,0)-1)*($F14-$G14)*'2020 Assumptions'!$B$20,0))</f>
        <v>6.3407121230263073</v>
      </c>
      <c r="BD74" s="73">
        <f ca="1">IF(BD$5="Doyon Notional Allocation",0,IF($C74&lt;&gt;BD$3,OFFSET('Allocation %'!$A$1,MATCH(BD$4,'Allocation %'!$A:$A,0)-1,MATCH($D74,'Allocation %'!$5:$5,0)-1)*($F14-$G14)*'2020 Assumptions'!$B$20,0))</f>
        <v>122.03484385422919</v>
      </c>
      <c r="BE74" s="73">
        <f ca="1">IF(BE$5="Doyon Notional Allocation",0,IF($C74&lt;&gt;BE$3,OFFSET('Allocation %'!$A$1,MATCH(BE$4,'Allocation %'!$A:$A,0)-1,MATCH($D74,'Allocation %'!$5:$5,0)-1)*($F14-$G14)*'2020 Assumptions'!$B$20,0))</f>
        <v>0</v>
      </c>
      <c r="BG74" s="76">
        <f t="shared" ca="1" si="9"/>
        <v>2231.1442580006474</v>
      </c>
      <c r="BH74" s="349">
        <f t="shared" ca="1" si="10"/>
        <v>0</v>
      </c>
    </row>
    <row r="75" spans="2:60" s="177" customFormat="1" x14ac:dyDescent="0.25">
      <c r="B75" s="172" t="str">
        <f t="shared" si="7"/>
        <v>1010-000700 - Business Betterment Mark up</v>
      </c>
      <c r="C75" s="177" t="str">
        <f t="shared" si="8"/>
        <v>CAD</v>
      </c>
      <c r="D75" s="159" t="str">
        <f t="shared" ca="1" si="8"/>
        <v>ALL</v>
      </c>
      <c r="E75" s="173">
        <f ca="1">F75*'2020 Assumptions'!$B$4</f>
        <v>2851.2103822157601</v>
      </c>
      <c r="F75" s="73">
        <f t="shared" ca="1" si="11"/>
        <v>2121.1206533371223</v>
      </c>
      <c r="G75" s="73"/>
      <c r="I75" s="73">
        <f ca="1">IF(I$5="Doyon Notional Allocation",0,IF($C75&lt;&gt;I$3,OFFSET('Allocation %'!$A$1,MATCH(I$4,'Allocation %'!$A:$A,0)-1,MATCH($D75,'Allocation %'!$5:$5,0)-1)*($F15-$G15)*'2020 Assumptions'!$B$20,0))</f>
        <v>0</v>
      </c>
      <c r="J75" s="73">
        <f ca="1">IF(J$5="Doyon Notional Allocation",0,IF($C75&lt;&gt;J$3,OFFSET('Allocation %'!$A$1,MATCH(J$4,'Allocation %'!$A:$A,0)-1,MATCH($D75,'Allocation %'!$5:$5,0)-1)*($F15-$G15)*'2020 Assumptions'!$B$20,0))</f>
        <v>0</v>
      </c>
      <c r="K75" s="73">
        <f ca="1">IF(K$5="Doyon Notional Allocation",0,IF($C75&lt;&gt;K$3,OFFSET('Allocation %'!$A$1,MATCH(K$4,'Allocation %'!$A:$A,0)-1,MATCH($D75,'Allocation %'!$5:$5,0)-1)*($F15-$G15)*'2020 Assumptions'!$B$20,0))</f>
        <v>0</v>
      </c>
      <c r="L75" s="73">
        <f ca="1">IF(L$5="Doyon Notional Allocation",0,IF($C75&lt;&gt;L$3,OFFSET('Allocation %'!$A$1,MATCH(L$4,'Allocation %'!$A:$A,0)-1,MATCH($D75,'Allocation %'!$5:$5,0)-1)*($F15-$G15)*'2020 Assumptions'!$B$20,0))</f>
        <v>0</v>
      </c>
      <c r="M75" s="73">
        <f ca="1">IF(M$5="Doyon Notional Allocation",0,IF($C75&lt;&gt;M$3,OFFSET('Allocation %'!$A$1,MATCH(M$4,'Allocation %'!$A:$A,0)-1,MATCH($D75,'Allocation %'!$5:$5,0)-1)*($F15-$G15)*'2020 Assumptions'!$B$20,0))</f>
        <v>0</v>
      </c>
      <c r="N75" s="73">
        <f ca="1">IF(N$5="Doyon Notional Allocation",0,IF($C75&lt;&gt;N$3,OFFSET('Allocation %'!$A$1,MATCH(N$4,'Allocation %'!$A:$A,0)-1,MATCH($D75,'Allocation %'!$5:$5,0)-1)*($F15-$G15)*'2020 Assumptions'!$B$20,0))</f>
        <v>0</v>
      </c>
      <c r="O75" s="73">
        <f ca="1">IF(O$5="Doyon Notional Allocation",0,IF($C75&lt;&gt;O$3,OFFSET('Allocation %'!$A$1,MATCH(O$4,'Allocation %'!$A:$A,0)-1,MATCH($D75,'Allocation %'!$5:$5,0)-1)*($F15-$G15)*'2020 Assumptions'!$B$20,0))</f>
        <v>0</v>
      </c>
      <c r="P75" s="73">
        <f ca="1">IF(P$5="Doyon Notional Allocation",0,IF($C75&lt;&gt;P$3,OFFSET('Allocation %'!$A$1,MATCH(P$4,'Allocation %'!$A:$A,0)-1,MATCH($D75,'Allocation %'!$5:$5,0)-1)*($F15-$G15)*'2020 Assumptions'!$B$20,0))</f>
        <v>0</v>
      </c>
      <c r="Q75" s="73">
        <f ca="1">IF(Q$5="Doyon Notional Allocation",0,IF($C75&lt;&gt;Q$3,OFFSET('Allocation %'!$A$1,MATCH(Q$4,'Allocation %'!$A:$A,0)-1,MATCH($D75,'Allocation %'!$5:$5,0)-1)*($F15-$G15)*'2020 Assumptions'!$B$20,0))</f>
        <v>0</v>
      </c>
      <c r="R75" s="73">
        <f ca="1">IF(R$5="Doyon Notional Allocation",0,IF($C75&lt;&gt;R$3,OFFSET('Allocation %'!$A$1,MATCH(R$4,'Allocation %'!$A:$A,0)-1,MATCH($D75,'Allocation %'!$5:$5,0)-1)*($F15-$G15)*'2020 Assumptions'!$B$20,0))</f>
        <v>0</v>
      </c>
      <c r="S75" s="73">
        <f ca="1">IF(S$5="Doyon Notional Allocation",0,IF($C75&lt;&gt;S$3,OFFSET('Allocation %'!$A$1,MATCH(S$4,'Allocation %'!$A:$A,0)-1,MATCH($D75,'Allocation %'!$5:$5,0)-1)*($F15-$G15)*'2020 Assumptions'!$B$20,0))</f>
        <v>0</v>
      </c>
      <c r="T75" s="73">
        <f ca="1">IF(T$5="Doyon Notional Allocation",0,IF($C75&lt;&gt;T$3,OFFSET('Allocation %'!$A$1,MATCH(T$4,'Allocation %'!$A:$A,0)-1,MATCH($D75,'Allocation %'!$5:$5,0)-1)*($F15-$G15)*'2020 Assumptions'!$B$20,0))</f>
        <v>0</v>
      </c>
      <c r="U75" s="73">
        <f ca="1">IF(U$5="Doyon Notional Allocation",0,IF($C75&lt;&gt;U$3,OFFSET('Allocation %'!$A$1,MATCH(U$4,'Allocation %'!$A:$A,0)-1,MATCH($D75,'Allocation %'!$5:$5,0)-1)*($F15-$G15)*'2020 Assumptions'!$B$20,0))</f>
        <v>0</v>
      </c>
      <c r="V75" s="73">
        <f ca="1">IF(V$5="Doyon Notional Allocation",0,IF($C75&lt;&gt;V$3,OFFSET('Allocation %'!$A$1,MATCH(V$4,'Allocation %'!$A:$A,0)-1,MATCH($D75,'Allocation %'!$5:$5,0)-1)*($F15-$G15)*'2020 Assumptions'!$B$20,0))</f>
        <v>0</v>
      </c>
      <c r="W75" s="73">
        <f ca="1">IF(W$5="Doyon Notional Allocation",0,IF($C75&lt;&gt;W$3,OFFSET('Allocation %'!$A$1,MATCH(W$4,'Allocation %'!$A:$A,0)-1,MATCH($D75,'Allocation %'!$5:$5,0)-1)*($F15-$G15)*'2020 Assumptions'!$B$20,0))</f>
        <v>0</v>
      </c>
      <c r="X75" s="73">
        <f ca="1">IF(X$5="Doyon Notional Allocation",0,IF($C75&lt;&gt;X$3,OFFSET('Allocation %'!$A$1,MATCH(X$4,'Allocation %'!$A:$A,0)-1,MATCH($D75,'Allocation %'!$5:$5,0)-1)*($F15-$G15)*'2020 Assumptions'!$B$20,0))</f>
        <v>0</v>
      </c>
      <c r="Y75" s="73">
        <f ca="1">IF(Y$5="Doyon Notional Allocation",0,IF($C75&lt;&gt;Y$3,OFFSET('Allocation %'!$A$1,MATCH(Y$4,'Allocation %'!$A:$A,0)-1,MATCH($D75,'Allocation %'!$5:$5,0)-1)*($F15-$G15)*'2020 Assumptions'!$B$20,0))</f>
        <v>0</v>
      </c>
      <c r="Z75" s="73">
        <f ca="1">IF(Z$5="Doyon Notional Allocation",0,IF($C75&lt;&gt;Z$3,OFFSET('Allocation %'!$A$1,MATCH(Z$4,'Allocation %'!$A:$A,0)-1,MATCH($D75,'Allocation %'!$5:$5,0)-1)*($F15-$G15)*'2020 Assumptions'!$B$20,0))</f>
        <v>0</v>
      </c>
      <c r="AA75" s="73">
        <f ca="1">IF(AA$5="Doyon Notional Allocation",0,IF($C75&lt;&gt;AA$3,OFFSET('Allocation %'!$A$1,MATCH(AA$4,'Allocation %'!$A:$A,0)-1,MATCH($D75,'Allocation %'!$5:$5,0)-1)*($F15-$G15)*'2020 Assumptions'!$B$20,0))</f>
        <v>0</v>
      </c>
      <c r="AB75" s="73">
        <f ca="1">IF(AB$5="Doyon Notional Allocation",0,IF($C75&lt;&gt;AB$3,OFFSET('Allocation %'!$A$1,MATCH(AB$4,'Allocation %'!$A:$A,0)-1,MATCH($D75,'Allocation %'!$5:$5,0)-1)*($F15-$G15)*'2020 Assumptions'!$B$20,0))</f>
        <v>0</v>
      </c>
      <c r="AC75" s="73">
        <f ca="1">IF(AC$5="Doyon Notional Allocation",0,IF($C75&lt;&gt;AC$3,OFFSET('Allocation %'!$A$1,MATCH(AC$4,'Allocation %'!$A:$A,0)-1,MATCH($D75,'Allocation %'!$5:$5,0)-1)*($F15-$G15)*'2020 Assumptions'!$B$20,0))</f>
        <v>0</v>
      </c>
      <c r="AD75" s="73">
        <f ca="1">IF(AD$5="Doyon Notional Allocation",0,IF($C75&lt;&gt;AD$3,OFFSET('Allocation %'!$A$1,MATCH(AD$4,'Allocation %'!$A:$A,0)-1,MATCH($D75,'Allocation %'!$5:$5,0)-1)*($F15-$G15)*'2020 Assumptions'!$B$20,0))</f>
        <v>0</v>
      </c>
      <c r="AE75" s="73">
        <f ca="1">IF(AE$5="Doyon Notional Allocation",0,IF($C75&lt;&gt;AE$3,OFFSET('Allocation %'!$A$1,MATCH(AE$4,'Allocation %'!$A:$A,0)-1,MATCH($D75,'Allocation %'!$5:$5,0)-1)*($F15-$G15)*'2020 Assumptions'!$B$20,0))</f>
        <v>0</v>
      </c>
      <c r="AF75" s="73">
        <f ca="1">IF(AF$5="Doyon Notional Allocation",0,IF($C75&lt;&gt;AF$3,OFFSET('Allocation %'!$A$1,MATCH(AF$4,'Allocation %'!$A:$A,0)-1,MATCH($D75,'Allocation %'!$5:$5,0)-1)*($F15-$G15)*'2020 Assumptions'!$B$20,0))</f>
        <v>0</v>
      </c>
      <c r="AG75" s="73">
        <f ca="1">IF(AG$5="Doyon Notional Allocation",0,IF($C75&lt;&gt;AG$3,OFFSET('Allocation %'!$A$1,MATCH(AG$4,'Allocation %'!$A:$A,0)-1,MATCH($D75,'Allocation %'!$5:$5,0)-1)*($F15-$G15)*'2020 Assumptions'!$B$20,0))</f>
        <v>0</v>
      </c>
      <c r="AH75" s="73">
        <f ca="1">IF(AH$5="Doyon Notional Allocation",0,IF($C75&lt;&gt;AH$3,OFFSET('Allocation %'!$A$1,MATCH(AH$4,'Allocation %'!$A:$A,0)-1,MATCH($D75,'Allocation %'!$5:$5,0)-1)*($F15-$G15)*'2020 Assumptions'!$B$20,0))</f>
        <v>0</v>
      </c>
      <c r="AI75" s="73">
        <f ca="1">IF(AI$5="Doyon Notional Allocation",0,IF($C75&lt;&gt;AI$3,OFFSET('Allocation %'!$A$1,MATCH(AI$4,'Allocation %'!$A:$A,0)-1,MATCH($D75,'Allocation %'!$5:$5,0)-1)*($F15-$G15)*'2020 Assumptions'!$B$20,0))</f>
        <v>0</v>
      </c>
      <c r="AJ75" s="73">
        <f ca="1">IF(AJ$5="Doyon Notional Allocation",0,IF($C75&lt;&gt;AJ$3,OFFSET('Allocation %'!$A$1,MATCH(AJ$4,'Allocation %'!$A:$A,0)-1,MATCH($D75,'Allocation %'!$5:$5,0)-1)*($F15-$G15)*'2020 Assumptions'!$B$20,0))</f>
        <v>0</v>
      </c>
      <c r="AK75" s="73">
        <f ca="1">IF(AK$5="Doyon Notional Allocation",0,IF($C75&lt;&gt;AK$3,OFFSET('Allocation %'!$A$1,MATCH(AK$4,'Allocation %'!$A:$A,0)-1,MATCH($D75,'Allocation %'!$5:$5,0)-1)*($F15-$G15)*'2020 Assumptions'!$B$20,0))</f>
        <v>0</v>
      </c>
      <c r="AL75" s="73">
        <f ca="1">IF(AL$5="Doyon Notional Allocation",0,IF($C75&lt;&gt;AL$3,OFFSET('Allocation %'!$A$1,MATCH(AL$4,'Allocation %'!$A:$A,0)-1,MATCH($D75,'Allocation %'!$5:$5,0)-1)*($F15-$G15)*'2020 Assumptions'!$B$20,0))</f>
        <v>0</v>
      </c>
      <c r="AM75" s="73">
        <f ca="1">IF(AM$5="Doyon Notional Allocation",0,IF($C75&lt;&gt;AM$3,OFFSET('Allocation %'!$A$1,MATCH(AM$4,'Allocation %'!$A:$A,0)-1,MATCH($D75,'Allocation %'!$5:$5,0)-1)*($F15-$G15)*'2020 Assumptions'!$B$20,0))</f>
        <v>0</v>
      </c>
      <c r="AN75" s="73">
        <f ca="1">IF(AN$5="Doyon Notional Allocation",0,IF($C75&lt;&gt;AN$3,OFFSET('Allocation %'!$A$1,MATCH(AN$4,'Allocation %'!$A:$A,0)-1,MATCH($D75,'Allocation %'!$5:$5,0)-1)*($F15-$G15)*'2020 Assumptions'!$B$20,0))</f>
        <v>0</v>
      </c>
      <c r="AO75" s="73">
        <f ca="1">IF(AO$5="Doyon Notional Allocation",0,IF($C75&lt;&gt;AO$3,OFFSET('Allocation %'!$A$1,MATCH(AO$4,'Allocation %'!$A:$A,0)-1,MATCH($D75,'Allocation %'!$5:$5,0)-1)*($F15-$G15)*'2020 Assumptions'!$B$20,0))</f>
        <v>0</v>
      </c>
      <c r="AP75" s="73">
        <f ca="1">IF(AP$5="Doyon Notional Allocation",0,IF($C75&lt;&gt;AP$3,OFFSET('Allocation %'!$A$1,MATCH(AP$4,'Allocation %'!$A:$A,0)-1,MATCH($D75,'Allocation %'!$5:$5,0)-1)*($F15-$G15)*'2020 Assumptions'!$B$20,0))</f>
        <v>0</v>
      </c>
      <c r="AQ75" s="73">
        <f ca="1">IF(AQ$5="Doyon Notional Allocation",0,IF($C75&lt;&gt;AQ$3,OFFSET('Allocation %'!$A$1,MATCH(AQ$4,'Allocation %'!$A:$A,0)-1,MATCH($D75,'Allocation %'!$5:$5,0)-1)*($F15-$G15)*'2020 Assumptions'!$B$20,0))</f>
        <v>0</v>
      </c>
      <c r="AR75" s="73">
        <f ca="1">IF(AR$5="Doyon Notional Allocation",0,IF($C75&lt;&gt;AR$3,OFFSET('Allocation %'!$A$1,MATCH(AR$4,'Allocation %'!$A:$A,0)-1,MATCH($D75,'Allocation %'!$5:$5,0)-1)*($F15-$G15)*'2020 Assumptions'!$B$20,0))</f>
        <v>0</v>
      </c>
      <c r="AS75" s="73">
        <f ca="1">IF(AS$5="Doyon Notional Allocation",0,IF($C75&lt;&gt;AS$3,OFFSET('Allocation %'!$A$1,MATCH(AS$4,'Allocation %'!$A:$A,0)-1,MATCH($D75,'Allocation %'!$5:$5,0)-1)*($F15-$G15)*'2020 Assumptions'!$B$20,0))</f>
        <v>0</v>
      </c>
      <c r="AT75" s="73">
        <f ca="1">IF(AT$5="Doyon Notional Allocation",0,IF($C75&lt;&gt;AT$3,OFFSET('Allocation %'!$A$1,MATCH(AT$4,'Allocation %'!$A:$A,0)-1,MATCH($D75,'Allocation %'!$5:$5,0)-1)*($F15-$G15)*'2020 Assumptions'!$B$20,0))</f>
        <v>0</v>
      </c>
      <c r="AU75" s="73">
        <f ca="1">IF(AU$5="Doyon Notional Allocation",0,IF($C75&lt;&gt;AU$3,OFFSET('Allocation %'!$A$1,MATCH(AU$4,'Allocation %'!$A:$A,0)-1,MATCH($D75,'Allocation %'!$5:$5,0)-1)*($F15-$G15)*'2020 Assumptions'!$B$20,0))</f>
        <v>0</v>
      </c>
      <c r="AV75" s="73">
        <f ca="1">IF(AV$5="Doyon Notional Allocation",0,IF($C75&lt;&gt;AV$3,OFFSET('Allocation %'!$A$1,MATCH(AV$4,'Allocation %'!$A:$A,0)-1,MATCH($D75,'Allocation %'!$5:$5,0)-1)*($F15-$G15)*'2020 Assumptions'!$B$20,0))</f>
        <v>0</v>
      </c>
      <c r="AW75" s="73">
        <f ca="1">IF(AW$5="Doyon Notional Allocation",0,IF($C75&lt;&gt;AW$3,OFFSET('Allocation %'!$A$1,MATCH(AW$4,'Allocation %'!$A:$A,0)-1,MATCH($D75,'Allocation %'!$5:$5,0)-1)*($F15-$G15)*'2020 Assumptions'!$B$20,0))</f>
        <v>0</v>
      </c>
      <c r="AX75" s="73">
        <f ca="1">IF(AX$5="Doyon Notional Allocation",0,IF($C75&lt;&gt;AX$3,OFFSET('Allocation %'!$A$1,MATCH(AX$4,'Allocation %'!$A:$A,0)-1,MATCH($D75,'Allocation %'!$5:$5,0)-1)*($F15-$G15)*'2020 Assumptions'!$B$20,0))</f>
        <v>0</v>
      </c>
      <c r="AY75" s="73">
        <f ca="1">IF(AY$5="Doyon Notional Allocation",0,IF($C75&lt;&gt;AY$3,OFFSET('Allocation %'!$A$1,MATCH(AY$4,'Allocation %'!$A:$A,0)-1,MATCH($D75,'Allocation %'!$5:$5,0)-1)*($F15-$G15)*'2020 Assumptions'!$B$20,0))</f>
        <v>0</v>
      </c>
      <c r="AZ75" s="73">
        <f ca="1">IF(AZ$5="Doyon Notional Allocation",0,IF($C75&lt;&gt;AZ$3,OFFSET('Allocation %'!$A$1,MATCH(AZ$4,'Allocation %'!$A:$A,0)-1,MATCH($D75,'Allocation %'!$5:$5,0)-1)*($F15-$G15)*'2020 Assumptions'!$B$20,0))</f>
        <v>1506.4773709972651</v>
      </c>
      <c r="BA75" s="73">
        <f ca="1">IF(BA$5="Doyon Notional Allocation",0,IF($C75&lt;&gt;BA$3,OFFSET('Allocation %'!$A$1,MATCH(BA$4,'Allocation %'!$A:$A,0)-1,MATCH($D75,'Allocation %'!$5:$5,0)-1)*($F15-$G15)*'2020 Assumptions'!$B$20,0))</f>
        <v>298.19486105228873</v>
      </c>
      <c r="BB75" s="73">
        <f ca="1">IF(BB$5="Doyon Notional Allocation",0,IF($C75&lt;&gt;BB$3,OFFSET('Allocation %'!$A$1,MATCH(BB$4,'Allocation %'!$A:$A,0)-1,MATCH($D75,'Allocation %'!$5:$5,0)-1)*($F15-$G15)*'2020 Assumptions'!$B$20,0))</f>
        <v>194.40340237381912</v>
      </c>
      <c r="BC75" s="73">
        <f ca="1">IF(BC$5="Doyon Notional Allocation",0,IF($C75&lt;&gt;BC$3,OFFSET('Allocation %'!$A$1,MATCH(BC$4,'Allocation %'!$A:$A,0)-1,MATCH($D75,'Allocation %'!$5:$5,0)-1)*($F15-$G15)*'2020 Assumptions'!$B$20,0))</f>
        <v>6.0280348941078055</v>
      </c>
      <c r="BD75" s="73">
        <f ca="1">IF(BD$5="Doyon Notional Allocation",0,IF($C75&lt;&gt;BD$3,OFFSET('Allocation %'!$A$1,MATCH(BD$4,'Allocation %'!$A:$A,0)-1,MATCH($D75,'Allocation %'!$5:$5,0)-1)*($F15-$G15)*'2020 Assumptions'!$B$20,0))</f>
        <v>116.01698401964165</v>
      </c>
      <c r="BE75" s="73">
        <f ca="1">IF(BE$5="Doyon Notional Allocation",0,IF($C75&lt;&gt;BE$3,OFFSET('Allocation %'!$A$1,MATCH(BE$4,'Allocation %'!$A:$A,0)-1,MATCH($D75,'Allocation %'!$5:$5,0)-1)*($F15-$G15)*'2020 Assumptions'!$B$20,0))</f>
        <v>0</v>
      </c>
      <c r="BG75" s="76">
        <f t="shared" ca="1" si="9"/>
        <v>2121.1206533371223</v>
      </c>
      <c r="BH75" s="349">
        <f t="shared" ca="1" si="10"/>
        <v>0</v>
      </c>
    </row>
    <row r="76" spans="2:60" s="177" customFormat="1" x14ac:dyDescent="0.25">
      <c r="B76" s="172" t="str">
        <f t="shared" si="7"/>
        <v>1010-000800 - Legal, Regulatory &amp; Govt Relations Mark up</v>
      </c>
      <c r="C76" s="177" t="str">
        <f t="shared" si="8"/>
        <v>CAD</v>
      </c>
      <c r="D76" s="159" t="str">
        <f t="shared" ca="1" si="8"/>
        <v>ALL</v>
      </c>
      <c r="E76" s="173">
        <f ca="1">F76*'2020 Assumptions'!$B$4</f>
        <v>2174.8646482438016</v>
      </c>
      <c r="F76" s="73">
        <f t="shared" ca="1" si="11"/>
        <v>1617.9620951077231</v>
      </c>
      <c r="G76" s="73"/>
      <c r="I76" s="73">
        <f ca="1">IF(I$5="Doyon Notional Allocation",0,IF($C76&lt;&gt;I$3,OFFSET('Allocation %'!$A$1,MATCH(I$4,'Allocation %'!$A:$A,0)-1,MATCH($D76,'Allocation %'!$5:$5,0)-1)*($F16-$G16)*'2020 Assumptions'!$B$20,0))</f>
        <v>0</v>
      </c>
      <c r="J76" s="73">
        <f ca="1">IF(J$5="Doyon Notional Allocation",0,IF($C76&lt;&gt;J$3,OFFSET('Allocation %'!$A$1,MATCH(J$4,'Allocation %'!$A:$A,0)-1,MATCH($D76,'Allocation %'!$5:$5,0)-1)*($F16-$G16)*'2020 Assumptions'!$B$20,0))</f>
        <v>0</v>
      </c>
      <c r="K76" s="73">
        <f ca="1">IF(K$5="Doyon Notional Allocation",0,IF($C76&lt;&gt;K$3,OFFSET('Allocation %'!$A$1,MATCH(K$4,'Allocation %'!$A:$A,0)-1,MATCH($D76,'Allocation %'!$5:$5,0)-1)*($F16-$G16)*'2020 Assumptions'!$B$20,0))</f>
        <v>0</v>
      </c>
      <c r="L76" s="73">
        <f ca="1">IF(L$5="Doyon Notional Allocation",0,IF($C76&lt;&gt;L$3,OFFSET('Allocation %'!$A$1,MATCH(L$4,'Allocation %'!$A:$A,0)-1,MATCH($D76,'Allocation %'!$5:$5,0)-1)*($F16-$G16)*'2020 Assumptions'!$B$20,0))</f>
        <v>0</v>
      </c>
      <c r="M76" s="73">
        <f ca="1">IF(M$5="Doyon Notional Allocation",0,IF($C76&lt;&gt;M$3,OFFSET('Allocation %'!$A$1,MATCH(M$4,'Allocation %'!$A:$A,0)-1,MATCH($D76,'Allocation %'!$5:$5,0)-1)*($F16-$G16)*'2020 Assumptions'!$B$20,0))</f>
        <v>0</v>
      </c>
      <c r="N76" s="73">
        <f ca="1">IF(N$5="Doyon Notional Allocation",0,IF($C76&lt;&gt;N$3,OFFSET('Allocation %'!$A$1,MATCH(N$4,'Allocation %'!$A:$A,0)-1,MATCH($D76,'Allocation %'!$5:$5,0)-1)*($F16-$G16)*'2020 Assumptions'!$B$20,0))</f>
        <v>0</v>
      </c>
      <c r="O76" s="73">
        <f ca="1">IF(O$5="Doyon Notional Allocation",0,IF($C76&lt;&gt;O$3,OFFSET('Allocation %'!$A$1,MATCH(O$4,'Allocation %'!$A:$A,0)-1,MATCH($D76,'Allocation %'!$5:$5,0)-1)*($F16-$G16)*'2020 Assumptions'!$B$20,0))</f>
        <v>0</v>
      </c>
      <c r="P76" s="73">
        <f ca="1">IF(P$5="Doyon Notional Allocation",0,IF($C76&lt;&gt;P$3,OFFSET('Allocation %'!$A$1,MATCH(P$4,'Allocation %'!$A:$A,0)-1,MATCH($D76,'Allocation %'!$5:$5,0)-1)*($F16-$G16)*'2020 Assumptions'!$B$20,0))</f>
        <v>0</v>
      </c>
      <c r="Q76" s="73">
        <f ca="1">IF(Q$5="Doyon Notional Allocation",0,IF($C76&lt;&gt;Q$3,OFFSET('Allocation %'!$A$1,MATCH(Q$4,'Allocation %'!$A:$A,0)-1,MATCH($D76,'Allocation %'!$5:$5,0)-1)*($F16-$G16)*'2020 Assumptions'!$B$20,0))</f>
        <v>0</v>
      </c>
      <c r="R76" s="73">
        <f ca="1">IF(R$5="Doyon Notional Allocation",0,IF($C76&lt;&gt;R$3,OFFSET('Allocation %'!$A$1,MATCH(R$4,'Allocation %'!$A:$A,0)-1,MATCH($D76,'Allocation %'!$5:$5,0)-1)*($F16-$G16)*'2020 Assumptions'!$B$20,0))</f>
        <v>0</v>
      </c>
      <c r="S76" s="73">
        <f ca="1">IF(S$5="Doyon Notional Allocation",0,IF($C76&lt;&gt;S$3,OFFSET('Allocation %'!$A$1,MATCH(S$4,'Allocation %'!$A:$A,0)-1,MATCH($D76,'Allocation %'!$5:$5,0)-1)*($F16-$G16)*'2020 Assumptions'!$B$20,0))</f>
        <v>0</v>
      </c>
      <c r="T76" s="73">
        <f ca="1">IF(T$5="Doyon Notional Allocation",0,IF($C76&lt;&gt;T$3,OFFSET('Allocation %'!$A$1,MATCH(T$4,'Allocation %'!$A:$A,0)-1,MATCH($D76,'Allocation %'!$5:$5,0)-1)*($F16-$G16)*'2020 Assumptions'!$B$20,0))</f>
        <v>0</v>
      </c>
      <c r="U76" s="73">
        <f ca="1">IF(U$5="Doyon Notional Allocation",0,IF($C76&lt;&gt;U$3,OFFSET('Allocation %'!$A$1,MATCH(U$4,'Allocation %'!$A:$A,0)-1,MATCH($D76,'Allocation %'!$5:$5,0)-1)*($F16-$G16)*'2020 Assumptions'!$B$20,0))</f>
        <v>0</v>
      </c>
      <c r="V76" s="73">
        <f ca="1">IF(V$5="Doyon Notional Allocation",0,IF($C76&lt;&gt;V$3,OFFSET('Allocation %'!$A$1,MATCH(V$4,'Allocation %'!$A:$A,0)-1,MATCH($D76,'Allocation %'!$5:$5,0)-1)*($F16-$G16)*'2020 Assumptions'!$B$20,0))</f>
        <v>0</v>
      </c>
      <c r="W76" s="73">
        <f ca="1">IF(W$5="Doyon Notional Allocation",0,IF($C76&lt;&gt;W$3,OFFSET('Allocation %'!$A$1,MATCH(W$4,'Allocation %'!$A:$A,0)-1,MATCH($D76,'Allocation %'!$5:$5,0)-1)*($F16-$G16)*'2020 Assumptions'!$B$20,0))</f>
        <v>0</v>
      </c>
      <c r="X76" s="73">
        <f ca="1">IF(X$5="Doyon Notional Allocation",0,IF($C76&lt;&gt;X$3,OFFSET('Allocation %'!$A$1,MATCH(X$4,'Allocation %'!$A:$A,0)-1,MATCH($D76,'Allocation %'!$5:$5,0)-1)*($F16-$G16)*'2020 Assumptions'!$B$20,0))</f>
        <v>0</v>
      </c>
      <c r="Y76" s="73">
        <f ca="1">IF(Y$5="Doyon Notional Allocation",0,IF($C76&lt;&gt;Y$3,OFFSET('Allocation %'!$A$1,MATCH(Y$4,'Allocation %'!$A:$A,0)-1,MATCH($D76,'Allocation %'!$5:$5,0)-1)*($F16-$G16)*'2020 Assumptions'!$B$20,0))</f>
        <v>0</v>
      </c>
      <c r="Z76" s="73">
        <f ca="1">IF(Z$5="Doyon Notional Allocation",0,IF($C76&lt;&gt;Z$3,OFFSET('Allocation %'!$A$1,MATCH(Z$4,'Allocation %'!$A:$A,0)-1,MATCH($D76,'Allocation %'!$5:$5,0)-1)*($F16-$G16)*'2020 Assumptions'!$B$20,0))</f>
        <v>0</v>
      </c>
      <c r="AA76" s="73">
        <f ca="1">IF(AA$5="Doyon Notional Allocation",0,IF($C76&lt;&gt;AA$3,OFFSET('Allocation %'!$A$1,MATCH(AA$4,'Allocation %'!$A:$A,0)-1,MATCH($D76,'Allocation %'!$5:$5,0)-1)*($F16-$G16)*'2020 Assumptions'!$B$20,0))</f>
        <v>0</v>
      </c>
      <c r="AB76" s="73">
        <f ca="1">IF(AB$5="Doyon Notional Allocation",0,IF($C76&lt;&gt;AB$3,OFFSET('Allocation %'!$A$1,MATCH(AB$4,'Allocation %'!$A:$A,0)-1,MATCH($D76,'Allocation %'!$5:$5,0)-1)*($F16-$G16)*'2020 Assumptions'!$B$20,0))</f>
        <v>0</v>
      </c>
      <c r="AC76" s="73">
        <f ca="1">IF(AC$5="Doyon Notional Allocation",0,IF($C76&lt;&gt;AC$3,OFFSET('Allocation %'!$A$1,MATCH(AC$4,'Allocation %'!$A:$A,0)-1,MATCH($D76,'Allocation %'!$5:$5,0)-1)*($F16-$G16)*'2020 Assumptions'!$B$20,0))</f>
        <v>0</v>
      </c>
      <c r="AD76" s="73">
        <f ca="1">IF(AD$5="Doyon Notional Allocation",0,IF($C76&lt;&gt;AD$3,OFFSET('Allocation %'!$A$1,MATCH(AD$4,'Allocation %'!$A:$A,0)-1,MATCH($D76,'Allocation %'!$5:$5,0)-1)*($F16-$G16)*'2020 Assumptions'!$B$20,0))</f>
        <v>0</v>
      </c>
      <c r="AE76" s="73">
        <f ca="1">IF(AE$5="Doyon Notional Allocation",0,IF($C76&lt;&gt;AE$3,OFFSET('Allocation %'!$A$1,MATCH(AE$4,'Allocation %'!$A:$A,0)-1,MATCH($D76,'Allocation %'!$5:$5,0)-1)*($F16-$G16)*'2020 Assumptions'!$B$20,0))</f>
        <v>0</v>
      </c>
      <c r="AF76" s="73">
        <f ca="1">IF(AF$5="Doyon Notional Allocation",0,IF($C76&lt;&gt;AF$3,OFFSET('Allocation %'!$A$1,MATCH(AF$4,'Allocation %'!$A:$A,0)-1,MATCH($D76,'Allocation %'!$5:$5,0)-1)*($F16-$G16)*'2020 Assumptions'!$B$20,0))</f>
        <v>0</v>
      </c>
      <c r="AG76" s="73">
        <f ca="1">IF(AG$5="Doyon Notional Allocation",0,IF($C76&lt;&gt;AG$3,OFFSET('Allocation %'!$A$1,MATCH(AG$4,'Allocation %'!$A:$A,0)-1,MATCH($D76,'Allocation %'!$5:$5,0)-1)*($F16-$G16)*'2020 Assumptions'!$B$20,0))</f>
        <v>0</v>
      </c>
      <c r="AH76" s="73">
        <f ca="1">IF(AH$5="Doyon Notional Allocation",0,IF($C76&lt;&gt;AH$3,OFFSET('Allocation %'!$A$1,MATCH(AH$4,'Allocation %'!$A:$A,0)-1,MATCH($D76,'Allocation %'!$5:$5,0)-1)*($F16-$G16)*'2020 Assumptions'!$B$20,0))</f>
        <v>0</v>
      </c>
      <c r="AI76" s="73">
        <f ca="1">IF(AI$5="Doyon Notional Allocation",0,IF($C76&lt;&gt;AI$3,OFFSET('Allocation %'!$A$1,MATCH(AI$4,'Allocation %'!$A:$A,0)-1,MATCH($D76,'Allocation %'!$5:$5,0)-1)*($F16-$G16)*'2020 Assumptions'!$B$20,0))</f>
        <v>0</v>
      </c>
      <c r="AJ76" s="73">
        <f ca="1">IF(AJ$5="Doyon Notional Allocation",0,IF($C76&lt;&gt;AJ$3,OFFSET('Allocation %'!$A$1,MATCH(AJ$4,'Allocation %'!$A:$A,0)-1,MATCH($D76,'Allocation %'!$5:$5,0)-1)*($F16-$G16)*'2020 Assumptions'!$B$20,0))</f>
        <v>0</v>
      </c>
      <c r="AK76" s="73">
        <f ca="1">IF(AK$5="Doyon Notional Allocation",0,IF($C76&lt;&gt;AK$3,OFFSET('Allocation %'!$A$1,MATCH(AK$4,'Allocation %'!$A:$A,0)-1,MATCH($D76,'Allocation %'!$5:$5,0)-1)*($F16-$G16)*'2020 Assumptions'!$B$20,0))</f>
        <v>0</v>
      </c>
      <c r="AL76" s="73">
        <f ca="1">IF(AL$5="Doyon Notional Allocation",0,IF($C76&lt;&gt;AL$3,OFFSET('Allocation %'!$A$1,MATCH(AL$4,'Allocation %'!$A:$A,0)-1,MATCH($D76,'Allocation %'!$5:$5,0)-1)*($F16-$G16)*'2020 Assumptions'!$B$20,0))</f>
        <v>0</v>
      </c>
      <c r="AM76" s="73">
        <f ca="1">IF(AM$5="Doyon Notional Allocation",0,IF($C76&lt;&gt;AM$3,OFFSET('Allocation %'!$A$1,MATCH(AM$4,'Allocation %'!$A:$A,0)-1,MATCH($D76,'Allocation %'!$5:$5,0)-1)*($F16-$G16)*'2020 Assumptions'!$B$20,0))</f>
        <v>0</v>
      </c>
      <c r="AN76" s="73">
        <f ca="1">IF(AN$5="Doyon Notional Allocation",0,IF($C76&lt;&gt;AN$3,OFFSET('Allocation %'!$A$1,MATCH(AN$4,'Allocation %'!$A:$A,0)-1,MATCH($D76,'Allocation %'!$5:$5,0)-1)*($F16-$G16)*'2020 Assumptions'!$B$20,0))</f>
        <v>0</v>
      </c>
      <c r="AO76" s="73">
        <f ca="1">IF(AO$5="Doyon Notional Allocation",0,IF($C76&lt;&gt;AO$3,OFFSET('Allocation %'!$A$1,MATCH(AO$4,'Allocation %'!$A:$A,0)-1,MATCH($D76,'Allocation %'!$5:$5,0)-1)*($F16-$G16)*'2020 Assumptions'!$B$20,0))</f>
        <v>0</v>
      </c>
      <c r="AP76" s="73">
        <f ca="1">IF(AP$5="Doyon Notional Allocation",0,IF($C76&lt;&gt;AP$3,OFFSET('Allocation %'!$A$1,MATCH(AP$4,'Allocation %'!$A:$A,0)-1,MATCH($D76,'Allocation %'!$5:$5,0)-1)*($F16-$G16)*'2020 Assumptions'!$B$20,0))</f>
        <v>0</v>
      </c>
      <c r="AQ76" s="73">
        <f ca="1">IF(AQ$5="Doyon Notional Allocation",0,IF($C76&lt;&gt;AQ$3,OFFSET('Allocation %'!$A$1,MATCH(AQ$4,'Allocation %'!$A:$A,0)-1,MATCH($D76,'Allocation %'!$5:$5,0)-1)*($F16-$G16)*'2020 Assumptions'!$B$20,0))</f>
        <v>0</v>
      </c>
      <c r="AR76" s="73">
        <f ca="1">IF(AR$5="Doyon Notional Allocation",0,IF($C76&lt;&gt;AR$3,OFFSET('Allocation %'!$A$1,MATCH(AR$4,'Allocation %'!$A:$A,0)-1,MATCH($D76,'Allocation %'!$5:$5,0)-1)*($F16-$G16)*'2020 Assumptions'!$B$20,0))</f>
        <v>0</v>
      </c>
      <c r="AS76" s="73">
        <f ca="1">IF(AS$5="Doyon Notional Allocation",0,IF($C76&lt;&gt;AS$3,OFFSET('Allocation %'!$A$1,MATCH(AS$4,'Allocation %'!$A:$A,0)-1,MATCH($D76,'Allocation %'!$5:$5,0)-1)*($F16-$G16)*'2020 Assumptions'!$B$20,0))</f>
        <v>0</v>
      </c>
      <c r="AT76" s="73">
        <f ca="1">IF(AT$5="Doyon Notional Allocation",0,IF($C76&lt;&gt;AT$3,OFFSET('Allocation %'!$A$1,MATCH(AT$4,'Allocation %'!$A:$A,0)-1,MATCH($D76,'Allocation %'!$5:$5,0)-1)*($F16-$G16)*'2020 Assumptions'!$B$20,0))</f>
        <v>0</v>
      </c>
      <c r="AU76" s="73">
        <f ca="1">IF(AU$5="Doyon Notional Allocation",0,IF($C76&lt;&gt;AU$3,OFFSET('Allocation %'!$A$1,MATCH(AU$4,'Allocation %'!$A:$A,0)-1,MATCH($D76,'Allocation %'!$5:$5,0)-1)*($F16-$G16)*'2020 Assumptions'!$B$20,0))</f>
        <v>0</v>
      </c>
      <c r="AV76" s="73">
        <f ca="1">IF(AV$5="Doyon Notional Allocation",0,IF($C76&lt;&gt;AV$3,OFFSET('Allocation %'!$A$1,MATCH(AV$4,'Allocation %'!$A:$A,0)-1,MATCH($D76,'Allocation %'!$5:$5,0)-1)*($F16-$G16)*'2020 Assumptions'!$B$20,0))</f>
        <v>0</v>
      </c>
      <c r="AW76" s="73">
        <f ca="1">IF(AW$5="Doyon Notional Allocation",0,IF($C76&lt;&gt;AW$3,OFFSET('Allocation %'!$A$1,MATCH(AW$4,'Allocation %'!$A:$A,0)-1,MATCH($D76,'Allocation %'!$5:$5,0)-1)*($F16-$G16)*'2020 Assumptions'!$B$20,0))</f>
        <v>0</v>
      </c>
      <c r="AX76" s="73">
        <f ca="1">IF(AX$5="Doyon Notional Allocation",0,IF($C76&lt;&gt;AX$3,OFFSET('Allocation %'!$A$1,MATCH(AX$4,'Allocation %'!$A:$A,0)-1,MATCH($D76,'Allocation %'!$5:$5,0)-1)*($F16-$G16)*'2020 Assumptions'!$B$20,0))</f>
        <v>0</v>
      </c>
      <c r="AY76" s="73">
        <f ca="1">IF(AY$5="Doyon Notional Allocation",0,IF($C76&lt;&gt;AY$3,OFFSET('Allocation %'!$A$1,MATCH(AY$4,'Allocation %'!$A:$A,0)-1,MATCH($D76,'Allocation %'!$5:$5,0)-1)*($F16-$G16)*'2020 Assumptions'!$B$20,0))</f>
        <v>0</v>
      </c>
      <c r="AZ76" s="73">
        <f ca="1">IF(AZ$5="Doyon Notional Allocation",0,IF($C76&lt;&gt;AZ$3,OFFSET('Allocation %'!$A$1,MATCH(AZ$4,'Allocation %'!$A:$A,0)-1,MATCH($D76,'Allocation %'!$5:$5,0)-1)*($F16-$G16)*'2020 Assumptions'!$B$20,0))</f>
        <v>1149.1205271969579</v>
      </c>
      <c r="BA76" s="73">
        <f ca="1">IF(BA$5="Doyon Notional Allocation",0,IF($C76&lt;&gt;BA$3,OFFSET('Allocation %'!$A$1,MATCH(BA$4,'Allocation %'!$A:$A,0)-1,MATCH($D76,'Allocation %'!$5:$5,0)-1)*($F16-$G16)*'2020 Assumptions'!$B$20,0))</f>
        <v>227.45899974122594</v>
      </c>
      <c r="BB76" s="73">
        <f ca="1">IF(BB$5="Doyon Notional Allocation",0,IF($C76&lt;&gt;BB$3,OFFSET('Allocation %'!$A$1,MATCH(BB$4,'Allocation %'!$A:$A,0)-1,MATCH($D76,'Allocation %'!$5:$5,0)-1)*($F16-$G16)*'2020 Assumptions'!$B$20,0))</f>
        <v>148.28828134126081</v>
      </c>
      <c r="BC76" s="73">
        <f ca="1">IF(BC$5="Doyon Notional Allocation",0,IF($C76&lt;&gt;BC$3,OFFSET('Allocation %'!$A$1,MATCH(BC$4,'Allocation %'!$A:$A,0)-1,MATCH($D76,'Allocation %'!$5:$5,0)-1)*($F16-$G16)*'2020 Assumptions'!$B$20,0))</f>
        <v>4.5981033428290345</v>
      </c>
      <c r="BD76" s="73">
        <f ca="1">IF(BD$5="Doyon Notional Allocation",0,IF($C76&lt;&gt;BD$3,OFFSET('Allocation %'!$A$1,MATCH(BD$4,'Allocation %'!$A:$A,0)-1,MATCH($D76,'Allocation %'!$5:$5,0)-1)*($F16-$G16)*'2020 Assumptions'!$B$20,0))</f>
        <v>88.496183485449578</v>
      </c>
      <c r="BE76" s="73">
        <f ca="1">IF(BE$5="Doyon Notional Allocation",0,IF($C76&lt;&gt;BE$3,OFFSET('Allocation %'!$A$1,MATCH(BE$4,'Allocation %'!$A:$A,0)-1,MATCH($D76,'Allocation %'!$5:$5,0)-1)*($F16-$G16)*'2020 Assumptions'!$B$20,0))</f>
        <v>0</v>
      </c>
      <c r="BG76" s="76">
        <f t="shared" ca="1" si="9"/>
        <v>1617.9620951077231</v>
      </c>
      <c r="BH76" s="349">
        <f t="shared" ca="1" si="10"/>
        <v>0</v>
      </c>
    </row>
    <row r="77" spans="2:60" s="177" customFormat="1" x14ac:dyDescent="0.25">
      <c r="B77" s="172" t="str">
        <f t="shared" si="7"/>
        <v>1010-000900 - Treasury Mark up</v>
      </c>
      <c r="C77" s="177" t="str">
        <f t="shared" si="8"/>
        <v>CAD</v>
      </c>
      <c r="D77" s="159" t="str">
        <f t="shared" ca="1" si="8"/>
        <v>ALL + Tribus</v>
      </c>
      <c r="E77" s="173">
        <f ca="1">F77*'2020 Assumptions'!$B$4</f>
        <v>3744.300668042375</v>
      </c>
      <c r="F77" s="73">
        <f t="shared" ca="1" si="11"/>
        <v>2785.52348463203</v>
      </c>
      <c r="G77" s="73"/>
      <c r="I77" s="73">
        <f ca="1">IF(I$5="Doyon Notional Allocation",0,IF($C77&lt;&gt;I$3,OFFSET('Allocation %'!$A$1,MATCH(I$4,'Allocation %'!$A:$A,0)-1,MATCH($D77,'Allocation %'!$5:$5,0)-1)*($F17-$G17)*'2020 Assumptions'!$B$20,0))</f>
        <v>74.246371075732768</v>
      </c>
      <c r="J77" s="73">
        <f ca="1">IF(J$5="Doyon Notional Allocation",0,IF($C77&lt;&gt;J$3,OFFSET('Allocation %'!$A$1,MATCH(J$4,'Allocation %'!$A:$A,0)-1,MATCH($D77,'Allocation %'!$5:$5,0)-1)*($F17-$G17)*'2020 Assumptions'!$B$20,0))</f>
        <v>0</v>
      </c>
      <c r="K77" s="73">
        <f ca="1">IF(K$5="Doyon Notional Allocation",0,IF($C77&lt;&gt;K$3,OFFSET('Allocation %'!$A$1,MATCH(K$4,'Allocation %'!$A:$A,0)-1,MATCH($D77,'Allocation %'!$5:$5,0)-1)*($F17-$G17)*'2020 Assumptions'!$B$20,0))</f>
        <v>0</v>
      </c>
      <c r="L77" s="73">
        <f ca="1">IF(L$5="Doyon Notional Allocation",0,IF($C77&lt;&gt;L$3,OFFSET('Allocation %'!$A$1,MATCH(L$4,'Allocation %'!$A:$A,0)-1,MATCH($D77,'Allocation %'!$5:$5,0)-1)*($F17-$G17)*'2020 Assumptions'!$B$20,0))</f>
        <v>0</v>
      </c>
      <c r="M77" s="73">
        <f ca="1">IF(M$5="Doyon Notional Allocation",0,IF($C77&lt;&gt;M$3,OFFSET('Allocation %'!$A$1,MATCH(M$4,'Allocation %'!$A:$A,0)-1,MATCH($D77,'Allocation %'!$5:$5,0)-1)*($F17-$G17)*'2020 Assumptions'!$B$20,0))</f>
        <v>0</v>
      </c>
      <c r="N77" s="73">
        <f ca="1">IF(N$5="Doyon Notional Allocation",0,IF($C77&lt;&gt;N$3,OFFSET('Allocation %'!$A$1,MATCH(N$4,'Allocation %'!$A:$A,0)-1,MATCH($D77,'Allocation %'!$5:$5,0)-1)*($F17-$G17)*'2020 Assumptions'!$B$20,0))</f>
        <v>0</v>
      </c>
      <c r="O77" s="73">
        <f ca="1">IF(O$5="Doyon Notional Allocation",0,IF($C77&lt;&gt;O$3,OFFSET('Allocation %'!$A$1,MATCH(O$4,'Allocation %'!$A:$A,0)-1,MATCH($D77,'Allocation %'!$5:$5,0)-1)*($F17-$G17)*'2020 Assumptions'!$B$20,0))</f>
        <v>0</v>
      </c>
      <c r="P77" s="73">
        <f ca="1">IF(P$5="Doyon Notional Allocation",0,IF($C77&lt;&gt;P$3,OFFSET('Allocation %'!$A$1,MATCH(P$4,'Allocation %'!$A:$A,0)-1,MATCH($D77,'Allocation %'!$5:$5,0)-1)*($F17-$G17)*'2020 Assumptions'!$B$20,0))</f>
        <v>0</v>
      </c>
      <c r="Q77" s="73">
        <f ca="1">IF(Q$5="Doyon Notional Allocation",0,IF($C77&lt;&gt;Q$3,OFFSET('Allocation %'!$A$1,MATCH(Q$4,'Allocation %'!$A:$A,0)-1,MATCH($D77,'Allocation %'!$5:$5,0)-1)*($F17-$G17)*'2020 Assumptions'!$B$20,0))</f>
        <v>0</v>
      </c>
      <c r="R77" s="73">
        <f ca="1">IF(R$5="Doyon Notional Allocation",0,IF($C77&lt;&gt;R$3,OFFSET('Allocation %'!$A$1,MATCH(R$4,'Allocation %'!$A:$A,0)-1,MATCH($D77,'Allocation %'!$5:$5,0)-1)*($F17-$G17)*'2020 Assumptions'!$B$20,0))</f>
        <v>0</v>
      </c>
      <c r="S77" s="73">
        <f ca="1">IF(S$5="Doyon Notional Allocation",0,IF($C77&lt;&gt;S$3,OFFSET('Allocation %'!$A$1,MATCH(S$4,'Allocation %'!$A:$A,0)-1,MATCH($D77,'Allocation %'!$5:$5,0)-1)*($F17-$G17)*'2020 Assumptions'!$B$20,0))</f>
        <v>0</v>
      </c>
      <c r="T77" s="73">
        <f ca="1">IF(T$5="Doyon Notional Allocation",0,IF($C77&lt;&gt;T$3,OFFSET('Allocation %'!$A$1,MATCH(T$4,'Allocation %'!$A:$A,0)-1,MATCH($D77,'Allocation %'!$5:$5,0)-1)*($F17-$G17)*'2020 Assumptions'!$B$20,0))</f>
        <v>0</v>
      </c>
      <c r="U77" s="73">
        <f ca="1">IF(U$5="Doyon Notional Allocation",0,IF($C77&lt;&gt;U$3,OFFSET('Allocation %'!$A$1,MATCH(U$4,'Allocation %'!$A:$A,0)-1,MATCH($D77,'Allocation %'!$5:$5,0)-1)*($F17-$G17)*'2020 Assumptions'!$B$20,0))</f>
        <v>0</v>
      </c>
      <c r="V77" s="73">
        <f ca="1">IF(V$5="Doyon Notional Allocation",0,IF($C77&lt;&gt;V$3,OFFSET('Allocation %'!$A$1,MATCH(V$4,'Allocation %'!$A:$A,0)-1,MATCH($D77,'Allocation %'!$5:$5,0)-1)*($F17-$G17)*'2020 Assumptions'!$B$20,0))</f>
        <v>0</v>
      </c>
      <c r="W77" s="73">
        <f ca="1">IF(W$5="Doyon Notional Allocation",0,IF($C77&lt;&gt;W$3,OFFSET('Allocation %'!$A$1,MATCH(W$4,'Allocation %'!$A:$A,0)-1,MATCH($D77,'Allocation %'!$5:$5,0)-1)*($F17-$G17)*'2020 Assumptions'!$B$20,0))</f>
        <v>0</v>
      </c>
      <c r="X77" s="73">
        <f ca="1">IF(X$5="Doyon Notional Allocation",0,IF($C77&lt;&gt;X$3,OFFSET('Allocation %'!$A$1,MATCH(X$4,'Allocation %'!$A:$A,0)-1,MATCH($D77,'Allocation %'!$5:$5,0)-1)*($F17-$G17)*'2020 Assumptions'!$B$20,0))</f>
        <v>0</v>
      </c>
      <c r="Y77" s="73">
        <f ca="1">IF(Y$5="Doyon Notional Allocation",0,IF($C77&lt;&gt;Y$3,OFFSET('Allocation %'!$A$1,MATCH(Y$4,'Allocation %'!$A:$A,0)-1,MATCH($D77,'Allocation %'!$5:$5,0)-1)*($F17-$G17)*'2020 Assumptions'!$B$20,0))</f>
        <v>0</v>
      </c>
      <c r="Z77" s="73">
        <f ca="1">IF(Z$5="Doyon Notional Allocation",0,IF($C77&lt;&gt;Z$3,OFFSET('Allocation %'!$A$1,MATCH(Z$4,'Allocation %'!$A:$A,0)-1,MATCH($D77,'Allocation %'!$5:$5,0)-1)*($F17-$G17)*'2020 Assumptions'!$B$20,0))</f>
        <v>0</v>
      </c>
      <c r="AA77" s="73">
        <f ca="1">IF(AA$5="Doyon Notional Allocation",0,IF($C77&lt;&gt;AA$3,OFFSET('Allocation %'!$A$1,MATCH(AA$4,'Allocation %'!$A:$A,0)-1,MATCH($D77,'Allocation %'!$5:$5,0)-1)*($F17-$G17)*'2020 Assumptions'!$B$20,0))</f>
        <v>0</v>
      </c>
      <c r="AB77" s="73">
        <f ca="1">IF(AB$5="Doyon Notional Allocation",0,IF($C77&lt;&gt;AB$3,OFFSET('Allocation %'!$A$1,MATCH(AB$4,'Allocation %'!$A:$A,0)-1,MATCH($D77,'Allocation %'!$5:$5,0)-1)*($F17-$G17)*'2020 Assumptions'!$B$20,0))</f>
        <v>0</v>
      </c>
      <c r="AC77" s="73">
        <f ca="1">IF(AC$5="Doyon Notional Allocation",0,IF($C77&lt;&gt;AC$3,OFFSET('Allocation %'!$A$1,MATCH(AC$4,'Allocation %'!$A:$A,0)-1,MATCH($D77,'Allocation %'!$5:$5,0)-1)*($F17-$G17)*'2020 Assumptions'!$B$20,0))</f>
        <v>0</v>
      </c>
      <c r="AD77" s="73">
        <f ca="1">IF(AD$5="Doyon Notional Allocation",0,IF($C77&lt;&gt;AD$3,OFFSET('Allocation %'!$A$1,MATCH(AD$4,'Allocation %'!$A:$A,0)-1,MATCH($D77,'Allocation %'!$5:$5,0)-1)*($F17-$G17)*'2020 Assumptions'!$B$20,0))</f>
        <v>0</v>
      </c>
      <c r="AE77" s="73">
        <f ca="1">IF(AE$5="Doyon Notional Allocation",0,IF($C77&lt;&gt;AE$3,OFFSET('Allocation %'!$A$1,MATCH(AE$4,'Allocation %'!$A:$A,0)-1,MATCH($D77,'Allocation %'!$5:$5,0)-1)*($F17-$G17)*'2020 Assumptions'!$B$20,0))</f>
        <v>0</v>
      </c>
      <c r="AF77" s="73">
        <f ca="1">IF(AF$5="Doyon Notional Allocation",0,IF($C77&lt;&gt;AF$3,OFFSET('Allocation %'!$A$1,MATCH(AF$4,'Allocation %'!$A:$A,0)-1,MATCH($D77,'Allocation %'!$5:$5,0)-1)*($F17-$G17)*'2020 Assumptions'!$B$20,0))</f>
        <v>0</v>
      </c>
      <c r="AG77" s="73">
        <f ca="1">IF(AG$5="Doyon Notional Allocation",0,IF($C77&lt;&gt;AG$3,OFFSET('Allocation %'!$A$1,MATCH(AG$4,'Allocation %'!$A:$A,0)-1,MATCH($D77,'Allocation %'!$5:$5,0)-1)*($F17-$G17)*'2020 Assumptions'!$B$20,0))</f>
        <v>0</v>
      </c>
      <c r="AH77" s="73">
        <f ca="1">IF(AH$5="Doyon Notional Allocation",0,IF($C77&lt;&gt;AH$3,OFFSET('Allocation %'!$A$1,MATCH(AH$4,'Allocation %'!$A:$A,0)-1,MATCH($D77,'Allocation %'!$5:$5,0)-1)*($F17-$G17)*'2020 Assumptions'!$B$20,0))</f>
        <v>0</v>
      </c>
      <c r="AI77" s="73">
        <f ca="1">IF(AI$5="Doyon Notional Allocation",0,IF($C77&lt;&gt;AI$3,OFFSET('Allocation %'!$A$1,MATCH(AI$4,'Allocation %'!$A:$A,0)-1,MATCH($D77,'Allocation %'!$5:$5,0)-1)*($F17-$G17)*'2020 Assumptions'!$B$20,0))</f>
        <v>0</v>
      </c>
      <c r="AJ77" s="73">
        <f ca="1">IF(AJ$5="Doyon Notional Allocation",0,IF($C77&lt;&gt;AJ$3,OFFSET('Allocation %'!$A$1,MATCH(AJ$4,'Allocation %'!$A:$A,0)-1,MATCH($D77,'Allocation %'!$5:$5,0)-1)*($F17-$G17)*'2020 Assumptions'!$B$20,0))</f>
        <v>0</v>
      </c>
      <c r="AK77" s="73">
        <f ca="1">IF(AK$5="Doyon Notional Allocation",0,IF($C77&lt;&gt;AK$3,OFFSET('Allocation %'!$A$1,MATCH(AK$4,'Allocation %'!$A:$A,0)-1,MATCH($D77,'Allocation %'!$5:$5,0)-1)*($F17-$G17)*'2020 Assumptions'!$B$20,0))</f>
        <v>0</v>
      </c>
      <c r="AL77" s="73">
        <f ca="1">IF(AL$5="Doyon Notional Allocation",0,IF($C77&lt;&gt;AL$3,OFFSET('Allocation %'!$A$1,MATCH(AL$4,'Allocation %'!$A:$A,0)-1,MATCH($D77,'Allocation %'!$5:$5,0)-1)*($F17-$G17)*'2020 Assumptions'!$B$20,0))</f>
        <v>0</v>
      </c>
      <c r="AM77" s="73">
        <f ca="1">IF(AM$5="Doyon Notional Allocation",0,IF($C77&lt;&gt;AM$3,OFFSET('Allocation %'!$A$1,MATCH(AM$4,'Allocation %'!$A:$A,0)-1,MATCH($D77,'Allocation %'!$5:$5,0)-1)*($F17-$G17)*'2020 Assumptions'!$B$20,0))</f>
        <v>0</v>
      </c>
      <c r="AN77" s="73">
        <f ca="1">IF(AN$5="Doyon Notional Allocation",0,IF($C77&lt;&gt;AN$3,OFFSET('Allocation %'!$A$1,MATCH(AN$4,'Allocation %'!$A:$A,0)-1,MATCH($D77,'Allocation %'!$5:$5,0)-1)*($F17-$G17)*'2020 Assumptions'!$B$20,0))</f>
        <v>0</v>
      </c>
      <c r="AO77" s="73">
        <f ca="1">IF(AO$5="Doyon Notional Allocation",0,IF($C77&lt;&gt;AO$3,OFFSET('Allocation %'!$A$1,MATCH(AO$4,'Allocation %'!$A:$A,0)-1,MATCH($D77,'Allocation %'!$5:$5,0)-1)*($F17-$G17)*'2020 Assumptions'!$B$20,0))</f>
        <v>0</v>
      </c>
      <c r="AP77" s="73">
        <f ca="1">IF(AP$5="Doyon Notional Allocation",0,IF($C77&lt;&gt;AP$3,OFFSET('Allocation %'!$A$1,MATCH(AP$4,'Allocation %'!$A:$A,0)-1,MATCH($D77,'Allocation %'!$5:$5,0)-1)*($F17-$G17)*'2020 Assumptions'!$B$20,0))</f>
        <v>0</v>
      </c>
      <c r="AQ77" s="73">
        <f ca="1">IF(AQ$5="Doyon Notional Allocation",0,IF($C77&lt;&gt;AQ$3,OFFSET('Allocation %'!$A$1,MATCH(AQ$4,'Allocation %'!$A:$A,0)-1,MATCH($D77,'Allocation %'!$5:$5,0)-1)*($F17-$G17)*'2020 Assumptions'!$B$20,0))</f>
        <v>0</v>
      </c>
      <c r="AR77" s="73">
        <f ca="1">IF(AR$5="Doyon Notional Allocation",0,IF($C77&lt;&gt;AR$3,OFFSET('Allocation %'!$A$1,MATCH(AR$4,'Allocation %'!$A:$A,0)-1,MATCH($D77,'Allocation %'!$5:$5,0)-1)*($F17-$G17)*'2020 Assumptions'!$B$20,0))</f>
        <v>0</v>
      </c>
      <c r="AS77" s="73">
        <f ca="1">IF(AS$5="Doyon Notional Allocation",0,IF($C77&lt;&gt;AS$3,OFFSET('Allocation %'!$A$1,MATCH(AS$4,'Allocation %'!$A:$A,0)-1,MATCH($D77,'Allocation %'!$5:$5,0)-1)*($F17-$G17)*'2020 Assumptions'!$B$20,0))</f>
        <v>0</v>
      </c>
      <c r="AT77" s="73">
        <f ca="1">IF(AT$5="Doyon Notional Allocation",0,IF($C77&lt;&gt;AT$3,OFFSET('Allocation %'!$A$1,MATCH(AT$4,'Allocation %'!$A:$A,0)-1,MATCH($D77,'Allocation %'!$5:$5,0)-1)*($F17-$G17)*'2020 Assumptions'!$B$20,0))</f>
        <v>0</v>
      </c>
      <c r="AU77" s="73">
        <f ca="1">IF(AU$5="Doyon Notional Allocation",0,IF($C77&lt;&gt;AU$3,OFFSET('Allocation %'!$A$1,MATCH(AU$4,'Allocation %'!$A:$A,0)-1,MATCH($D77,'Allocation %'!$5:$5,0)-1)*($F17-$G17)*'2020 Assumptions'!$B$20,0))</f>
        <v>0</v>
      </c>
      <c r="AV77" s="73">
        <f ca="1">IF(AV$5="Doyon Notional Allocation",0,IF($C77&lt;&gt;AV$3,OFFSET('Allocation %'!$A$1,MATCH(AV$4,'Allocation %'!$A:$A,0)-1,MATCH($D77,'Allocation %'!$5:$5,0)-1)*($F17-$G17)*'2020 Assumptions'!$B$20,0))</f>
        <v>0</v>
      </c>
      <c r="AW77" s="73">
        <f ca="1">IF(AW$5="Doyon Notional Allocation",0,IF($C77&lt;&gt;AW$3,OFFSET('Allocation %'!$A$1,MATCH(AW$4,'Allocation %'!$A:$A,0)-1,MATCH($D77,'Allocation %'!$5:$5,0)-1)*($F17-$G17)*'2020 Assumptions'!$B$20,0))</f>
        <v>0</v>
      </c>
      <c r="AX77" s="73">
        <f ca="1">IF(AX$5="Doyon Notional Allocation",0,IF($C77&lt;&gt;AX$3,OFFSET('Allocation %'!$A$1,MATCH(AX$4,'Allocation %'!$A:$A,0)-1,MATCH($D77,'Allocation %'!$5:$5,0)-1)*($F17-$G17)*'2020 Assumptions'!$B$20,0))</f>
        <v>0</v>
      </c>
      <c r="AY77" s="73">
        <f ca="1">IF(AY$5="Doyon Notional Allocation",0,IF($C77&lt;&gt;AY$3,OFFSET('Allocation %'!$A$1,MATCH(AY$4,'Allocation %'!$A:$A,0)-1,MATCH($D77,'Allocation %'!$5:$5,0)-1)*($F17-$G17)*'2020 Assumptions'!$B$20,0))</f>
        <v>0</v>
      </c>
      <c r="AZ77" s="73">
        <f ca="1">IF(AZ$5="Doyon Notional Allocation",0,IF($C77&lt;&gt;AZ$3,OFFSET('Allocation %'!$A$1,MATCH(AZ$4,'Allocation %'!$A:$A,0)-1,MATCH($D77,'Allocation %'!$5:$5,0)-1)*($F17-$G17)*'2020 Assumptions'!$B$20,0))</f>
        <v>1925.6224824595931</v>
      </c>
      <c r="BA77" s="73">
        <f ca="1">IF(BA$5="Doyon Notional Allocation",0,IF($C77&lt;&gt;BA$3,OFFSET('Allocation %'!$A$1,MATCH(BA$4,'Allocation %'!$A:$A,0)-1,MATCH($D77,'Allocation %'!$5:$5,0)-1)*($F17-$G17)*'2020 Assumptions'!$B$20,0))</f>
        <v>381.16120404522439</v>
      </c>
      <c r="BB77" s="73">
        <f ca="1">IF(BB$5="Doyon Notional Allocation",0,IF($C77&lt;&gt;BB$3,OFFSET('Allocation %'!$A$1,MATCH(BB$4,'Allocation %'!$A:$A,0)-1,MATCH($D77,'Allocation %'!$5:$5,0)-1)*($F17-$G17)*'2020 Assumptions'!$B$20,0))</f>
        <v>248.49199163864796</v>
      </c>
      <c r="BC77" s="73">
        <f ca="1">IF(BC$5="Doyon Notional Allocation",0,IF($C77&lt;&gt;BC$3,OFFSET('Allocation %'!$A$1,MATCH(BC$4,'Allocation %'!$A:$A,0)-1,MATCH($D77,'Allocation %'!$5:$5,0)-1)*($F17-$G17)*'2020 Assumptions'!$B$20,0))</f>
        <v>7.7052066898693541</v>
      </c>
      <c r="BD77" s="73">
        <f ca="1">IF(BD$5="Doyon Notional Allocation",0,IF($C77&lt;&gt;BD$3,OFFSET('Allocation %'!$A$1,MATCH(BD$4,'Allocation %'!$A:$A,0)-1,MATCH($D77,'Allocation %'!$5:$5,0)-1)*($F17-$G17)*'2020 Assumptions'!$B$20,0))</f>
        <v>148.29622872296227</v>
      </c>
      <c r="BE77" s="73">
        <f ca="1">IF(BE$5="Doyon Notional Allocation",0,IF($C77&lt;&gt;BE$3,OFFSET('Allocation %'!$A$1,MATCH(BE$4,'Allocation %'!$A:$A,0)-1,MATCH($D77,'Allocation %'!$5:$5,0)-1)*($F17-$G17)*'2020 Assumptions'!$B$20,0))</f>
        <v>0</v>
      </c>
      <c r="BG77" s="76">
        <f t="shared" ca="1" si="9"/>
        <v>2785.52348463203</v>
      </c>
      <c r="BH77" s="349">
        <f t="shared" ca="1" si="10"/>
        <v>0</v>
      </c>
    </row>
    <row r="78" spans="2:60" s="177" customFormat="1" x14ac:dyDescent="0.25">
      <c r="B78" s="172" t="str">
        <f t="shared" si="7"/>
        <v>1010-001000 - HSE Mark up</v>
      </c>
      <c r="C78" s="177" t="str">
        <f t="shared" si="8"/>
        <v>CAD</v>
      </c>
      <c r="D78" s="159" t="str">
        <f t="shared" ca="1" si="8"/>
        <v>ALL</v>
      </c>
      <c r="E78" s="173">
        <f ca="1">F78*'2020 Assumptions'!$B$4</f>
        <v>868.31375949837241</v>
      </c>
      <c r="F78" s="73">
        <f t="shared" ca="1" si="11"/>
        <v>645.9706587549266</v>
      </c>
      <c r="G78" s="73"/>
      <c r="I78" s="73">
        <f ca="1">IF(I$5="Doyon Notional Allocation",0,IF($C78&lt;&gt;I$3,OFFSET('Allocation %'!$A$1,MATCH(I$4,'Allocation %'!$A:$A,0)-1,MATCH($D78,'Allocation %'!$5:$5,0)-1)*($F18-$G18)*'2020 Assumptions'!$B$20,0))</f>
        <v>0</v>
      </c>
      <c r="J78" s="73">
        <f ca="1">IF(J$5="Doyon Notional Allocation",0,IF($C78&lt;&gt;J$3,OFFSET('Allocation %'!$A$1,MATCH(J$4,'Allocation %'!$A:$A,0)-1,MATCH($D78,'Allocation %'!$5:$5,0)-1)*($F18-$G18)*'2020 Assumptions'!$B$20,0))</f>
        <v>0</v>
      </c>
      <c r="K78" s="73">
        <f ca="1">IF(K$5="Doyon Notional Allocation",0,IF($C78&lt;&gt;K$3,OFFSET('Allocation %'!$A$1,MATCH(K$4,'Allocation %'!$A:$A,0)-1,MATCH($D78,'Allocation %'!$5:$5,0)-1)*($F18-$G18)*'2020 Assumptions'!$B$20,0))</f>
        <v>0</v>
      </c>
      <c r="L78" s="73">
        <f ca="1">IF(L$5="Doyon Notional Allocation",0,IF($C78&lt;&gt;L$3,OFFSET('Allocation %'!$A$1,MATCH(L$4,'Allocation %'!$A:$A,0)-1,MATCH($D78,'Allocation %'!$5:$5,0)-1)*($F18-$G18)*'2020 Assumptions'!$B$20,0))</f>
        <v>0</v>
      </c>
      <c r="M78" s="73">
        <f ca="1">IF(M$5="Doyon Notional Allocation",0,IF($C78&lt;&gt;M$3,OFFSET('Allocation %'!$A$1,MATCH(M$4,'Allocation %'!$A:$A,0)-1,MATCH($D78,'Allocation %'!$5:$5,0)-1)*($F18-$G18)*'2020 Assumptions'!$B$20,0))</f>
        <v>0</v>
      </c>
      <c r="N78" s="73">
        <f ca="1">IF(N$5="Doyon Notional Allocation",0,IF($C78&lt;&gt;N$3,OFFSET('Allocation %'!$A$1,MATCH(N$4,'Allocation %'!$A:$A,0)-1,MATCH($D78,'Allocation %'!$5:$5,0)-1)*($F18-$G18)*'2020 Assumptions'!$B$20,0))</f>
        <v>0</v>
      </c>
      <c r="O78" s="73">
        <f ca="1">IF(O$5="Doyon Notional Allocation",0,IF($C78&lt;&gt;O$3,OFFSET('Allocation %'!$A$1,MATCH(O$4,'Allocation %'!$A:$A,0)-1,MATCH($D78,'Allocation %'!$5:$5,0)-1)*($F18-$G18)*'2020 Assumptions'!$B$20,0))</f>
        <v>0</v>
      </c>
      <c r="P78" s="73">
        <f ca="1">IF(P$5="Doyon Notional Allocation",0,IF($C78&lt;&gt;P$3,OFFSET('Allocation %'!$A$1,MATCH(P$4,'Allocation %'!$A:$A,0)-1,MATCH($D78,'Allocation %'!$5:$5,0)-1)*($F18-$G18)*'2020 Assumptions'!$B$20,0))</f>
        <v>0</v>
      </c>
      <c r="Q78" s="73">
        <f ca="1">IF(Q$5="Doyon Notional Allocation",0,IF($C78&lt;&gt;Q$3,OFFSET('Allocation %'!$A$1,MATCH(Q$4,'Allocation %'!$A:$A,0)-1,MATCH($D78,'Allocation %'!$5:$5,0)-1)*($F18-$G18)*'2020 Assumptions'!$B$20,0))</f>
        <v>0</v>
      </c>
      <c r="R78" s="73">
        <f ca="1">IF(R$5="Doyon Notional Allocation",0,IF($C78&lt;&gt;R$3,OFFSET('Allocation %'!$A$1,MATCH(R$4,'Allocation %'!$A:$A,0)-1,MATCH($D78,'Allocation %'!$5:$5,0)-1)*($F18-$G18)*'2020 Assumptions'!$B$20,0))</f>
        <v>0</v>
      </c>
      <c r="S78" s="73">
        <f ca="1">IF(S$5="Doyon Notional Allocation",0,IF($C78&lt;&gt;S$3,OFFSET('Allocation %'!$A$1,MATCH(S$4,'Allocation %'!$A:$A,0)-1,MATCH($D78,'Allocation %'!$5:$5,0)-1)*($F18-$G18)*'2020 Assumptions'!$B$20,0))</f>
        <v>0</v>
      </c>
      <c r="T78" s="73">
        <f ca="1">IF(T$5="Doyon Notional Allocation",0,IF($C78&lt;&gt;T$3,OFFSET('Allocation %'!$A$1,MATCH(T$4,'Allocation %'!$A:$A,0)-1,MATCH($D78,'Allocation %'!$5:$5,0)-1)*($F18-$G18)*'2020 Assumptions'!$B$20,0))</f>
        <v>0</v>
      </c>
      <c r="U78" s="73">
        <f ca="1">IF(U$5="Doyon Notional Allocation",0,IF($C78&lt;&gt;U$3,OFFSET('Allocation %'!$A$1,MATCH(U$4,'Allocation %'!$A:$A,0)-1,MATCH($D78,'Allocation %'!$5:$5,0)-1)*($F18-$G18)*'2020 Assumptions'!$B$20,0))</f>
        <v>0</v>
      </c>
      <c r="V78" s="73">
        <f ca="1">IF(V$5="Doyon Notional Allocation",0,IF($C78&lt;&gt;V$3,OFFSET('Allocation %'!$A$1,MATCH(V$4,'Allocation %'!$A:$A,0)-1,MATCH($D78,'Allocation %'!$5:$5,0)-1)*($F18-$G18)*'2020 Assumptions'!$B$20,0))</f>
        <v>0</v>
      </c>
      <c r="W78" s="73">
        <f ca="1">IF(W$5="Doyon Notional Allocation",0,IF($C78&lt;&gt;W$3,OFFSET('Allocation %'!$A$1,MATCH(W$4,'Allocation %'!$A:$A,0)-1,MATCH($D78,'Allocation %'!$5:$5,0)-1)*($F18-$G18)*'2020 Assumptions'!$B$20,0))</f>
        <v>0</v>
      </c>
      <c r="X78" s="73">
        <f ca="1">IF(X$5="Doyon Notional Allocation",0,IF($C78&lt;&gt;X$3,OFFSET('Allocation %'!$A$1,MATCH(X$4,'Allocation %'!$A:$A,0)-1,MATCH($D78,'Allocation %'!$5:$5,0)-1)*($F18-$G18)*'2020 Assumptions'!$B$20,0))</f>
        <v>0</v>
      </c>
      <c r="Y78" s="73">
        <f ca="1">IF(Y$5="Doyon Notional Allocation",0,IF($C78&lt;&gt;Y$3,OFFSET('Allocation %'!$A$1,MATCH(Y$4,'Allocation %'!$A:$A,0)-1,MATCH($D78,'Allocation %'!$5:$5,0)-1)*($F18-$G18)*'2020 Assumptions'!$B$20,0))</f>
        <v>0</v>
      </c>
      <c r="Z78" s="73">
        <f ca="1">IF(Z$5="Doyon Notional Allocation",0,IF($C78&lt;&gt;Z$3,OFFSET('Allocation %'!$A$1,MATCH(Z$4,'Allocation %'!$A:$A,0)-1,MATCH($D78,'Allocation %'!$5:$5,0)-1)*($F18-$G18)*'2020 Assumptions'!$B$20,0))</f>
        <v>0</v>
      </c>
      <c r="AA78" s="73">
        <f ca="1">IF(AA$5="Doyon Notional Allocation",0,IF($C78&lt;&gt;AA$3,OFFSET('Allocation %'!$A$1,MATCH(AA$4,'Allocation %'!$A:$A,0)-1,MATCH($D78,'Allocation %'!$5:$5,0)-1)*($F18-$G18)*'2020 Assumptions'!$B$20,0))</f>
        <v>0</v>
      </c>
      <c r="AB78" s="73">
        <f ca="1">IF(AB$5="Doyon Notional Allocation",0,IF($C78&lt;&gt;AB$3,OFFSET('Allocation %'!$A$1,MATCH(AB$4,'Allocation %'!$A:$A,0)-1,MATCH($D78,'Allocation %'!$5:$5,0)-1)*($F18-$G18)*'2020 Assumptions'!$B$20,0))</f>
        <v>0</v>
      </c>
      <c r="AC78" s="73">
        <f ca="1">IF(AC$5="Doyon Notional Allocation",0,IF($C78&lt;&gt;AC$3,OFFSET('Allocation %'!$A$1,MATCH(AC$4,'Allocation %'!$A:$A,0)-1,MATCH($D78,'Allocation %'!$5:$5,0)-1)*($F18-$G18)*'2020 Assumptions'!$B$20,0))</f>
        <v>0</v>
      </c>
      <c r="AD78" s="73">
        <f ca="1">IF(AD$5="Doyon Notional Allocation",0,IF($C78&lt;&gt;AD$3,OFFSET('Allocation %'!$A$1,MATCH(AD$4,'Allocation %'!$A:$A,0)-1,MATCH($D78,'Allocation %'!$5:$5,0)-1)*($F18-$G18)*'2020 Assumptions'!$B$20,0))</f>
        <v>0</v>
      </c>
      <c r="AE78" s="73">
        <f ca="1">IF(AE$5="Doyon Notional Allocation",0,IF($C78&lt;&gt;AE$3,OFFSET('Allocation %'!$A$1,MATCH(AE$4,'Allocation %'!$A:$A,0)-1,MATCH($D78,'Allocation %'!$5:$5,0)-1)*($F18-$G18)*'2020 Assumptions'!$B$20,0))</f>
        <v>0</v>
      </c>
      <c r="AF78" s="73">
        <f ca="1">IF(AF$5="Doyon Notional Allocation",0,IF($C78&lt;&gt;AF$3,OFFSET('Allocation %'!$A$1,MATCH(AF$4,'Allocation %'!$A:$A,0)-1,MATCH($D78,'Allocation %'!$5:$5,0)-1)*($F18-$G18)*'2020 Assumptions'!$B$20,0))</f>
        <v>0</v>
      </c>
      <c r="AG78" s="73">
        <f ca="1">IF(AG$5="Doyon Notional Allocation",0,IF($C78&lt;&gt;AG$3,OFFSET('Allocation %'!$A$1,MATCH(AG$4,'Allocation %'!$A:$A,0)-1,MATCH($D78,'Allocation %'!$5:$5,0)-1)*($F18-$G18)*'2020 Assumptions'!$B$20,0))</f>
        <v>0</v>
      </c>
      <c r="AH78" s="73">
        <f ca="1">IF(AH$5="Doyon Notional Allocation",0,IF($C78&lt;&gt;AH$3,OFFSET('Allocation %'!$A$1,MATCH(AH$4,'Allocation %'!$A:$A,0)-1,MATCH($D78,'Allocation %'!$5:$5,0)-1)*($F18-$G18)*'2020 Assumptions'!$B$20,0))</f>
        <v>0</v>
      </c>
      <c r="AI78" s="73">
        <f ca="1">IF(AI$5="Doyon Notional Allocation",0,IF($C78&lt;&gt;AI$3,OFFSET('Allocation %'!$A$1,MATCH(AI$4,'Allocation %'!$A:$A,0)-1,MATCH($D78,'Allocation %'!$5:$5,0)-1)*($F18-$G18)*'2020 Assumptions'!$B$20,0))</f>
        <v>0</v>
      </c>
      <c r="AJ78" s="73">
        <f ca="1">IF(AJ$5="Doyon Notional Allocation",0,IF($C78&lt;&gt;AJ$3,OFFSET('Allocation %'!$A$1,MATCH(AJ$4,'Allocation %'!$A:$A,0)-1,MATCH($D78,'Allocation %'!$5:$5,0)-1)*($F18-$G18)*'2020 Assumptions'!$B$20,0))</f>
        <v>0</v>
      </c>
      <c r="AK78" s="73">
        <f ca="1">IF(AK$5="Doyon Notional Allocation",0,IF($C78&lt;&gt;AK$3,OFFSET('Allocation %'!$A$1,MATCH(AK$4,'Allocation %'!$A:$A,0)-1,MATCH($D78,'Allocation %'!$5:$5,0)-1)*($F18-$G18)*'2020 Assumptions'!$B$20,0))</f>
        <v>0</v>
      </c>
      <c r="AL78" s="73">
        <f ca="1">IF(AL$5="Doyon Notional Allocation",0,IF($C78&lt;&gt;AL$3,OFFSET('Allocation %'!$A$1,MATCH(AL$4,'Allocation %'!$A:$A,0)-1,MATCH($D78,'Allocation %'!$5:$5,0)-1)*($F18-$G18)*'2020 Assumptions'!$B$20,0))</f>
        <v>0</v>
      </c>
      <c r="AM78" s="73">
        <f ca="1">IF(AM$5="Doyon Notional Allocation",0,IF($C78&lt;&gt;AM$3,OFFSET('Allocation %'!$A$1,MATCH(AM$4,'Allocation %'!$A:$A,0)-1,MATCH($D78,'Allocation %'!$5:$5,0)-1)*($F18-$G18)*'2020 Assumptions'!$B$20,0))</f>
        <v>0</v>
      </c>
      <c r="AN78" s="73">
        <f ca="1">IF(AN$5="Doyon Notional Allocation",0,IF($C78&lt;&gt;AN$3,OFFSET('Allocation %'!$A$1,MATCH(AN$4,'Allocation %'!$A:$A,0)-1,MATCH($D78,'Allocation %'!$5:$5,0)-1)*($F18-$G18)*'2020 Assumptions'!$B$20,0))</f>
        <v>0</v>
      </c>
      <c r="AO78" s="73">
        <f ca="1">IF(AO$5="Doyon Notional Allocation",0,IF($C78&lt;&gt;AO$3,OFFSET('Allocation %'!$A$1,MATCH(AO$4,'Allocation %'!$A:$A,0)-1,MATCH($D78,'Allocation %'!$5:$5,0)-1)*($F18-$G18)*'2020 Assumptions'!$B$20,0))</f>
        <v>0</v>
      </c>
      <c r="AP78" s="73">
        <f ca="1">IF(AP$5="Doyon Notional Allocation",0,IF($C78&lt;&gt;AP$3,OFFSET('Allocation %'!$A$1,MATCH(AP$4,'Allocation %'!$A:$A,0)-1,MATCH($D78,'Allocation %'!$5:$5,0)-1)*($F18-$G18)*'2020 Assumptions'!$B$20,0))</f>
        <v>0</v>
      </c>
      <c r="AQ78" s="73">
        <f ca="1">IF(AQ$5="Doyon Notional Allocation",0,IF($C78&lt;&gt;AQ$3,OFFSET('Allocation %'!$A$1,MATCH(AQ$4,'Allocation %'!$A:$A,0)-1,MATCH($D78,'Allocation %'!$5:$5,0)-1)*($F18-$G18)*'2020 Assumptions'!$B$20,0))</f>
        <v>0</v>
      </c>
      <c r="AR78" s="73">
        <f ca="1">IF(AR$5="Doyon Notional Allocation",0,IF($C78&lt;&gt;AR$3,OFFSET('Allocation %'!$A$1,MATCH(AR$4,'Allocation %'!$A:$A,0)-1,MATCH($D78,'Allocation %'!$5:$5,0)-1)*($F18-$G18)*'2020 Assumptions'!$B$20,0))</f>
        <v>0</v>
      </c>
      <c r="AS78" s="73">
        <f ca="1">IF(AS$5="Doyon Notional Allocation",0,IF($C78&lt;&gt;AS$3,OFFSET('Allocation %'!$A$1,MATCH(AS$4,'Allocation %'!$A:$A,0)-1,MATCH($D78,'Allocation %'!$5:$5,0)-1)*($F18-$G18)*'2020 Assumptions'!$B$20,0))</f>
        <v>0</v>
      </c>
      <c r="AT78" s="73">
        <f ca="1">IF(AT$5="Doyon Notional Allocation",0,IF($C78&lt;&gt;AT$3,OFFSET('Allocation %'!$A$1,MATCH(AT$4,'Allocation %'!$A:$A,0)-1,MATCH($D78,'Allocation %'!$5:$5,0)-1)*($F18-$G18)*'2020 Assumptions'!$B$20,0))</f>
        <v>0</v>
      </c>
      <c r="AU78" s="73">
        <f ca="1">IF(AU$5="Doyon Notional Allocation",0,IF($C78&lt;&gt;AU$3,OFFSET('Allocation %'!$A$1,MATCH(AU$4,'Allocation %'!$A:$A,0)-1,MATCH($D78,'Allocation %'!$5:$5,0)-1)*($F18-$G18)*'2020 Assumptions'!$B$20,0))</f>
        <v>0</v>
      </c>
      <c r="AV78" s="73">
        <f ca="1">IF(AV$5="Doyon Notional Allocation",0,IF($C78&lt;&gt;AV$3,OFFSET('Allocation %'!$A$1,MATCH(AV$4,'Allocation %'!$A:$A,0)-1,MATCH($D78,'Allocation %'!$5:$5,0)-1)*($F18-$G18)*'2020 Assumptions'!$B$20,0))</f>
        <v>0</v>
      </c>
      <c r="AW78" s="73">
        <f ca="1">IF(AW$5="Doyon Notional Allocation",0,IF($C78&lt;&gt;AW$3,OFFSET('Allocation %'!$A$1,MATCH(AW$4,'Allocation %'!$A:$A,0)-1,MATCH($D78,'Allocation %'!$5:$5,0)-1)*($F18-$G18)*'2020 Assumptions'!$B$20,0))</f>
        <v>0</v>
      </c>
      <c r="AX78" s="73">
        <f ca="1">IF(AX$5="Doyon Notional Allocation",0,IF($C78&lt;&gt;AX$3,OFFSET('Allocation %'!$A$1,MATCH(AX$4,'Allocation %'!$A:$A,0)-1,MATCH($D78,'Allocation %'!$5:$5,0)-1)*($F18-$G18)*'2020 Assumptions'!$B$20,0))</f>
        <v>0</v>
      </c>
      <c r="AY78" s="73">
        <f ca="1">IF(AY$5="Doyon Notional Allocation",0,IF($C78&lt;&gt;AY$3,OFFSET('Allocation %'!$A$1,MATCH(AY$4,'Allocation %'!$A:$A,0)-1,MATCH($D78,'Allocation %'!$5:$5,0)-1)*($F18-$G18)*'2020 Assumptions'!$B$20,0))</f>
        <v>0</v>
      </c>
      <c r="AZ78" s="73">
        <f ca="1">IF(AZ$5="Doyon Notional Allocation",0,IF($C78&lt;&gt;AZ$3,OFFSET('Allocation %'!$A$1,MATCH(AZ$4,'Allocation %'!$A:$A,0)-1,MATCH($D78,'Allocation %'!$5:$5,0)-1)*($F18-$G18)*'2020 Assumptions'!$B$20,0))</f>
        <v>458.78586784371203</v>
      </c>
      <c r="BA78" s="73">
        <f ca="1">IF(BA$5="Doyon Notional Allocation",0,IF($C78&lt;&gt;BA$3,OFFSET('Allocation %'!$A$1,MATCH(BA$4,'Allocation %'!$A:$A,0)-1,MATCH($D78,'Allocation %'!$5:$5,0)-1)*($F18-$G18)*'2020 Assumptions'!$B$20,0))</f>
        <v>90.812906153276543</v>
      </c>
      <c r="BB78" s="73">
        <f ca="1">IF(BB$5="Doyon Notional Allocation",0,IF($C78&lt;&gt;BB$3,OFFSET('Allocation %'!$A$1,MATCH(BB$4,'Allocation %'!$A:$A,0)-1,MATCH($D78,'Allocation %'!$5:$5,0)-1)*($F18-$G18)*'2020 Assumptions'!$B$20,0))</f>
        <v>59.204031462351701</v>
      </c>
      <c r="BC78" s="73">
        <f ca="1">IF(BC$5="Doyon Notional Allocation",0,IF($C78&lt;&gt;BC$3,OFFSET('Allocation %'!$A$1,MATCH(BC$4,'Allocation %'!$A:$A,0)-1,MATCH($D78,'Allocation %'!$5:$5,0)-1)*($F18-$G18)*'2020 Assumptions'!$B$20,0))</f>
        <v>1.8357907483566502</v>
      </c>
      <c r="BD78" s="73">
        <f ca="1">IF(BD$5="Doyon Notional Allocation",0,IF($C78&lt;&gt;BD$3,OFFSET('Allocation %'!$A$1,MATCH(BD$4,'Allocation %'!$A:$A,0)-1,MATCH($D78,'Allocation %'!$5:$5,0)-1)*($F18-$G18)*'2020 Assumptions'!$B$20,0))</f>
        <v>35.33206254722959</v>
      </c>
      <c r="BE78" s="73">
        <f ca="1">IF(BE$5="Doyon Notional Allocation",0,IF($C78&lt;&gt;BE$3,OFFSET('Allocation %'!$A$1,MATCH(BE$4,'Allocation %'!$A:$A,0)-1,MATCH($D78,'Allocation %'!$5:$5,0)-1)*($F18-$G18)*'2020 Assumptions'!$B$20,0))</f>
        <v>0</v>
      </c>
      <c r="BG78" s="76">
        <f t="shared" ca="1" si="9"/>
        <v>645.9706587549266</v>
      </c>
      <c r="BH78" s="349">
        <f t="shared" ca="1" si="10"/>
        <v>0</v>
      </c>
    </row>
    <row r="79" spans="2:60" s="177" customFormat="1" x14ac:dyDescent="0.25">
      <c r="B79" s="172" t="str">
        <f t="shared" si="7"/>
        <v>1010-001100 - Internal Audit Mark up</v>
      </c>
      <c r="C79" s="177" t="str">
        <f t="shared" si="8"/>
        <v>CAD</v>
      </c>
      <c r="D79" s="159" t="str">
        <f t="shared" ca="1" si="8"/>
        <v>ALL + Tribus</v>
      </c>
      <c r="E79" s="173">
        <f ca="1">F79*'2020 Assumptions'!$B$4</f>
        <v>1885.0269471875501</v>
      </c>
      <c r="F79" s="73">
        <f t="shared" ca="1" si="11"/>
        <v>1402.341130179698</v>
      </c>
      <c r="G79" s="73"/>
      <c r="I79" s="73">
        <f ca="1">IF(I$5="Doyon Notional Allocation",0,IF($C79&lt;&gt;I$3,OFFSET('Allocation %'!$A$1,MATCH(I$4,'Allocation %'!$A:$A,0)-1,MATCH($D79,'Allocation %'!$5:$5,0)-1)*($F19-$G19)*'2020 Assumptions'!$B$20,0))</f>
        <v>37.37851807766701</v>
      </c>
      <c r="J79" s="73">
        <f ca="1">IF(J$5="Doyon Notional Allocation",0,IF($C79&lt;&gt;J$3,OFFSET('Allocation %'!$A$1,MATCH(J$4,'Allocation %'!$A:$A,0)-1,MATCH($D79,'Allocation %'!$5:$5,0)-1)*($F19-$G19)*'2020 Assumptions'!$B$20,0))</f>
        <v>0</v>
      </c>
      <c r="K79" s="73">
        <f ca="1">IF(K$5="Doyon Notional Allocation",0,IF($C79&lt;&gt;K$3,OFFSET('Allocation %'!$A$1,MATCH(K$4,'Allocation %'!$A:$A,0)-1,MATCH($D79,'Allocation %'!$5:$5,0)-1)*($F19-$G19)*'2020 Assumptions'!$B$20,0))</f>
        <v>0</v>
      </c>
      <c r="L79" s="73">
        <f ca="1">IF(L$5="Doyon Notional Allocation",0,IF($C79&lt;&gt;L$3,OFFSET('Allocation %'!$A$1,MATCH(L$4,'Allocation %'!$A:$A,0)-1,MATCH($D79,'Allocation %'!$5:$5,0)-1)*($F19-$G19)*'2020 Assumptions'!$B$20,0))</f>
        <v>0</v>
      </c>
      <c r="M79" s="73">
        <f ca="1">IF(M$5="Doyon Notional Allocation",0,IF($C79&lt;&gt;M$3,OFFSET('Allocation %'!$A$1,MATCH(M$4,'Allocation %'!$A:$A,0)-1,MATCH($D79,'Allocation %'!$5:$5,0)-1)*($F19-$G19)*'2020 Assumptions'!$B$20,0))</f>
        <v>0</v>
      </c>
      <c r="N79" s="73">
        <f ca="1">IF(N$5="Doyon Notional Allocation",0,IF($C79&lt;&gt;N$3,OFFSET('Allocation %'!$A$1,MATCH(N$4,'Allocation %'!$A:$A,0)-1,MATCH($D79,'Allocation %'!$5:$5,0)-1)*($F19-$G19)*'2020 Assumptions'!$B$20,0))</f>
        <v>0</v>
      </c>
      <c r="O79" s="73">
        <f ca="1">IF(O$5="Doyon Notional Allocation",0,IF($C79&lt;&gt;O$3,OFFSET('Allocation %'!$A$1,MATCH(O$4,'Allocation %'!$A:$A,0)-1,MATCH($D79,'Allocation %'!$5:$5,0)-1)*($F19-$G19)*'2020 Assumptions'!$B$20,0))</f>
        <v>0</v>
      </c>
      <c r="P79" s="73">
        <f ca="1">IF(P$5="Doyon Notional Allocation",0,IF($C79&lt;&gt;P$3,OFFSET('Allocation %'!$A$1,MATCH(P$4,'Allocation %'!$A:$A,0)-1,MATCH($D79,'Allocation %'!$5:$5,0)-1)*($F19-$G19)*'2020 Assumptions'!$B$20,0))</f>
        <v>0</v>
      </c>
      <c r="Q79" s="73">
        <f ca="1">IF(Q$5="Doyon Notional Allocation",0,IF($C79&lt;&gt;Q$3,OFFSET('Allocation %'!$A$1,MATCH(Q$4,'Allocation %'!$A:$A,0)-1,MATCH($D79,'Allocation %'!$5:$5,0)-1)*($F19-$G19)*'2020 Assumptions'!$B$20,0))</f>
        <v>0</v>
      </c>
      <c r="R79" s="73">
        <f ca="1">IF(R$5="Doyon Notional Allocation",0,IF($C79&lt;&gt;R$3,OFFSET('Allocation %'!$A$1,MATCH(R$4,'Allocation %'!$A:$A,0)-1,MATCH($D79,'Allocation %'!$5:$5,0)-1)*($F19-$G19)*'2020 Assumptions'!$B$20,0))</f>
        <v>0</v>
      </c>
      <c r="S79" s="73">
        <f ca="1">IF(S$5="Doyon Notional Allocation",0,IF($C79&lt;&gt;S$3,OFFSET('Allocation %'!$A$1,MATCH(S$4,'Allocation %'!$A:$A,0)-1,MATCH($D79,'Allocation %'!$5:$5,0)-1)*($F19-$G19)*'2020 Assumptions'!$B$20,0))</f>
        <v>0</v>
      </c>
      <c r="T79" s="73">
        <f ca="1">IF(T$5="Doyon Notional Allocation",0,IF($C79&lt;&gt;T$3,OFFSET('Allocation %'!$A$1,MATCH(T$4,'Allocation %'!$A:$A,0)-1,MATCH($D79,'Allocation %'!$5:$5,0)-1)*($F19-$G19)*'2020 Assumptions'!$B$20,0))</f>
        <v>0</v>
      </c>
      <c r="U79" s="73">
        <f ca="1">IF(U$5="Doyon Notional Allocation",0,IF($C79&lt;&gt;U$3,OFFSET('Allocation %'!$A$1,MATCH(U$4,'Allocation %'!$A:$A,0)-1,MATCH($D79,'Allocation %'!$5:$5,0)-1)*($F19-$G19)*'2020 Assumptions'!$B$20,0))</f>
        <v>0</v>
      </c>
      <c r="V79" s="73">
        <f ca="1">IF(V$5="Doyon Notional Allocation",0,IF($C79&lt;&gt;V$3,OFFSET('Allocation %'!$A$1,MATCH(V$4,'Allocation %'!$A:$A,0)-1,MATCH($D79,'Allocation %'!$5:$5,0)-1)*($F19-$G19)*'2020 Assumptions'!$B$20,0))</f>
        <v>0</v>
      </c>
      <c r="W79" s="73">
        <f ca="1">IF(W$5="Doyon Notional Allocation",0,IF($C79&lt;&gt;W$3,OFFSET('Allocation %'!$A$1,MATCH(W$4,'Allocation %'!$A:$A,0)-1,MATCH($D79,'Allocation %'!$5:$5,0)-1)*($F19-$G19)*'2020 Assumptions'!$B$20,0))</f>
        <v>0</v>
      </c>
      <c r="X79" s="73">
        <f ca="1">IF(X$5="Doyon Notional Allocation",0,IF($C79&lt;&gt;X$3,OFFSET('Allocation %'!$A$1,MATCH(X$4,'Allocation %'!$A:$A,0)-1,MATCH($D79,'Allocation %'!$5:$5,0)-1)*($F19-$G19)*'2020 Assumptions'!$B$20,0))</f>
        <v>0</v>
      </c>
      <c r="Y79" s="73">
        <f ca="1">IF(Y$5="Doyon Notional Allocation",0,IF($C79&lt;&gt;Y$3,OFFSET('Allocation %'!$A$1,MATCH(Y$4,'Allocation %'!$A:$A,0)-1,MATCH($D79,'Allocation %'!$5:$5,0)-1)*($F19-$G19)*'2020 Assumptions'!$B$20,0))</f>
        <v>0</v>
      </c>
      <c r="Z79" s="73">
        <f ca="1">IF(Z$5="Doyon Notional Allocation",0,IF($C79&lt;&gt;Z$3,OFFSET('Allocation %'!$A$1,MATCH(Z$4,'Allocation %'!$A:$A,0)-1,MATCH($D79,'Allocation %'!$5:$5,0)-1)*($F19-$G19)*'2020 Assumptions'!$B$20,0))</f>
        <v>0</v>
      </c>
      <c r="AA79" s="73">
        <f ca="1">IF(AA$5="Doyon Notional Allocation",0,IF($C79&lt;&gt;AA$3,OFFSET('Allocation %'!$A$1,MATCH(AA$4,'Allocation %'!$A:$A,0)-1,MATCH($D79,'Allocation %'!$5:$5,0)-1)*($F19-$G19)*'2020 Assumptions'!$B$20,0))</f>
        <v>0</v>
      </c>
      <c r="AB79" s="73">
        <f ca="1">IF(AB$5="Doyon Notional Allocation",0,IF($C79&lt;&gt;AB$3,OFFSET('Allocation %'!$A$1,MATCH(AB$4,'Allocation %'!$A:$A,0)-1,MATCH($D79,'Allocation %'!$5:$5,0)-1)*($F19-$G19)*'2020 Assumptions'!$B$20,0))</f>
        <v>0</v>
      </c>
      <c r="AC79" s="73">
        <f ca="1">IF(AC$5="Doyon Notional Allocation",0,IF($C79&lt;&gt;AC$3,OFFSET('Allocation %'!$A$1,MATCH(AC$4,'Allocation %'!$A:$A,0)-1,MATCH($D79,'Allocation %'!$5:$5,0)-1)*($F19-$G19)*'2020 Assumptions'!$B$20,0))</f>
        <v>0</v>
      </c>
      <c r="AD79" s="73">
        <f ca="1">IF(AD$5="Doyon Notional Allocation",0,IF($C79&lt;&gt;AD$3,OFFSET('Allocation %'!$A$1,MATCH(AD$4,'Allocation %'!$A:$A,0)-1,MATCH($D79,'Allocation %'!$5:$5,0)-1)*($F19-$G19)*'2020 Assumptions'!$B$20,0))</f>
        <v>0</v>
      </c>
      <c r="AE79" s="73">
        <f ca="1">IF(AE$5="Doyon Notional Allocation",0,IF($C79&lt;&gt;AE$3,OFFSET('Allocation %'!$A$1,MATCH(AE$4,'Allocation %'!$A:$A,0)-1,MATCH($D79,'Allocation %'!$5:$5,0)-1)*($F19-$G19)*'2020 Assumptions'!$B$20,0))</f>
        <v>0</v>
      </c>
      <c r="AF79" s="73">
        <f ca="1">IF(AF$5="Doyon Notional Allocation",0,IF($C79&lt;&gt;AF$3,OFFSET('Allocation %'!$A$1,MATCH(AF$4,'Allocation %'!$A:$A,0)-1,MATCH($D79,'Allocation %'!$5:$5,0)-1)*($F19-$G19)*'2020 Assumptions'!$B$20,0))</f>
        <v>0</v>
      </c>
      <c r="AG79" s="73">
        <f ca="1">IF(AG$5="Doyon Notional Allocation",0,IF($C79&lt;&gt;AG$3,OFFSET('Allocation %'!$A$1,MATCH(AG$4,'Allocation %'!$A:$A,0)-1,MATCH($D79,'Allocation %'!$5:$5,0)-1)*($F19-$G19)*'2020 Assumptions'!$B$20,0))</f>
        <v>0</v>
      </c>
      <c r="AH79" s="73">
        <f ca="1">IF(AH$5="Doyon Notional Allocation",0,IF($C79&lt;&gt;AH$3,OFFSET('Allocation %'!$A$1,MATCH(AH$4,'Allocation %'!$A:$A,0)-1,MATCH($D79,'Allocation %'!$5:$5,0)-1)*($F19-$G19)*'2020 Assumptions'!$B$20,0))</f>
        <v>0</v>
      </c>
      <c r="AI79" s="73">
        <f ca="1">IF(AI$5="Doyon Notional Allocation",0,IF($C79&lt;&gt;AI$3,OFFSET('Allocation %'!$A$1,MATCH(AI$4,'Allocation %'!$A:$A,0)-1,MATCH($D79,'Allocation %'!$5:$5,0)-1)*($F19-$G19)*'2020 Assumptions'!$B$20,0))</f>
        <v>0</v>
      </c>
      <c r="AJ79" s="73">
        <f ca="1">IF(AJ$5="Doyon Notional Allocation",0,IF($C79&lt;&gt;AJ$3,OFFSET('Allocation %'!$A$1,MATCH(AJ$4,'Allocation %'!$A:$A,0)-1,MATCH($D79,'Allocation %'!$5:$5,0)-1)*($F19-$G19)*'2020 Assumptions'!$B$20,0))</f>
        <v>0</v>
      </c>
      <c r="AK79" s="73">
        <f ca="1">IF(AK$5="Doyon Notional Allocation",0,IF($C79&lt;&gt;AK$3,OFFSET('Allocation %'!$A$1,MATCH(AK$4,'Allocation %'!$A:$A,0)-1,MATCH($D79,'Allocation %'!$5:$5,0)-1)*($F19-$G19)*'2020 Assumptions'!$B$20,0))</f>
        <v>0</v>
      </c>
      <c r="AL79" s="73">
        <f ca="1">IF(AL$5="Doyon Notional Allocation",0,IF($C79&lt;&gt;AL$3,OFFSET('Allocation %'!$A$1,MATCH(AL$4,'Allocation %'!$A:$A,0)-1,MATCH($D79,'Allocation %'!$5:$5,0)-1)*($F19-$G19)*'2020 Assumptions'!$B$20,0))</f>
        <v>0</v>
      </c>
      <c r="AM79" s="73">
        <f ca="1">IF(AM$5="Doyon Notional Allocation",0,IF($C79&lt;&gt;AM$3,OFFSET('Allocation %'!$A$1,MATCH(AM$4,'Allocation %'!$A:$A,0)-1,MATCH($D79,'Allocation %'!$5:$5,0)-1)*($F19-$G19)*'2020 Assumptions'!$B$20,0))</f>
        <v>0</v>
      </c>
      <c r="AN79" s="73">
        <f ca="1">IF(AN$5="Doyon Notional Allocation",0,IF($C79&lt;&gt;AN$3,OFFSET('Allocation %'!$A$1,MATCH(AN$4,'Allocation %'!$A:$A,0)-1,MATCH($D79,'Allocation %'!$5:$5,0)-1)*($F19-$G19)*'2020 Assumptions'!$B$20,0))</f>
        <v>0</v>
      </c>
      <c r="AO79" s="73">
        <f ca="1">IF(AO$5="Doyon Notional Allocation",0,IF($C79&lt;&gt;AO$3,OFFSET('Allocation %'!$A$1,MATCH(AO$4,'Allocation %'!$A:$A,0)-1,MATCH($D79,'Allocation %'!$5:$5,0)-1)*($F19-$G19)*'2020 Assumptions'!$B$20,0))</f>
        <v>0</v>
      </c>
      <c r="AP79" s="73">
        <f ca="1">IF(AP$5="Doyon Notional Allocation",0,IF($C79&lt;&gt;AP$3,OFFSET('Allocation %'!$A$1,MATCH(AP$4,'Allocation %'!$A:$A,0)-1,MATCH($D79,'Allocation %'!$5:$5,0)-1)*($F19-$G19)*'2020 Assumptions'!$B$20,0))</f>
        <v>0</v>
      </c>
      <c r="AQ79" s="73">
        <f ca="1">IF(AQ$5="Doyon Notional Allocation",0,IF($C79&lt;&gt;AQ$3,OFFSET('Allocation %'!$A$1,MATCH(AQ$4,'Allocation %'!$A:$A,0)-1,MATCH($D79,'Allocation %'!$5:$5,0)-1)*($F19-$G19)*'2020 Assumptions'!$B$20,0))</f>
        <v>0</v>
      </c>
      <c r="AR79" s="73">
        <f ca="1">IF(AR$5="Doyon Notional Allocation",0,IF($C79&lt;&gt;AR$3,OFFSET('Allocation %'!$A$1,MATCH(AR$4,'Allocation %'!$A:$A,0)-1,MATCH($D79,'Allocation %'!$5:$5,0)-1)*($F19-$G19)*'2020 Assumptions'!$B$20,0))</f>
        <v>0</v>
      </c>
      <c r="AS79" s="73">
        <f ca="1">IF(AS$5="Doyon Notional Allocation",0,IF($C79&lt;&gt;AS$3,OFFSET('Allocation %'!$A$1,MATCH(AS$4,'Allocation %'!$A:$A,0)-1,MATCH($D79,'Allocation %'!$5:$5,0)-1)*($F19-$G19)*'2020 Assumptions'!$B$20,0))</f>
        <v>0</v>
      </c>
      <c r="AT79" s="73">
        <f ca="1">IF(AT$5="Doyon Notional Allocation",0,IF($C79&lt;&gt;AT$3,OFFSET('Allocation %'!$A$1,MATCH(AT$4,'Allocation %'!$A:$A,0)-1,MATCH($D79,'Allocation %'!$5:$5,0)-1)*($F19-$G19)*'2020 Assumptions'!$B$20,0))</f>
        <v>0</v>
      </c>
      <c r="AU79" s="73">
        <f ca="1">IF(AU$5="Doyon Notional Allocation",0,IF($C79&lt;&gt;AU$3,OFFSET('Allocation %'!$A$1,MATCH(AU$4,'Allocation %'!$A:$A,0)-1,MATCH($D79,'Allocation %'!$5:$5,0)-1)*($F19-$G19)*'2020 Assumptions'!$B$20,0))</f>
        <v>0</v>
      </c>
      <c r="AV79" s="73">
        <f ca="1">IF(AV$5="Doyon Notional Allocation",0,IF($C79&lt;&gt;AV$3,OFFSET('Allocation %'!$A$1,MATCH(AV$4,'Allocation %'!$A:$A,0)-1,MATCH($D79,'Allocation %'!$5:$5,0)-1)*($F19-$G19)*'2020 Assumptions'!$B$20,0))</f>
        <v>0</v>
      </c>
      <c r="AW79" s="73">
        <f ca="1">IF(AW$5="Doyon Notional Allocation",0,IF($C79&lt;&gt;AW$3,OFFSET('Allocation %'!$A$1,MATCH(AW$4,'Allocation %'!$A:$A,0)-1,MATCH($D79,'Allocation %'!$5:$5,0)-1)*($F19-$G19)*'2020 Assumptions'!$B$20,0))</f>
        <v>0</v>
      </c>
      <c r="AX79" s="73">
        <f ca="1">IF(AX$5="Doyon Notional Allocation",0,IF($C79&lt;&gt;AX$3,OFFSET('Allocation %'!$A$1,MATCH(AX$4,'Allocation %'!$A:$A,0)-1,MATCH($D79,'Allocation %'!$5:$5,0)-1)*($F19-$G19)*'2020 Assumptions'!$B$20,0))</f>
        <v>0</v>
      </c>
      <c r="AY79" s="73">
        <f ca="1">IF(AY$5="Doyon Notional Allocation",0,IF($C79&lt;&gt;AY$3,OFFSET('Allocation %'!$A$1,MATCH(AY$4,'Allocation %'!$A:$A,0)-1,MATCH($D79,'Allocation %'!$5:$5,0)-1)*($F19-$G19)*'2020 Assumptions'!$B$20,0))</f>
        <v>0</v>
      </c>
      <c r="AZ79" s="73">
        <f ca="1">IF(AZ$5="Doyon Notional Allocation",0,IF($C79&lt;&gt;AZ$3,OFFSET('Allocation %'!$A$1,MATCH(AZ$4,'Allocation %'!$A:$A,0)-1,MATCH($D79,'Allocation %'!$5:$5,0)-1)*($F19-$G19)*'2020 Assumptions'!$B$20,0))</f>
        <v>969.43343800547575</v>
      </c>
      <c r="BA79" s="73">
        <f ca="1">IF(BA$5="Doyon Notional Allocation",0,IF($C79&lt;&gt;BA$3,OFFSET('Allocation %'!$A$1,MATCH(BA$4,'Allocation %'!$A:$A,0)-1,MATCH($D79,'Allocation %'!$5:$5,0)-1)*($F19-$G19)*'2020 Assumptions'!$B$20,0))</f>
        <v>191.891411654009</v>
      </c>
      <c r="BB79" s="73">
        <f ca="1">IF(BB$5="Doyon Notional Allocation",0,IF($C79&lt;&gt;BB$3,OFFSET('Allocation %'!$A$1,MATCH(BB$4,'Allocation %'!$A:$A,0)-1,MATCH($D79,'Allocation %'!$5:$5,0)-1)*($F19-$G19)*'2020 Assumptions'!$B$20,0))</f>
        <v>125.10055733426312</v>
      </c>
      <c r="BC79" s="73">
        <f ca="1">IF(BC$5="Doyon Notional Allocation",0,IF($C79&lt;&gt;BC$3,OFFSET('Allocation %'!$A$1,MATCH(BC$4,'Allocation %'!$A:$A,0)-1,MATCH($D79,'Allocation %'!$5:$5,0)-1)*($F19-$G19)*'2020 Assumptions'!$B$20,0))</f>
        <v>3.8791014749484169</v>
      </c>
      <c r="BD79" s="73">
        <f ca="1">IF(BD$5="Doyon Notional Allocation",0,IF($C79&lt;&gt;BD$3,OFFSET('Allocation %'!$A$1,MATCH(BD$4,'Allocation %'!$A:$A,0)-1,MATCH($D79,'Allocation %'!$5:$5,0)-1)*($F19-$G19)*'2020 Assumptions'!$B$20,0))</f>
        <v>74.65810363333479</v>
      </c>
      <c r="BE79" s="73">
        <f ca="1">IF(BE$5="Doyon Notional Allocation",0,IF($C79&lt;&gt;BE$3,OFFSET('Allocation %'!$A$1,MATCH(BE$4,'Allocation %'!$A:$A,0)-1,MATCH($D79,'Allocation %'!$5:$5,0)-1)*($F19-$G19)*'2020 Assumptions'!$B$20,0))</f>
        <v>0</v>
      </c>
      <c r="BG79" s="76">
        <f t="shared" ca="1" si="9"/>
        <v>1402.341130179698</v>
      </c>
      <c r="BH79" s="349">
        <f t="shared" ca="1" si="10"/>
        <v>0</v>
      </c>
    </row>
    <row r="80" spans="2:60" s="177" customFormat="1" x14ac:dyDescent="0.25">
      <c r="B80" s="172" t="str">
        <f t="shared" si="7"/>
        <v>1010-001200 - Strategy Mark up</v>
      </c>
      <c r="C80" s="177" t="str">
        <f t="shared" si="8"/>
        <v>CAD</v>
      </c>
      <c r="D80" s="159" t="str">
        <f t="shared" ca="1" si="8"/>
        <v>ALL</v>
      </c>
      <c r="E80" s="173">
        <f ca="1">F80*'2020 Assumptions'!$B$4</f>
        <v>8919.5707262983833</v>
      </c>
      <c r="F80" s="73">
        <f t="shared" ca="1" si="11"/>
        <v>6635.59792166224</v>
      </c>
      <c r="G80" s="73"/>
      <c r="I80" s="73">
        <f ca="1">IF(I$5="Doyon Notional Allocation",0,IF($C80&lt;&gt;I$3,OFFSET('Allocation %'!$A$1,MATCH(I$4,'Allocation %'!$A:$A,0)-1,MATCH($D80,'Allocation %'!$5:$5,0)-1)*($F20-$G20)*'2020 Assumptions'!$B$20,0))</f>
        <v>0</v>
      </c>
      <c r="J80" s="73">
        <f ca="1">IF(J$5="Doyon Notional Allocation",0,IF($C80&lt;&gt;J$3,OFFSET('Allocation %'!$A$1,MATCH(J$4,'Allocation %'!$A:$A,0)-1,MATCH($D80,'Allocation %'!$5:$5,0)-1)*($F20-$G20)*'2020 Assumptions'!$B$20,0))</f>
        <v>0</v>
      </c>
      <c r="K80" s="73">
        <f ca="1">IF(K$5="Doyon Notional Allocation",0,IF($C80&lt;&gt;K$3,OFFSET('Allocation %'!$A$1,MATCH(K$4,'Allocation %'!$A:$A,0)-1,MATCH($D80,'Allocation %'!$5:$5,0)-1)*($F20-$G20)*'2020 Assumptions'!$B$20,0))</f>
        <v>0</v>
      </c>
      <c r="L80" s="73">
        <f ca="1">IF(L$5="Doyon Notional Allocation",0,IF($C80&lt;&gt;L$3,OFFSET('Allocation %'!$A$1,MATCH(L$4,'Allocation %'!$A:$A,0)-1,MATCH($D80,'Allocation %'!$5:$5,0)-1)*($F20-$G20)*'2020 Assumptions'!$B$20,0))</f>
        <v>0</v>
      </c>
      <c r="M80" s="73">
        <f ca="1">IF(M$5="Doyon Notional Allocation",0,IF($C80&lt;&gt;M$3,OFFSET('Allocation %'!$A$1,MATCH(M$4,'Allocation %'!$A:$A,0)-1,MATCH($D80,'Allocation %'!$5:$5,0)-1)*($F20-$G20)*'2020 Assumptions'!$B$20,0))</f>
        <v>0</v>
      </c>
      <c r="N80" s="73">
        <f ca="1">IF(N$5="Doyon Notional Allocation",0,IF($C80&lt;&gt;N$3,OFFSET('Allocation %'!$A$1,MATCH(N$4,'Allocation %'!$A:$A,0)-1,MATCH($D80,'Allocation %'!$5:$5,0)-1)*($F20-$G20)*'2020 Assumptions'!$B$20,0))</f>
        <v>0</v>
      </c>
      <c r="O80" s="73">
        <f ca="1">IF(O$5="Doyon Notional Allocation",0,IF($C80&lt;&gt;O$3,OFFSET('Allocation %'!$A$1,MATCH(O$4,'Allocation %'!$A:$A,0)-1,MATCH($D80,'Allocation %'!$5:$5,0)-1)*($F20-$G20)*'2020 Assumptions'!$B$20,0))</f>
        <v>0</v>
      </c>
      <c r="P80" s="73">
        <f ca="1">IF(P$5="Doyon Notional Allocation",0,IF($C80&lt;&gt;P$3,OFFSET('Allocation %'!$A$1,MATCH(P$4,'Allocation %'!$A:$A,0)-1,MATCH($D80,'Allocation %'!$5:$5,0)-1)*($F20-$G20)*'2020 Assumptions'!$B$20,0))</f>
        <v>0</v>
      </c>
      <c r="Q80" s="73">
        <f ca="1">IF(Q$5="Doyon Notional Allocation",0,IF($C80&lt;&gt;Q$3,OFFSET('Allocation %'!$A$1,MATCH(Q$4,'Allocation %'!$A:$A,0)-1,MATCH($D80,'Allocation %'!$5:$5,0)-1)*($F20-$G20)*'2020 Assumptions'!$B$20,0))</f>
        <v>0</v>
      </c>
      <c r="R80" s="73">
        <f ca="1">IF(R$5="Doyon Notional Allocation",0,IF($C80&lt;&gt;R$3,OFFSET('Allocation %'!$A$1,MATCH(R$4,'Allocation %'!$A:$A,0)-1,MATCH($D80,'Allocation %'!$5:$5,0)-1)*($F20-$G20)*'2020 Assumptions'!$B$20,0))</f>
        <v>0</v>
      </c>
      <c r="S80" s="73">
        <f ca="1">IF(S$5="Doyon Notional Allocation",0,IF($C80&lt;&gt;S$3,OFFSET('Allocation %'!$A$1,MATCH(S$4,'Allocation %'!$A:$A,0)-1,MATCH($D80,'Allocation %'!$5:$5,0)-1)*($F20-$G20)*'2020 Assumptions'!$B$20,0))</f>
        <v>0</v>
      </c>
      <c r="T80" s="73">
        <f ca="1">IF(T$5="Doyon Notional Allocation",0,IF($C80&lt;&gt;T$3,OFFSET('Allocation %'!$A$1,MATCH(T$4,'Allocation %'!$A:$A,0)-1,MATCH($D80,'Allocation %'!$5:$5,0)-1)*($F20-$G20)*'2020 Assumptions'!$B$20,0))</f>
        <v>0</v>
      </c>
      <c r="U80" s="73">
        <f ca="1">IF(U$5="Doyon Notional Allocation",0,IF($C80&lt;&gt;U$3,OFFSET('Allocation %'!$A$1,MATCH(U$4,'Allocation %'!$A:$A,0)-1,MATCH($D80,'Allocation %'!$5:$5,0)-1)*($F20-$G20)*'2020 Assumptions'!$B$20,0))</f>
        <v>0</v>
      </c>
      <c r="V80" s="73">
        <f ca="1">IF(V$5="Doyon Notional Allocation",0,IF($C80&lt;&gt;V$3,OFFSET('Allocation %'!$A$1,MATCH(V$4,'Allocation %'!$A:$A,0)-1,MATCH($D80,'Allocation %'!$5:$5,0)-1)*($F20-$G20)*'2020 Assumptions'!$B$20,0))</f>
        <v>0</v>
      </c>
      <c r="W80" s="73">
        <f ca="1">IF(W$5="Doyon Notional Allocation",0,IF($C80&lt;&gt;W$3,OFFSET('Allocation %'!$A$1,MATCH(W$4,'Allocation %'!$A:$A,0)-1,MATCH($D80,'Allocation %'!$5:$5,0)-1)*($F20-$G20)*'2020 Assumptions'!$B$20,0))</f>
        <v>0</v>
      </c>
      <c r="X80" s="73">
        <f ca="1">IF(X$5="Doyon Notional Allocation",0,IF($C80&lt;&gt;X$3,OFFSET('Allocation %'!$A$1,MATCH(X$4,'Allocation %'!$A:$A,0)-1,MATCH($D80,'Allocation %'!$5:$5,0)-1)*($F20-$G20)*'2020 Assumptions'!$B$20,0))</f>
        <v>0</v>
      </c>
      <c r="Y80" s="73">
        <f ca="1">IF(Y$5="Doyon Notional Allocation",0,IF($C80&lt;&gt;Y$3,OFFSET('Allocation %'!$A$1,MATCH(Y$4,'Allocation %'!$A:$A,0)-1,MATCH($D80,'Allocation %'!$5:$5,0)-1)*($F20-$G20)*'2020 Assumptions'!$B$20,0))</f>
        <v>0</v>
      </c>
      <c r="Z80" s="73">
        <f ca="1">IF(Z$5="Doyon Notional Allocation",0,IF($C80&lt;&gt;Z$3,OFFSET('Allocation %'!$A$1,MATCH(Z$4,'Allocation %'!$A:$A,0)-1,MATCH($D80,'Allocation %'!$5:$5,0)-1)*($F20-$G20)*'2020 Assumptions'!$B$20,0))</f>
        <v>0</v>
      </c>
      <c r="AA80" s="73">
        <f ca="1">IF(AA$5="Doyon Notional Allocation",0,IF($C80&lt;&gt;AA$3,OFFSET('Allocation %'!$A$1,MATCH(AA$4,'Allocation %'!$A:$A,0)-1,MATCH($D80,'Allocation %'!$5:$5,0)-1)*($F20-$G20)*'2020 Assumptions'!$B$20,0))</f>
        <v>0</v>
      </c>
      <c r="AB80" s="73">
        <f ca="1">IF(AB$5="Doyon Notional Allocation",0,IF($C80&lt;&gt;AB$3,OFFSET('Allocation %'!$A$1,MATCH(AB$4,'Allocation %'!$A:$A,0)-1,MATCH($D80,'Allocation %'!$5:$5,0)-1)*($F20-$G20)*'2020 Assumptions'!$B$20,0))</f>
        <v>0</v>
      </c>
      <c r="AC80" s="73">
        <f ca="1">IF(AC$5="Doyon Notional Allocation",0,IF($C80&lt;&gt;AC$3,OFFSET('Allocation %'!$A$1,MATCH(AC$4,'Allocation %'!$A:$A,0)-1,MATCH($D80,'Allocation %'!$5:$5,0)-1)*($F20-$G20)*'2020 Assumptions'!$B$20,0))</f>
        <v>0</v>
      </c>
      <c r="AD80" s="73">
        <f ca="1">IF(AD$5="Doyon Notional Allocation",0,IF($C80&lt;&gt;AD$3,OFFSET('Allocation %'!$A$1,MATCH(AD$4,'Allocation %'!$A:$A,0)-1,MATCH($D80,'Allocation %'!$5:$5,0)-1)*($F20-$G20)*'2020 Assumptions'!$B$20,0))</f>
        <v>0</v>
      </c>
      <c r="AE80" s="73">
        <f ca="1">IF(AE$5="Doyon Notional Allocation",0,IF($C80&lt;&gt;AE$3,OFFSET('Allocation %'!$A$1,MATCH(AE$4,'Allocation %'!$A:$A,0)-1,MATCH($D80,'Allocation %'!$5:$5,0)-1)*($F20-$G20)*'2020 Assumptions'!$B$20,0))</f>
        <v>0</v>
      </c>
      <c r="AF80" s="73">
        <f ca="1">IF(AF$5="Doyon Notional Allocation",0,IF($C80&lt;&gt;AF$3,OFFSET('Allocation %'!$A$1,MATCH(AF$4,'Allocation %'!$A:$A,0)-1,MATCH($D80,'Allocation %'!$5:$5,0)-1)*($F20-$G20)*'2020 Assumptions'!$B$20,0))</f>
        <v>0</v>
      </c>
      <c r="AG80" s="73">
        <f ca="1">IF(AG$5="Doyon Notional Allocation",0,IF($C80&lt;&gt;AG$3,OFFSET('Allocation %'!$A$1,MATCH(AG$4,'Allocation %'!$A:$A,0)-1,MATCH($D80,'Allocation %'!$5:$5,0)-1)*($F20-$G20)*'2020 Assumptions'!$B$20,0))</f>
        <v>0</v>
      </c>
      <c r="AH80" s="73">
        <f ca="1">IF(AH$5="Doyon Notional Allocation",0,IF($C80&lt;&gt;AH$3,OFFSET('Allocation %'!$A$1,MATCH(AH$4,'Allocation %'!$A:$A,0)-1,MATCH($D80,'Allocation %'!$5:$5,0)-1)*($F20-$G20)*'2020 Assumptions'!$B$20,0))</f>
        <v>0</v>
      </c>
      <c r="AI80" s="73">
        <f ca="1">IF(AI$5="Doyon Notional Allocation",0,IF($C80&lt;&gt;AI$3,OFFSET('Allocation %'!$A$1,MATCH(AI$4,'Allocation %'!$A:$A,0)-1,MATCH($D80,'Allocation %'!$5:$5,0)-1)*($F20-$G20)*'2020 Assumptions'!$B$20,0))</f>
        <v>0</v>
      </c>
      <c r="AJ80" s="73">
        <f ca="1">IF(AJ$5="Doyon Notional Allocation",0,IF($C80&lt;&gt;AJ$3,OFFSET('Allocation %'!$A$1,MATCH(AJ$4,'Allocation %'!$A:$A,0)-1,MATCH($D80,'Allocation %'!$5:$5,0)-1)*($F20-$G20)*'2020 Assumptions'!$B$20,0))</f>
        <v>0</v>
      </c>
      <c r="AK80" s="73">
        <f ca="1">IF(AK$5="Doyon Notional Allocation",0,IF($C80&lt;&gt;AK$3,OFFSET('Allocation %'!$A$1,MATCH(AK$4,'Allocation %'!$A:$A,0)-1,MATCH($D80,'Allocation %'!$5:$5,0)-1)*($F20-$G20)*'2020 Assumptions'!$B$20,0))</f>
        <v>0</v>
      </c>
      <c r="AL80" s="73">
        <f ca="1">IF(AL$5="Doyon Notional Allocation",0,IF($C80&lt;&gt;AL$3,OFFSET('Allocation %'!$A$1,MATCH(AL$4,'Allocation %'!$A:$A,0)-1,MATCH($D80,'Allocation %'!$5:$5,0)-1)*($F20-$G20)*'2020 Assumptions'!$B$20,0))</f>
        <v>0</v>
      </c>
      <c r="AM80" s="73">
        <f ca="1">IF(AM$5="Doyon Notional Allocation",0,IF($C80&lt;&gt;AM$3,OFFSET('Allocation %'!$A$1,MATCH(AM$4,'Allocation %'!$A:$A,0)-1,MATCH($D80,'Allocation %'!$5:$5,0)-1)*($F20-$G20)*'2020 Assumptions'!$B$20,0))</f>
        <v>0</v>
      </c>
      <c r="AN80" s="73">
        <f ca="1">IF(AN$5="Doyon Notional Allocation",0,IF($C80&lt;&gt;AN$3,OFFSET('Allocation %'!$A$1,MATCH(AN$4,'Allocation %'!$A:$A,0)-1,MATCH($D80,'Allocation %'!$5:$5,0)-1)*($F20-$G20)*'2020 Assumptions'!$B$20,0))</f>
        <v>0</v>
      </c>
      <c r="AO80" s="73">
        <f ca="1">IF(AO$5="Doyon Notional Allocation",0,IF($C80&lt;&gt;AO$3,OFFSET('Allocation %'!$A$1,MATCH(AO$4,'Allocation %'!$A:$A,0)-1,MATCH($D80,'Allocation %'!$5:$5,0)-1)*($F20-$G20)*'2020 Assumptions'!$B$20,0))</f>
        <v>0</v>
      </c>
      <c r="AP80" s="73">
        <f ca="1">IF(AP$5="Doyon Notional Allocation",0,IF($C80&lt;&gt;AP$3,OFFSET('Allocation %'!$A$1,MATCH(AP$4,'Allocation %'!$A:$A,0)-1,MATCH($D80,'Allocation %'!$5:$5,0)-1)*($F20-$G20)*'2020 Assumptions'!$B$20,0))</f>
        <v>0</v>
      </c>
      <c r="AQ80" s="73">
        <f ca="1">IF(AQ$5="Doyon Notional Allocation",0,IF($C80&lt;&gt;AQ$3,OFFSET('Allocation %'!$A$1,MATCH(AQ$4,'Allocation %'!$A:$A,0)-1,MATCH($D80,'Allocation %'!$5:$5,0)-1)*($F20-$G20)*'2020 Assumptions'!$B$20,0))</f>
        <v>0</v>
      </c>
      <c r="AR80" s="73">
        <f ca="1">IF(AR$5="Doyon Notional Allocation",0,IF($C80&lt;&gt;AR$3,OFFSET('Allocation %'!$A$1,MATCH(AR$4,'Allocation %'!$A:$A,0)-1,MATCH($D80,'Allocation %'!$5:$5,0)-1)*($F20-$G20)*'2020 Assumptions'!$B$20,0))</f>
        <v>0</v>
      </c>
      <c r="AS80" s="73">
        <f ca="1">IF(AS$5="Doyon Notional Allocation",0,IF($C80&lt;&gt;AS$3,OFFSET('Allocation %'!$A$1,MATCH(AS$4,'Allocation %'!$A:$A,0)-1,MATCH($D80,'Allocation %'!$5:$5,0)-1)*($F20-$G20)*'2020 Assumptions'!$B$20,0))</f>
        <v>0</v>
      </c>
      <c r="AT80" s="73">
        <f ca="1">IF(AT$5="Doyon Notional Allocation",0,IF($C80&lt;&gt;AT$3,OFFSET('Allocation %'!$A$1,MATCH(AT$4,'Allocation %'!$A:$A,0)-1,MATCH($D80,'Allocation %'!$5:$5,0)-1)*($F20-$G20)*'2020 Assumptions'!$B$20,0))</f>
        <v>0</v>
      </c>
      <c r="AU80" s="73">
        <f ca="1">IF(AU$5="Doyon Notional Allocation",0,IF($C80&lt;&gt;AU$3,OFFSET('Allocation %'!$A$1,MATCH(AU$4,'Allocation %'!$A:$A,0)-1,MATCH($D80,'Allocation %'!$5:$5,0)-1)*($F20-$G20)*'2020 Assumptions'!$B$20,0))</f>
        <v>0</v>
      </c>
      <c r="AV80" s="73">
        <f ca="1">IF(AV$5="Doyon Notional Allocation",0,IF($C80&lt;&gt;AV$3,OFFSET('Allocation %'!$A$1,MATCH(AV$4,'Allocation %'!$A:$A,0)-1,MATCH($D80,'Allocation %'!$5:$5,0)-1)*($F20-$G20)*'2020 Assumptions'!$B$20,0))</f>
        <v>0</v>
      </c>
      <c r="AW80" s="73">
        <f ca="1">IF(AW$5="Doyon Notional Allocation",0,IF($C80&lt;&gt;AW$3,OFFSET('Allocation %'!$A$1,MATCH(AW$4,'Allocation %'!$A:$A,0)-1,MATCH($D80,'Allocation %'!$5:$5,0)-1)*($F20-$G20)*'2020 Assumptions'!$B$20,0))</f>
        <v>0</v>
      </c>
      <c r="AX80" s="73">
        <f ca="1">IF(AX$5="Doyon Notional Allocation",0,IF($C80&lt;&gt;AX$3,OFFSET('Allocation %'!$A$1,MATCH(AX$4,'Allocation %'!$A:$A,0)-1,MATCH($D80,'Allocation %'!$5:$5,0)-1)*($F20-$G20)*'2020 Assumptions'!$B$20,0))</f>
        <v>0</v>
      </c>
      <c r="AY80" s="73">
        <f ca="1">IF(AY$5="Doyon Notional Allocation",0,IF($C80&lt;&gt;AY$3,OFFSET('Allocation %'!$A$1,MATCH(AY$4,'Allocation %'!$A:$A,0)-1,MATCH($D80,'Allocation %'!$5:$5,0)-1)*($F20-$G20)*'2020 Assumptions'!$B$20,0))</f>
        <v>0</v>
      </c>
      <c r="AZ80" s="73">
        <f ca="1">IF(AZ$5="Doyon Notional Allocation",0,IF($C80&lt;&gt;AZ$3,OFFSET('Allocation %'!$A$1,MATCH(AZ$4,'Allocation %'!$A:$A,0)-1,MATCH($D80,'Allocation %'!$5:$5,0)-1)*($F20-$G20)*'2020 Assumptions'!$B$20,0))</f>
        <v>4712.7814706313466</v>
      </c>
      <c r="BA80" s="73">
        <f ca="1">IF(BA$5="Doyon Notional Allocation",0,IF($C80&lt;&gt;BA$3,OFFSET('Allocation %'!$A$1,MATCH(BA$4,'Allocation %'!$A:$A,0)-1,MATCH($D80,'Allocation %'!$5:$5,0)-1)*($F20-$G20)*'2020 Assumptions'!$B$20,0))</f>
        <v>932.85650542125961</v>
      </c>
      <c r="BB80" s="73">
        <f ca="1">IF(BB$5="Doyon Notional Allocation",0,IF($C80&lt;&gt;BB$3,OFFSET('Allocation %'!$A$1,MATCH(BB$4,'Allocation %'!$A:$A,0)-1,MATCH($D80,'Allocation %'!$5:$5,0)-1)*($F20-$G20)*'2020 Assumptions'!$B$20,0))</f>
        <v>608.16097883271016</v>
      </c>
      <c r="BC80" s="73">
        <f ca="1">IF(BC$5="Doyon Notional Allocation",0,IF($C80&lt;&gt;BC$3,OFFSET('Allocation %'!$A$1,MATCH(BC$4,'Allocation %'!$A:$A,0)-1,MATCH($D80,'Allocation %'!$5:$5,0)-1)*($F20-$G20)*'2020 Assumptions'!$B$20,0))</f>
        <v>18.857774899376189</v>
      </c>
      <c r="BD80" s="73">
        <f ca="1">IF(BD$5="Doyon Notional Allocation",0,IF($C80&lt;&gt;BD$3,OFFSET('Allocation %'!$A$1,MATCH(BD$4,'Allocation %'!$A:$A,0)-1,MATCH($D80,'Allocation %'!$5:$5,0)-1)*($F20-$G20)*'2020 Assumptions'!$B$20,0))</f>
        <v>362.94119187754649</v>
      </c>
      <c r="BE80" s="73">
        <f ca="1">IF(BE$5="Doyon Notional Allocation",0,IF($C80&lt;&gt;BE$3,OFFSET('Allocation %'!$A$1,MATCH(BE$4,'Allocation %'!$A:$A,0)-1,MATCH($D80,'Allocation %'!$5:$5,0)-1)*($F20-$G20)*'2020 Assumptions'!$B$20,0))</f>
        <v>0</v>
      </c>
      <c r="BG80" s="76">
        <f t="shared" ca="1" si="9"/>
        <v>6635.59792166224</v>
      </c>
      <c r="BH80" s="349">
        <f t="shared" ca="1" si="10"/>
        <v>0</v>
      </c>
    </row>
    <row r="81" spans="2:60" s="177" customFormat="1" x14ac:dyDescent="0.25">
      <c r="B81" s="294" t="str">
        <f t="shared" si="7"/>
        <v>1010-009010 - Account Payable SS Mark up</v>
      </c>
      <c r="C81" s="177" t="str">
        <f t="shared" si="8"/>
        <v>CAD</v>
      </c>
      <c r="D81" s="159" t="str">
        <f t="shared" ca="1" si="8"/>
        <v>Canada Only</v>
      </c>
      <c r="E81" s="303">
        <f ca="1">F81*'2020 Assumptions'!$B$4</f>
        <v>0</v>
      </c>
      <c r="F81" s="73">
        <f t="shared" ca="1" si="11"/>
        <v>0</v>
      </c>
      <c r="G81" s="73"/>
      <c r="I81" s="73">
        <f ca="1">IF(I$5="Doyon Notional Allocation",0,IF($C81&lt;&gt;I$3,OFFSET('Allocation %'!$A$1,MATCH(I$4,'Allocation %'!$A:$A,0)-1,MATCH($D81,'Allocation %'!$5:$5,0)-1)*($F21-$G21)*'2020 Assumptions'!$B$20,0))</f>
        <v>0</v>
      </c>
      <c r="J81" s="73">
        <f ca="1">IF(J$5="Doyon Notional Allocation",0,IF($C81&lt;&gt;J$3,OFFSET('Allocation %'!$A$1,MATCH(J$4,'Allocation %'!$A:$A,0)-1,MATCH($D81,'Allocation %'!$5:$5,0)-1)*($F21-$G21)*'2020 Assumptions'!$B$20,0))</f>
        <v>0</v>
      </c>
      <c r="K81" s="73">
        <f ca="1">IF(K$5="Doyon Notional Allocation",0,IF($C81&lt;&gt;K$3,OFFSET('Allocation %'!$A$1,MATCH(K$4,'Allocation %'!$A:$A,0)-1,MATCH($D81,'Allocation %'!$5:$5,0)-1)*($F21-$G21)*'2020 Assumptions'!$B$20,0))</f>
        <v>0</v>
      </c>
      <c r="L81" s="73">
        <f ca="1">IF(L$5="Doyon Notional Allocation",0,IF($C81&lt;&gt;L$3,OFFSET('Allocation %'!$A$1,MATCH(L$4,'Allocation %'!$A:$A,0)-1,MATCH($D81,'Allocation %'!$5:$5,0)-1)*($F21-$G21)*'2020 Assumptions'!$B$20,0))</f>
        <v>0</v>
      </c>
      <c r="M81" s="73">
        <f ca="1">IF(M$5="Doyon Notional Allocation",0,IF($C81&lt;&gt;M$3,OFFSET('Allocation %'!$A$1,MATCH(M$4,'Allocation %'!$A:$A,0)-1,MATCH($D81,'Allocation %'!$5:$5,0)-1)*($F21-$G21)*'2020 Assumptions'!$B$20,0))</f>
        <v>0</v>
      </c>
      <c r="N81" s="73">
        <f ca="1">IF(N$5="Doyon Notional Allocation",0,IF($C81&lt;&gt;N$3,OFFSET('Allocation %'!$A$1,MATCH(N$4,'Allocation %'!$A:$A,0)-1,MATCH($D81,'Allocation %'!$5:$5,0)-1)*($F21-$G21)*'2020 Assumptions'!$B$20,0))</f>
        <v>0</v>
      </c>
      <c r="O81" s="73">
        <f ca="1">IF(O$5="Doyon Notional Allocation",0,IF($C81&lt;&gt;O$3,OFFSET('Allocation %'!$A$1,MATCH(O$4,'Allocation %'!$A:$A,0)-1,MATCH($D81,'Allocation %'!$5:$5,0)-1)*($F21-$G21)*'2020 Assumptions'!$B$20,0))</f>
        <v>0</v>
      </c>
      <c r="P81" s="73">
        <f ca="1">IF(P$5="Doyon Notional Allocation",0,IF($C81&lt;&gt;P$3,OFFSET('Allocation %'!$A$1,MATCH(P$4,'Allocation %'!$A:$A,0)-1,MATCH($D81,'Allocation %'!$5:$5,0)-1)*($F21-$G21)*'2020 Assumptions'!$B$20,0))</f>
        <v>0</v>
      </c>
      <c r="Q81" s="73">
        <f ca="1">IF(Q$5="Doyon Notional Allocation",0,IF($C81&lt;&gt;Q$3,OFFSET('Allocation %'!$A$1,MATCH(Q$4,'Allocation %'!$A:$A,0)-1,MATCH($D81,'Allocation %'!$5:$5,0)-1)*($F21-$G21)*'2020 Assumptions'!$B$20,0))</f>
        <v>0</v>
      </c>
      <c r="R81" s="73">
        <f ca="1">IF(R$5="Doyon Notional Allocation",0,IF($C81&lt;&gt;R$3,OFFSET('Allocation %'!$A$1,MATCH(R$4,'Allocation %'!$A:$A,0)-1,MATCH($D81,'Allocation %'!$5:$5,0)-1)*($F21-$G21)*'2020 Assumptions'!$B$20,0))</f>
        <v>0</v>
      </c>
      <c r="S81" s="73">
        <f ca="1">IF(S$5="Doyon Notional Allocation",0,IF($C81&lt;&gt;S$3,OFFSET('Allocation %'!$A$1,MATCH(S$4,'Allocation %'!$A:$A,0)-1,MATCH($D81,'Allocation %'!$5:$5,0)-1)*($F21-$G21)*'2020 Assumptions'!$B$20,0))</f>
        <v>0</v>
      </c>
      <c r="T81" s="73">
        <f ca="1">IF(T$5="Doyon Notional Allocation",0,IF($C81&lt;&gt;T$3,OFFSET('Allocation %'!$A$1,MATCH(T$4,'Allocation %'!$A:$A,0)-1,MATCH($D81,'Allocation %'!$5:$5,0)-1)*($F21-$G21)*'2020 Assumptions'!$B$20,0))</f>
        <v>0</v>
      </c>
      <c r="U81" s="73">
        <f ca="1">IF(U$5="Doyon Notional Allocation",0,IF($C81&lt;&gt;U$3,OFFSET('Allocation %'!$A$1,MATCH(U$4,'Allocation %'!$A:$A,0)-1,MATCH($D81,'Allocation %'!$5:$5,0)-1)*($F21-$G21)*'2020 Assumptions'!$B$20,0))</f>
        <v>0</v>
      </c>
      <c r="V81" s="73">
        <f ca="1">IF(V$5="Doyon Notional Allocation",0,IF($C81&lt;&gt;V$3,OFFSET('Allocation %'!$A$1,MATCH(V$4,'Allocation %'!$A:$A,0)-1,MATCH($D81,'Allocation %'!$5:$5,0)-1)*($F21-$G21)*'2020 Assumptions'!$B$20,0))</f>
        <v>0</v>
      </c>
      <c r="W81" s="73">
        <f ca="1">IF(W$5="Doyon Notional Allocation",0,IF($C81&lt;&gt;W$3,OFFSET('Allocation %'!$A$1,MATCH(W$4,'Allocation %'!$A:$A,0)-1,MATCH($D81,'Allocation %'!$5:$5,0)-1)*($F21-$G21)*'2020 Assumptions'!$B$20,0))</f>
        <v>0</v>
      </c>
      <c r="X81" s="73">
        <f ca="1">IF(X$5="Doyon Notional Allocation",0,IF($C81&lt;&gt;X$3,OFFSET('Allocation %'!$A$1,MATCH(X$4,'Allocation %'!$A:$A,0)-1,MATCH($D81,'Allocation %'!$5:$5,0)-1)*($F21-$G21)*'2020 Assumptions'!$B$20,0))</f>
        <v>0</v>
      </c>
      <c r="Y81" s="73">
        <f ca="1">IF(Y$5="Doyon Notional Allocation",0,IF($C81&lt;&gt;Y$3,OFFSET('Allocation %'!$A$1,MATCH(Y$4,'Allocation %'!$A:$A,0)-1,MATCH($D81,'Allocation %'!$5:$5,0)-1)*($F21-$G21)*'2020 Assumptions'!$B$20,0))</f>
        <v>0</v>
      </c>
      <c r="Z81" s="73">
        <f ca="1">IF(Z$5="Doyon Notional Allocation",0,IF($C81&lt;&gt;Z$3,OFFSET('Allocation %'!$A$1,MATCH(Z$4,'Allocation %'!$A:$A,0)-1,MATCH($D81,'Allocation %'!$5:$5,0)-1)*($F21-$G21)*'2020 Assumptions'!$B$20,0))</f>
        <v>0</v>
      </c>
      <c r="AA81" s="73">
        <f ca="1">IF(AA$5="Doyon Notional Allocation",0,IF($C81&lt;&gt;AA$3,OFFSET('Allocation %'!$A$1,MATCH(AA$4,'Allocation %'!$A:$A,0)-1,MATCH($D81,'Allocation %'!$5:$5,0)-1)*($F21-$G21)*'2020 Assumptions'!$B$20,0))</f>
        <v>0</v>
      </c>
      <c r="AB81" s="73">
        <f ca="1">IF(AB$5="Doyon Notional Allocation",0,IF($C81&lt;&gt;AB$3,OFFSET('Allocation %'!$A$1,MATCH(AB$4,'Allocation %'!$A:$A,0)-1,MATCH($D81,'Allocation %'!$5:$5,0)-1)*($F21-$G21)*'2020 Assumptions'!$B$20,0))</f>
        <v>0</v>
      </c>
      <c r="AC81" s="73">
        <f ca="1">IF(AC$5="Doyon Notional Allocation",0,IF($C81&lt;&gt;AC$3,OFFSET('Allocation %'!$A$1,MATCH(AC$4,'Allocation %'!$A:$A,0)-1,MATCH($D81,'Allocation %'!$5:$5,0)-1)*($F21-$G21)*'2020 Assumptions'!$B$20,0))</f>
        <v>0</v>
      </c>
      <c r="AD81" s="73">
        <f ca="1">IF(AD$5="Doyon Notional Allocation",0,IF($C81&lt;&gt;AD$3,OFFSET('Allocation %'!$A$1,MATCH(AD$4,'Allocation %'!$A:$A,0)-1,MATCH($D81,'Allocation %'!$5:$5,0)-1)*($F21-$G21)*'2020 Assumptions'!$B$20,0))</f>
        <v>0</v>
      </c>
      <c r="AE81" s="73">
        <f ca="1">IF(AE$5="Doyon Notional Allocation",0,IF($C81&lt;&gt;AE$3,OFFSET('Allocation %'!$A$1,MATCH(AE$4,'Allocation %'!$A:$A,0)-1,MATCH($D81,'Allocation %'!$5:$5,0)-1)*($F21-$G21)*'2020 Assumptions'!$B$20,0))</f>
        <v>0</v>
      </c>
      <c r="AF81" s="73">
        <f ca="1">IF(AF$5="Doyon Notional Allocation",0,IF($C81&lt;&gt;AF$3,OFFSET('Allocation %'!$A$1,MATCH(AF$4,'Allocation %'!$A:$A,0)-1,MATCH($D81,'Allocation %'!$5:$5,0)-1)*($F21-$G21)*'2020 Assumptions'!$B$20,0))</f>
        <v>0</v>
      </c>
      <c r="AG81" s="73">
        <f ca="1">IF(AG$5="Doyon Notional Allocation",0,IF($C81&lt;&gt;AG$3,OFFSET('Allocation %'!$A$1,MATCH(AG$4,'Allocation %'!$A:$A,0)-1,MATCH($D81,'Allocation %'!$5:$5,0)-1)*($F21-$G21)*'2020 Assumptions'!$B$20,0))</f>
        <v>0</v>
      </c>
      <c r="AH81" s="73">
        <f ca="1">IF(AH$5="Doyon Notional Allocation",0,IF($C81&lt;&gt;AH$3,OFFSET('Allocation %'!$A$1,MATCH(AH$4,'Allocation %'!$A:$A,0)-1,MATCH($D81,'Allocation %'!$5:$5,0)-1)*($F21-$G21)*'2020 Assumptions'!$B$20,0))</f>
        <v>0</v>
      </c>
      <c r="AI81" s="73">
        <f ca="1">IF(AI$5="Doyon Notional Allocation",0,IF($C81&lt;&gt;AI$3,OFFSET('Allocation %'!$A$1,MATCH(AI$4,'Allocation %'!$A:$A,0)-1,MATCH($D81,'Allocation %'!$5:$5,0)-1)*($F21-$G21)*'2020 Assumptions'!$B$20,0))</f>
        <v>0</v>
      </c>
      <c r="AJ81" s="73">
        <f ca="1">IF(AJ$5="Doyon Notional Allocation",0,IF($C81&lt;&gt;AJ$3,OFFSET('Allocation %'!$A$1,MATCH(AJ$4,'Allocation %'!$A:$A,0)-1,MATCH($D81,'Allocation %'!$5:$5,0)-1)*($F21-$G21)*'2020 Assumptions'!$B$20,0))</f>
        <v>0</v>
      </c>
      <c r="AK81" s="73">
        <f ca="1">IF(AK$5="Doyon Notional Allocation",0,IF($C81&lt;&gt;AK$3,OFFSET('Allocation %'!$A$1,MATCH(AK$4,'Allocation %'!$A:$A,0)-1,MATCH($D81,'Allocation %'!$5:$5,0)-1)*($F21-$G21)*'2020 Assumptions'!$B$20,0))</f>
        <v>0</v>
      </c>
      <c r="AL81" s="73">
        <f ca="1">IF(AL$5="Doyon Notional Allocation",0,IF($C81&lt;&gt;AL$3,OFFSET('Allocation %'!$A$1,MATCH(AL$4,'Allocation %'!$A:$A,0)-1,MATCH($D81,'Allocation %'!$5:$5,0)-1)*($F21-$G21)*'2020 Assumptions'!$B$20,0))</f>
        <v>0</v>
      </c>
      <c r="AM81" s="73">
        <f ca="1">IF(AM$5="Doyon Notional Allocation",0,IF($C81&lt;&gt;AM$3,OFFSET('Allocation %'!$A$1,MATCH(AM$4,'Allocation %'!$A:$A,0)-1,MATCH($D81,'Allocation %'!$5:$5,0)-1)*($F21-$G21)*'2020 Assumptions'!$B$20,0))</f>
        <v>0</v>
      </c>
      <c r="AN81" s="73">
        <f ca="1">IF(AN$5="Doyon Notional Allocation",0,IF($C81&lt;&gt;AN$3,OFFSET('Allocation %'!$A$1,MATCH(AN$4,'Allocation %'!$A:$A,0)-1,MATCH($D81,'Allocation %'!$5:$5,0)-1)*($F21-$G21)*'2020 Assumptions'!$B$20,0))</f>
        <v>0</v>
      </c>
      <c r="AO81" s="73">
        <f ca="1">IF(AO$5="Doyon Notional Allocation",0,IF($C81&lt;&gt;AO$3,OFFSET('Allocation %'!$A$1,MATCH(AO$4,'Allocation %'!$A:$A,0)-1,MATCH($D81,'Allocation %'!$5:$5,0)-1)*($F21-$G21)*'2020 Assumptions'!$B$20,0))</f>
        <v>0</v>
      </c>
      <c r="AP81" s="73">
        <f ca="1">IF(AP$5="Doyon Notional Allocation",0,IF($C81&lt;&gt;AP$3,OFFSET('Allocation %'!$A$1,MATCH(AP$4,'Allocation %'!$A:$A,0)-1,MATCH($D81,'Allocation %'!$5:$5,0)-1)*($F21-$G21)*'2020 Assumptions'!$B$20,0))</f>
        <v>0</v>
      </c>
      <c r="AQ81" s="73">
        <f ca="1">IF(AQ$5="Doyon Notional Allocation",0,IF($C81&lt;&gt;AQ$3,OFFSET('Allocation %'!$A$1,MATCH(AQ$4,'Allocation %'!$A:$A,0)-1,MATCH($D81,'Allocation %'!$5:$5,0)-1)*($F21-$G21)*'2020 Assumptions'!$B$20,0))</f>
        <v>0</v>
      </c>
      <c r="AR81" s="73">
        <f ca="1">IF(AR$5="Doyon Notional Allocation",0,IF($C81&lt;&gt;AR$3,OFFSET('Allocation %'!$A$1,MATCH(AR$4,'Allocation %'!$A:$A,0)-1,MATCH($D81,'Allocation %'!$5:$5,0)-1)*($F21-$G21)*'2020 Assumptions'!$B$20,0))</f>
        <v>0</v>
      </c>
      <c r="AS81" s="73">
        <f ca="1">IF(AS$5="Doyon Notional Allocation",0,IF($C81&lt;&gt;AS$3,OFFSET('Allocation %'!$A$1,MATCH(AS$4,'Allocation %'!$A:$A,0)-1,MATCH($D81,'Allocation %'!$5:$5,0)-1)*($F21-$G21)*'2020 Assumptions'!$B$20,0))</f>
        <v>0</v>
      </c>
      <c r="AT81" s="73">
        <f ca="1">IF(AT$5="Doyon Notional Allocation",0,IF($C81&lt;&gt;AT$3,OFFSET('Allocation %'!$A$1,MATCH(AT$4,'Allocation %'!$A:$A,0)-1,MATCH($D81,'Allocation %'!$5:$5,0)-1)*($F21-$G21)*'2020 Assumptions'!$B$20,0))</f>
        <v>0</v>
      </c>
      <c r="AU81" s="73">
        <f ca="1">IF(AU$5="Doyon Notional Allocation",0,IF($C81&lt;&gt;AU$3,OFFSET('Allocation %'!$A$1,MATCH(AU$4,'Allocation %'!$A:$A,0)-1,MATCH($D81,'Allocation %'!$5:$5,0)-1)*($F21-$G21)*'2020 Assumptions'!$B$20,0))</f>
        <v>0</v>
      </c>
      <c r="AV81" s="73">
        <f ca="1">IF(AV$5="Doyon Notional Allocation",0,IF($C81&lt;&gt;AV$3,OFFSET('Allocation %'!$A$1,MATCH(AV$4,'Allocation %'!$A:$A,0)-1,MATCH($D81,'Allocation %'!$5:$5,0)-1)*($F21-$G21)*'2020 Assumptions'!$B$20,0))</f>
        <v>0</v>
      </c>
      <c r="AW81" s="73">
        <f ca="1">IF(AW$5="Doyon Notional Allocation",0,IF($C81&lt;&gt;AW$3,OFFSET('Allocation %'!$A$1,MATCH(AW$4,'Allocation %'!$A:$A,0)-1,MATCH($D81,'Allocation %'!$5:$5,0)-1)*($F21-$G21)*'2020 Assumptions'!$B$20,0))</f>
        <v>0</v>
      </c>
      <c r="AX81" s="73">
        <f ca="1">IF(AX$5="Doyon Notional Allocation",0,IF($C81&lt;&gt;AX$3,OFFSET('Allocation %'!$A$1,MATCH(AX$4,'Allocation %'!$A:$A,0)-1,MATCH($D81,'Allocation %'!$5:$5,0)-1)*($F21-$G21)*'2020 Assumptions'!$B$20,0))</f>
        <v>0</v>
      </c>
      <c r="AY81" s="73">
        <f ca="1">IF(AY$5="Doyon Notional Allocation",0,IF($C81&lt;&gt;AY$3,OFFSET('Allocation %'!$A$1,MATCH(AY$4,'Allocation %'!$A:$A,0)-1,MATCH($D81,'Allocation %'!$5:$5,0)-1)*($F21-$G21)*'2020 Assumptions'!$B$20,0))</f>
        <v>0</v>
      </c>
      <c r="AZ81" s="73">
        <f ca="1">IF(AZ$5="Doyon Notional Allocation",0,IF($C81&lt;&gt;AZ$3,OFFSET('Allocation %'!$A$1,MATCH(AZ$4,'Allocation %'!$A:$A,0)-1,MATCH($D81,'Allocation %'!$5:$5,0)-1)*($F21-$G21)*'2020 Assumptions'!$B$20,0))</f>
        <v>0</v>
      </c>
      <c r="BA81" s="73">
        <f ca="1">IF(BA$5="Doyon Notional Allocation",0,IF($C81&lt;&gt;BA$3,OFFSET('Allocation %'!$A$1,MATCH(BA$4,'Allocation %'!$A:$A,0)-1,MATCH($D81,'Allocation %'!$5:$5,0)-1)*($F21-$G21)*'2020 Assumptions'!$B$20,0))</f>
        <v>0</v>
      </c>
      <c r="BB81" s="73">
        <f ca="1">IF(BB$5="Doyon Notional Allocation",0,IF($C81&lt;&gt;BB$3,OFFSET('Allocation %'!$A$1,MATCH(BB$4,'Allocation %'!$A:$A,0)-1,MATCH($D81,'Allocation %'!$5:$5,0)-1)*($F21-$G21)*'2020 Assumptions'!$B$20,0))</f>
        <v>0</v>
      </c>
      <c r="BC81" s="73">
        <f ca="1">IF(BC$5="Doyon Notional Allocation",0,IF($C81&lt;&gt;BC$3,OFFSET('Allocation %'!$A$1,MATCH(BC$4,'Allocation %'!$A:$A,0)-1,MATCH($D81,'Allocation %'!$5:$5,0)-1)*($F21-$G21)*'2020 Assumptions'!$B$20,0))</f>
        <v>0</v>
      </c>
      <c r="BD81" s="73">
        <f ca="1">IF(BD$5="Doyon Notional Allocation",0,IF($C81&lt;&gt;BD$3,OFFSET('Allocation %'!$A$1,MATCH(BD$4,'Allocation %'!$A:$A,0)-1,MATCH($D81,'Allocation %'!$5:$5,0)-1)*($F21-$G21)*'2020 Assumptions'!$B$20,0))</f>
        <v>0</v>
      </c>
      <c r="BE81" s="73">
        <f ca="1">IF(BE$5="Doyon Notional Allocation",0,IF($C81&lt;&gt;BE$3,OFFSET('Allocation %'!$A$1,MATCH(BE$4,'Allocation %'!$A:$A,0)-1,MATCH($D81,'Allocation %'!$5:$5,0)-1)*($F21-$G21)*'2020 Assumptions'!$B$20,0))</f>
        <v>0</v>
      </c>
      <c r="BG81" s="76">
        <f t="shared" ca="1" si="9"/>
        <v>0</v>
      </c>
      <c r="BH81" s="349">
        <f t="shared" ca="1" si="10"/>
        <v>0</v>
      </c>
    </row>
    <row r="82" spans="2:60" s="177" customFormat="1" x14ac:dyDescent="0.25">
      <c r="B82" s="294" t="str">
        <f t="shared" si="7"/>
        <v>1010-009020 - Communication SS Mark up</v>
      </c>
      <c r="C82" s="177" t="str">
        <f t="shared" si="8"/>
        <v>CAD</v>
      </c>
      <c r="D82" s="159" t="str">
        <f t="shared" ca="1" si="8"/>
        <v>Canada Only</v>
      </c>
      <c r="E82" s="303">
        <f ca="1">F82*'2020 Assumptions'!$B$4</f>
        <v>0</v>
      </c>
      <c r="F82" s="73">
        <f t="shared" ca="1" si="11"/>
        <v>0</v>
      </c>
      <c r="G82" s="73"/>
      <c r="I82" s="73">
        <f ca="1">IF(I$5="Doyon Notional Allocation",0,IF($C82&lt;&gt;I$3,OFFSET('Allocation %'!$A$1,MATCH(I$4,'Allocation %'!$A:$A,0)-1,MATCH($D82,'Allocation %'!$5:$5,0)-1)*($F22-$G22)*'2020 Assumptions'!$B$20,0))</f>
        <v>0</v>
      </c>
      <c r="J82" s="73">
        <f ca="1">IF(J$5="Doyon Notional Allocation",0,IF($C82&lt;&gt;J$3,OFFSET('Allocation %'!$A$1,MATCH(J$4,'Allocation %'!$A:$A,0)-1,MATCH($D82,'Allocation %'!$5:$5,0)-1)*($F22-$G22)*'2020 Assumptions'!$B$20,0))</f>
        <v>0</v>
      </c>
      <c r="K82" s="73">
        <f ca="1">IF(K$5="Doyon Notional Allocation",0,IF($C82&lt;&gt;K$3,OFFSET('Allocation %'!$A$1,MATCH(K$4,'Allocation %'!$A:$A,0)-1,MATCH($D82,'Allocation %'!$5:$5,0)-1)*($F22-$G22)*'2020 Assumptions'!$B$20,0))</f>
        <v>0</v>
      </c>
      <c r="L82" s="73">
        <f ca="1">IF(L$5="Doyon Notional Allocation",0,IF($C82&lt;&gt;L$3,OFFSET('Allocation %'!$A$1,MATCH(L$4,'Allocation %'!$A:$A,0)-1,MATCH($D82,'Allocation %'!$5:$5,0)-1)*($F22-$G22)*'2020 Assumptions'!$B$20,0))</f>
        <v>0</v>
      </c>
      <c r="M82" s="73">
        <f ca="1">IF(M$5="Doyon Notional Allocation",0,IF($C82&lt;&gt;M$3,OFFSET('Allocation %'!$A$1,MATCH(M$4,'Allocation %'!$A:$A,0)-1,MATCH($D82,'Allocation %'!$5:$5,0)-1)*($F22-$G22)*'2020 Assumptions'!$B$20,0))</f>
        <v>0</v>
      </c>
      <c r="N82" s="73">
        <f ca="1">IF(N$5="Doyon Notional Allocation",0,IF($C82&lt;&gt;N$3,OFFSET('Allocation %'!$A$1,MATCH(N$4,'Allocation %'!$A:$A,0)-1,MATCH($D82,'Allocation %'!$5:$5,0)-1)*($F22-$G22)*'2020 Assumptions'!$B$20,0))</f>
        <v>0</v>
      </c>
      <c r="O82" s="73">
        <f ca="1">IF(O$5="Doyon Notional Allocation",0,IF($C82&lt;&gt;O$3,OFFSET('Allocation %'!$A$1,MATCH(O$4,'Allocation %'!$A:$A,0)-1,MATCH($D82,'Allocation %'!$5:$5,0)-1)*($F22-$G22)*'2020 Assumptions'!$B$20,0))</f>
        <v>0</v>
      </c>
      <c r="P82" s="73">
        <f ca="1">IF(P$5="Doyon Notional Allocation",0,IF($C82&lt;&gt;P$3,OFFSET('Allocation %'!$A$1,MATCH(P$4,'Allocation %'!$A:$A,0)-1,MATCH($D82,'Allocation %'!$5:$5,0)-1)*($F22-$G22)*'2020 Assumptions'!$B$20,0))</f>
        <v>0</v>
      </c>
      <c r="Q82" s="73">
        <f ca="1">IF(Q$5="Doyon Notional Allocation",0,IF($C82&lt;&gt;Q$3,OFFSET('Allocation %'!$A$1,MATCH(Q$4,'Allocation %'!$A:$A,0)-1,MATCH($D82,'Allocation %'!$5:$5,0)-1)*($F22-$G22)*'2020 Assumptions'!$B$20,0))</f>
        <v>0</v>
      </c>
      <c r="R82" s="73">
        <f ca="1">IF(R$5="Doyon Notional Allocation",0,IF($C82&lt;&gt;R$3,OFFSET('Allocation %'!$A$1,MATCH(R$4,'Allocation %'!$A:$A,0)-1,MATCH($D82,'Allocation %'!$5:$5,0)-1)*($F22-$G22)*'2020 Assumptions'!$B$20,0))</f>
        <v>0</v>
      </c>
      <c r="S82" s="73">
        <f ca="1">IF(S$5="Doyon Notional Allocation",0,IF($C82&lt;&gt;S$3,OFFSET('Allocation %'!$A$1,MATCH(S$4,'Allocation %'!$A:$A,0)-1,MATCH($D82,'Allocation %'!$5:$5,0)-1)*($F22-$G22)*'2020 Assumptions'!$B$20,0))</f>
        <v>0</v>
      </c>
      <c r="T82" s="73">
        <f ca="1">IF(T$5="Doyon Notional Allocation",0,IF($C82&lt;&gt;T$3,OFFSET('Allocation %'!$A$1,MATCH(T$4,'Allocation %'!$A:$A,0)-1,MATCH($D82,'Allocation %'!$5:$5,0)-1)*($F22-$G22)*'2020 Assumptions'!$B$20,0))</f>
        <v>0</v>
      </c>
      <c r="U82" s="73">
        <f ca="1">IF(U$5="Doyon Notional Allocation",0,IF($C82&lt;&gt;U$3,OFFSET('Allocation %'!$A$1,MATCH(U$4,'Allocation %'!$A:$A,0)-1,MATCH($D82,'Allocation %'!$5:$5,0)-1)*($F22-$G22)*'2020 Assumptions'!$B$20,0))</f>
        <v>0</v>
      </c>
      <c r="V82" s="73">
        <f ca="1">IF(V$5="Doyon Notional Allocation",0,IF($C82&lt;&gt;V$3,OFFSET('Allocation %'!$A$1,MATCH(V$4,'Allocation %'!$A:$A,0)-1,MATCH($D82,'Allocation %'!$5:$5,0)-1)*($F22-$G22)*'2020 Assumptions'!$B$20,0))</f>
        <v>0</v>
      </c>
      <c r="W82" s="73">
        <f ca="1">IF(W$5="Doyon Notional Allocation",0,IF($C82&lt;&gt;W$3,OFFSET('Allocation %'!$A$1,MATCH(W$4,'Allocation %'!$A:$A,0)-1,MATCH($D82,'Allocation %'!$5:$5,0)-1)*($F22-$G22)*'2020 Assumptions'!$B$20,0))</f>
        <v>0</v>
      </c>
      <c r="X82" s="73">
        <f ca="1">IF(X$5="Doyon Notional Allocation",0,IF($C82&lt;&gt;X$3,OFFSET('Allocation %'!$A$1,MATCH(X$4,'Allocation %'!$A:$A,0)-1,MATCH($D82,'Allocation %'!$5:$5,0)-1)*($F22-$G22)*'2020 Assumptions'!$B$20,0))</f>
        <v>0</v>
      </c>
      <c r="Y82" s="73">
        <f ca="1">IF(Y$5="Doyon Notional Allocation",0,IF($C82&lt;&gt;Y$3,OFFSET('Allocation %'!$A$1,MATCH(Y$4,'Allocation %'!$A:$A,0)-1,MATCH($D82,'Allocation %'!$5:$5,0)-1)*($F22-$G22)*'2020 Assumptions'!$B$20,0))</f>
        <v>0</v>
      </c>
      <c r="Z82" s="73">
        <f ca="1">IF(Z$5="Doyon Notional Allocation",0,IF($C82&lt;&gt;Z$3,OFFSET('Allocation %'!$A$1,MATCH(Z$4,'Allocation %'!$A:$A,0)-1,MATCH($D82,'Allocation %'!$5:$5,0)-1)*($F22-$G22)*'2020 Assumptions'!$B$20,0))</f>
        <v>0</v>
      </c>
      <c r="AA82" s="73">
        <f ca="1">IF(AA$5="Doyon Notional Allocation",0,IF($C82&lt;&gt;AA$3,OFFSET('Allocation %'!$A$1,MATCH(AA$4,'Allocation %'!$A:$A,0)-1,MATCH($D82,'Allocation %'!$5:$5,0)-1)*($F22-$G22)*'2020 Assumptions'!$B$20,0))</f>
        <v>0</v>
      </c>
      <c r="AB82" s="73">
        <f ca="1">IF(AB$5="Doyon Notional Allocation",0,IF($C82&lt;&gt;AB$3,OFFSET('Allocation %'!$A$1,MATCH(AB$4,'Allocation %'!$A:$A,0)-1,MATCH($D82,'Allocation %'!$5:$5,0)-1)*($F22-$G22)*'2020 Assumptions'!$B$20,0))</f>
        <v>0</v>
      </c>
      <c r="AC82" s="73">
        <f ca="1">IF(AC$5="Doyon Notional Allocation",0,IF($C82&lt;&gt;AC$3,OFFSET('Allocation %'!$A$1,MATCH(AC$4,'Allocation %'!$A:$A,0)-1,MATCH($D82,'Allocation %'!$5:$5,0)-1)*($F22-$G22)*'2020 Assumptions'!$B$20,0))</f>
        <v>0</v>
      </c>
      <c r="AD82" s="73">
        <f ca="1">IF(AD$5="Doyon Notional Allocation",0,IF($C82&lt;&gt;AD$3,OFFSET('Allocation %'!$A$1,MATCH(AD$4,'Allocation %'!$A:$A,0)-1,MATCH($D82,'Allocation %'!$5:$5,0)-1)*($F22-$G22)*'2020 Assumptions'!$B$20,0))</f>
        <v>0</v>
      </c>
      <c r="AE82" s="73">
        <f ca="1">IF(AE$5="Doyon Notional Allocation",0,IF($C82&lt;&gt;AE$3,OFFSET('Allocation %'!$A$1,MATCH(AE$4,'Allocation %'!$A:$A,0)-1,MATCH($D82,'Allocation %'!$5:$5,0)-1)*($F22-$G22)*'2020 Assumptions'!$B$20,0))</f>
        <v>0</v>
      </c>
      <c r="AF82" s="73">
        <f ca="1">IF(AF$5="Doyon Notional Allocation",0,IF($C82&lt;&gt;AF$3,OFFSET('Allocation %'!$A$1,MATCH(AF$4,'Allocation %'!$A:$A,0)-1,MATCH($D82,'Allocation %'!$5:$5,0)-1)*($F22-$G22)*'2020 Assumptions'!$B$20,0))</f>
        <v>0</v>
      </c>
      <c r="AG82" s="73">
        <f ca="1">IF(AG$5="Doyon Notional Allocation",0,IF($C82&lt;&gt;AG$3,OFFSET('Allocation %'!$A$1,MATCH(AG$4,'Allocation %'!$A:$A,0)-1,MATCH($D82,'Allocation %'!$5:$5,0)-1)*($F22-$G22)*'2020 Assumptions'!$B$20,0))</f>
        <v>0</v>
      </c>
      <c r="AH82" s="73">
        <f ca="1">IF(AH$5="Doyon Notional Allocation",0,IF($C82&lt;&gt;AH$3,OFFSET('Allocation %'!$A$1,MATCH(AH$4,'Allocation %'!$A:$A,0)-1,MATCH($D82,'Allocation %'!$5:$5,0)-1)*($F22-$G22)*'2020 Assumptions'!$B$20,0))</f>
        <v>0</v>
      </c>
      <c r="AI82" s="73">
        <f ca="1">IF(AI$5="Doyon Notional Allocation",0,IF($C82&lt;&gt;AI$3,OFFSET('Allocation %'!$A$1,MATCH(AI$4,'Allocation %'!$A:$A,0)-1,MATCH($D82,'Allocation %'!$5:$5,0)-1)*($F22-$G22)*'2020 Assumptions'!$B$20,0))</f>
        <v>0</v>
      </c>
      <c r="AJ82" s="73">
        <f ca="1">IF(AJ$5="Doyon Notional Allocation",0,IF($C82&lt;&gt;AJ$3,OFFSET('Allocation %'!$A$1,MATCH(AJ$4,'Allocation %'!$A:$A,0)-1,MATCH($D82,'Allocation %'!$5:$5,0)-1)*($F22-$G22)*'2020 Assumptions'!$B$20,0))</f>
        <v>0</v>
      </c>
      <c r="AK82" s="73">
        <f ca="1">IF(AK$5="Doyon Notional Allocation",0,IF($C82&lt;&gt;AK$3,OFFSET('Allocation %'!$A$1,MATCH(AK$4,'Allocation %'!$A:$A,0)-1,MATCH($D82,'Allocation %'!$5:$5,0)-1)*($F22-$G22)*'2020 Assumptions'!$B$20,0))</f>
        <v>0</v>
      </c>
      <c r="AL82" s="73">
        <f ca="1">IF(AL$5="Doyon Notional Allocation",0,IF($C82&lt;&gt;AL$3,OFFSET('Allocation %'!$A$1,MATCH(AL$4,'Allocation %'!$A:$A,0)-1,MATCH($D82,'Allocation %'!$5:$5,0)-1)*($F22-$G22)*'2020 Assumptions'!$B$20,0))</f>
        <v>0</v>
      </c>
      <c r="AM82" s="73">
        <f ca="1">IF(AM$5="Doyon Notional Allocation",0,IF($C82&lt;&gt;AM$3,OFFSET('Allocation %'!$A$1,MATCH(AM$4,'Allocation %'!$A:$A,0)-1,MATCH($D82,'Allocation %'!$5:$5,0)-1)*($F22-$G22)*'2020 Assumptions'!$B$20,0))</f>
        <v>0</v>
      </c>
      <c r="AN82" s="73">
        <f ca="1">IF(AN$5="Doyon Notional Allocation",0,IF($C82&lt;&gt;AN$3,OFFSET('Allocation %'!$A$1,MATCH(AN$4,'Allocation %'!$A:$A,0)-1,MATCH($D82,'Allocation %'!$5:$5,0)-1)*($F22-$G22)*'2020 Assumptions'!$B$20,0))</f>
        <v>0</v>
      </c>
      <c r="AO82" s="73">
        <f ca="1">IF(AO$5="Doyon Notional Allocation",0,IF($C82&lt;&gt;AO$3,OFFSET('Allocation %'!$A$1,MATCH(AO$4,'Allocation %'!$A:$A,0)-1,MATCH($D82,'Allocation %'!$5:$5,0)-1)*($F22-$G22)*'2020 Assumptions'!$B$20,0))</f>
        <v>0</v>
      </c>
      <c r="AP82" s="73">
        <f ca="1">IF(AP$5="Doyon Notional Allocation",0,IF($C82&lt;&gt;AP$3,OFFSET('Allocation %'!$A$1,MATCH(AP$4,'Allocation %'!$A:$A,0)-1,MATCH($D82,'Allocation %'!$5:$5,0)-1)*($F22-$G22)*'2020 Assumptions'!$B$20,0))</f>
        <v>0</v>
      </c>
      <c r="AQ82" s="73">
        <f ca="1">IF(AQ$5="Doyon Notional Allocation",0,IF($C82&lt;&gt;AQ$3,OFFSET('Allocation %'!$A$1,MATCH(AQ$4,'Allocation %'!$A:$A,0)-1,MATCH($D82,'Allocation %'!$5:$5,0)-1)*($F22-$G22)*'2020 Assumptions'!$B$20,0))</f>
        <v>0</v>
      </c>
      <c r="AR82" s="73">
        <f ca="1">IF(AR$5="Doyon Notional Allocation",0,IF($C82&lt;&gt;AR$3,OFFSET('Allocation %'!$A$1,MATCH(AR$4,'Allocation %'!$A:$A,0)-1,MATCH($D82,'Allocation %'!$5:$5,0)-1)*($F22-$G22)*'2020 Assumptions'!$B$20,0))</f>
        <v>0</v>
      </c>
      <c r="AS82" s="73">
        <f ca="1">IF(AS$5="Doyon Notional Allocation",0,IF($C82&lt;&gt;AS$3,OFFSET('Allocation %'!$A$1,MATCH(AS$4,'Allocation %'!$A:$A,0)-1,MATCH($D82,'Allocation %'!$5:$5,0)-1)*($F22-$G22)*'2020 Assumptions'!$B$20,0))</f>
        <v>0</v>
      </c>
      <c r="AT82" s="73">
        <f ca="1">IF(AT$5="Doyon Notional Allocation",0,IF($C82&lt;&gt;AT$3,OFFSET('Allocation %'!$A$1,MATCH(AT$4,'Allocation %'!$A:$A,0)-1,MATCH($D82,'Allocation %'!$5:$5,0)-1)*($F22-$G22)*'2020 Assumptions'!$B$20,0))</f>
        <v>0</v>
      </c>
      <c r="AU82" s="73">
        <f ca="1">IF(AU$5="Doyon Notional Allocation",0,IF($C82&lt;&gt;AU$3,OFFSET('Allocation %'!$A$1,MATCH(AU$4,'Allocation %'!$A:$A,0)-1,MATCH($D82,'Allocation %'!$5:$5,0)-1)*($F22-$G22)*'2020 Assumptions'!$B$20,0))</f>
        <v>0</v>
      </c>
      <c r="AV82" s="73">
        <f ca="1">IF(AV$5="Doyon Notional Allocation",0,IF($C82&lt;&gt;AV$3,OFFSET('Allocation %'!$A$1,MATCH(AV$4,'Allocation %'!$A:$A,0)-1,MATCH($D82,'Allocation %'!$5:$5,0)-1)*($F22-$G22)*'2020 Assumptions'!$B$20,0))</f>
        <v>0</v>
      </c>
      <c r="AW82" s="73">
        <f ca="1">IF(AW$5="Doyon Notional Allocation",0,IF($C82&lt;&gt;AW$3,OFFSET('Allocation %'!$A$1,MATCH(AW$4,'Allocation %'!$A:$A,0)-1,MATCH($D82,'Allocation %'!$5:$5,0)-1)*($F22-$G22)*'2020 Assumptions'!$B$20,0))</f>
        <v>0</v>
      </c>
      <c r="AX82" s="73">
        <f ca="1">IF(AX$5="Doyon Notional Allocation",0,IF($C82&lt;&gt;AX$3,OFFSET('Allocation %'!$A$1,MATCH(AX$4,'Allocation %'!$A:$A,0)-1,MATCH($D82,'Allocation %'!$5:$5,0)-1)*($F22-$G22)*'2020 Assumptions'!$B$20,0))</f>
        <v>0</v>
      </c>
      <c r="AY82" s="73">
        <f ca="1">IF(AY$5="Doyon Notional Allocation",0,IF($C82&lt;&gt;AY$3,OFFSET('Allocation %'!$A$1,MATCH(AY$4,'Allocation %'!$A:$A,0)-1,MATCH($D82,'Allocation %'!$5:$5,0)-1)*($F22-$G22)*'2020 Assumptions'!$B$20,0))</f>
        <v>0</v>
      </c>
      <c r="AZ82" s="73">
        <f ca="1">IF(AZ$5="Doyon Notional Allocation",0,IF($C82&lt;&gt;AZ$3,OFFSET('Allocation %'!$A$1,MATCH(AZ$4,'Allocation %'!$A:$A,0)-1,MATCH($D82,'Allocation %'!$5:$5,0)-1)*($F22-$G22)*'2020 Assumptions'!$B$20,0))</f>
        <v>0</v>
      </c>
      <c r="BA82" s="73">
        <f ca="1">IF(BA$5="Doyon Notional Allocation",0,IF($C82&lt;&gt;BA$3,OFFSET('Allocation %'!$A$1,MATCH(BA$4,'Allocation %'!$A:$A,0)-1,MATCH($D82,'Allocation %'!$5:$5,0)-1)*($F22-$G22)*'2020 Assumptions'!$B$20,0))</f>
        <v>0</v>
      </c>
      <c r="BB82" s="73">
        <f ca="1">IF(BB$5="Doyon Notional Allocation",0,IF($C82&lt;&gt;BB$3,OFFSET('Allocation %'!$A$1,MATCH(BB$4,'Allocation %'!$A:$A,0)-1,MATCH($D82,'Allocation %'!$5:$5,0)-1)*($F22-$G22)*'2020 Assumptions'!$B$20,0))</f>
        <v>0</v>
      </c>
      <c r="BC82" s="73">
        <f ca="1">IF(BC$5="Doyon Notional Allocation",0,IF($C82&lt;&gt;BC$3,OFFSET('Allocation %'!$A$1,MATCH(BC$4,'Allocation %'!$A:$A,0)-1,MATCH($D82,'Allocation %'!$5:$5,0)-1)*($F22-$G22)*'2020 Assumptions'!$B$20,0))</f>
        <v>0</v>
      </c>
      <c r="BD82" s="73">
        <f ca="1">IF(BD$5="Doyon Notional Allocation",0,IF($C82&lt;&gt;BD$3,OFFSET('Allocation %'!$A$1,MATCH(BD$4,'Allocation %'!$A:$A,0)-1,MATCH($D82,'Allocation %'!$5:$5,0)-1)*($F22-$G22)*'2020 Assumptions'!$B$20,0))</f>
        <v>0</v>
      </c>
      <c r="BE82" s="73">
        <f ca="1">IF(BE$5="Doyon Notional Allocation",0,IF($C82&lt;&gt;BE$3,OFFSET('Allocation %'!$A$1,MATCH(BE$4,'Allocation %'!$A:$A,0)-1,MATCH($D82,'Allocation %'!$5:$5,0)-1)*($F22-$G22)*'2020 Assumptions'!$B$20,0))</f>
        <v>0</v>
      </c>
      <c r="BG82" s="76">
        <f t="shared" ca="1" si="9"/>
        <v>0</v>
      </c>
      <c r="BH82" s="349">
        <f t="shared" ca="1" si="10"/>
        <v>0</v>
      </c>
    </row>
    <row r="83" spans="2:60" s="177" customFormat="1" x14ac:dyDescent="0.25">
      <c r="B83" s="294" t="str">
        <f t="shared" si="7"/>
        <v>1010-009100 - Financial Planning &amp; Analysis SS Mark up</v>
      </c>
      <c r="C83" s="177" t="str">
        <f t="shared" si="8"/>
        <v>CAD</v>
      </c>
      <c r="D83" s="159" t="str">
        <f t="shared" ca="1" si="8"/>
        <v>Canada Only</v>
      </c>
      <c r="E83" s="303">
        <f ca="1">F83*'2020 Assumptions'!$B$4</f>
        <v>0</v>
      </c>
      <c r="F83" s="73">
        <f t="shared" ca="1" si="11"/>
        <v>0</v>
      </c>
      <c r="G83" s="73"/>
      <c r="I83" s="73">
        <f ca="1">IF(I$5="Doyon Notional Allocation",0,IF($C83&lt;&gt;I$3,OFFSET('Allocation %'!$A$1,MATCH(I$4,'Allocation %'!$A:$A,0)-1,MATCH($D83,'Allocation %'!$5:$5,0)-1)*($F23-$G23)*'2020 Assumptions'!$B$20,0))</f>
        <v>0</v>
      </c>
      <c r="J83" s="73">
        <f ca="1">IF(J$5="Doyon Notional Allocation",0,IF($C83&lt;&gt;J$3,OFFSET('Allocation %'!$A$1,MATCH(J$4,'Allocation %'!$A:$A,0)-1,MATCH($D83,'Allocation %'!$5:$5,0)-1)*($F23-$G23)*'2020 Assumptions'!$B$20,0))</f>
        <v>0</v>
      </c>
      <c r="K83" s="73">
        <f ca="1">IF(K$5="Doyon Notional Allocation",0,IF($C83&lt;&gt;K$3,OFFSET('Allocation %'!$A$1,MATCH(K$4,'Allocation %'!$A:$A,0)-1,MATCH($D83,'Allocation %'!$5:$5,0)-1)*($F23-$G23)*'2020 Assumptions'!$B$20,0))</f>
        <v>0</v>
      </c>
      <c r="L83" s="73">
        <f ca="1">IF(L$5="Doyon Notional Allocation",0,IF($C83&lt;&gt;L$3,OFFSET('Allocation %'!$A$1,MATCH(L$4,'Allocation %'!$A:$A,0)-1,MATCH($D83,'Allocation %'!$5:$5,0)-1)*($F23-$G23)*'2020 Assumptions'!$B$20,0))</f>
        <v>0</v>
      </c>
      <c r="M83" s="73">
        <f ca="1">IF(M$5="Doyon Notional Allocation",0,IF($C83&lt;&gt;M$3,OFFSET('Allocation %'!$A$1,MATCH(M$4,'Allocation %'!$A:$A,0)-1,MATCH($D83,'Allocation %'!$5:$5,0)-1)*($F23-$G23)*'2020 Assumptions'!$B$20,0))</f>
        <v>0</v>
      </c>
      <c r="N83" s="73">
        <f ca="1">IF(N$5="Doyon Notional Allocation",0,IF($C83&lt;&gt;N$3,OFFSET('Allocation %'!$A$1,MATCH(N$4,'Allocation %'!$A:$A,0)-1,MATCH($D83,'Allocation %'!$5:$5,0)-1)*($F23-$G23)*'2020 Assumptions'!$B$20,0))</f>
        <v>0</v>
      </c>
      <c r="O83" s="73">
        <f ca="1">IF(O$5="Doyon Notional Allocation",0,IF($C83&lt;&gt;O$3,OFFSET('Allocation %'!$A$1,MATCH(O$4,'Allocation %'!$A:$A,0)-1,MATCH($D83,'Allocation %'!$5:$5,0)-1)*($F23-$G23)*'2020 Assumptions'!$B$20,0))</f>
        <v>0</v>
      </c>
      <c r="P83" s="73">
        <f ca="1">IF(P$5="Doyon Notional Allocation",0,IF($C83&lt;&gt;P$3,OFFSET('Allocation %'!$A$1,MATCH(P$4,'Allocation %'!$A:$A,0)-1,MATCH($D83,'Allocation %'!$5:$5,0)-1)*($F23-$G23)*'2020 Assumptions'!$B$20,0))</f>
        <v>0</v>
      </c>
      <c r="Q83" s="73">
        <f ca="1">IF(Q$5="Doyon Notional Allocation",0,IF($C83&lt;&gt;Q$3,OFFSET('Allocation %'!$A$1,MATCH(Q$4,'Allocation %'!$A:$A,0)-1,MATCH($D83,'Allocation %'!$5:$5,0)-1)*($F23-$G23)*'2020 Assumptions'!$B$20,0))</f>
        <v>0</v>
      </c>
      <c r="R83" s="73">
        <f ca="1">IF(R$5="Doyon Notional Allocation",0,IF($C83&lt;&gt;R$3,OFFSET('Allocation %'!$A$1,MATCH(R$4,'Allocation %'!$A:$A,0)-1,MATCH($D83,'Allocation %'!$5:$5,0)-1)*($F23-$G23)*'2020 Assumptions'!$B$20,0))</f>
        <v>0</v>
      </c>
      <c r="S83" s="73">
        <f ca="1">IF(S$5="Doyon Notional Allocation",0,IF($C83&lt;&gt;S$3,OFFSET('Allocation %'!$A$1,MATCH(S$4,'Allocation %'!$A:$A,0)-1,MATCH($D83,'Allocation %'!$5:$5,0)-1)*($F23-$G23)*'2020 Assumptions'!$B$20,0))</f>
        <v>0</v>
      </c>
      <c r="T83" s="73">
        <f ca="1">IF(T$5="Doyon Notional Allocation",0,IF($C83&lt;&gt;T$3,OFFSET('Allocation %'!$A$1,MATCH(T$4,'Allocation %'!$A:$A,0)-1,MATCH($D83,'Allocation %'!$5:$5,0)-1)*($F23-$G23)*'2020 Assumptions'!$B$20,0))</f>
        <v>0</v>
      </c>
      <c r="U83" s="73">
        <f ca="1">IF(U$5="Doyon Notional Allocation",0,IF($C83&lt;&gt;U$3,OFFSET('Allocation %'!$A$1,MATCH(U$4,'Allocation %'!$A:$A,0)-1,MATCH($D83,'Allocation %'!$5:$5,0)-1)*($F23-$G23)*'2020 Assumptions'!$B$20,0))</f>
        <v>0</v>
      </c>
      <c r="V83" s="73">
        <f ca="1">IF(V$5="Doyon Notional Allocation",0,IF($C83&lt;&gt;V$3,OFFSET('Allocation %'!$A$1,MATCH(V$4,'Allocation %'!$A:$A,0)-1,MATCH($D83,'Allocation %'!$5:$5,0)-1)*($F23-$G23)*'2020 Assumptions'!$B$20,0))</f>
        <v>0</v>
      </c>
      <c r="W83" s="73">
        <f ca="1">IF(W$5="Doyon Notional Allocation",0,IF($C83&lt;&gt;W$3,OFFSET('Allocation %'!$A$1,MATCH(W$4,'Allocation %'!$A:$A,0)-1,MATCH($D83,'Allocation %'!$5:$5,0)-1)*($F23-$G23)*'2020 Assumptions'!$B$20,0))</f>
        <v>0</v>
      </c>
      <c r="X83" s="73">
        <f ca="1">IF(X$5="Doyon Notional Allocation",0,IF($C83&lt;&gt;X$3,OFFSET('Allocation %'!$A$1,MATCH(X$4,'Allocation %'!$A:$A,0)-1,MATCH($D83,'Allocation %'!$5:$5,0)-1)*($F23-$G23)*'2020 Assumptions'!$B$20,0))</f>
        <v>0</v>
      </c>
      <c r="Y83" s="73">
        <f ca="1">IF(Y$5="Doyon Notional Allocation",0,IF($C83&lt;&gt;Y$3,OFFSET('Allocation %'!$A$1,MATCH(Y$4,'Allocation %'!$A:$A,0)-1,MATCH($D83,'Allocation %'!$5:$5,0)-1)*($F23-$G23)*'2020 Assumptions'!$B$20,0))</f>
        <v>0</v>
      </c>
      <c r="Z83" s="73">
        <f ca="1">IF(Z$5="Doyon Notional Allocation",0,IF($C83&lt;&gt;Z$3,OFFSET('Allocation %'!$A$1,MATCH(Z$4,'Allocation %'!$A:$A,0)-1,MATCH($D83,'Allocation %'!$5:$5,0)-1)*($F23-$G23)*'2020 Assumptions'!$B$20,0))</f>
        <v>0</v>
      </c>
      <c r="AA83" s="73">
        <f ca="1">IF(AA$5="Doyon Notional Allocation",0,IF($C83&lt;&gt;AA$3,OFFSET('Allocation %'!$A$1,MATCH(AA$4,'Allocation %'!$A:$A,0)-1,MATCH($D83,'Allocation %'!$5:$5,0)-1)*($F23-$G23)*'2020 Assumptions'!$B$20,0))</f>
        <v>0</v>
      </c>
      <c r="AB83" s="73">
        <f ca="1">IF(AB$5="Doyon Notional Allocation",0,IF($C83&lt;&gt;AB$3,OFFSET('Allocation %'!$A$1,MATCH(AB$4,'Allocation %'!$A:$A,0)-1,MATCH($D83,'Allocation %'!$5:$5,0)-1)*($F23-$G23)*'2020 Assumptions'!$B$20,0))</f>
        <v>0</v>
      </c>
      <c r="AC83" s="73">
        <f ca="1">IF(AC$5="Doyon Notional Allocation",0,IF($C83&lt;&gt;AC$3,OFFSET('Allocation %'!$A$1,MATCH(AC$4,'Allocation %'!$A:$A,0)-1,MATCH($D83,'Allocation %'!$5:$5,0)-1)*($F23-$G23)*'2020 Assumptions'!$B$20,0))</f>
        <v>0</v>
      </c>
      <c r="AD83" s="73">
        <f ca="1">IF(AD$5="Doyon Notional Allocation",0,IF($C83&lt;&gt;AD$3,OFFSET('Allocation %'!$A$1,MATCH(AD$4,'Allocation %'!$A:$A,0)-1,MATCH($D83,'Allocation %'!$5:$5,0)-1)*($F23-$G23)*'2020 Assumptions'!$B$20,0))</f>
        <v>0</v>
      </c>
      <c r="AE83" s="73">
        <f ca="1">IF(AE$5="Doyon Notional Allocation",0,IF($C83&lt;&gt;AE$3,OFFSET('Allocation %'!$A$1,MATCH(AE$4,'Allocation %'!$A:$A,0)-1,MATCH($D83,'Allocation %'!$5:$5,0)-1)*($F23-$G23)*'2020 Assumptions'!$B$20,0))</f>
        <v>0</v>
      </c>
      <c r="AF83" s="73">
        <f ca="1">IF(AF$5="Doyon Notional Allocation",0,IF($C83&lt;&gt;AF$3,OFFSET('Allocation %'!$A$1,MATCH(AF$4,'Allocation %'!$A:$A,0)-1,MATCH($D83,'Allocation %'!$5:$5,0)-1)*($F23-$G23)*'2020 Assumptions'!$B$20,0))</f>
        <v>0</v>
      </c>
      <c r="AG83" s="73">
        <f ca="1">IF(AG$5="Doyon Notional Allocation",0,IF($C83&lt;&gt;AG$3,OFFSET('Allocation %'!$A$1,MATCH(AG$4,'Allocation %'!$A:$A,0)-1,MATCH($D83,'Allocation %'!$5:$5,0)-1)*($F23-$G23)*'2020 Assumptions'!$B$20,0))</f>
        <v>0</v>
      </c>
      <c r="AH83" s="73">
        <f ca="1">IF(AH$5="Doyon Notional Allocation",0,IF($C83&lt;&gt;AH$3,OFFSET('Allocation %'!$A$1,MATCH(AH$4,'Allocation %'!$A:$A,0)-1,MATCH($D83,'Allocation %'!$5:$5,0)-1)*($F23-$G23)*'2020 Assumptions'!$B$20,0))</f>
        <v>0</v>
      </c>
      <c r="AI83" s="73">
        <f ca="1">IF(AI$5="Doyon Notional Allocation",0,IF($C83&lt;&gt;AI$3,OFFSET('Allocation %'!$A$1,MATCH(AI$4,'Allocation %'!$A:$A,0)-1,MATCH($D83,'Allocation %'!$5:$5,0)-1)*($F23-$G23)*'2020 Assumptions'!$B$20,0))</f>
        <v>0</v>
      </c>
      <c r="AJ83" s="73">
        <f ca="1">IF(AJ$5="Doyon Notional Allocation",0,IF($C83&lt;&gt;AJ$3,OFFSET('Allocation %'!$A$1,MATCH(AJ$4,'Allocation %'!$A:$A,0)-1,MATCH($D83,'Allocation %'!$5:$5,0)-1)*($F23-$G23)*'2020 Assumptions'!$B$20,0))</f>
        <v>0</v>
      </c>
      <c r="AK83" s="73">
        <f ca="1">IF(AK$5="Doyon Notional Allocation",0,IF($C83&lt;&gt;AK$3,OFFSET('Allocation %'!$A$1,MATCH(AK$4,'Allocation %'!$A:$A,0)-1,MATCH($D83,'Allocation %'!$5:$5,0)-1)*($F23-$G23)*'2020 Assumptions'!$B$20,0))</f>
        <v>0</v>
      </c>
      <c r="AL83" s="73">
        <f ca="1">IF(AL$5="Doyon Notional Allocation",0,IF($C83&lt;&gt;AL$3,OFFSET('Allocation %'!$A$1,MATCH(AL$4,'Allocation %'!$A:$A,0)-1,MATCH($D83,'Allocation %'!$5:$5,0)-1)*($F23-$G23)*'2020 Assumptions'!$B$20,0))</f>
        <v>0</v>
      </c>
      <c r="AM83" s="73">
        <f ca="1">IF(AM$5="Doyon Notional Allocation",0,IF($C83&lt;&gt;AM$3,OFFSET('Allocation %'!$A$1,MATCH(AM$4,'Allocation %'!$A:$A,0)-1,MATCH($D83,'Allocation %'!$5:$5,0)-1)*($F23-$G23)*'2020 Assumptions'!$B$20,0))</f>
        <v>0</v>
      </c>
      <c r="AN83" s="73">
        <f ca="1">IF(AN$5="Doyon Notional Allocation",0,IF($C83&lt;&gt;AN$3,OFFSET('Allocation %'!$A$1,MATCH(AN$4,'Allocation %'!$A:$A,0)-1,MATCH($D83,'Allocation %'!$5:$5,0)-1)*($F23-$G23)*'2020 Assumptions'!$B$20,0))</f>
        <v>0</v>
      </c>
      <c r="AO83" s="73">
        <f ca="1">IF(AO$5="Doyon Notional Allocation",0,IF($C83&lt;&gt;AO$3,OFFSET('Allocation %'!$A$1,MATCH(AO$4,'Allocation %'!$A:$A,0)-1,MATCH($D83,'Allocation %'!$5:$5,0)-1)*($F23-$G23)*'2020 Assumptions'!$B$20,0))</f>
        <v>0</v>
      </c>
      <c r="AP83" s="73">
        <f ca="1">IF(AP$5="Doyon Notional Allocation",0,IF($C83&lt;&gt;AP$3,OFFSET('Allocation %'!$A$1,MATCH(AP$4,'Allocation %'!$A:$A,0)-1,MATCH($D83,'Allocation %'!$5:$5,0)-1)*($F23-$G23)*'2020 Assumptions'!$B$20,0))</f>
        <v>0</v>
      </c>
      <c r="AQ83" s="73">
        <f ca="1">IF(AQ$5="Doyon Notional Allocation",0,IF($C83&lt;&gt;AQ$3,OFFSET('Allocation %'!$A$1,MATCH(AQ$4,'Allocation %'!$A:$A,0)-1,MATCH($D83,'Allocation %'!$5:$5,0)-1)*($F23-$G23)*'2020 Assumptions'!$B$20,0))</f>
        <v>0</v>
      </c>
      <c r="AR83" s="73">
        <f ca="1">IF(AR$5="Doyon Notional Allocation",0,IF($C83&lt;&gt;AR$3,OFFSET('Allocation %'!$A$1,MATCH(AR$4,'Allocation %'!$A:$A,0)-1,MATCH($D83,'Allocation %'!$5:$5,0)-1)*($F23-$G23)*'2020 Assumptions'!$B$20,0))</f>
        <v>0</v>
      </c>
      <c r="AS83" s="73">
        <f ca="1">IF(AS$5="Doyon Notional Allocation",0,IF($C83&lt;&gt;AS$3,OFFSET('Allocation %'!$A$1,MATCH(AS$4,'Allocation %'!$A:$A,0)-1,MATCH($D83,'Allocation %'!$5:$5,0)-1)*($F23-$G23)*'2020 Assumptions'!$B$20,0))</f>
        <v>0</v>
      </c>
      <c r="AT83" s="73">
        <f ca="1">IF(AT$5="Doyon Notional Allocation",0,IF($C83&lt;&gt;AT$3,OFFSET('Allocation %'!$A$1,MATCH(AT$4,'Allocation %'!$A:$A,0)-1,MATCH($D83,'Allocation %'!$5:$5,0)-1)*($F23-$G23)*'2020 Assumptions'!$B$20,0))</f>
        <v>0</v>
      </c>
      <c r="AU83" s="73">
        <f ca="1">IF(AU$5="Doyon Notional Allocation",0,IF($C83&lt;&gt;AU$3,OFFSET('Allocation %'!$A$1,MATCH(AU$4,'Allocation %'!$A:$A,0)-1,MATCH($D83,'Allocation %'!$5:$5,0)-1)*($F23-$G23)*'2020 Assumptions'!$B$20,0))</f>
        <v>0</v>
      </c>
      <c r="AV83" s="73">
        <f ca="1">IF(AV$5="Doyon Notional Allocation",0,IF($C83&lt;&gt;AV$3,OFFSET('Allocation %'!$A$1,MATCH(AV$4,'Allocation %'!$A:$A,0)-1,MATCH($D83,'Allocation %'!$5:$5,0)-1)*($F23-$G23)*'2020 Assumptions'!$B$20,0))</f>
        <v>0</v>
      </c>
      <c r="AW83" s="73">
        <f ca="1">IF(AW$5="Doyon Notional Allocation",0,IF($C83&lt;&gt;AW$3,OFFSET('Allocation %'!$A$1,MATCH(AW$4,'Allocation %'!$A:$A,0)-1,MATCH($D83,'Allocation %'!$5:$5,0)-1)*($F23-$G23)*'2020 Assumptions'!$B$20,0))</f>
        <v>0</v>
      </c>
      <c r="AX83" s="73">
        <f ca="1">IF(AX$5="Doyon Notional Allocation",0,IF($C83&lt;&gt;AX$3,OFFSET('Allocation %'!$A$1,MATCH(AX$4,'Allocation %'!$A:$A,0)-1,MATCH($D83,'Allocation %'!$5:$5,0)-1)*($F23-$G23)*'2020 Assumptions'!$B$20,0))</f>
        <v>0</v>
      </c>
      <c r="AY83" s="73">
        <f ca="1">IF(AY$5="Doyon Notional Allocation",0,IF($C83&lt;&gt;AY$3,OFFSET('Allocation %'!$A$1,MATCH(AY$4,'Allocation %'!$A:$A,0)-1,MATCH($D83,'Allocation %'!$5:$5,0)-1)*($F23-$G23)*'2020 Assumptions'!$B$20,0))</f>
        <v>0</v>
      </c>
      <c r="AZ83" s="73">
        <f ca="1">IF(AZ$5="Doyon Notional Allocation",0,IF($C83&lt;&gt;AZ$3,OFFSET('Allocation %'!$A$1,MATCH(AZ$4,'Allocation %'!$A:$A,0)-1,MATCH($D83,'Allocation %'!$5:$5,0)-1)*($F23-$G23)*'2020 Assumptions'!$B$20,0))</f>
        <v>0</v>
      </c>
      <c r="BA83" s="73">
        <f ca="1">IF(BA$5="Doyon Notional Allocation",0,IF($C83&lt;&gt;BA$3,OFFSET('Allocation %'!$A$1,MATCH(BA$4,'Allocation %'!$A:$A,0)-1,MATCH($D83,'Allocation %'!$5:$5,0)-1)*($F23-$G23)*'2020 Assumptions'!$B$20,0))</f>
        <v>0</v>
      </c>
      <c r="BB83" s="73">
        <f ca="1">IF(BB$5="Doyon Notional Allocation",0,IF($C83&lt;&gt;BB$3,OFFSET('Allocation %'!$A$1,MATCH(BB$4,'Allocation %'!$A:$A,0)-1,MATCH($D83,'Allocation %'!$5:$5,0)-1)*($F23-$G23)*'2020 Assumptions'!$B$20,0))</f>
        <v>0</v>
      </c>
      <c r="BC83" s="73">
        <f ca="1">IF(BC$5="Doyon Notional Allocation",0,IF($C83&lt;&gt;BC$3,OFFSET('Allocation %'!$A$1,MATCH(BC$4,'Allocation %'!$A:$A,0)-1,MATCH($D83,'Allocation %'!$5:$5,0)-1)*($F23-$G23)*'2020 Assumptions'!$B$20,0))</f>
        <v>0</v>
      </c>
      <c r="BD83" s="73">
        <f ca="1">IF(BD$5="Doyon Notional Allocation",0,IF($C83&lt;&gt;BD$3,OFFSET('Allocation %'!$A$1,MATCH(BD$4,'Allocation %'!$A:$A,0)-1,MATCH($D83,'Allocation %'!$5:$5,0)-1)*($F23-$G23)*'2020 Assumptions'!$B$20,0))</f>
        <v>0</v>
      </c>
      <c r="BE83" s="73">
        <f ca="1">IF(BE$5="Doyon Notional Allocation",0,IF($C83&lt;&gt;BE$3,OFFSET('Allocation %'!$A$1,MATCH(BE$4,'Allocation %'!$A:$A,0)-1,MATCH($D83,'Allocation %'!$5:$5,0)-1)*($F23-$G23)*'2020 Assumptions'!$B$20,0))</f>
        <v>0</v>
      </c>
      <c r="BG83" s="76">
        <f t="shared" ca="1" si="9"/>
        <v>0</v>
      </c>
      <c r="BH83" s="349">
        <f t="shared" ca="1" si="10"/>
        <v>0</v>
      </c>
    </row>
    <row r="84" spans="2:60" s="177" customFormat="1" x14ac:dyDescent="0.25">
      <c r="B84" s="294" t="str">
        <f t="shared" si="7"/>
        <v>1010-009110 - Legal SS Mark up</v>
      </c>
      <c r="C84" s="177" t="str">
        <f t="shared" si="8"/>
        <v>CAD</v>
      </c>
      <c r="D84" s="159" t="str">
        <f t="shared" ca="1" si="8"/>
        <v>Canada Only</v>
      </c>
      <c r="E84" s="303">
        <f ca="1">F84*'2020 Assumptions'!$B$4</f>
        <v>0</v>
      </c>
      <c r="F84" s="73">
        <f t="shared" ca="1" si="11"/>
        <v>0</v>
      </c>
      <c r="G84" s="73"/>
      <c r="I84" s="73">
        <f ca="1">IF(I$5="Doyon Notional Allocation",0,IF($C84&lt;&gt;I$3,OFFSET('Allocation %'!$A$1,MATCH(I$4,'Allocation %'!$A:$A,0)-1,MATCH($D84,'Allocation %'!$5:$5,0)-1)*($F24-$G24)*'2020 Assumptions'!$B$20,0))</f>
        <v>0</v>
      </c>
      <c r="J84" s="73">
        <f ca="1">IF(J$5="Doyon Notional Allocation",0,IF($C84&lt;&gt;J$3,OFFSET('Allocation %'!$A$1,MATCH(J$4,'Allocation %'!$A:$A,0)-1,MATCH($D84,'Allocation %'!$5:$5,0)-1)*($F24-$G24)*'2020 Assumptions'!$B$20,0))</f>
        <v>0</v>
      </c>
      <c r="K84" s="73">
        <f ca="1">IF(K$5="Doyon Notional Allocation",0,IF($C84&lt;&gt;K$3,OFFSET('Allocation %'!$A$1,MATCH(K$4,'Allocation %'!$A:$A,0)-1,MATCH($D84,'Allocation %'!$5:$5,0)-1)*($F24-$G24)*'2020 Assumptions'!$B$20,0))</f>
        <v>0</v>
      </c>
      <c r="L84" s="73">
        <f ca="1">IF(L$5="Doyon Notional Allocation",0,IF($C84&lt;&gt;L$3,OFFSET('Allocation %'!$A$1,MATCH(L$4,'Allocation %'!$A:$A,0)-1,MATCH($D84,'Allocation %'!$5:$5,0)-1)*($F24-$G24)*'2020 Assumptions'!$B$20,0))</f>
        <v>0</v>
      </c>
      <c r="M84" s="73">
        <f ca="1">IF(M$5="Doyon Notional Allocation",0,IF($C84&lt;&gt;M$3,OFFSET('Allocation %'!$A$1,MATCH(M$4,'Allocation %'!$A:$A,0)-1,MATCH($D84,'Allocation %'!$5:$5,0)-1)*($F24-$G24)*'2020 Assumptions'!$B$20,0))</f>
        <v>0</v>
      </c>
      <c r="N84" s="73">
        <f ca="1">IF(N$5="Doyon Notional Allocation",0,IF($C84&lt;&gt;N$3,OFFSET('Allocation %'!$A$1,MATCH(N$4,'Allocation %'!$A:$A,0)-1,MATCH($D84,'Allocation %'!$5:$5,0)-1)*($F24-$G24)*'2020 Assumptions'!$B$20,0))</f>
        <v>0</v>
      </c>
      <c r="O84" s="73">
        <f ca="1">IF(O$5="Doyon Notional Allocation",0,IF($C84&lt;&gt;O$3,OFFSET('Allocation %'!$A$1,MATCH(O$4,'Allocation %'!$A:$A,0)-1,MATCH($D84,'Allocation %'!$5:$5,0)-1)*($F24-$G24)*'2020 Assumptions'!$B$20,0))</f>
        <v>0</v>
      </c>
      <c r="P84" s="73">
        <f ca="1">IF(P$5="Doyon Notional Allocation",0,IF($C84&lt;&gt;P$3,OFFSET('Allocation %'!$A$1,MATCH(P$4,'Allocation %'!$A:$A,0)-1,MATCH($D84,'Allocation %'!$5:$5,0)-1)*($F24-$G24)*'2020 Assumptions'!$B$20,0))</f>
        <v>0</v>
      </c>
      <c r="Q84" s="73">
        <f ca="1">IF(Q$5="Doyon Notional Allocation",0,IF($C84&lt;&gt;Q$3,OFFSET('Allocation %'!$A$1,MATCH(Q$4,'Allocation %'!$A:$A,0)-1,MATCH($D84,'Allocation %'!$5:$5,0)-1)*($F24-$G24)*'2020 Assumptions'!$B$20,0))</f>
        <v>0</v>
      </c>
      <c r="R84" s="73">
        <f ca="1">IF(R$5="Doyon Notional Allocation",0,IF($C84&lt;&gt;R$3,OFFSET('Allocation %'!$A$1,MATCH(R$4,'Allocation %'!$A:$A,0)-1,MATCH($D84,'Allocation %'!$5:$5,0)-1)*($F24-$G24)*'2020 Assumptions'!$B$20,0))</f>
        <v>0</v>
      </c>
      <c r="S84" s="73">
        <f ca="1">IF(S$5="Doyon Notional Allocation",0,IF($C84&lt;&gt;S$3,OFFSET('Allocation %'!$A$1,MATCH(S$4,'Allocation %'!$A:$A,0)-1,MATCH($D84,'Allocation %'!$5:$5,0)-1)*($F24-$G24)*'2020 Assumptions'!$B$20,0))</f>
        <v>0</v>
      </c>
      <c r="T84" s="73">
        <f ca="1">IF(T$5="Doyon Notional Allocation",0,IF($C84&lt;&gt;T$3,OFFSET('Allocation %'!$A$1,MATCH(T$4,'Allocation %'!$A:$A,0)-1,MATCH($D84,'Allocation %'!$5:$5,0)-1)*($F24-$G24)*'2020 Assumptions'!$B$20,0))</f>
        <v>0</v>
      </c>
      <c r="U84" s="73">
        <f ca="1">IF(U$5="Doyon Notional Allocation",0,IF($C84&lt;&gt;U$3,OFFSET('Allocation %'!$A$1,MATCH(U$4,'Allocation %'!$A:$A,0)-1,MATCH($D84,'Allocation %'!$5:$5,0)-1)*($F24-$G24)*'2020 Assumptions'!$B$20,0))</f>
        <v>0</v>
      </c>
      <c r="V84" s="73">
        <f ca="1">IF(V$5="Doyon Notional Allocation",0,IF($C84&lt;&gt;V$3,OFFSET('Allocation %'!$A$1,MATCH(V$4,'Allocation %'!$A:$A,0)-1,MATCH($D84,'Allocation %'!$5:$5,0)-1)*($F24-$G24)*'2020 Assumptions'!$B$20,0))</f>
        <v>0</v>
      </c>
      <c r="W84" s="73">
        <f ca="1">IF(W$5="Doyon Notional Allocation",0,IF($C84&lt;&gt;W$3,OFFSET('Allocation %'!$A$1,MATCH(W$4,'Allocation %'!$A:$A,0)-1,MATCH($D84,'Allocation %'!$5:$5,0)-1)*($F24-$G24)*'2020 Assumptions'!$B$20,0))</f>
        <v>0</v>
      </c>
      <c r="X84" s="73">
        <f ca="1">IF(X$5="Doyon Notional Allocation",0,IF($C84&lt;&gt;X$3,OFFSET('Allocation %'!$A$1,MATCH(X$4,'Allocation %'!$A:$A,0)-1,MATCH($D84,'Allocation %'!$5:$5,0)-1)*($F24-$G24)*'2020 Assumptions'!$B$20,0))</f>
        <v>0</v>
      </c>
      <c r="Y84" s="73">
        <f ca="1">IF(Y$5="Doyon Notional Allocation",0,IF($C84&lt;&gt;Y$3,OFFSET('Allocation %'!$A$1,MATCH(Y$4,'Allocation %'!$A:$A,0)-1,MATCH($D84,'Allocation %'!$5:$5,0)-1)*($F24-$G24)*'2020 Assumptions'!$B$20,0))</f>
        <v>0</v>
      </c>
      <c r="Z84" s="73">
        <f ca="1">IF(Z$5="Doyon Notional Allocation",0,IF($C84&lt;&gt;Z$3,OFFSET('Allocation %'!$A$1,MATCH(Z$4,'Allocation %'!$A:$A,0)-1,MATCH($D84,'Allocation %'!$5:$5,0)-1)*($F24-$G24)*'2020 Assumptions'!$B$20,0))</f>
        <v>0</v>
      </c>
      <c r="AA84" s="73">
        <f ca="1">IF(AA$5="Doyon Notional Allocation",0,IF($C84&lt;&gt;AA$3,OFFSET('Allocation %'!$A$1,MATCH(AA$4,'Allocation %'!$A:$A,0)-1,MATCH($D84,'Allocation %'!$5:$5,0)-1)*($F24-$G24)*'2020 Assumptions'!$B$20,0))</f>
        <v>0</v>
      </c>
      <c r="AB84" s="73">
        <f ca="1">IF(AB$5="Doyon Notional Allocation",0,IF($C84&lt;&gt;AB$3,OFFSET('Allocation %'!$A$1,MATCH(AB$4,'Allocation %'!$A:$A,0)-1,MATCH($D84,'Allocation %'!$5:$5,0)-1)*($F24-$G24)*'2020 Assumptions'!$B$20,0))</f>
        <v>0</v>
      </c>
      <c r="AC84" s="73">
        <f ca="1">IF(AC$5="Doyon Notional Allocation",0,IF($C84&lt;&gt;AC$3,OFFSET('Allocation %'!$A$1,MATCH(AC$4,'Allocation %'!$A:$A,0)-1,MATCH($D84,'Allocation %'!$5:$5,0)-1)*($F24-$G24)*'2020 Assumptions'!$B$20,0))</f>
        <v>0</v>
      </c>
      <c r="AD84" s="73">
        <f ca="1">IF(AD$5="Doyon Notional Allocation",0,IF($C84&lt;&gt;AD$3,OFFSET('Allocation %'!$A$1,MATCH(AD$4,'Allocation %'!$A:$A,0)-1,MATCH($D84,'Allocation %'!$5:$5,0)-1)*($F24-$G24)*'2020 Assumptions'!$B$20,0))</f>
        <v>0</v>
      </c>
      <c r="AE84" s="73">
        <f ca="1">IF(AE$5="Doyon Notional Allocation",0,IF($C84&lt;&gt;AE$3,OFFSET('Allocation %'!$A$1,MATCH(AE$4,'Allocation %'!$A:$A,0)-1,MATCH($D84,'Allocation %'!$5:$5,0)-1)*($F24-$G24)*'2020 Assumptions'!$B$20,0))</f>
        <v>0</v>
      </c>
      <c r="AF84" s="73">
        <f ca="1">IF(AF$5="Doyon Notional Allocation",0,IF($C84&lt;&gt;AF$3,OFFSET('Allocation %'!$A$1,MATCH(AF$4,'Allocation %'!$A:$A,0)-1,MATCH($D84,'Allocation %'!$5:$5,0)-1)*($F24-$G24)*'2020 Assumptions'!$B$20,0))</f>
        <v>0</v>
      </c>
      <c r="AG84" s="73">
        <f ca="1">IF(AG$5="Doyon Notional Allocation",0,IF($C84&lt;&gt;AG$3,OFFSET('Allocation %'!$A$1,MATCH(AG$4,'Allocation %'!$A:$A,0)-1,MATCH($D84,'Allocation %'!$5:$5,0)-1)*($F24-$G24)*'2020 Assumptions'!$B$20,0))</f>
        <v>0</v>
      </c>
      <c r="AH84" s="73">
        <f ca="1">IF(AH$5="Doyon Notional Allocation",0,IF($C84&lt;&gt;AH$3,OFFSET('Allocation %'!$A$1,MATCH(AH$4,'Allocation %'!$A:$A,0)-1,MATCH($D84,'Allocation %'!$5:$5,0)-1)*($F24-$G24)*'2020 Assumptions'!$B$20,0))</f>
        <v>0</v>
      </c>
      <c r="AI84" s="73">
        <f ca="1">IF(AI$5="Doyon Notional Allocation",0,IF($C84&lt;&gt;AI$3,OFFSET('Allocation %'!$A$1,MATCH(AI$4,'Allocation %'!$A:$A,0)-1,MATCH($D84,'Allocation %'!$5:$5,0)-1)*($F24-$G24)*'2020 Assumptions'!$B$20,0))</f>
        <v>0</v>
      </c>
      <c r="AJ84" s="73">
        <f ca="1">IF(AJ$5="Doyon Notional Allocation",0,IF($C84&lt;&gt;AJ$3,OFFSET('Allocation %'!$A$1,MATCH(AJ$4,'Allocation %'!$A:$A,0)-1,MATCH($D84,'Allocation %'!$5:$5,0)-1)*($F24-$G24)*'2020 Assumptions'!$B$20,0))</f>
        <v>0</v>
      </c>
      <c r="AK84" s="73">
        <f ca="1">IF(AK$5="Doyon Notional Allocation",0,IF($C84&lt;&gt;AK$3,OFFSET('Allocation %'!$A$1,MATCH(AK$4,'Allocation %'!$A:$A,0)-1,MATCH($D84,'Allocation %'!$5:$5,0)-1)*($F24-$G24)*'2020 Assumptions'!$B$20,0))</f>
        <v>0</v>
      </c>
      <c r="AL84" s="73">
        <f ca="1">IF(AL$5="Doyon Notional Allocation",0,IF($C84&lt;&gt;AL$3,OFFSET('Allocation %'!$A$1,MATCH(AL$4,'Allocation %'!$A:$A,0)-1,MATCH($D84,'Allocation %'!$5:$5,0)-1)*($F24-$G24)*'2020 Assumptions'!$B$20,0))</f>
        <v>0</v>
      </c>
      <c r="AM84" s="73">
        <f ca="1">IF(AM$5="Doyon Notional Allocation",0,IF($C84&lt;&gt;AM$3,OFFSET('Allocation %'!$A$1,MATCH(AM$4,'Allocation %'!$A:$A,0)-1,MATCH($D84,'Allocation %'!$5:$5,0)-1)*($F24-$G24)*'2020 Assumptions'!$B$20,0))</f>
        <v>0</v>
      </c>
      <c r="AN84" s="73">
        <f ca="1">IF(AN$5="Doyon Notional Allocation",0,IF($C84&lt;&gt;AN$3,OFFSET('Allocation %'!$A$1,MATCH(AN$4,'Allocation %'!$A:$A,0)-1,MATCH($D84,'Allocation %'!$5:$5,0)-1)*($F24-$G24)*'2020 Assumptions'!$B$20,0))</f>
        <v>0</v>
      </c>
      <c r="AO84" s="73">
        <f ca="1">IF(AO$5="Doyon Notional Allocation",0,IF($C84&lt;&gt;AO$3,OFFSET('Allocation %'!$A$1,MATCH(AO$4,'Allocation %'!$A:$A,0)-1,MATCH($D84,'Allocation %'!$5:$5,0)-1)*($F24-$G24)*'2020 Assumptions'!$B$20,0))</f>
        <v>0</v>
      </c>
      <c r="AP84" s="73">
        <f ca="1">IF(AP$5="Doyon Notional Allocation",0,IF($C84&lt;&gt;AP$3,OFFSET('Allocation %'!$A$1,MATCH(AP$4,'Allocation %'!$A:$A,0)-1,MATCH($D84,'Allocation %'!$5:$5,0)-1)*($F24-$G24)*'2020 Assumptions'!$B$20,0))</f>
        <v>0</v>
      </c>
      <c r="AQ84" s="73">
        <f ca="1">IF(AQ$5="Doyon Notional Allocation",0,IF($C84&lt;&gt;AQ$3,OFFSET('Allocation %'!$A$1,MATCH(AQ$4,'Allocation %'!$A:$A,0)-1,MATCH($D84,'Allocation %'!$5:$5,0)-1)*($F24-$G24)*'2020 Assumptions'!$B$20,0))</f>
        <v>0</v>
      </c>
      <c r="AR84" s="73">
        <f ca="1">IF(AR$5="Doyon Notional Allocation",0,IF($C84&lt;&gt;AR$3,OFFSET('Allocation %'!$A$1,MATCH(AR$4,'Allocation %'!$A:$A,0)-1,MATCH($D84,'Allocation %'!$5:$5,0)-1)*($F24-$G24)*'2020 Assumptions'!$B$20,0))</f>
        <v>0</v>
      </c>
      <c r="AS84" s="73">
        <f ca="1">IF(AS$5="Doyon Notional Allocation",0,IF($C84&lt;&gt;AS$3,OFFSET('Allocation %'!$A$1,MATCH(AS$4,'Allocation %'!$A:$A,0)-1,MATCH($D84,'Allocation %'!$5:$5,0)-1)*($F24-$G24)*'2020 Assumptions'!$B$20,0))</f>
        <v>0</v>
      </c>
      <c r="AT84" s="73">
        <f ca="1">IF(AT$5="Doyon Notional Allocation",0,IF($C84&lt;&gt;AT$3,OFFSET('Allocation %'!$A$1,MATCH(AT$4,'Allocation %'!$A:$A,0)-1,MATCH($D84,'Allocation %'!$5:$5,0)-1)*($F24-$G24)*'2020 Assumptions'!$B$20,0))</f>
        <v>0</v>
      </c>
      <c r="AU84" s="73">
        <f ca="1">IF(AU$5="Doyon Notional Allocation",0,IF($C84&lt;&gt;AU$3,OFFSET('Allocation %'!$A$1,MATCH(AU$4,'Allocation %'!$A:$A,0)-1,MATCH($D84,'Allocation %'!$5:$5,0)-1)*($F24-$G24)*'2020 Assumptions'!$B$20,0))</f>
        <v>0</v>
      </c>
      <c r="AV84" s="73">
        <f ca="1">IF(AV$5="Doyon Notional Allocation",0,IF($C84&lt;&gt;AV$3,OFFSET('Allocation %'!$A$1,MATCH(AV$4,'Allocation %'!$A:$A,0)-1,MATCH($D84,'Allocation %'!$5:$5,0)-1)*($F24-$G24)*'2020 Assumptions'!$B$20,0))</f>
        <v>0</v>
      </c>
      <c r="AW84" s="73">
        <f ca="1">IF(AW$5="Doyon Notional Allocation",0,IF($C84&lt;&gt;AW$3,OFFSET('Allocation %'!$A$1,MATCH(AW$4,'Allocation %'!$A:$A,0)-1,MATCH($D84,'Allocation %'!$5:$5,0)-1)*($F24-$G24)*'2020 Assumptions'!$B$20,0))</f>
        <v>0</v>
      </c>
      <c r="AX84" s="73">
        <f ca="1">IF(AX$5="Doyon Notional Allocation",0,IF($C84&lt;&gt;AX$3,OFFSET('Allocation %'!$A$1,MATCH(AX$4,'Allocation %'!$A:$A,0)-1,MATCH($D84,'Allocation %'!$5:$5,0)-1)*($F24-$G24)*'2020 Assumptions'!$B$20,0))</f>
        <v>0</v>
      </c>
      <c r="AY84" s="73">
        <f ca="1">IF(AY$5="Doyon Notional Allocation",0,IF($C84&lt;&gt;AY$3,OFFSET('Allocation %'!$A$1,MATCH(AY$4,'Allocation %'!$A:$A,0)-1,MATCH($D84,'Allocation %'!$5:$5,0)-1)*($F24-$G24)*'2020 Assumptions'!$B$20,0))</f>
        <v>0</v>
      </c>
      <c r="AZ84" s="73">
        <f ca="1">IF(AZ$5="Doyon Notional Allocation",0,IF($C84&lt;&gt;AZ$3,OFFSET('Allocation %'!$A$1,MATCH(AZ$4,'Allocation %'!$A:$A,0)-1,MATCH($D84,'Allocation %'!$5:$5,0)-1)*($F24-$G24)*'2020 Assumptions'!$B$20,0))</f>
        <v>0</v>
      </c>
      <c r="BA84" s="73">
        <f ca="1">IF(BA$5="Doyon Notional Allocation",0,IF($C84&lt;&gt;BA$3,OFFSET('Allocation %'!$A$1,MATCH(BA$4,'Allocation %'!$A:$A,0)-1,MATCH($D84,'Allocation %'!$5:$5,0)-1)*($F24-$G24)*'2020 Assumptions'!$B$20,0))</f>
        <v>0</v>
      </c>
      <c r="BB84" s="73">
        <f ca="1">IF(BB$5="Doyon Notional Allocation",0,IF($C84&lt;&gt;BB$3,OFFSET('Allocation %'!$A$1,MATCH(BB$4,'Allocation %'!$A:$A,0)-1,MATCH($D84,'Allocation %'!$5:$5,0)-1)*($F24-$G24)*'2020 Assumptions'!$B$20,0))</f>
        <v>0</v>
      </c>
      <c r="BC84" s="73">
        <f ca="1">IF(BC$5="Doyon Notional Allocation",0,IF($C84&lt;&gt;BC$3,OFFSET('Allocation %'!$A$1,MATCH(BC$4,'Allocation %'!$A:$A,0)-1,MATCH($D84,'Allocation %'!$5:$5,0)-1)*($F24-$G24)*'2020 Assumptions'!$B$20,0))</f>
        <v>0</v>
      </c>
      <c r="BD84" s="73">
        <f ca="1">IF(BD$5="Doyon Notional Allocation",0,IF($C84&lt;&gt;BD$3,OFFSET('Allocation %'!$A$1,MATCH(BD$4,'Allocation %'!$A:$A,0)-1,MATCH($D84,'Allocation %'!$5:$5,0)-1)*($F24-$G24)*'2020 Assumptions'!$B$20,0))</f>
        <v>0</v>
      </c>
      <c r="BE84" s="73">
        <f ca="1">IF(BE$5="Doyon Notional Allocation",0,IF($C84&lt;&gt;BE$3,OFFSET('Allocation %'!$A$1,MATCH(BE$4,'Allocation %'!$A:$A,0)-1,MATCH($D84,'Allocation %'!$5:$5,0)-1)*($F24-$G24)*'2020 Assumptions'!$B$20,0))</f>
        <v>0</v>
      </c>
      <c r="BG84" s="76">
        <f t="shared" ca="1" si="9"/>
        <v>0</v>
      </c>
      <c r="BH84" s="349">
        <f t="shared" ca="1" si="10"/>
        <v>0</v>
      </c>
    </row>
    <row r="85" spans="2:60" s="177" customFormat="1" ht="30" x14ac:dyDescent="0.25">
      <c r="B85" s="294" t="str">
        <f t="shared" si="7"/>
        <v>1010-009040 - IT Support Services Mark up</v>
      </c>
      <c r="C85" s="177" t="str">
        <f t="shared" si="8"/>
        <v>CAD</v>
      </c>
      <c r="D85" s="159" t="str">
        <f t="shared" ca="1" si="8"/>
        <v>Contract Shared Services - Composite</v>
      </c>
      <c r="E85" s="303">
        <f ca="1">F85*'2020 Assumptions'!$B$4</f>
        <v>16523.323792143332</v>
      </c>
      <c r="F85" s="73">
        <f t="shared" ca="1" si="11"/>
        <v>12292.310513423101</v>
      </c>
      <c r="G85" s="73"/>
      <c r="I85" s="73">
        <f ca="1">IF(I$5="Doyon Notional Allocation",0,IF($C85&lt;&gt;I$3,OFFSET('Allocation %'!$A$1,MATCH(I$4,'Allocation %'!$A:$A,0)-1,MATCH($D85,'Allocation %'!$5:$5,0)-1)*($F25-$G25)*'2020 Assumptions'!$B$20,0))</f>
        <v>0</v>
      </c>
      <c r="J85" s="73">
        <f ca="1">IF(J$5="Doyon Notional Allocation",0,IF($C85&lt;&gt;J$3,OFFSET('Allocation %'!$A$1,MATCH(J$4,'Allocation %'!$A:$A,0)-1,MATCH($D85,'Allocation %'!$5:$5,0)-1)*($F25-$G25)*'2020 Assumptions'!$B$20,0))</f>
        <v>0</v>
      </c>
      <c r="K85" s="73">
        <f ca="1">IF(K$5="Doyon Notional Allocation",0,IF($C85&lt;&gt;K$3,OFFSET('Allocation %'!$A$1,MATCH(K$4,'Allocation %'!$A:$A,0)-1,MATCH($D85,'Allocation %'!$5:$5,0)-1)*($F25-$G25)*'2020 Assumptions'!$B$20,0))</f>
        <v>0</v>
      </c>
      <c r="L85" s="73">
        <f ca="1">IF(L$5="Doyon Notional Allocation",0,IF($C85&lt;&gt;L$3,OFFSET('Allocation %'!$A$1,MATCH(L$4,'Allocation %'!$A:$A,0)-1,MATCH($D85,'Allocation %'!$5:$5,0)-1)*($F25-$G25)*'2020 Assumptions'!$B$20,0))</f>
        <v>0</v>
      </c>
      <c r="M85" s="73">
        <f ca="1">IF(M$5="Doyon Notional Allocation",0,IF($C85&lt;&gt;M$3,OFFSET('Allocation %'!$A$1,MATCH(M$4,'Allocation %'!$A:$A,0)-1,MATCH($D85,'Allocation %'!$5:$5,0)-1)*($F25-$G25)*'2020 Assumptions'!$B$20,0))</f>
        <v>0</v>
      </c>
      <c r="N85" s="73">
        <f ca="1">IF(N$5="Doyon Notional Allocation",0,IF($C85&lt;&gt;N$3,OFFSET('Allocation %'!$A$1,MATCH(N$4,'Allocation %'!$A:$A,0)-1,MATCH($D85,'Allocation %'!$5:$5,0)-1)*($F25-$G25)*'2020 Assumptions'!$B$20,0))</f>
        <v>0</v>
      </c>
      <c r="O85" s="73">
        <f ca="1">IF(O$5="Doyon Notional Allocation",0,IF($C85&lt;&gt;O$3,OFFSET('Allocation %'!$A$1,MATCH(O$4,'Allocation %'!$A:$A,0)-1,MATCH($D85,'Allocation %'!$5:$5,0)-1)*($F25-$G25)*'2020 Assumptions'!$B$20,0))</f>
        <v>0</v>
      </c>
      <c r="P85" s="73">
        <f ca="1">IF(P$5="Doyon Notional Allocation",0,IF($C85&lt;&gt;P$3,OFFSET('Allocation %'!$A$1,MATCH(P$4,'Allocation %'!$A:$A,0)-1,MATCH($D85,'Allocation %'!$5:$5,0)-1)*($F25-$G25)*'2020 Assumptions'!$B$20,0))</f>
        <v>0</v>
      </c>
      <c r="Q85" s="73">
        <f ca="1">IF(Q$5="Doyon Notional Allocation",0,IF($C85&lt;&gt;Q$3,OFFSET('Allocation %'!$A$1,MATCH(Q$4,'Allocation %'!$A:$A,0)-1,MATCH($D85,'Allocation %'!$5:$5,0)-1)*($F25-$G25)*'2020 Assumptions'!$B$20,0))</f>
        <v>0</v>
      </c>
      <c r="R85" s="73">
        <f ca="1">IF(R$5="Doyon Notional Allocation",0,IF($C85&lt;&gt;R$3,OFFSET('Allocation %'!$A$1,MATCH(R$4,'Allocation %'!$A:$A,0)-1,MATCH($D85,'Allocation %'!$5:$5,0)-1)*($F25-$G25)*'2020 Assumptions'!$B$20,0))</f>
        <v>0</v>
      </c>
      <c r="S85" s="73">
        <f ca="1">IF(S$5="Doyon Notional Allocation",0,IF($C85&lt;&gt;S$3,OFFSET('Allocation %'!$A$1,MATCH(S$4,'Allocation %'!$A:$A,0)-1,MATCH($D85,'Allocation %'!$5:$5,0)-1)*($F25-$G25)*'2020 Assumptions'!$B$20,0))</f>
        <v>0</v>
      </c>
      <c r="T85" s="73">
        <f ca="1">IF(T$5="Doyon Notional Allocation",0,IF($C85&lt;&gt;T$3,OFFSET('Allocation %'!$A$1,MATCH(T$4,'Allocation %'!$A:$A,0)-1,MATCH($D85,'Allocation %'!$5:$5,0)-1)*($F25-$G25)*'2020 Assumptions'!$B$20,0))</f>
        <v>0</v>
      </c>
      <c r="U85" s="73">
        <f ca="1">IF(U$5="Doyon Notional Allocation",0,IF($C85&lt;&gt;U$3,OFFSET('Allocation %'!$A$1,MATCH(U$4,'Allocation %'!$A:$A,0)-1,MATCH($D85,'Allocation %'!$5:$5,0)-1)*($F25-$G25)*'2020 Assumptions'!$B$20,0))</f>
        <v>0</v>
      </c>
      <c r="V85" s="73">
        <f ca="1">IF(V$5="Doyon Notional Allocation",0,IF($C85&lt;&gt;V$3,OFFSET('Allocation %'!$A$1,MATCH(V$4,'Allocation %'!$A:$A,0)-1,MATCH($D85,'Allocation %'!$5:$5,0)-1)*($F25-$G25)*'2020 Assumptions'!$B$20,0))</f>
        <v>0</v>
      </c>
      <c r="W85" s="73">
        <f ca="1">IF(W$5="Doyon Notional Allocation",0,IF($C85&lt;&gt;W$3,OFFSET('Allocation %'!$A$1,MATCH(W$4,'Allocation %'!$A:$A,0)-1,MATCH($D85,'Allocation %'!$5:$5,0)-1)*($F25-$G25)*'2020 Assumptions'!$B$20,0))</f>
        <v>0</v>
      </c>
      <c r="X85" s="73">
        <f ca="1">IF(X$5="Doyon Notional Allocation",0,IF($C85&lt;&gt;X$3,OFFSET('Allocation %'!$A$1,MATCH(X$4,'Allocation %'!$A:$A,0)-1,MATCH($D85,'Allocation %'!$5:$5,0)-1)*($F25-$G25)*'2020 Assumptions'!$B$20,0))</f>
        <v>0</v>
      </c>
      <c r="Y85" s="73">
        <f ca="1">IF(Y$5="Doyon Notional Allocation",0,IF($C85&lt;&gt;Y$3,OFFSET('Allocation %'!$A$1,MATCH(Y$4,'Allocation %'!$A:$A,0)-1,MATCH($D85,'Allocation %'!$5:$5,0)-1)*($F25-$G25)*'2020 Assumptions'!$B$20,0))</f>
        <v>0</v>
      </c>
      <c r="Z85" s="73">
        <f ca="1">IF(Z$5="Doyon Notional Allocation",0,IF($C85&lt;&gt;Z$3,OFFSET('Allocation %'!$A$1,MATCH(Z$4,'Allocation %'!$A:$A,0)-1,MATCH($D85,'Allocation %'!$5:$5,0)-1)*($F25-$G25)*'2020 Assumptions'!$B$20,0))</f>
        <v>0</v>
      </c>
      <c r="AA85" s="73">
        <f ca="1">IF(AA$5="Doyon Notional Allocation",0,IF($C85&lt;&gt;AA$3,OFFSET('Allocation %'!$A$1,MATCH(AA$4,'Allocation %'!$A:$A,0)-1,MATCH($D85,'Allocation %'!$5:$5,0)-1)*($F25-$G25)*'2020 Assumptions'!$B$20,0))</f>
        <v>0</v>
      </c>
      <c r="AB85" s="73">
        <f ca="1">IF(AB$5="Doyon Notional Allocation",0,IF($C85&lt;&gt;AB$3,OFFSET('Allocation %'!$A$1,MATCH(AB$4,'Allocation %'!$A:$A,0)-1,MATCH($D85,'Allocation %'!$5:$5,0)-1)*($F25-$G25)*'2020 Assumptions'!$B$20,0))</f>
        <v>0</v>
      </c>
      <c r="AC85" s="73">
        <f ca="1">IF(AC$5="Doyon Notional Allocation",0,IF($C85&lt;&gt;AC$3,OFFSET('Allocation %'!$A$1,MATCH(AC$4,'Allocation %'!$A:$A,0)-1,MATCH($D85,'Allocation %'!$5:$5,0)-1)*($F25-$G25)*'2020 Assumptions'!$B$20,0))</f>
        <v>0</v>
      </c>
      <c r="AD85" s="73">
        <f ca="1">IF(AD$5="Doyon Notional Allocation",0,IF($C85&lt;&gt;AD$3,OFFSET('Allocation %'!$A$1,MATCH(AD$4,'Allocation %'!$A:$A,0)-1,MATCH($D85,'Allocation %'!$5:$5,0)-1)*($F25-$G25)*'2020 Assumptions'!$B$20,0))</f>
        <v>0</v>
      </c>
      <c r="AE85" s="73">
        <f ca="1">IF(AE$5="Doyon Notional Allocation",0,IF($C85&lt;&gt;AE$3,OFFSET('Allocation %'!$A$1,MATCH(AE$4,'Allocation %'!$A:$A,0)-1,MATCH($D85,'Allocation %'!$5:$5,0)-1)*($F25-$G25)*'2020 Assumptions'!$B$20,0))</f>
        <v>0</v>
      </c>
      <c r="AF85" s="73">
        <f ca="1">IF(AF$5="Doyon Notional Allocation",0,IF($C85&lt;&gt;AF$3,OFFSET('Allocation %'!$A$1,MATCH(AF$4,'Allocation %'!$A:$A,0)-1,MATCH($D85,'Allocation %'!$5:$5,0)-1)*($F25-$G25)*'2020 Assumptions'!$B$20,0))</f>
        <v>0</v>
      </c>
      <c r="AG85" s="73">
        <f ca="1">IF(AG$5="Doyon Notional Allocation",0,IF($C85&lt;&gt;AG$3,OFFSET('Allocation %'!$A$1,MATCH(AG$4,'Allocation %'!$A:$A,0)-1,MATCH($D85,'Allocation %'!$5:$5,0)-1)*($F25-$G25)*'2020 Assumptions'!$B$20,0))</f>
        <v>0</v>
      </c>
      <c r="AH85" s="73">
        <f ca="1">IF(AH$5="Doyon Notional Allocation",0,IF($C85&lt;&gt;AH$3,OFFSET('Allocation %'!$A$1,MATCH(AH$4,'Allocation %'!$A:$A,0)-1,MATCH($D85,'Allocation %'!$5:$5,0)-1)*($F25-$G25)*'2020 Assumptions'!$B$20,0))</f>
        <v>0</v>
      </c>
      <c r="AI85" s="73">
        <f ca="1">IF(AI$5="Doyon Notional Allocation",0,IF($C85&lt;&gt;AI$3,OFFSET('Allocation %'!$A$1,MATCH(AI$4,'Allocation %'!$A:$A,0)-1,MATCH($D85,'Allocation %'!$5:$5,0)-1)*($F25-$G25)*'2020 Assumptions'!$B$20,0))</f>
        <v>0</v>
      </c>
      <c r="AJ85" s="73">
        <f ca="1">IF(AJ$5="Doyon Notional Allocation",0,IF($C85&lt;&gt;AJ$3,OFFSET('Allocation %'!$A$1,MATCH(AJ$4,'Allocation %'!$A:$A,0)-1,MATCH($D85,'Allocation %'!$5:$5,0)-1)*($F25-$G25)*'2020 Assumptions'!$B$20,0))</f>
        <v>0</v>
      </c>
      <c r="AK85" s="73">
        <f ca="1">IF(AK$5="Doyon Notional Allocation",0,IF($C85&lt;&gt;AK$3,OFFSET('Allocation %'!$A$1,MATCH(AK$4,'Allocation %'!$A:$A,0)-1,MATCH($D85,'Allocation %'!$5:$5,0)-1)*($F25-$G25)*'2020 Assumptions'!$B$20,0))</f>
        <v>0</v>
      </c>
      <c r="AL85" s="73">
        <f ca="1">IF(AL$5="Doyon Notional Allocation",0,IF($C85&lt;&gt;AL$3,OFFSET('Allocation %'!$A$1,MATCH(AL$4,'Allocation %'!$A:$A,0)-1,MATCH($D85,'Allocation %'!$5:$5,0)-1)*($F25-$G25)*'2020 Assumptions'!$B$20,0))</f>
        <v>0</v>
      </c>
      <c r="AM85" s="73">
        <f ca="1">IF(AM$5="Doyon Notional Allocation",0,IF($C85&lt;&gt;AM$3,OFFSET('Allocation %'!$A$1,MATCH(AM$4,'Allocation %'!$A:$A,0)-1,MATCH($D85,'Allocation %'!$5:$5,0)-1)*($F25-$G25)*'2020 Assumptions'!$B$20,0))</f>
        <v>0</v>
      </c>
      <c r="AN85" s="73">
        <f ca="1">IF(AN$5="Doyon Notional Allocation",0,IF($C85&lt;&gt;AN$3,OFFSET('Allocation %'!$A$1,MATCH(AN$4,'Allocation %'!$A:$A,0)-1,MATCH($D85,'Allocation %'!$5:$5,0)-1)*($F25-$G25)*'2020 Assumptions'!$B$20,0))</f>
        <v>0</v>
      </c>
      <c r="AO85" s="73">
        <f ca="1">IF(AO$5="Doyon Notional Allocation",0,IF($C85&lt;&gt;AO$3,OFFSET('Allocation %'!$A$1,MATCH(AO$4,'Allocation %'!$A:$A,0)-1,MATCH($D85,'Allocation %'!$5:$5,0)-1)*($F25-$G25)*'2020 Assumptions'!$B$20,0))</f>
        <v>0</v>
      </c>
      <c r="AP85" s="73">
        <f ca="1">IF(AP$5="Doyon Notional Allocation",0,IF($C85&lt;&gt;AP$3,OFFSET('Allocation %'!$A$1,MATCH(AP$4,'Allocation %'!$A:$A,0)-1,MATCH($D85,'Allocation %'!$5:$5,0)-1)*($F25-$G25)*'2020 Assumptions'!$B$20,0))</f>
        <v>0</v>
      </c>
      <c r="AQ85" s="73">
        <f ca="1">IF(AQ$5="Doyon Notional Allocation",0,IF($C85&lt;&gt;AQ$3,OFFSET('Allocation %'!$A$1,MATCH(AQ$4,'Allocation %'!$A:$A,0)-1,MATCH($D85,'Allocation %'!$5:$5,0)-1)*($F25-$G25)*'2020 Assumptions'!$B$20,0))</f>
        <v>0</v>
      </c>
      <c r="AR85" s="73">
        <f ca="1">IF(AR$5="Doyon Notional Allocation",0,IF($C85&lt;&gt;AR$3,OFFSET('Allocation %'!$A$1,MATCH(AR$4,'Allocation %'!$A:$A,0)-1,MATCH($D85,'Allocation %'!$5:$5,0)-1)*($F25-$G25)*'2020 Assumptions'!$B$20,0))</f>
        <v>0</v>
      </c>
      <c r="AS85" s="73">
        <f ca="1">IF(AS$5="Doyon Notional Allocation",0,IF($C85&lt;&gt;AS$3,OFFSET('Allocation %'!$A$1,MATCH(AS$4,'Allocation %'!$A:$A,0)-1,MATCH($D85,'Allocation %'!$5:$5,0)-1)*($F25-$G25)*'2020 Assumptions'!$B$20,0))</f>
        <v>0</v>
      </c>
      <c r="AT85" s="73">
        <f ca="1">IF(AT$5="Doyon Notional Allocation",0,IF($C85&lt;&gt;AT$3,OFFSET('Allocation %'!$A$1,MATCH(AT$4,'Allocation %'!$A:$A,0)-1,MATCH($D85,'Allocation %'!$5:$5,0)-1)*($F25-$G25)*'2020 Assumptions'!$B$20,0))</f>
        <v>0</v>
      </c>
      <c r="AU85" s="73">
        <f ca="1">IF(AU$5="Doyon Notional Allocation",0,IF($C85&lt;&gt;AU$3,OFFSET('Allocation %'!$A$1,MATCH(AU$4,'Allocation %'!$A:$A,0)-1,MATCH($D85,'Allocation %'!$5:$5,0)-1)*($F25-$G25)*'2020 Assumptions'!$B$20,0))</f>
        <v>0</v>
      </c>
      <c r="AV85" s="73">
        <f ca="1">IF(AV$5="Doyon Notional Allocation",0,IF($C85&lt;&gt;AV$3,OFFSET('Allocation %'!$A$1,MATCH(AV$4,'Allocation %'!$A:$A,0)-1,MATCH($D85,'Allocation %'!$5:$5,0)-1)*($F25-$G25)*'2020 Assumptions'!$B$20,0))</f>
        <v>0</v>
      </c>
      <c r="AW85" s="73">
        <f ca="1">IF(AW$5="Doyon Notional Allocation",0,IF($C85&lt;&gt;AW$3,OFFSET('Allocation %'!$A$1,MATCH(AW$4,'Allocation %'!$A:$A,0)-1,MATCH($D85,'Allocation %'!$5:$5,0)-1)*($F25-$G25)*'2020 Assumptions'!$B$20,0))</f>
        <v>0</v>
      </c>
      <c r="AX85" s="73">
        <f ca="1">IF(AX$5="Doyon Notional Allocation",0,IF($C85&lt;&gt;AX$3,OFFSET('Allocation %'!$A$1,MATCH(AX$4,'Allocation %'!$A:$A,0)-1,MATCH($D85,'Allocation %'!$5:$5,0)-1)*($F25-$G25)*'2020 Assumptions'!$B$20,0))</f>
        <v>0</v>
      </c>
      <c r="AY85" s="73">
        <f ca="1">IF(AY$5="Doyon Notional Allocation",0,IF($C85&lt;&gt;AY$3,OFFSET('Allocation %'!$A$1,MATCH(AY$4,'Allocation %'!$A:$A,0)-1,MATCH($D85,'Allocation %'!$5:$5,0)-1)*($F25-$G25)*'2020 Assumptions'!$B$20,0))</f>
        <v>0</v>
      </c>
      <c r="AZ85" s="73">
        <f ca="1">IF(AZ$5="Doyon Notional Allocation",0,IF($C85&lt;&gt;AZ$3,OFFSET('Allocation %'!$A$1,MATCH(AZ$4,'Allocation %'!$A:$A,0)-1,MATCH($D85,'Allocation %'!$5:$5,0)-1)*($F25-$G25)*'2020 Assumptions'!$B$20,0))</f>
        <v>0</v>
      </c>
      <c r="BA85" s="73">
        <f ca="1">IF(BA$5="Doyon Notional Allocation",0,IF($C85&lt;&gt;BA$3,OFFSET('Allocation %'!$A$1,MATCH(BA$4,'Allocation %'!$A:$A,0)-1,MATCH($D85,'Allocation %'!$5:$5,0)-1)*($F25-$G25)*'2020 Assumptions'!$B$20,0))</f>
        <v>0</v>
      </c>
      <c r="BB85" s="73">
        <f ca="1">IF(BB$5="Doyon Notional Allocation",0,IF($C85&lt;&gt;BB$3,OFFSET('Allocation %'!$A$1,MATCH(BB$4,'Allocation %'!$A:$A,0)-1,MATCH($D85,'Allocation %'!$5:$5,0)-1)*($F25-$G25)*'2020 Assumptions'!$B$20,0))</f>
        <v>7674.3399606646281</v>
      </c>
      <c r="BC85" s="73">
        <f ca="1">IF(BC$5="Doyon Notional Allocation",0,IF($C85&lt;&gt;BC$3,OFFSET('Allocation %'!$A$1,MATCH(BC$4,'Allocation %'!$A:$A,0)-1,MATCH($D85,'Allocation %'!$5:$5,0)-1)*($F25-$G25)*'2020 Assumptions'!$B$20,0))</f>
        <v>231.50919838742956</v>
      </c>
      <c r="BD85" s="73">
        <f ca="1">IF(BD$5="Doyon Notional Allocation",0,IF($C85&lt;&gt;BD$3,OFFSET('Allocation %'!$A$1,MATCH(BD$4,'Allocation %'!$A:$A,0)-1,MATCH($D85,'Allocation %'!$5:$5,0)-1)*($F25-$G25)*'2020 Assumptions'!$B$20,0))</f>
        <v>4386.4613543710439</v>
      </c>
      <c r="BE85" s="73">
        <f ca="1">IF(BE$5="Doyon Notional Allocation",0,IF($C85&lt;&gt;BE$3,OFFSET('Allocation %'!$A$1,MATCH(BE$4,'Allocation %'!$A:$A,0)-1,MATCH($D85,'Allocation %'!$5:$5,0)-1)*($F25-$G25)*'2020 Assumptions'!$B$20,0))</f>
        <v>0</v>
      </c>
      <c r="BG85" s="76">
        <f t="shared" ca="1" si="9"/>
        <v>12292.310513423101</v>
      </c>
      <c r="BH85" s="349">
        <f t="shared" ca="1" si="10"/>
        <v>0</v>
      </c>
    </row>
    <row r="86" spans="2:60" s="177" customFormat="1" x14ac:dyDescent="0.25">
      <c r="B86" s="294" t="str">
        <f t="shared" si="7"/>
        <v>1010-009140 - HSE Canada SS Mark up</v>
      </c>
      <c r="C86" s="177" t="str">
        <f t="shared" si="8"/>
        <v>CAD</v>
      </c>
      <c r="D86" s="159" t="str">
        <f t="shared" ca="1" si="8"/>
        <v>Canada Only</v>
      </c>
      <c r="E86" s="303">
        <f ca="1">F86*'2020 Assumptions'!$B$4</f>
        <v>0</v>
      </c>
      <c r="F86" s="73">
        <f t="shared" ca="1" si="11"/>
        <v>0</v>
      </c>
      <c r="G86" s="73"/>
      <c r="I86" s="73">
        <f ca="1">IF(I$5="Doyon Notional Allocation",0,IF($C86&lt;&gt;I$3,OFFSET('Allocation %'!$A$1,MATCH(I$4,'Allocation %'!$A:$A,0)-1,MATCH($D86,'Allocation %'!$5:$5,0)-1)*($F26-$G26)*'2020 Assumptions'!$B$20,0))</f>
        <v>0</v>
      </c>
      <c r="J86" s="73">
        <f ca="1">IF(J$5="Doyon Notional Allocation",0,IF($C86&lt;&gt;J$3,OFFSET('Allocation %'!$A$1,MATCH(J$4,'Allocation %'!$A:$A,0)-1,MATCH($D86,'Allocation %'!$5:$5,0)-1)*($F26-$G26)*'2020 Assumptions'!$B$20,0))</f>
        <v>0</v>
      </c>
      <c r="K86" s="73">
        <f ca="1">IF(K$5="Doyon Notional Allocation",0,IF($C86&lt;&gt;K$3,OFFSET('Allocation %'!$A$1,MATCH(K$4,'Allocation %'!$A:$A,0)-1,MATCH($D86,'Allocation %'!$5:$5,0)-1)*($F26-$G26)*'2020 Assumptions'!$B$20,0))</f>
        <v>0</v>
      </c>
      <c r="L86" s="73">
        <f ca="1">IF(L$5="Doyon Notional Allocation",0,IF($C86&lt;&gt;L$3,OFFSET('Allocation %'!$A$1,MATCH(L$4,'Allocation %'!$A:$A,0)-1,MATCH($D86,'Allocation %'!$5:$5,0)-1)*($F26-$G26)*'2020 Assumptions'!$B$20,0))</f>
        <v>0</v>
      </c>
      <c r="M86" s="73">
        <f ca="1">IF(M$5="Doyon Notional Allocation",0,IF($C86&lt;&gt;M$3,OFFSET('Allocation %'!$A$1,MATCH(M$4,'Allocation %'!$A:$A,0)-1,MATCH($D86,'Allocation %'!$5:$5,0)-1)*($F26-$G26)*'2020 Assumptions'!$B$20,0))</f>
        <v>0</v>
      </c>
      <c r="N86" s="73">
        <f ca="1">IF(N$5="Doyon Notional Allocation",0,IF($C86&lt;&gt;N$3,OFFSET('Allocation %'!$A$1,MATCH(N$4,'Allocation %'!$A:$A,0)-1,MATCH($D86,'Allocation %'!$5:$5,0)-1)*($F26-$G26)*'2020 Assumptions'!$B$20,0))</f>
        <v>0</v>
      </c>
      <c r="O86" s="73">
        <f ca="1">IF(O$5="Doyon Notional Allocation",0,IF($C86&lt;&gt;O$3,OFFSET('Allocation %'!$A$1,MATCH(O$4,'Allocation %'!$A:$A,0)-1,MATCH($D86,'Allocation %'!$5:$5,0)-1)*($F26-$G26)*'2020 Assumptions'!$B$20,0))</f>
        <v>0</v>
      </c>
      <c r="P86" s="73">
        <f ca="1">IF(P$5="Doyon Notional Allocation",0,IF($C86&lt;&gt;P$3,OFFSET('Allocation %'!$A$1,MATCH(P$4,'Allocation %'!$A:$A,0)-1,MATCH($D86,'Allocation %'!$5:$5,0)-1)*($F26-$G26)*'2020 Assumptions'!$B$20,0))</f>
        <v>0</v>
      </c>
      <c r="Q86" s="73">
        <f ca="1">IF(Q$5="Doyon Notional Allocation",0,IF($C86&lt;&gt;Q$3,OFFSET('Allocation %'!$A$1,MATCH(Q$4,'Allocation %'!$A:$A,0)-1,MATCH($D86,'Allocation %'!$5:$5,0)-1)*($F26-$G26)*'2020 Assumptions'!$B$20,0))</f>
        <v>0</v>
      </c>
      <c r="R86" s="73">
        <f ca="1">IF(R$5="Doyon Notional Allocation",0,IF($C86&lt;&gt;R$3,OFFSET('Allocation %'!$A$1,MATCH(R$4,'Allocation %'!$A:$A,0)-1,MATCH($D86,'Allocation %'!$5:$5,0)-1)*($F26-$G26)*'2020 Assumptions'!$B$20,0))</f>
        <v>0</v>
      </c>
      <c r="S86" s="73">
        <f ca="1">IF(S$5="Doyon Notional Allocation",0,IF($C86&lt;&gt;S$3,OFFSET('Allocation %'!$A$1,MATCH(S$4,'Allocation %'!$A:$A,0)-1,MATCH($D86,'Allocation %'!$5:$5,0)-1)*($F26-$G26)*'2020 Assumptions'!$B$20,0))</f>
        <v>0</v>
      </c>
      <c r="T86" s="73">
        <f ca="1">IF(T$5="Doyon Notional Allocation",0,IF($C86&lt;&gt;T$3,OFFSET('Allocation %'!$A$1,MATCH(T$4,'Allocation %'!$A:$A,0)-1,MATCH($D86,'Allocation %'!$5:$5,0)-1)*($F26-$G26)*'2020 Assumptions'!$B$20,0))</f>
        <v>0</v>
      </c>
      <c r="U86" s="73">
        <f ca="1">IF(U$5="Doyon Notional Allocation",0,IF($C86&lt;&gt;U$3,OFFSET('Allocation %'!$A$1,MATCH(U$4,'Allocation %'!$A:$A,0)-1,MATCH($D86,'Allocation %'!$5:$5,0)-1)*($F26-$G26)*'2020 Assumptions'!$B$20,0))</f>
        <v>0</v>
      </c>
      <c r="V86" s="73">
        <f ca="1">IF(V$5="Doyon Notional Allocation",0,IF($C86&lt;&gt;V$3,OFFSET('Allocation %'!$A$1,MATCH(V$4,'Allocation %'!$A:$A,0)-1,MATCH($D86,'Allocation %'!$5:$5,0)-1)*($F26-$G26)*'2020 Assumptions'!$B$20,0))</f>
        <v>0</v>
      </c>
      <c r="W86" s="73">
        <f ca="1">IF(W$5="Doyon Notional Allocation",0,IF($C86&lt;&gt;W$3,OFFSET('Allocation %'!$A$1,MATCH(W$4,'Allocation %'!$A:$A,0)-1,MATCH($D86,'Allocation %'!$5:$5,0)-1)*($F26-$G26)*'2020 Assumptions'!$B$20,0))</f>
        <v>0</v>
      </c>
      <c r="X86" s="73">
        <f ca="1">IF(X$5="Doyon Notional Allocation",0,IF($C86&lt;&gt;X$3,OFFSET('Allocation %'!$A$1,MATCH(X$4,'Allocation %'!$A:$A,0)-1,MATCH($D86,'Allocation %'!$5:$5,0)-1)*($F26-$G26)*'2020 Assumptions'!$B$20,0))</f>
        <v>0</v>
      </c>
      <c r="Y86" s="73">
        <f ca="1">IF(Y$5="Doyon Notional Allocation",0,IF($C86&lt;&gt;Y$3,OFFSET('Allocation %'!$A$1,MATCH(Y$4,'Allocation %'!$A:$A,0)-1,MATCH($D86,'Allocation %'!$5:$5,0)-1)*($F26-$G26)*'2020 Assumptions'!$B$20,0))</f>
        <v>0</v>
      </c>
      <c r="Z86" s="73">
        <f ca="1">IF(Z$5="Doyon Notional Allocation",0,IF($C86&lt;&gt;Z$3,OFFSET('Allocation %'!$A$1,MATCH(Z$4,'Allocation %'!$A:$A,0)-1,MATCH($D86,'Allocation %'!$5:$5,0)-1)*($F26-$G26)*'2020 Assumptions'!$B$20,0))</f>
        <v>0</v>
      </c>
      <c r="AA86" s="73">
        <f ca="1">IF(AA$5="Doyon Notional Allocation",0,IF($C86&lt;&gt;AA$3,OFFSET('Allocation %'!$A$1,MATCH(AA$4,'Allocation %'!$A:$A,0)-1,MATCH($D86,'Allocation %'!$5:$5,0)-1)*($F26-$G26)*'2020 Assumptions'!$B$20,0))</f>
        <v>0</v>
      </c>
      <c r="AB86" s="73">
        <f ca="1">IF(AB$5="Doyon Notional Allocation",0,IF($C86&lt;&gt;AB$3,OFFSET('Allocation %'!$A$1,MATCH(AB$4,'Allocation %'!$A:$A,0)-1,MATCH($D86,'Allocation %'!$5:$5,0)-1)*($F26-$G26)*'2020 Assumptions'!$B$20,0))</f>
        <v>0</v>
      </c>
      <c r="AC86" s="73">
        <f ca="1">IF(AC$5="Doyon Notional Allocation",0,IF($C86&lt;&gt;AC$3,OFFSET('Allocation %'!$A$1,MATCH(AC$4,'Allocation %'!$A:$A,0)-1,MATCH($D86,'Allocation %'!$5:$5,0)-1)*($F26-$G26)*'2020 Assumptions'!$B$20,0))</f>
        <v>0</v>
      </c>
      <c r="AD86" s="73">
        <f ca="1">IF(AD$5="Doyon Notional Allocation",0,IF($C86&lt;&gt;AD$3,OFFSET('Allocation %'!$A$1,MATCH(AD$4,'Allocation %'!$A:$A,0)-1,MATCH($D86,'Allocation %'!$5:$5,0)-1)*($F26-$G26)*'2020 Assumptions'!$B$20,0))</f>
        <v>0</v>
      </c>
      <c r="AE86" s="73">
        <f ca="1">IF(AE$5="Doyon Notional Allocation",0,IF($C86&lt;&gt;AE$3,OFFSET('Allocation %'!$A$1,MATCH(AE$4,'Allocation %'!$A:$A,0)-1,MATCH($D86,'Allocation %'!$5:$5,0)-1)*($F26-$G26)*'2020 Assumptions'!$B$20,0))</f>
        <v>0</v>
      </c>
      <c r="AF86" s="73">
        <f ca="1">IF(AF$5="Doyon Notional Allocation",0,IF($C86&lt;&gt;AF$3,OFFSET('Allocation %'!$A$1,MATCH(AF$4,'Allocation %'!$A:$A,0)-1,MATCH($D86,'Allocation %'!$5:$5,0)-1)*($F26-$G26)*'2020 Assumptions'!$B$20,0))</f>
        <v>0</v>
      </c>
      <c r="AG86" s="73">
        <f ca="1">IF(AG$5="Doyon Notional Allocation",0,IF($C86&lt;&gt;AG$3,OFFSET('Allocation %'!$A$1,MATCH(AG$4,'Allocation %'!$A:$A,0)-1,MATCH($D86,'Allocation %'!$5:$5,0)-1)*($F26-$G26)*'2020 Assumptions'!$B$20,0))</f>
        <v>0</v>
      </c>
      <c r="AH86" s="73">
        <f ca="1">IF(AH$5="Doyon Notional Allocation",0,IF($C86&lt;&gt;AH$3,OFFSET('Allocation %'!$A$1,MATCH(AH$4,'Allocation %'!$A:$A,0)-1,MATCH($D86,'Allocation %'!$5:$5,0)-1)*($F26-$G26)*'2020 Assumptions'!$B$20,0))</f>
        <v>0</v>
      </c>
      <c r="AI86" s="73">
        <f ca="1">IF(AI$5="Doyon Notional Allocation",0,IF($C86&lt;&gt;AI$3,OFFSET('Allocation %'!$A$1,MATCH(AI$4,'Allocation %'!$A:$A,0)-1,MATCH($D86,'Allocation %'!$5:$5,0)-1)*($F26-$G26)*'2020 Assumptions'!$B$20,0))</f>
        <v>0</v>
      </c>
      <c r="AJ86" s="73">
        <f ca="1">IF(AJ$5="Doyon Notional Allocation",0,IF($C86&lt;&gt;AJ$3,OFFSET('Allocation %'!$A$1,MATCH(AJ$4,'Allocation %'!$A:$A,0)-1,MATCH($D86,'Allocation %'!$5:$5,0)-1)*($F26-$G26)*'2020 Assumptions'!$B$20,0))</f>
        <v>0</v>
      </c>
      <c r="AK86" s="73">
        <f ca="1">IF(AK$5="Doyon Notional Allocation",0,IF($C86&lt;&gt;AK$3,OFFSET('Allocation %'!$A$1,MATCH(AK$4,'Allocation %'!$A:$A,0)-1,MATCH($D86,'Allocation %'!$5:$5,0)-1)*($F26-$G26)*'2020 Assumptions'!$B$20,0))</f>
        <v>0</v>
      </c>
      <c r="AL86" s="73">
        <f ca="1">IF(AL$5="Doyon Notional Allocation",0,IF($C86&lt;&gt;AL$3,OFFSET('Allocation %'!$A$1,MATCH(AL$4,'Allocation %'!$A:$A,0)-1,MATCH($D86,'Allocation %'!$5:$5,0)-1)*($F26-$G26)*'2020 Assumptions'!$B$20,0))</f>
        <v>0</v>
      </c>
      <c r="AM86" s="73">
        <f ca="1">IF(AM$5="Doyon Notional Allocation",0,IF($C86&lt;&gt;AM$3,OFFSET('Allocation %'!$A$1,MATCH(AM$4,'Allocation %'!$A:$A,0)-1,MATCH($D86,'Allocation %'!$5:$5,0)-1)*($F26-$G26)*'2020 Assumptions'!$B$20,0))</f>
        <v>0</v>
      </c>
      <c r="AN86" s="73">
        <f ca="1">IF(AN$5="Doyon Notional Allocation",0,IF($C86&lt;&gt;AN$3,OFFSET('Allocation %'!$A$1,MATCH(AN$4,'Allocation %'!$A:$A,0)-1,MATCH($D86,'Allocation %'!$5:$5,0)-1)*($F26-$G26)*'2020 Assumptions'!$B$20,0))</f>
        <v>0</v>
      </c>
      <c r="AO86" s="73">
        <f ca="1">IF(AO$5="Doyon Notional Allocation",0,IF($C86&lt;&gt;AO$3,OFFSET('Allocation %'!$A$1,MATCH(AO$4,'Allocation %'!$A:$A,0)-1,MATCH($D86,'Allocation %'!$5:$5,0)-1)*($F26-$G26)*'2020 Assumptions'!$B$20,0))</f>
        <v>0</v>
      </c>
      <c r="AP86" s="73">
        <f ca="1">IF(AP$5="Doyon Notional Allocation",0,IF($C86&lt;&gt;AP$3,OFFSET('Allocation %'!$A$1,MATCH(AP$4,'Allocation %'!$A:$A,0)-1,MATCH($D86,'Allocation %'!$5:$5,0)-1)*($F26-$G26)*'2020 Assumptions'!$B$20,0))</f>
        <v>0</v>
      </c>
      <c r="AQ86" s="73">
        <f ca="1">IF(AQ$5="Doyon Notional Allocation",0,IF($C86&lt;&gt;AQ$3,OFFSET('Allocation %'!$A$1,MATCH(AQ$4,'Allocation %'!$A:$A,0)-1,MATCH($D86,'Allocation %'!$5:$5,0)-1)*($F26-$G26)*'2020 Assumptions'!$B$20,0))</f>
        <v>0</v>
      </c>
      <c r="AR86" s="73">
        <f ca="1">IF(AR$5="Doyon Notional Allocation",0,IF($C86&lt;&gt;AR$3,OFFSET('Allocation %'!$A$1,MATCH(AR$4,'Allocation %'!$A:$A,0)-1,MATCH($D86,'Allocation %'!$5:$5,0)-1)*($F26-$G26)*'2020 Assumptions'!$B$20,0))</f>
        <v>0</v>
      </c>
      <c r="AS86" s="73">
        <f ca="1">IF(AS$5="Doyon Notional Allocation",0,IF($C86&lt;&gt;AS$3,OFFSET('Allocation %'!$A$1,MATCH(AS$4,'Allocation %'!$A:$A,0)-1,MATCH($D86,'Allocation %'!$5:$5,0)-1)*($F26-$G26)*'2020 Assumptions'!$B$20,0))</f>
        <v>0</v>
      </c>
      <c r="AT86" s="73">
        <f ca="1">IF(AT$5="Doyon Notional Allocation",0,IF($C86&lt;&gt;AT$3,OFFSET('Allocation %'!$A$1,MATCH(AT$4,'Allocation %'!$A:$A,0)-1,MATCH($D86,'Allocation %'!$5:$5,0)-1)*($F26-$G26)*'2020 Assumptions'!$B$20,0))</f>
        <v>0</v>
      </c>
      <c r="AU86" s="73">
        <f ca="1">IF(AU$5="Doyon Notional Allocation",0,IF($C86&lt;&gt;AU$3,OFFSET('Allocation %'!$A$1,MATCH(AU$4,'Allocation %'!$A:$A,0)-1,MATCH($D86,'Allocation %'!$5:$5,0)-1)*($F26-$G26)*'2020 Assumptions'!$B$20,0))</f>
        <v>0</v>
      </c>
      <c r="AV86" s="73">
        <f ca="1">IF(AV$5="Doyon Notional Allocation",0,IF($C86&lt;&gt;AV$3,OFFSET('Allocation %'!$A$1,MATCH(AV$4,'Allocation %'!$A:$A,0)-1,MATCH($D86,'Allocation %'!$5:$5,0)-1)*($F26-$G26)*'2020 Assumptions'!$B$20,0))</f>
        <v>0</v>
      </c>
      <c r="AW86" s="73">
        <f ca="1">IF(AW$5="Doyon Notional Allocation",0,IF($C86&lt;&gt;AW$3,OFFSET('Allocation %'!$A$1,MATCH(AW$4,'Allocation %'!$A:$A,0)-1,MATCH($D86,'Allocation %'!$5:$5,0)-1)*($F26-$G26)*'2020 Assumptions'!$B$20,0))</f>
        <v>0</v>
      </c>
      <c r="AX86" s="73">
        <f ca="1">IF(AX$5="Doyon Notional Allocation",0,IF($C86&lt;&gt;AX$3,OFFSET('Allocation %'!$A$1,MATCH(AX$4,'Allocation %'!$A:$A,0)-1,MATCH($D86,'Allocation %'!$5:$5,0)-1)*($F26-$G26)*'2020 Assumptions'!$B$20,0))</f>
        <v>0</v>
      </c>
      <c r="AY86" s="73">
        <f ca="1">IF(AY$5="Doyon Notional Allocation",0,IF($C86&lt;&gt;AY$3,OFFSET('Allocation %'!$A$1,MATCH(AY$4,'Allocation %'!$A:$A,0)-1,MATCH($D86,'Allocation %'!$5:$5,0)-1)*($F26-$G26)*'2020 Assumptions'!$B$20,0))</f>
        <v>0</v>
      </c>
      <c r="AZ86" s="73">
        <f ca="1">IF(AZ$5="Doyon Notional Allocation",0,IF($C86&lt;&gt;AZ$3,OFFSET('Allocation %'!$A$1,MATCH(AZ$4,'Allocation %'!$A:$A,0)-1,MATCH($D86,'Allocation %'!$5:$5,0)-1)*($F26-$G26)*'2020 Assumptions'!$B$20,0))</f>
        <v>0</v>
      </c>
      <c r="BA86" s="73">
        <f ca="1">IF(BA$5="Doyon Notional Allocation",0,IF($C86&lt;&gt;BA$3,OFFSET('Allocation %'!$A$1,MATCH(BA$4,'Allocation %'!$A:$A,0)-1,MATCH($D86,'Allocation %'!$5:$5,0)-1)*($F26-$G26)*'2020 Assumptions'!$B$20,0))</f>
        <v>0</v>
      </c>
      <c r="BB86" s="73">
        <f ca="1">IF(BB$5="Doyon Notional Allocation",0,IF($C86&lt;&gt;BB$3,OFFSET('Allocation %'!$A$1,MATCH(BB$4,'Allocation %'!$A:$A,0)-1,MATCH($D86,'Allocation %'!$5:$5,0)-1)*($F26-$G26)*'2020 Assumptions'!$B$20,0))</f>
        <v>0</v>
      </c>
      <c r="BC86" s="73">
        <f ca="1">IF(BC$5="Doyon Notional Allocation",0,IF($C86&lt;&gt;BC$3,OFFSET('Allocation %'!$A$1,MATCH(BC$4,'Allocation %'!$A:$A,0)-1,MATCH($D86,'Allocation %'!$5:$5,0)-1)*($F26-$G26)*'2020 Assumptions'!$B$20,0))</f>
        <v>0</v>
      </c>
      <c r="BD86" s="73">
        <f ca="1">IF(BD$5="Doyon Notional Allocation",0,IF($C86&lt;&gt;BD$3,OFFSET('Allocation %'!$A$1,MATCH(BD$4,'Allocation %'!$A:$A,0)-1,MATCH($D86,'Allocation %'!$5:$5,0)-1)*($F26-$G26)*'2020 Assumptions'!$B$20,0))</f>
        <v>0</v>
      </c>
      <c r="BE86" s="73">
        <f ca="1">IF(BE$5="Doyon Notional Allocation",0,IF($C86&lt;&gt;BE$3,OFFSET('Allocation %'!$A$1,MATCH(BE$4,'Allocation %'!$A:$A,0)-1,MATCH($D86,'Allocation %'!$5:$5,0)-1)*($F26-$G26)*'2020 Assumptions'!$B$20,0))</f>
        <v>0</v>
      </c>
      <c r="BG86" s="76">
        <f t="shared" ca="1" si="9"/>
        <v>0</v>
      </c>
      <c r="BH86" s="349">
        <f t="shared" ca="1" si="10"/>
        <v>0</v>
      </c>
    </row>
    <row r="87" spans="2:60" s="177" customFormat="1" x14ac:dyDescent="0.25">
      <c r="B87" s="294" t="str">
        <f t="shared" si="7"/>
        <v>1010-009150 - IT Canada (CUI) SS Mark up</v>
      </c>
      <c r="C87" s="177" t="str">
        <f t="shared" si="8"/>
        <v>CAD</v>
      </c>
      <c r="D87" s="159" t="str">
        <f t="shared" si="8"/>
        <v>Canada Only</v>
      </c>
      <c r="E87" s="303">
        <f ca="1">F87*'2020 Assumptions'!$B$4</f>
        <v>0</v>
      </c>
      <c r="F87" s="73">
        <f t="shared" ca="1" si="11"/>
        <v>0</v>
      </c>
      <c r="G87" s="73"/>
      <c r="I87" s="73">
        <f ca="1">IF(I$5="Doyon Notional Allocation",0,IF($C87&lt;&gt;I$3,OFFSET('Allocation %'!$A$1,MATCH(I$4,'Allocation %'!$A:$A,0)-1,MATCH($D87,'Allocation %'!$5:$5,0)-1)*($F27-$G27)*'2020 Assumptions'!$B$20,0))</f>
        <v>0</v>
      </c>
      <c r="J87" s="73">
        <f ca="1">IF(J$5="Doyon Notional Allocation",0,IF($C87&lt;&gt;J$3,OFFSET('Allocation %'!$A$1,MATCH(J$4,'Allocation %'!$A:$A,0)-1,MATCH($D87,'Allocation %'!$5:$5,0)-1)*($F27-$G27)*'2020 Assumptions'!$B$20,0))</f>
        <v>0</v>
      </c>
      <c r="K87" s="73">
        <f ca="1">IF(K$5="Doyon Notional Allocation",0,IF($C87&lt;&gt;K$3,OFFSET('Allocation %'!$A$1,MATCH(K$4,'Allocation %'!$A:$A,0)-1,MATCH($D87,'Allocation %'!$5:$5,0)-1)*($F27-$G27)*'2020 Assumptions'!$B$20,0))</f>
        <v>0</v>
      </c>
      <c r="L87" s="73">
        <f ca="1">IF(L$5="Doyon Notional Allocation",0,IF($C87&lt;&gt;L$3,OFFSET('Allocation %'!$A$1,MATCH(L$4,'Allocation %'!$A:$A,0)-1,MATCH($D87,'Allocation %'!$5:$5,0)-1)*($F27-$G27)*'2020 Assumptions'!$B$20,0))</f>
        <v>0</v>
      </c>
      <c r="M87" s="73">
        <f ca="1">IF(M$5="Doyon Notional Allocation",0,IF($C87&lt;&gt;M$3,OFFSET('Allocation %'!$A$1,MATCH(M$4,'Allocation %'!$A:$A,0)-1,MATCH($D87,'Allocation %'!$5:$5,0)-1)*($F27-$G27)*'2020 Assumptions'!$B$20,0))</f>
        <v>0</v>
      </c>
      <c r="N87" s="73">
        <f ca="1">IF(N$5="Doyon Notional Allocation",0,IF($C87&lt;&gt;N$3,OFFSET('Allocation %'!$A$1,MATCH(N$4,'Allocation %'!$A:$A,0)-1,MATCH($D87,'Allocation %'!$5:$5,0)-1)*($F27-$G27)*'2020 Assumptions'!$B$20,0))</f>
        <v>0</v>
      </c>
      <c r="O87" s="73">
        <f ca="1">IF(O$5="Doyon Notional Allocation",0,IF($C87&lt;&gt;O$3,OFFSET('Allocation %'!$A$1,MATCH(O$4,'Allocation %'!$A:$A,0)-1,MATCH($D87,'Allocation %'!$5:$5,0)-1)*($F27-$G27)*'2020 Assumptions'!$B$20,0))</f>
        <v>0</v>
      </c>
      <c r="P87" s="73">
        <f ca="1">IF(P$5="Doyon Notional Allocation",0,IF($C87&lt;&gt;P$3,OFFSET('Allocation %'!$A$1,MATCH(P$4,'Allocation %'!$A:$A,0)-1,MATCH($D87,'Allocation %'!$5:$5,0)-1)*($F27-$G27)*'2020 Assumptions'!$B$20,0))</f>
        <v>0</v>
      </c>
      <c r="Q87" s="73">
        <f ca="1">IF(Q$5="Doyon Notional Allocation",0,IF($C87&lt;&gt;Q$3,OFFSET('Allocation %'!$A$1,MATCH(Q$4,'Allocation %'!$A:$A,0)-1,MATCH($D87,'Allocation %'!$5:$5,0)-1)*($F27-$G27)*'2020 Assumptions'!$B$20,0))</f>
        <v>0</v>
      </c>
      <c r="R87" s="73">
        <f ca="1">IF(R$5="Doyon Notional Allocation",0,IF($C87&lt;&gt;R$3,OFFSET('Allocation %'!$A$1,MATCH(R$4,'Allocation %'!$A:$A,0)-1,MATCH($D87,'Allocation %'!$5:$5,0)-1)*($F27-$G27)*'2020 Assumptions'!$B$20,0))</f>
        <v>0</v>
      </c>
      <c r="S87" s="73">
        <f ca="1">IF(S$5="Doyon Notional Allocation",0,IF($C87&lt;&gt;S$3,OFFSET('Allocation %'!$A$1,MATCH(S$4,'Allocation %'!$A:$A,0)-1,MATCH($D87,'Allocation %'!$5:$5,0)-1)*($F27-$G27)*'2020 Assumptions'!$B$20,0))</f>
        <v>0</v>
      </c>
      <c r="T87" s="73">
        <f ca="1">IF(T$5="Doyon Notional Allocation",0,IF($C87&lt;&gt;T$3,OFFSET('Allocation %'!$A$1,MATCH(T$4,'Allocation %'!$A:$A,0)-1,MATCH($D87,'Allocation %'!$5:$5,0)-1)*($F27-$G27)*'2020 Assumptions'!$B$20,0))</f>
        <v>0</v>
      </c>
      <c r="U87" s="73">
        <f ca="1">IF(U$5="Doyon Notional Allocation",0,IF($C87&lt;&gt;U$3,OFFSET('Allocation %'!$A$1,MATCH(U$4,'Allocation %'!$A:$A,0)-1,MATCH($D87,'Allocation %'!$5:$5,0)-1)*($F27-$G27)*'2020 Assumptions'!$B$20,0))</f>
        <v>0</v>
      </c>
      <c r="V87" s="73">
        <f ca="1">IF(V$5="Doyon Notional Allocation",0,IF($C87&lt;&gt;V$3,OFFSET('Allocation %'!$A$1,MATCH(V$4,'Allocation %'!$A:$A,0)-1,MATCH($D87,'Allocation %'!$5:$5,0)-1)*($F27-$G27)*'2020 Assumptions'!$B$20,0))</f>
        <v>0</v>
      </c>
      <c r="W87" s="73">
        <f ca="1">IF(W$5="Doyon Notional Allocation",0,IF($C87&lt;&gt;W$3,OFFSET('Allocation %'!$A$1,MATCH(W$4,'Allocation %'!$A:$A,0)-1,MATCH($D87,'Allocation %'!$5:$5,0)-1)*($F27-$G27)*'2020 Assumptions'!$B$20,0))</f>
        <v>0</v>
      </c>
      <c r="X87" s="73">
        <f ca="1">IF(X$5="Doyon Notional Allocation",0,IF($C87&lt;&gt;X$3,OFFSET('Allocation %'!$A$1,MATCH(X$4,'Allocation %'!$A:$A,0)-1,MATCH($D87,'Allocation %'!$5:$5,0)-1)*($F27-$G27)*'2020 Assumptions'!$B$20,0))</f>
        <v>0</v>
      </c>
      <c r="Y87" s="73">
        <f ca="1">IF(Y$5="Doyon Notional Allocation",0,IF($C87&lt;&gt;Y$3,OFFSET('Allocation %'!$A$1,MATCH(Y$4,'Allocation %'!$A:$A,0)-1,MATCH($D87,'Allocation %'!$5:$5,0)-1)*($F27-$G27)*'2020 Assumptions'!$B$20,0))</f>
        <v>0</v>
      </c>
      <c r="Z87" s="73">
        <f ca="1">IF(Z$5="Doyon Notional Allocation",0,IF($C87&lt;&gt;Z$3,OFFSET('Allocation %'!$A$1,MATCH(Z$4,'Allocation %'!$A:$A,0)-1,MATCH($D87,'Allocation %'!$5:$5,0)-1)*($F27-$G27)*'2020 Assumptions'!$B$20,0))</f>
        <v>0</v>
      </c>
      <c r="AA87" s="73">
        <f ca="1">IF(AA$5="Doyon Notional Allocation",0,IF($C87&lt;&gt;AA$3,OFFSET('Allocation %'!$A$1,MATCH(AA$4,'Allocation %'!$A:$A,0)-1,MATCH($D87,'Allocation %'!$5:$5,0)-1)*($F27-$G27)*'2020 Assumptions'!$B$20,0))</f>
        <v>0</v>
      </c>
      <c r="AB87" s="73">
        <f ca="1">IF(AB$5="Doyon Notional Allocation",0,IF($C87&lt;&gt;AB$3,OFFSET('Allocation %'!$A$1,MATCH(AB$4,'Allocation %'!$A:$A,0)-1,MATCH($D87,'Allocation %'!$5:$5,0)-1)*($F27-$G27)*'2020 Assumptions'!$B$20,0))</f>
        <v>0</v>
      </c>
      <c r="AC87" s="73">
        <f ca="1">IF(AC$5="Doyon Notional Allocation",0,IF($C87&lt;&gt;AC$3,OFFSET('Allocation %'!$A$1,MATCH(AC$4,'Allocation %'!$A:$A,0)-1,MATCH($D87,'Allocation %'!$5:$5,0)-1)*($F27-$G27)*'2020 Assumptions'!$B$20,0))</f>
        <v>0</v>
      </c>
      <c r="AD87" s="73">
        <f ca="1">IF(AD$5="Doyon Notional Allocation",0,IF($C87&lt;&gt;AD$3,OFFSET('Allocation %'!$A$1,MATCH(AD$4,'Allocation %'!$A:$A,0)-1,MATCH($D87,'Allocation %'!$5:$5,0)-1)*($F27-$G27)*'2020 Assumptions'!$B$20,0))</f>
        <v>0</v>
      </c>
      <c r="AE87" s="73">
        <f ca="1">IF(AE$5="Doyon Notional Allocation",0,IF($C87&lt;&gt;AE$3,OFFSET('Allocation %'!$A$1,MATCH(AE$4,'Allocation %'!$A:$A,0)-1,MATCH($D87,'Allocation %'!$5:$5,0)-1)*($F27-$G27)*'2020 Assumptions'!$B$20,0))</f>
        <v>0</v>
      </c>
      <c r="AF87" s="73">
        <f ca="1">IF(AF$5="Doyon Notional Allocation",0,IF($C87&lt;&gt;AF$3,OFFSET('Allocation %'!$A$1,MATCH(AF$4,'Allocation %'!$A:$A,0)-1,MATCH($D87,'Allocation %'!$5:$5,0)-1)*($F27-$G27)*'2020 Assumptions'!$B$20,0))</f>
        <v>0</v>
      </c>
      <c r="AG87" s="73">
        <f ca="1">IF(AG$5="Doyon Notional Allocation",0,IF($C87&lt;&gt;AG$3,OFFSET('Allocation %'!$A$1,MATCH(AG$4,'Allocation %'!$A:$A,0)-1,MATCH($D87,'Allocation %'!$5:$5,0)-1)*($F27-$G27)*'2020 Assumptions'!$B$20,0))</f>
        <v>0</v>
      </c>
      <c r="AH87" s="73">
        <f ca="1">IF(AH$5="Doyon Notional Allocation",0,IF($C87&lt;&gt;AH$3,OFFSET('Allocation %'!$A$1,MATCH(AH$4,'Allocation %'!$A:$A,0)-1,MATCH($D87,'Allocation %'!$5:$5,0)-1)*($F27-$G27)*'2020 Assumptions'!$B$20,0))</f>
        <v>0</v>
      </c>
      <c r="AI87" s="73">
        <f ca="1">IF(AI$5="Doyon Notional Allocation",0,IF($C87&lt;&gt;AI$3,OFFSET('Allocation %'!$A$1,MATCH(AI$4,'Allocation %'!$A:$A,0)-1,MATCH($D87,'Allocation %'!$5:$5,0)-1)*($F27-$G27)*'2020 Assumptions'!$B$20,0))</f>
        <v>0</v>
      </c>
      <c r="AJ87" s="73">
        <f ca="1">IF(AJ$5="Doyon Notional Allocation",0,IF($C87&lt;&gt;AJ$3,OFFSET('Allocation %'!$A$1,MATCH(AJ$4,'Allocation %'!$A:$A,0)-1,MATCH($D87,'Allocation %'!$5:$5,0)-1)*($F27-$G27)*'2020 Assumptions'!$B$20,0))</f>
        <v>0</v>
      </c>
      <c r="AK87" s="73">
        <f ca="1">IF(AK$5="Doyon Notional Allocation",0,IF($C87&lt;&gt;AK$3,OFFSET('Allocation %'!$A$1,MATCH(AK$4,'Allocation %'!$A:$A,0)-1,MATCH($D87,'Allocation %'!$5:$5,0)-1)*($F27-$G27)*'2020 Assumptions'!$B$20,0))</f>
        <v>0</v>
      </c>
      <c r="AL87" s="73">
        <f ca="1">IF(AL$5="Doyon Notional Allocation",0,IF($C87&lt;&gt;AL$3,OFFSET('Allocation %'!$A$1,MATCH(AL$4,'Allocation %'!$A:$A,0)-1,MATCH($D87,'Allocation %'!$5:$5,0)-1)*($F27-$G27)*'2020 Assumptions'!$B$20,0))</f>
        <v>0</v>
      </c>
      <c r="AM87" s="73">
        <f ca="1">IF(AM$5="Doyon Notional Allocation",0,IF($C87&lt;&gt;AM$3,OFFSET('Allocation %'!$A$1,MATCH(AM$4,'Allocation %'!$A:$A,0)-1,MATCH($D87,'Allocation %'!$5:$5,0)-1)*($F27-$G27)*'2020 Assumptions'!$B$20,0))</f>
        <v>0</v>
      </c>
      <c r="AN87" s="73">
        <f ca="1">IF(AN$5="Doyon Notional Allocation",0,IF($C87&lt;&gt;AN$3,OFFSET('Allocation %'!$A$1,MATCH(AN$4,'Allocation %'!$A:$A,0)-1,MATCH($D87,'Allocation %'!$5:$5,0)-1)*($F27-$G27)*'2020 Assumptions'!$B$20,0))</f>
        <v>0</v>
      </c>
      <c r="AO87" s="73">
        <f ca="1">IF(AO$5="Doyon Notional Allocation",0,IF($C87&lt;&gt;AO$3,OFFSET('Allocation %'!$A$1,MATCH(AO$4,'Allocation %'!$A:$A,0)-1,MATCH($D87,'Allocation %'!$5:$5,0)-1)*($F27-$G27)*'2020 Assumptions'!$B$20,0))</f>
        <v>0</v>
      </c>
      <c r="AP87" s="73">
        <f ca="1">IF(AP$5="Doyon Notional Allocation",0,IF($C87&lt;&gt;AP$3,OFFSET('Allocation %'!$A$1,MATCH(AP$4,'Allocation %'!$A:$A,0)-1,MATCH($D87,'Allocation %'!$5:$5,0)-1)*($F27-$G27)*'2020 Assumptions'!$B$20,0))</f>
        <v>0</v>
      </c>
      <c r="AQ87" s="73">
        <f ca="1">IF(AQ$5="Doyon Notional Allocation",0,IF($C87&lt;&gt;AQ$3,OFFSET('Allocation %'!$A$1,MATCH(AQ$4,'Allocation %'!$A:$A,0)-1,MATCH($D87,'Allocation %'!$5:$5,0)-1)*($F27-$G27)*'2020 Assumptions'!$B$20,0))</f>
        <v>0</v>
      </c>
      <c r="AR87" s="73">
        <f ca="1">IF(AR$5="Doyon Notional Allocation",0,IF($C87&lt;&gt;AR$3,OFFSET('Allocation %'!$A$1,MATCH(AR$4,'Allocation %'!$A:$A,0)-1,MATCH($D87,'Allocation %'!$5:$5,0)-1)*($F27-$G27)*'2020 Assumptions'!$B$20,0))</f>
        <v>0</v>
      </c>
      <c r="AS87" s="73">
        <f ca="1">IF(AS$5="Doyon Notional Allocation",0,IF($C87&lt;&gt;AS$3,OFFSET('Allocation %'!$A$1,MATCH(AS$4,'Allocation %'!$A:$A,0)-1,MATCH($D87,'Allocation %'!$5:$5,0)-1)*($F27-$G27)*'2020 Assumptions'!$B$20,0))</f>
        <v>0</v>
      </c>
      <c r="AT87" s="73">
        <f ca="1">IF(AT$5="Doyon Notional Allocation",0,IF($C87&lt;&gt;AT$3,OFFSET('Allocation %'!$A$1,MATCH(AT$4,'Allocation %'!$A:$A,0)-1,MATCH($D87,'Allocation %'!$5:$5,0)-1)*($F27-$G27)*'2020 Assumptions'!$B$20,0))</f>
        <v>0</v>
      </c>
      <c r="AU87" s="73">
        <f ca="1">IF(AU$5="Doyon Notional Allocation",0,IF($C87&lt;&gt;AU$3,OFFSET('Allocation %'!$A$1,MATCH(AU$4,'Allocation %'!$A:$A,0)-1,MATCH($D87,'Allocation %'!$5:$5,0)-1)*($F27-$G27)*'2020 Assumptions'!$B$20,0))</f>
        <v>0</v>
      </c>
      <c r="AV87" s="73">
        <f ca="1">IF(AV$5="Doyon Notional Allocation",0,IF($C87&lt;&gt;AV$3,OFFSET('Allocation %'!$A$1,MATCH(AV$4,'Allocation %'!$A:$A,0)-1,MATCH($D87,'Allocation %'!$5:$5,0)-1)*($F27-$G27)*'2020 Assumptions'!$B$20,0))</f>
        <v>0</v>
      </c>
      <c r="AW87" s="73">
        <f ca="1">IF(AW$5="Doyon Notional Allocation",0,IF($C87&lt;&gt;AW$3,OFFSET('Allocation %'!$A$1,MATCH(AW$4,'Allocation %'!$A:$A,0)-1,MATCH($D87,'Allocation %'!$5:$5,0)-1)*($F27-$G27)*'2020 Assumptions'!$B$20,0))</f>
        <v>0</v>
      </c>
      <c r="AX87" s="73">
        <f ca="1">IF(AX$5="Doyon Notional Allocation",0,IF($C87&lt;&gt;AX$3,OFFSET('Allocation %'!$A$1,MATCH(AX$4,'Allocation %'!$A:$A,0)-1,MATCH($D87,'Allocation %'!$5:$5,0)-1)*($F27-$G27)*'2020 Assumptions'!$B$20,0))</f>
        <v>0</v>
      </c>
      <c r="AY87" s="73">
        <f ca="1">IF(AY$5="Doyon Notional Allocation",0,IF($C87&lt;&gt;AY$3,OFFSET('Allocation %'!$A$1,MATCH(AY$4,'Allocation %'!$A:$A,0)-1,MATCH($D87,'Allocation %'!$5:$5,0)-1)*($F27-$G27)*'2020 Assumptions'!$B$20,0))</f>
        <v>0</v>
      </c>
      <c r="AZ87" s="73">
        <f ca="1">IF(AZ$5="Doyon Notional Allocation",0,IF($C87&lt;&gt;AZ$3,OFFSET('Allocation %'!$A$1,MATCH(AZ$4,'Allocation %'!$A:$A,0)-1,MATCH($D87,'Allocation %'!$5:$5,0)-1)*($F27-$G27)*'2020 Assumptions'!$B$20,0))</f>
        <v>0</v>
      </c>
      <c r="BA87" s="73">
        <f ca="1">IF(BA$5="Doyon Notional Allocation",0,IF($C87&lt;&gt;BA$3,OFFSET('Allocation %'!$A$1,MATCH(BA$4,'Allocation %'!$A:$A,0)-1,MATCH($D87,'Allocation %'!$5:$5,0)-1)*($F27-$G27)*'2020 Assumptions'!$B$20,0))</f>
        <v>0</v>
      </c>
      <c r="BB87" s="73">
        <f ca="1">IF(BB$5="Doyon Notional Allocation",0,IF($C87&lt;&gt;BB$3,OFFSET('Allocation %'!$A$1,MATCH(BB$4,'Allocation %'!$A:$A,0)-1,MATCH($D87,'Allocation %'!$5:$5,0)-1)*($F27-$G27)*'2020 Assumptions'!$B$20,0))</f>
        <v>0</v>
      </c>
      <c r="BC87" s="73">
        <f ca="1">IF(BC$5="Doyon Notional Allocation",0,IF($C87&lt;&gt;BC$3,OFFSET('Allocation %'!$A$1,MATCH(BC$4,'Allocation %'!$A:$A,0)-1,MATCH($D87,'Allocation %'!$5:$5,0)-1)*($F27-$G27)*'2020 Assumptions'!$B$20,0))</f>
        <v>0</v>
      </c>
      <c r="BD87" s="73">
        <f ca="1">IF(BD$5="Doyon Notional Allocation",0,IF($C87&lt;&gt;BD$3,OFFSET('Allocation %'!$A$1,MATCH(BD$4,'Allocation %'!$A:$A,0)-1,MATCH($D87,'Allocation %'!$5:$5,0)-1)*($F27-$G27)*'2020 Assumptions'!$B$20,0))</f>
        <v>0</v>
      </c>
      <c r="BE87" s="73">
        <f ca="1">IF(BE$5="Doyon Notional Allocation",0,IF($C87&lt;&gt;BE$3,OFFSET('Allocation %'!$A$1,MATCH(BE$4,'Allocation %'!$A:$A,0)-1,MATCH($D87,'Allocation %'!$5:$5,0)-1)*($F27-$G27)*'2020 Assumptions'!$B$20,0))</f>
        <v>0</v>
      </c>
      <c r="BG87" s="76">
        <f t="shared" ca="1" si="9"/>
        <v>0</v>
      </c>
      <c r="BH87" s="349">
        <f t="shared" ca="1" si="10"/>
        <v>0</v>
      </c>
    </row>
    <row r="88" spans="2:60" s="177" customFormat="1" ht="45" x14ac:dyDescent="0.25">
      <c r="B88" s="294" t="str">
        <f t="shared" si="7"/>
        <v>1010-009130 - Human Resources SS Mark up</v>
      </c>
      <c r="C88" s="177" t="str">
        <f t="shared" si="8"/>
        <v>CAD</v>
      </c>
      <c r="D88" s="159" t="str">
        <f t="shared" ca="1" si="8"/>
        <v>Canadian Contract Shared Services - Headcount</v>
      </c>
      <c r="E88" s="303">
        <f ca="1">F88*'2020 Assumptions'!$B$4</f>
        <v>0</v>
      </c>
      <c r="F88" s="73">
        <f t="shared" ca="1" si="11"/>
        <v>0</v>
      </c>
      <c r="G88" s="73"/>
      <c r="I88" s="73">
        <f ca="1">IF(I$5="Doyon Notional Allocation",0,IF($C88&lt;&gt;I$3,OFFSET('Allocation %'!$A$1,MATCH(I$4,'Allocation %'!$A:$A,0)-1,MATCH($D88,'Allocation %'!$5:$5,0)-1)*($F28-$G28)*'2020 Assumptions'!$B$20,0))</f>
        <v>0</v>
      </c>
      <c r="J88" s="73">
        <f ca="1">IF(J$5="Doyon Notional Allocation",0,IF($C88&lt;&gt;J$3,OFFSET('Allocation %'!$A$1,MATCH(J$4,'Allocation %'!$A:$A,0)-1,MATCH($D88,'Allocation %'!$5:$5,0)-1)*($F28-$G28)*'2020 Assumptions'!$B$20,0))</f>
        <v>0</v>
      </c>
      <c r="K88" s="73">
        <f ca="1">IF(K$5="Doyon Notional Allocation",0,IF($C88&lt;&gt;K$3,OFFSET('Allocation %'!$A$1,MATCH(K$4,'Allocation %'!$A:$A,0)-1,MATCH($D88,'Allocation %'!$5:$5,0)-1)*($F28-$G28)*'2020 Assumptions'!$B$20,0))</f>
        <v>0</v>
      </c>
      <c r="L88" s="73">
        <f ca="1">IF(L$5="Doyon Notional Allocation",0,IF($C88&lt;&gt;L$3,OFFSET('Allocation %'!$A$1,MATCH(L$4,'Allocation %'!$A:$A,0)-1,MATCH($D88,'Allocation %'!$5:$5,0)-1)*($F28-$G28)*'2020 Assumptions'!$B$20,0))</f>
        <v>0</v>
      </c>
      <c r="M88" s="73">
        <f ca="1">IF(M$5="Doyon Notional Allocation",0,IF($C88&lt;&gt;M$3,OFFSET('Allocation %'!$A$1,MATCH(M$4,'Allocation %'!$A:$A,0)-1,MATCH($D88,'Allocation %'!$5:$5,0)-1)*($F28-$G28)*'2020 Assumptions'!$B$20,0))</f>
        <v>0</v>
      </c>
      <c r="N88" s="73">
        <f ca="1">IF(N$5="Doyon Notional Allocation",0,IF($C88&lt;&gt;N$3,OFFSET('Allocation %'!$A$1,MATCH(N$4,'Allocation %'!$A:$A,0)-1,MATCH($D88,'Allocation %'!$5:$5,0)-1)*($F28-$G28)*'2020 Assumptions'!$B$20,0))</f>
        <v>0</v>
      </c>
      <c r="O88" s="73">
        <f ca="1">IF(O$5="Doyon Notional Allocation",0,IF($C88&lt;&gt;O$3,OFFSET('Allocation %'!$A$1,MATCH(O$4,'Allocation %'!$A:$A,0)-1,MATCH($D88,'Allocation %'!$5:$5,0)-1)*($F28-$G28)*'2020 Assumptions'!$B$20,0))</f>
        <v>0</v>
      </c>
      <c r="P88" s="73">
        <f ca="1">IF(P$5="Doyon Notional Allocation",0,IF($C88&lt;&gt;P$3,OFFSET('Allocation %'!$A$1,MATCH(P$4,'Allocation %'!$A:$A,0)-1,MATCH($D88,'Allocation %'!$5:$5,0)-1)*($F28-$G28)*'2020 Assumptions'!$B$20,0))</f>
        <v>0</v>
      </c>
      <c r="Q88" s="73">
        <f ca="1">IF(Q$5="Doyon Notional Allocation",0,IF($C88&lt;&gt;Q$3,OFFSET('Allocation %'!$A$1,MATCH(Q$4,'Allocation %'!$A:$A,0)-1,MATCH($D88,'Allocation %'!$5:$5,0)-1)*($F28-$G28)*'2020 Assumptions'!$B$20,0))</f>
        <v>0</v>
      </c>
      <c r="R88" s="73">
        <f ca="1">IF(R$5="Doyon Notional Allocation",0,IF($C88&lt;&gt;R$3,OFFSET('Allocation %'!$A$1,MATCH(R$4,'Allocation %'!$A:$A,0)-1,MATCH($D88,'Allocation %'!$5:$5,0)-1)*($F28-$G28)*'2020 Assumptions'!$B$20,0))</f>
        <v>0</v>
      </c>
      <c r="S88" s="73">
        <f ca="1">IF(S$5="Doyon Notional Allocation",0,IF($C88&lt;&gt;S$3,OFFSET('Allocation %'!$A$1,MATCH(S$4,'Allocation %'!$A:$A,0)-1,MATCH($D88,'Allocation %'!$5:$5,0)-1)*($F28-$G28)*'2020 Assumptions'!$B$20,0))</f>
        <v>0</v>
      </c>
      <c r="T88" s="73">
        <f ca="1">IF(T$5="Doyon Notional Allocation",0,IF($C88&lt;&gt;T$3,OFFSET('Allocation %'!$A$1,MATCH(T$4,'Allocation %'!$A:$A,0)-1,MATCH($D88,'Allocation %'!$5:$5,0)-1)*($F28-$G28)*'2020 Assumptions'!$B$20,0))</f>
        <v>0</v>
      </c>
      <c r="U88" s="73">
        <f ca="1">IF(U$5="Doyon Notional Allocation",0,IF($C88&lt;&gt;U$3,OFFSET('Allocation %'!$A$1,MATCH(U$4,'Allocation %'!$A:$A,0)-1,MATCH($D88,'Allocation %'!$5:$5,0)-1)*($F28-$G28)*'2020 Assumptions'!$B$20,0))</f>
        <v>0</v>
      </c>
      <c r="V88" s="73">
        <f ca="1">IF(V$5="Doyon Notional Allocation",0,IF($C88&lt;&gt;V$3,OFFSET('Allocation %'!$A$1,MATCH(V$4,'Allocation %'!$A:$A,0)-1,MATCH($D88,'Allocation %'!$5:$5,0)-1)*($F28-$G28)*'2020 Assumptions'!$B$20,0))</f>
        <v>0</v>
      </c>
      <c r="W88" s="73">
        <f ca="1">IF(W$5="Doyon Notional Allocation",0,IF($C88&lt;&gt;W$3,OFFSET('Allocation %'!$A$1,MATCH(W$4,'Allocation %'!$A:$A,0)-1,MATCH($D88,'Allocation %'!$5:$5,0)-1)*($F28-$G28)*'2020 Assumptions'!$B$20,0))</f>
        <v>0</v>
      </c>
      <c r="X88" s="73">
        <f ca="1">IF(X$5="Doyon Notional Allocation",0,IF($C88&lt;&gt;X$3,OFFSET('Allocation %'!$A$1,MATCH(X$4,'Allocation %'!$A:$A,0)-1,MATCH($D88,'Allocation %'!$5:$5,0)-1)*($F28-$G28)*'2020 Assumptions'!$B$20,0))</f>
        <v>0</v>
      </c>
      <c r="Y88" s="73">
        <f ca="1">IF(Y$5="Doyon Notional Allocation",0,IF($C88&lt;&gt;Y$3,OFFSET('Allocation %'!$A$1,MATCH(Y$4,'Allocation %'!$A:$A,0)-1,MATCH($D88,'Allocation %'!$5:$5,0)-1)*($F28-$G28)*'2020 Assumptions'!$B$20,0))</f>
        <v>0</v>
      </c>
      <c r="Z88" s="73">
        <f ca="1">IF(Z$5="Doyon Notional Allocation",0,IF($C88&lt;&gt;Z$3,OFFSET('Allocation %'!$A$1,MATCH(Z$4,'Allocation %'!$A:$A,0)-1,MATCH($D88,'Allocation %'!$5:$5,0)-1)*($F28-$G28)*'2020 Assumptions'!$B$20,0))</f>
        <v>0</v>
      </c>
      <c r="AA88" s="73">
        <f ca="1">IF(AA$5="Doyon Notional Allocation",0,IF($C88&lt;&gt;AA$3,OFFSET('Allocation %'!$A$1,MATCH(AA$4,'Allocation %'!$A:$A,0)-1,MATCH($D88,'Allocation %'!$5:$5,0)-1)*($F28-$G28)*'2020 Assumptions'!$B$20,0))</f>
        <v>0</v>
      </c>
      <c r="AB88" s="73">
        <f ca="1">IF(AB$5="Doyon Notional Allocation",0,IF($C88&lt;&gt;AB$3,OFFSET('Allocation %'!$A$1,MATCH(AB$4,'Allocation %'!$A:$A,0)-1,MATCH($D88,'Allocation %'!$5:$5,0)-1)*($F28-$G28)*'2020 Assumptions'!$B$20,0))</f>
        <v>0</v>
      </c>
      <c r="AC88" s="73">
        <f ca="1">IF(AC$5="Doyon Notional Allocation",0,IF($C88&lt;&gt;AC$3,OFFSET('Allocation %'!$A$1,MATCH(AC$4,'Allocation %'!$A:$A,0)-1,MATCH($D88,'Allocation %'!$5:$5,0)-1)*($F28-$G28)*'2020 Assumptions'!$B$20,0))</f>
        <v>0</v>
      </c>
      <c r="AD88" s="73">
        <f ca="1">IF(AD$5="Doyon Notional Allocation",0,IF($C88&lt;&gt;AD$3,OFFSET('Allocation %'!$A$1,MATCH(AD$4,'Allocation %'!$A:$A,0)-1,MATCH($D88,'Allocation %'!$5:$5,0)-1)*($F28-$G28)*'2020 Assumptions'!$B$20,0))</f>
        <v>0</v>
      </c>
      <c r="AE88" s="73">
        <f ca="1">IF(AE$5="Doyon Notional Allocation",0,IF($C88&lt;&gt;AE$3,OFFSET('Allocation %'!$A$1,MATCH(AE$4,'Allocation %'!$A:$A,0)-1,MATCH($D88,'Allocation %'!$5:$5,0)-1)*($F28-$G28)*'2020 Assumptions'!$B$20,0))</f>
        <v>0</v>
      </c>
      <c r="AF88" s="73">
        <f ca="1">IF(AF$5="Doyon Notional Allocation",0,IF($C88&lt;&gt;AF$3,OFFSET('Allocation %'!$A$1,MATCH(AF$4,'Allocation %'!$A:$A,0)-1,MATCH($D88,'Allocation %'!$5:$5,0)-1)*($F28-$G28)*'2020 Assumptions'!$B$20,0))</f>
        <v>0</v>
      </c>
      <c r="AG88" s="73">
        <f ca="1">IF(AG$5="Doyon Notional Allocation",0,IF($C88&lt;&gt;AG$3,OFFSET('Allocation %'!$A$1,MATCH(AG$4,'Allocation %'!$A:$A,0)-1,MATCH($D88,'Allocation %'!$5:$5,0)-1)*($F28-$G28)*'2020 Assumptions'!$B$20,0))</f>
        <v>0</v>
      </c>
      <c r="AH88" s="73">
        <f ca="1">IF(AH$5="Doyon Notional Allocation",0,IF($C88&lt;&gt;AH$3,OFFSET('Allocation %'!$A$1,MATCH(AH$4,'Allocation %'!$A:$A,0)-1,MATCH($D88,'Allocation %'!$5:$5,0)-1)*($F28-$G28)*'2020 Assumptions'!$B$20,0))</f>
        <v>0</v>
      </c>
      <c r="AI88" s="73">
        <f ca="1">IF(AI$5="Doyon Notional Allocation",0,IF($C88&lt;&gt;AI$3,OFFSET('Allocation %'!$A$1,MATCH(AI$4,'Allocation %'!$A:$A,0)-1,MATCH($D88,'Allocation %'!$5:$5,0)-1)*($F28-$G28)*'2020 Assumptions'!$B$20,0))</f>
        <v>0</v>
      </c>
      <c r="AJ88" s="73">
        <f ca="1">IF(AJ$5="Doyon Notional Allocation",0,IF($C88&lt;&gt;AJ$3,OFFSET('Allocation %'!$A$1,MATCH(AJ$4,'Allocation %'!$A:$A,0)-1,MATCH($D88,'Allocation %'!$5:$5,0)-1)*($F28-$G28)*'2020 Assumptions'!$B$20,0))</f>
        <v>0</v>
      </c>
      <c r="AK88" s="73">
        <f ca="1">IF(AK$5="Doyon Notional Allocation",0,IF($C88&lt;&gt;AK$3,OFFSET('Allocation %'!$A$1,MATCH(AK$4,'Allocation %'!$A:$A,0)-1,MATCH($D88,'Allocation %'!$5:$5,0)-1)*($F28-$G28)*'2020 Assumptions'!$B$20,0))</f>
        <v>0</v>
      </c>
      <c r="AL88" s="73">
        <f ca="1">IF(AL$5="Doyon Notional Allocation",0,IF($C88&lt;&gt;AL$3,OFFSET('Allocation %'!$A$1,MATCH(AL$4,'Allocation %'!$A:$A,0)-1,MATCH($D88,'Allocation %'!$5:$5,0)-1)*($F28-$G28)*'2020 Assumptions'!$B$20,0))</f>
        <v>0</v>
      </c>
      <c r="AM88" s="73">
        <f ca="1">IF(AM$5="Doyon Notional Allocation",0,IF($C88&lt;&gt;AM$3,OFFSET('Allocation %'!$A$1,MATCH(AM$4,'Allocation %'!$A:$A,0)-1,MATCH($D88,'Allocation %'!$5:$5,0)-1)*($F28-$G28)*'2020 Assumptions'!$B$20,0))</f>
        <v>0</v>
      </c>
      <c r="AN88" s="73">
        <f ca="1">IF(AN$5="Doyon Notional Allocation",0,IF($C88&lt;&gt;AN$3,OFFSET('Allocation %'!$A$1,MATCH(AN$4,'Allocation %'!$A:$A,0)-1,MATCH($D88,'Allocation %'!$5:$5,0)-1)*($F28-$G28)*'2020 Assumptions'!$B$20,0))</f>
        <v>0</v>
      </c>
      <c r="AO88" s="73">
        <f ca="1">IF(AO$5="Doyon Notional Allocation",0,IF($C88&lt;&gt;AO$3,OFFSET('Allocation %'!$A$1,MATCH(AO$4,'Allocation %'!$A:$A,0)-1,MATCH($D88,'Allocation %'!$5:$5,0)-1)*($F28-$G28)*'2020 Assumptions'!$B$20,0))</f>
        <v>0</v>
      </c>
      <c r="AP88" s="73">
        <f ca="1">IF(AP$5="Doyon Notional Allocation",0,IF($C88&lt;&gt;AP$3,OFFSET('Allocation %'!$A$1,MATCH(AP$4,'Allocation %'!$A:$A,0)-1,MATCH($D88,'Allocation %'!$5:$5,0)-1)*($F28-$G28)*'2020 Assumptions'!$B$20,0))</f>
        <v>0</v>
      </c>
      <c r="AQ88" s="73">
        <f ca="1">IF(AQ$5="Doyon Notional Allocation",0,IF($C88&lt;&gt;AQ$3,OFFSET('Allocation %'!$A$1,MATCH(AQ$4,'Allocation %'!$A:$A,0)-1,MATCH($D88,'Allocation %'!$5:$5,0)-1)*($F28-$G28)*'2020 Assumptions'!$B$20,0))</f>
        <v>0</v>
      </c>
      <c r="AR88" s="73">
        <f ca="1">IF(AR$5="Doyon Notional Allocation",0,IF($C88&lt;&gt;AR$3,OFFSET('Allocation %'!$A$1,MATCH(AR$4,'Allocation %'!$A:$A,0)-1,MATCH($D88,'Allocation %'!$5:$5,0)-1)*($F28-$G28)*'2020 Assumptions'!$B$20,0))</f>
        <v>0</v>
      </c>
      <c r="AS88" s="73">
        <f ca="1">IF(AS$5="Doyon Notional Allocation",0,IF($C88&lt;&gt;AS$3,OFFSET('Allocation %'!$A$1,MATCH(AS$4,'Allocation %'!$A:$A,0)-1,MATCH($D88,'Allocation %'!$5:$5,0)-1)*($F28-$G28)*'2020 Assumptions'!$B$20,0))</f>
        <v>0</v>
      </c>
      <c r="AT88" s="73">
        <f ca="1">IF(AT$5="Doyon Notional Allocation",0,IF($C88&lt;&gt;AT$3,OFFSET('Allocation %'!$A$1,MATCH(AT$4,'Allocation %'!$A:$A,0)-1,MATCH($D88,'Allocation %'!$5:$5,0)-1)*($F28-$G28)*'2020 Assumptions'!$B$20,0))</f>
        <v>0</v>
      </c>
      <c r="AU88" s="73">
        <f ca="1">IF(AU$5="Doyon Notional Allocation",0,IF($C88&lt;&gt;AU$3,OFFSET('Allocation %'!$A$1,MATCH(AU$4,'Allocation %'!$A:$A,0)-1,MATCH($D88,'Allocation %'!$5:$5,0)-1)*($F28-$G28)*'2020 Assumptions'!$B$20,0))</f>
        <v>0</v>
      </c>
      <c r="AV88" s="73">
        <f ca="1">IF(AV$5="Doyon Notional Allocation",0,IF($C88&lt;&gt;AV$3,OFFSET('Allocation %'!$A$1,MATCH(AV$4,'Allocation %'!$A:$A,0)-1,MATCH($D88,'Allocation %'!$5:$5,0)-1)*($F28-$G28)*'2020 Assumptions'!$B$20,0))</f>
        <v>0</v>
      </c>
      <c r="AW88" s="73">
        <f ca="1">IF(AW$5="Doyon Notional Allocation",0,IF($C88&lt;&gt;AW$3,OFFSET('Allocation %'!$A$1,MATCH(AW$4,'Allocation %'!$A:$A,0)-1,MATCH($D88,'Allocation %'!$5:$5,0)-1)*($F28-$G28)*'2020 Assumptions'!$B$20,0))</f>
        <v>0</v>
      </c>
      <c r="AX88" s="73">
        <f ca="1">IF(AX$5="Doyon Notional Allocation",0,IF($C88&lt;&gt;AX$3,OFFSET('Allocation %'!$A$1,MATCH(AX$4,'Allocation %'!$A:$A,0)-1,MATCH($D88,'Allocation %'!$5:$5,0)-1)*($F28-$G28)*'2020 Assumptions'!$B$20,0))</f>
        <v>0</v>
      </c>
      <c r="AY88" s="73">
        <f ca="1">IF(AY$5="Doyon Notional Allocation",0,IF($C88&lt;&gt;AY$3,OFFSET('Allocation %'!$A$1,MATCH(AY$4,'Allocation %'!$A:$A,0)-1,MATCH($D88,'Allocation %'!$5:$5,0)-1)*($F28-$G28)*'2020 Assumptions'!$B$20,0))</f>
        <v>0</v>
      </c>
      <c r="AZ88" s="73">
        <f ca="1">IF(AZ$5="Doyon Notional Allocation",0,IF($C88&lt;&gt;AZ$3,OFFSET('Allocation %'!$A$1,MATCH(AZ$4,'Allocation %'!$A:$A,0)-1,MATCH($D88,'Allocation %'!$5:$5,0)-1)*($F28-$G28)*'2020 Assumptions'!$B$20,0))</f>
        <v>0</v>
      </c>
      <c r="BA88" s="73">
        <f ca="1">IF(BA$5="Doyon Notional Allocation",0,IF($C88&lt;&gt;BA$3,OFFSET('Allocation %'!$A$1,MATCH(BA$4,'Allocation %'!$A:$A,0)-1,MATCH($D88,'Allocation %'!$5:$5,0)-1)*($F28-$G28)*'2020 Assumptions'!$B$20,0))</f>
        <v>0</v>
      </c>
      <c r="BB88" s="73">
        <f ca="1">IF(BB$5="Doyon Notional Allocation",0,IF($C88&lt;&gt;BB$3,OFFSET('Allocation %'!$A$1,MATCH(BB$4,'Allocation %'!$A:$A,0)-1,MATCH($D88,'Allocation %'!$5:$5,0)-1)*($F28-$G28)*'2020 Assumptions'!$B$20,0))</f>
        <v>0</v>
      </c>
      <c r="BC88" s="73">
        <f ca="1">IF(BC$5="Doyon Notional Allocation",0,IF($C88&lt;&gt;BC$3,OFFSET('Allocation %'!$A$1,MATCH(BC$4,'Allocation %'!$A:$A,0)-1,MATCH($D88,'Allocation %'!$5:$5,0)-1)*($F28-$G28)*'2020 Assumptions'!$B$20,0))</f>
        <v>0</v>
      </c>
      <c r="BD88" s="73">
        <f ca="1">IF(BD$5="Doyon Notional Allocation",0,IF($C88&lt;&gt;BD$3,OFFSET('Allocation %'!$A$1,MATCH(BD$4,'Allocation %'!$A:$A,0)-1,MATCH($D88,'Allocation %'!$5:$5,0)-1)*($F28-$G28)*'2020 Assumptions'!$B$20,0))</f>
        <v>0</v>
      </c>
      <c r="BE88" s="73">
        <f ca="1">IF(BE$5="Doyon Notional Allocation",0,IF($C88&lt;&gt;BE$3,OFFSET('Allocation %'!$A$1,MATCH(BE$4,'Allocation %'!$A:$A,0)-1,MATCH($D88,'Allocation %'!$5:$5,0)-1)*($F28-$G28)*'2020 Assumptions'!$B$20,0))</f>
        <v>0</v>
      </c>
      <c r="BG88" s="76">
        <f t="shared" ca="1" si="9"/>
        <v>0</v>
      </c>
      <c r="BH88" s="349">
        <f t="shared" ca="1" si="10"/>
        <v>0</v>
      </c>
    </row>
    <row r="89" spans="2:60" s="177" customFormat="1" x14ac:dyDescent="0.25">
      <c r="B89" s="294" t="str">
        <f t="shared" si="7"/>
        <v>1010-009030 - Payroll SS Mark up</v>
      </c>
      <c r="C89" s="177" t="str">
        <f t="shared" si="8"/>
        <v>CAD</v>
      </c>
      <c r="D89" s="159" t="str">
        <f t="shared" ca="1" si="8"/>
        <v>Canada Only</v>
      </c>
      <c r="E89" s="303">
        <f ca="1">F89*'2020 Assumptions'!$B$4</f>
        <v>0</v>
      </c>
      <c r="F89" s="73">
        <f t="shared" ca="1" si="11"/>
        <v>0</v>
      </c>
      <c r="G89" s="73"/>
      <c r="I89" s="73">
        <f ca="1">IF(I$5="Doyon Notional Allocation",0,IF($C89&lt;&gt;I$3,OFFSET('Allocation %'!$A$1,MATCH(I$4,'Allocation %'!$A:$A,0)-1,MATCH($D89,'Allocation %'!$5:$5,0)-1)*($F29-$G29)*'2020 Assumptions'!$B$20,0))</f>
        <v>0</v>
      </c>
      <c r="J89" s="73">
        <f ca="1">IF(J$5="Doyon Notional Allocation",0,IF($C89&lt;&gt;J$3,OFFSET('Allocation %'!$A$1,MATCH(J$4,'Allocation %'!$A:$A,0)-1,MATCH($D89,'Allocation %'!$5:$5,0)-1)*($F29-$G29)*'2020 Assumptions'!$B$20,0))</f>
        <v>0</v>
      </c>
      <c r="K89" s="73">
        <f ca="1">IF(K$5="Doyon Notional Allocation",0,IF($C89&lt;&gt;K$3,OFFSET('Allocation %'!$A$1,MATCH(K$4,'Allocation %'!$A:$A,0)-1,MATCH($D89,'Allocation %'!$5:$5,0)-1)*($F29-$G29)*'2020 Assumptions'!$B$20,0))</f>
        <v>0</v>
      </c>
      <c r="L89" s="73">
        <f ca="1">IF(L$5="Doyon Notional Allocation",0,IF($C89&lt;&gt;L$3,OFFSET('Allocation %'!$A$1,MATCH(L$4,'Allocation %'!$A:$A,0)-1,MATCH($D89,'Allocation %'!$5:$5,0)-1)*($F29-$G29)*'2020 Assumptions'!$B$20,0))</f>
        <v>0</v>
      </c>
      <c r="M89" s="73">
        <f ca="1">IF(M$5="Doyon Notional Allocation",0,IF($C89&lt;&gt;M$3,OFFSET('Allocation %'!$A$1,MATCH(M$4,'Allocation %'!$A:$A,0)-1,MATCH($D89,'Allocation %'!$5:$5,0)-1)*($F29-$G29)*'2020 Assumptions'!$B$20,0))</f>
        <v>0</v>
      </c>
      <c r="N89" s="73">
        <f ca="1">IF(N$5="Doyon Notional Allocation",0,IF($C89&lt;&gt;N$3,OFFSET('Allocation %'!$A$1,MATCH(N$4,'Allocation %'!$A:$A,0)-1,MATCH($D89,'Allocation %'!$5:$5,0)-1)*($F29-$G29)*'2020 Assumptions'!$B$20,0))</f>
        <v>0</v>
      </c>
      <c r="O89" s="73">
        <f ca="1">IF(O$5="Doyon Notional Allocation",0,IF($C89&lt;&gt;O$3,OFFSET('Allocation %'!$A$1,MATCH(O$4,'Allocation %'!$A:$A,0)-1,MATCH($D89,'Allocation %'!$5:$5,0)-1)*($F29-$G29)*'2020 Assumptions'!$B$20,0))</f>
        <v>0</v>
      </c>
      <c r="P89" s="73">
        <f ca="1">IF(P$5="Doyon Notional Allocation",0,IF($C89&lt;&gt;P$3,OFFSET('Allocation %'!$A$1,MATCH(P$4,'Allocation %'!$A:$A,0)-1,MATCH($D89,'Allocation %'!$5:$5,0)-1)*($F29-$G29)*'2020 Assumptions'!$B$20,0))</f>
        <v>0</v>
      </c>
      <c r="Q89" s="73">
        <f ca="1">IF(Q$5="Doyon Notional Allocation",0,IF($C89&lt;&gt;Q$3,OFFSET('Allocation %'!$A$1,MATCH(Q$4,'Allocation %'!$A:$A,0)-1,MATCH($D89,'Allocation %'!$5:$5,0)-1)*($F29-$G29)*'2020 Assumptions'!$B$20,0))</f>
        <v>0</v>
      </c>
      <c r="R89" s="73">
        <f ca="1">IF(R$5="Doyon Notional Allocation",0,IF($C89&lt;&gt;R$3,OFFSET('Allocation %'!$A$1,MATCH(R$4,'Allocation %'!$A:$A,0)-1,MATCH($D89,'Allocation %'!$5:$5,0)-1)*($F29-$G29)*'2020 Assumptions'!$B$20,0))</f>
        <v>0</v>
      </c>
      <c r="S89" s="73">
        <f ca="1">IF(S$5="Doyon Notional Allocation",0,IF($C89&lt;&gt;S$3,OFFSET('Allocation %'!$A$1,MATCH(S$4,'Allocation %'!$A:$A,0)-1,MATCH($D89,'Allocation %'!$5:$5,0)-1)*($F29-$G29)*'2020 Assumptions'!$B$20,0))</f>
        <v>0</v>
      </c>
      <c r="T89" s="73">
        <f ca="1">IF(T$5="Doyon Notional Allocation",0,IF($C89&lt;&gt;T$3,OFFSET('Allocation %'!$A$1,MATCH(T$4,'Allocation %'!$A:$A,0)-1,MATCH($D89,'Allocation %'!$5:$5,0)-1)*($F29-$G29)*'2020 Assumptions'!$B$20,0))</f>
        <v>0</v>
      </c>
      <c r="U89" s="73">
        <f ca="1">IF(U$5="Doyon Notional Allocation",0,IF($C89&lt;&gt;U$3,OFFSET('Allocation %'!$A$1,MATCH(U$4,'Allocation %'!$A:$A,0)-1,MATCH($D89,'Allocation %'!$5:$5,0)-1)*($F29-$G29)*'2020 Assumptions'!$B$20,0))</f>
        <v>0</v>
      </c>
      <c r="V89" s="73">
        <f ca="1">IF(V$5="Doyon Notional Allocation",0,IF($C89&lt;&gt;V$3,OFFSET('Allocation %'!$A$1,MATCH(V$4,'Allocation %'!$A:$A,0)-1,MATCH($D89,'Allocation %'!$5:$5,0)-1)*($F29-$G29)*'2020 Assumptions'!$B$20,0))</f>
        <v>0</v>
      </c>
      <c r="W89" s="73">
        <f ca="1">IF(W$5="Doyon Notional Allocation",0,IF($C89&lt;&gt;W$3,OFFSET('Allocation %'!$A$1,MATCH(W$4,'Allocation %'!$A:$A,0)-1,MATCH($D89,'Allocation %'!$5:$5,0)-1)*($F29-$G29)*'2020 Assumptions'!$B$20,0))</f>
        <v>0</v>
      </c>
      <c r="X89" s="73">
        <f ca="1">IF(X$5="Doyon Notional Allocation",0,IF($C89&lt;&gt;X$3,OFFSET('Allocation %'!$A$1,MATCH(X$4,'Allocation %'!$A:$A,0)-1,MATCH($D89,'Allocation %'!$5:$5,0)-1)*($F29-$G29)*'2020 Assumptions'!$B$20,0))</f>
        <v>0</v>
      </c>
      <c r="Y89" s="73">
        <f ca="1">IF(Y$5="Doyon Notional Allocation",0,IF($C89&lt;&gt;Y$3,OFFSET('Allocation %'!$A$1,MATCH(Y$4,'Allocation %'!$A:$A,0)-1,MATCH($D89,'Allocation %'!$5:$5,0)-1)*($F29-$G29)*'2020 Assumptions'!$B$20,0))</f>
        <v>0</v>
      </c>
      <c r="Z89" s="73">
        <f ca="1">IF(Z$5="Doyon Notional Allocation",0,IF($C89&lt;&gt;Z$3,OFFSET('Allocation %'!$A$1,MATCH(Z$4,'Allocation %'!$A:$A,0)-1,MATCH($D89,'Allocation %'!$5:$5,0)-1)*($F29-$G29)*'2020 Assumptions'!$B$20,0))</f>
        <v>0</v>
      </c>
      <c r="AA89" s="73">
        <f ca="1">IF(AA$5="Doyon Notional Allocation",0,IF($C89&lt;&gt;AA$3,OFFSET('Allocation %'!$A$1,MATCH(AA$4,'Allocation %'!$A:$A,0)-1,MATCH($D89,'Allocation %'!$5:$5,0)-1)*($F29-$G29)*'2020 Assumptions'!$B$20,0))</f>
        <v>0</v>
      </c>
      <c r="AB89" s="73">
        <f ca="1">IF(AB$5="Doyon Notional Allocation",0,IF($C89&lt;&gt;AB$3,OFFSET('Allocation %'!$A$1,MATCH(AB$4,'Allocation %'!$A:$A,0)-1,MATCH($D89,'Allocation %'!$5:$5,0)-1)*($F29-$G29)*'2020 Assumptions'!$B$20,0))</f>
        <v>0</v>
      </c>
      <c r="AC89" s="73">
        <f ca="1">IF(AC$5="Doyon Notional Allocation",0,IF($C89&lt;&gt;AC$3,OFFSET('Allocation %'!$A$1,MATCH(AC$4,'Allocation %'!$A:$A,0)-1,MATCH($D89,'Allocation %'!$5:$5,0)-1)*($F29-$G29)*'2020 Assumptions'!$B$20,0))</f>
        <v>0</v>
      </c>
      <c r="AD89" s="73">
        <f ca="1">IF(AD$5="Doyon Notional Allocation",0,IF($C89&lt;&gt;AD$3,OFFSET('Allocation %'!$A$1,MATCH(AD$4,'Allocation %'!$A:$A,0)-1,MATCH($D89,'Allocation %'!$5:$5,0)-1)*($F29-$G29)*'2020 Assumptions'!$B$20,0))</f>
        <v>0</v>
      </c>
      <c r="AE89" s="73">
        <f ca="1">IF(AE$5="Doyon Notional Allocation",0,IF($C89&lt;&gt;AE$3,OFFSET('Allocation %'!$A$1,MATCH(AE$4,'Allocation %'!$A:$A,0)-1,MATCH($D89,'Allocation %'!$5:$5,0)-1)*($F29-$G29)*'2020 Assumptions'!$B$20,0))</f>
        <v>0</v>
      </c>
      <c r="AF89" s="73">
        <f ca="1">IF(AF$5="Doyon Notional Allocation",0,IF($C89&lt;&gt;AF$3,OFFSET('Allocation %'!$A$1,MATCH(AF$4,'Allocation %'!$A:$A,0)-1,MATCH($D89,'Allocation %'!$5:$5,0)-1)*($F29-$G29)*'2020 Assumptions'!$B$20,0))</f>
        <v>0</v>
      </c>
      <c r="AG89" s="73">
        <f ca="1">IF(AG$5="Doyon Notional Allocation",0,IF($C89&lt;&gt;AG$3,OFFSET('Allocation %'!$A$1,MATCH(AG$4,'Allocation %'!$A:$A,0)-1,MATCH($D89,'Allocation %'!$5:$5,0)-1)*($F29-$G29)*'2020 Assumptions'!$B$20,0))</f>
        <v>0</v>
      </c>
      <c r="AH89" s="73">
        <f ca="1">IF(AH$5="Doyon Notional Allocation",0,IF($C89&lt;&gt;AH$3,OFFSET('Allocation %'!$A$1,MATCH(AH$4,'Allocation %'!$A:$A,0)-1,MATCH($D89,'Allocation %'!$5:$5,0)-1)*($F29-$G29)*'2020 Assumptions'!$B$20,0))</f>
        <v>0</v>
      </c>
      <c r="AI89" s="73">
        <f ca="1">IF(AI$5="Doyon Notional Allocation",0,IF($C89&lt;&gt;AI$3,OFFSET('Allocation %'!$A$1,MATCH(AI$4,'Allocation %'!$A:$A,0)-1,MATCH($D89,'Allocation %'!$5:$5,0)-1)*($F29-$G29)*'2020 Assumptions'!$B$20,0))</f>
        <v>0</v>
      </c>
      <c r="AJ89" s="73">
        <f ca="1">IF(AJ$5="Doyon Notional Allocation",0,IF($C89&lt;&gt;AJ$3,OFFSET('Allocation %'!$A$1,MATCH(AJ$4,'Allocation %'!$A:$A,0)-1,MATCH($D89,'Allocation %'!$5:$5,0)-1)*($F29-$G29)*'2020 Assumptions'!$B$20,0))</f>
        <v>0</v>
      </c>
      <c r="AK89" s="73">
        <f ca="1">IF(AK$5="Doyon Notional Allocation",0,IF($C89&lt;&gt;AK$3,OFFSET('Allocation %'!$A$1,MATCH(AK$4,'Allocation %'!$A:$A,0)-1,MATCH($D89,'Allocation %'!$5:$5,0)-1)*($F29-$G29)*'2020 Assumptions'!$B$20,0))</f>
        <v>0</v>
      </c>
      <c r="AL89" s="73">
        <f ca="1">IF(AL$5="Doyon Notional Allocation",0,IF($C89&lt;&gt;AL$3,OFFSET('Allocation %'!$A$1,MATCH(AL$4,'Allocation %'!$A:$A,0)-1,MATCH($D89,'Allocation %'!$5:$5,0)-1)*($F29-$G29)*'2020 Assumptions'!$B$20,0))</f>
        <v>0</v>
      </c>
      <c r="AM89" s="73">
        <f ca="1">IF(AM$5="Doyon Notional Allocation",0,IF($C89&lt;&gt;AM$3,OFFSET('Allocation %'!$A$1,MATCH(AM$4,'Allocation %'!$A:$A,0)-1,MATCH($D89,'Allocation %'!$5:$5,0)-1)*($F29-$G29)*'2020 Assumptions'!$B$20,0))</f>
        <v>0</v>
      </c>
      <c r="AN89" s="73">
        <f ca="1">IF(AN$5="Doyon Notional Allocation",0,IF($C89&lt;&gt;AN$3,OFFSET('Allocation %'!$A$1,MATCH(AN$4,'Allocation %'!$A:$A,0)-1,MATCH($D89,'Allocation %'!$5:$5,0)-1)*($F29-$G29)*'2020 Assumptions'!$B$20,0))</f>
        <v>0</v>
      </c>
      <c r="AO89" s="73">
        <f ca="1">IF(AO$5="Doyon Notional Allocation",0,IF($C89&lt;&gt;AO$3,OFFSET('Allocation %'!$A$1,MATCH(AO$4,'Allocation %'!$A:$A,0)-1,MATCH($D89,'Allocation %'!$5:$5,0)-1)*($F29-$G29)*'2020 Assumptions'!$B$20,0))</f>
        <v>0</v>
      </c>
      <c r="AP89" s="73">
        <f ca="1">IF(AP$5="Doyon Notional Allocation",0,IF($C89&lt;&gt;AP$3,OFFSET('Allocation %'!$A$1,MATCH(AP$4,'Allocation %'!$A:$A,0)-1,MATCH($D89,'Allocation %'!$5:$5,0)-1)*($F29-$G29)*'2020 Assumptions'!$B$20,0))</f>
        <v>0</v>
      </c>
      <c r="AQ89" s="73">
        <f ca="1">IF(AQ$5="Doyon Notional Allocation",0,IF($C89&lt;&gt;AQ$3,OFFSET('Allocation %'!$A$1,MATCH(AQ$4,'Allocation %'!$A:$A,0)-1,MATCH($D89,'Allocation %'!$5:$5,0)-1)*($F29-$G29)*'2020 Assumptions'!$B$20,0))</f>
        <v>0</v>
      </c>
      <c r="AR89" s="73">
        <f ca="1">IF(AR$5="Doyon Notional Allocation",0,IF($C89&lt;&gt;AR$3,OFFSET('Allocation %'!$A$1,MATCH(AR$4,'Allocation %'!$A:$A,0)-1,MATCH($D89,'Allocation %'!$5:$5,0)-1)*($F29-$G29)*'2020 Assumptions'!$B$20,0))</f>
        <v>0</v>
      </c>
      <c r="AS89" s="73">
        <f ca="1">IF(AS$5="Doyon Notional Allocation",0,IF($C89&lt;&gt;AS$3,OFFSET('Allocation %'!$A$1,MATCH(AS$4,'Allocation %'!$A:$A,0)-1,MATCH($D89,'Allocation %'!$5:$5,0)-1)*($F29-$G29)*'2020 Assumptions'!$B$20,0))</f>
        <v>0</v>
      </c>
      <c r="AT89" s="73">
        <f ca="1">IF(AT$5="Doyon Notional Allocation",0,IF($C89&lt;&gt;AT$3,OFFSET('Allocation %'!$A$1,MATCH(AT$4,'Allocation %'!$A:$A,0)-1,MATCH($D89,'Allocation %'!$5:$5,0)-1)*($F29-$G29)*'2020 Assumptions'!$B$20,0))</f>
        <v>0</v>
      </c>
      <c r="AU89" s="73">
        <f ca="1">IF(AU$5="Doyon Notional Allocation",0,IF($C89&lt;&gt;AU$3,OFFSET('Allocation %'!$A$1,MATCH(AU$4,'Allocation %'!$A:$A,0)-1,MATCH($D89,'Allocation %'!$5:$5,0)-1)*($F29-$G29)*'2020 Assumptions'!$B$20,0))</f>
        <v>0</v>
      </c>
      <c r="AV89" s="73">
        <f ca="1">IF(AV$5="Doyon Notional Allocation",0,IF($C89&lt;&gt;AV$3,OFFSET('Allocation %'!$A$1,MATCH(AV$4,'Allocation %'!$A:$A,0)-1,MATCH($D89,'Allocation %'!$5:$5,0)-1)*($F29-$G29)*'2020 Assumptions'!$B$20,0))</f>
        <v>0</v>
      </c>
      <c r="AW89" s="73">
        <f ca="1">IF(AW$5="Doyon Notional Allocation",0,IF($C89&lt;&gt;AW$3,OFFSET('Allocation %'!$A$1,MATCH(AW$4,'Allocation %'!$A:$A,0)-1,MATCH($D89,'Allocation %'!$5:$5,0)-1)*($F29-$G29)*'2020 Assumptions'!$B$20,0))</f>
        <v>0</v>
      </c>
      <c r="AX89" s="73">
        <f ca="1">IF(AX$5="Doyon Notional Allocation",0,IF($C89&lt;&gt;AX$3,OFFSET('Allocation %'!$A$1,MATCH(AX$4,'Allocation %'!$A:$A,0)-1,MATCH($D89,'Allocation %'!$5:$5,0)-1)*($F29-$G29)*'2020 Assumptions'!$B$20,0))</f>
        <v>0</v>
      </c>
      <c r="AY89" s="73">
        <f ca="1">IF(AY$5="Doyon Notional Allocation",0,IF($C89&lt;&gt;AY$3,OFFSET('Allocation %'!$A$1,MATCH(AY$4,'Allocation %'!$A:$A,0)-1,MATCH($D89,'Allocation %'!$5:$5,0)-1)*($F29-$G29)*'2020 Assumptions'!$B$20,0))</f>
        <v>0</v>
      </c>
      <c r="AZ89" s="73">
        <f ca="1">IF(AZ$5="Doyon Notional Allocation",0,IF($C89&lt;&gt;AZ$3,OFFSET('Allocation %'!$A$1,MATCH(AZ$4,'Allocation %'!$A:$A,0)-1,MATCH($D89,'Allocation %'!$5:$5,0)-1)*($F29-$G29)*'2020 Assumptions'!$B$20,0))</f>
        <v>0</v>
      </c>
      <c r="BA89" s="73">
        <f ca="1">IF(BA$5="Doyon Notional Allocation",0,IF($C89&lt;&gt;BA$3,OFFSET('Allocation %'!$A$1,MATCH(BA$4,'Allocation %'!$A:$A,0)-1,MATCH($D89,'Allocation %'!$5:$5,0)-1)*($F29-$G29)*'2020 Assumptions'!$B$20,0))</f>
        <v>0</v>
      </c>
      <c r="BB89" s="73">
        <f ca="1">IF(BB$5="Doyon Notional Allocation",0,IF($C89&lt;&gt;BB$3,OFFSET('Allocation %'!$A$1,MATCH(BB$4,'Allocation %'!$A:$A,0)-1,MATCH($D89,'Allocation %'!$5:$5,0)-1)*($F29-$G29)*'2020 Assumptions'!$B$20,0))</f>
        <v>0</v>
      </c>
      <c r="BC89" s="73">
        <f ca="1">IF(BC$5="Doyon Notional Allocation",0,IF($C89&lt;&gt;BC$3,OFFSET('Allocation %'!$A$1,MATCH(BC$4,'Allocation %'!$A:$A,0)-1,MATCH($D89,'Allocation %'!$5:$5,0)-1)*($F29-$G29)*'2020 Assumptions'!$B$20,0))</f>
        <v>0</v>
      </c>
      <c r="BD89" s="73">
        <f ca="1">IF(BD$5="Doyon Notional Allocation",0,IF($C89&lt;&gt;BD$3,OFFSET('Allocation %'!$A$1,MATCH(BD$4,'Allocation %'!$A:$A,0)-1,MATCH($D89,'Allocation %'!$5:$5,0)-1)*($F29-$G29)*'2020 Assumptions'!$B$20,0))</f>
        <v>0</v>
      </c>
      <c r="BE89" s="73">
        <f ca="1">IF(BE$5="Doyon Notional Allocation",0,IF($C89&lt;&gt;BE$3,OFFSET('Allocation %'!$A$1,MATCH(BE$4,'Allocation %'!$A:$A,0)-1,MATCH($D89,'Allocation %'!$5:$5,0)-1)*($F29-$G29)*'2020 Assumptions'!$B$20,0))</f>
        <v>0</v>
      </c>
      <c r="BG89" s="76">
        <f t="shared" ca="1" si="9"/>
        <v>0</v>
      </c>
      <c r="BH89" s="349">
        <f t="shared" ca="1" si="10"/>
        <v>0</v>
      </c>
    </row>
    <row r="90" spans="2:60" s="177" customFormat="1" x14ac:dyDescent="0.25">
      <c r="B90" s="305" t="str">
        <f t="shared" si="7"/>
        <v>1016 - Corix Infrastructure Services (US) Inc. (Only) Mark up</v>
      </c>
      <c r="C90" s="177" t="str">
        <f t="shared" si="8"/>
        <v>USD</v>
      </c>
      <c r="D90" s="159" t="str">
        <f t="shared" ca="1" si="8"/>
        <v>CU Only</v>
      </c>
      <c r="E90" s="73">
        <f ca="1">F90*'2020 Assumptions'!$B$4</f>
        <v>0</v>
      </c>
      <c r="F90" s="305">
        <f t="shared" ca="1" si="11"/>
        <v>0</v>
      </c>
      <c r="G90" s="73"/>
      <c r="I90" s="73">
        <f ca="1">IF(I$5="Doyon Notional Allocation",0,IF($C90&lt;&gt;I$3,OFFSET('Allocation %'!$A$1,MATCH(I$4,'Allocation %'!$A:$A,0)-1,MATCH($D90,'Allocation %'!$5:$5,0)-1)*($F30-$G30)*'2020 Assumptions'!$B$20,0))</f>
        <v>0</v>
      </c>
      <c r="J90" s="73">
        <f ca="1">IF(J$5="Doyon Notional Allocation",0,IF($C90&lt;&gt;J$3,OFFSET('Allocation %'!$A$1,MATCH(J$4,'Allocation %'!$A:$A,0)-1,MATCH($D90,'Allocation %'!$5:$5,0)-1)*($F30-$G30)*'2020 Assumptions'!$B$20,0))</f>
        <v>0</v>
      </c>
      <c r="K90" s="73">
        <f ca="1">IF(K$5="Doyon Notional Allocation",0,IF($C90&lt;&gt;K$3,OFFSET('Allocation %'!$A$1,MATCH(K$4,'Allocation %'!$A:$A,0)-1,MATCH($D90,'Allocation %'!$5:$5,0)-1)*($F30-$G30)*'2020 Assumptions'!$B$20,0))</f>
        <v>0</v>
      </c>
      <c r="L90" s="73">
        <f ca="1">IF(L$5="Doyon Notional Allocation",0,IF($C90&lt;&gt;L$3,OFFSET('Allocation %'!$A$1,MATCH(L$4,'Allocation %'!$A:$A,0)-1,MATCH($D90,'Allocation %'!$5:$5,0)-1)*($F30-$G30)*'2020 Assumptions'!$B$20,0))</f>
        <v>0</v>
      </c>
      <c r="M90" s="73">
        <f ca="1">IF(M$5="Doyon Notional Allocation",0,IF($C90&lt;&gt;M$3,OFFSET('Allocation %'!$A$1,MATCH(M$4,'Allocation %'!$A:$A,0)-1,MATCH($D90,'Allocation %'!$5:$5,0)-1)*($F30-$G30)*'2020 Assumptions'!$B$20,0))</f>
        <v>0</v>
      </c>
      <c r="N90" s="73">
        <f ca="1">IF(N$5="Doyon Notional Allocation",0,IF($C90&lt;&gt;N$3,OFFSET('Allocation %'!$A$1,MATCH(N$4,'Allocation %'!$A:$A,0)-1,MATCH($D90,'Allocation %'!$5:$5,0)-1)*($F30-$G30)*'2020 Assumptions'!$B$20,0))</f>
        <v>0</v>
      </c>
      <c r="O90" s="73">
        <f ca="1">IF(O$5="Doyon Notional Allocation",0,IF($C90&lt;&gt;O$3,OFFSET('Allocation %'!$A$1,MATCH(O$4,'Allocation %'!$A:$A,0)-1,MATCH($D90,'Allocation %'!$5:$5,0)-1)*($F30-$G30)*'2020 Assumptions'!$B$20,0))</f>
        <v>0</v>
      </c>
      <c r="P90" s="73">
        <f ca="1">IF(P$5="Doyon Notional Allocation",0,IF($C90&lt;&gt;P$3,OFFSET('Allocation %'!$A$1,MATCH(P$4,'Allocation %'!$A:$A,0)-1,MATCH($D90,'Allocation %'!$5:$5,0)-1)*($F30-$G30)*'2020 Assumptions'!$B$20,0))</f>
        <v>0</v>
      </c>
      <c r="Q90" s="73">
        <f ca="1">IF(Q$5="Doyon Notional Allocation",0,IF($C90&lt;&gt;Q$3,OFFSET('Allocation %'!$A$1,MATCH(Q$4,'Allocation %'!$A:$A,0)-1,MATCH($D90,'Allocation %'!$5:$5,0)-1)*($F30-$G30)*'2020 Assumptions'!$B$20,0))</f>
        <v>0</v>
      </c>
      <c r="R90" s="73">
        <f ca="1">IF(R$5="Doyon Notional Allocation",0,IF($C90&lt;&gt;R$3,OFFSET('Allocation %'!$A$1,MATCH(R$4,'Allocation %'!$A:$A,0)-1,MATCH($D90,'Allocation %'!$5:$5,0)-1)*($F30-$G30)*'2020 Assumptions'!$B$20,0))</f>
        <v>0</v>
      </c>
      <c r="S90" s="73">
        <f ca="1">IF(S$5="Doyon Notional Allocation",0,IF($C90&lt;&gt;S$3,OFFSET('Allocation %'!$A$1,MATCH(S$4,'Allocation %'!$A:$A,0)-1,MATCH($D90,'Allocation %'!$5:$5,0)-1)*($F30-$G30)*'2020 Assumptions'!$B$20,0))</f>
        <v>0</v>
      </c>
      <c r="T90" s="73">
        <f ca="1">IF(T$5="Doyon Notional Allocation",0,IF($C90&lt;&gt;T$3,OFFSET('Allocation %'!$A$1,MATCH(T$4,'Allocation %'!$A:$A,0)-1,MATCH($D90,'Allocation %'!$5:$5,0)-1)*($F30-$G30)*'2020 Assumptions'!$B$20,0))</f>
        <v>0</v>
      </c>
      <c r="U90" s="73">
        <f ca="1">IF(U$5="Doyon Notional Allocation",0,IF($C90&lt;&gt;U$3,OFFSET('Allocation %'!$A$1,MATCH(U$4,'Allocation %'!$A:$A,0)-1,MATCH($D90,'Allocation %'!$5:$5,0)-1)*($F30-$G30)*'2020 Assumptions'!$B$20,0))</f>
        <v>0</v>
      </c>
      <c r="V90" s="73">
        <f ca="1">IF(V$5="Doyon Notional Allocation",0,IF($C90&lt;&gt;V$3,OFFSET('Allocation %'!$A$1,MATCH(V$4,'Allocation %'!$A:$A,0)-1,MATCH($D90,'Allocation %'!$5:$5,0)-1)*($F30-$G30)*'2020 Assumptions'!$B$20,0))</f>
        <v>0</v>
      </c>
      <c r="W90" s="73">
        <f ca="1">IF(W$5="Doyon Notional Allocation",0,IF($C90&lt;&gt;W$3,OFFSET('Allocation %'!$A$1,MATCH(W$4,'Allocation %'!$A:$A,0)-1,MATCH($D90,'Allocation %'!$5:$5,0)-1)*($F30-$G30)*'2020 Assumptions'!$B$20,0))</f>
        <v>0</v>
      </c>
      <c r="X90" s="73">
        <f ca="1">IF(X$5="Doyon Notional Allocation",0,IF($C90&lt;&gt;X$3,OFFSET('Allocation %'!$A$1,MATCH(X$4,'Allocation %'!$A:$A,0)-1,MATCH($D90,'Allocation %'!$5:$5,0)-1)*($F30-$G30)*'2020 Assumptions'!$B$20,0))</f>
        <v>0</v>
      </c>
      <c r="Y90" s="73">
        <f ca="1">IF(Y$5="Doyon Notional Allocation",0,IF($C90&lt;&gt;Y$3,OFFSET('Allocation %'!$A$1,MATCH(Y$4,'Allocation %'!$A:$A,0)-1,MATCH($D90,'Allocation %'!$5:$5,0)-1)*($F30-$G30)*'2020 Assumptions'!$B$20,0))</f>
        <v>0</v>
      </c>
      <c r="Z90" s="73">
        <f ca="1">IF(Z$5="Doyon Notional Allocation",0,IF($C90&lt;&gt;Z$3,OFFSET('Allocation %'!$A$1,MATCH(Z$4,'Allocation %'!$A:$A,0)-1,MATCH($D90,'Allocation %'!$5:$5,0)-1)*($F30-$G30)*'2020 Assumptions'!$B$20,0))</f>
        <v>0</v>
      </c>
      <c r="AA90" s="73">
        <f ca="1">IF(AA$5="Doyon Notional Allocation",0,IF($C90&lt;&gt;AA$3,OFFSET('Allocation %'!$A$1,MATCH(AA$4,'Allocation %'!$A:$A,0)-1,MATCH($D90,'Allocation %'!$5:$5,0)-1)*($F30-$G30)*'2020 Assumptions'!$B$20,0))</f>
        <v>0</v>
      </c>
      <c r="AB90" s="73">
        <f ca="1">IF(AB$5="Doyon Notional Allocation",0,IF($C90&lt;&gt;AB$3,OFFSET('Allocation %'!$A$1,MATCH(AB$4,'Allocation %'!$A:$A,0)-1,MATCH($D90,'Allocation %'!$5:$5,0)-1)*($F30-$G30)*'2020 Assumptions'!$B$20,0))</f>
        <v>0</v>
      </c>
      <c r="AC90" s="73">
        <f ca="1">IF(AC$5="Doyon Notional Allocation",0,IF($C90&lt;&gt;AC$3,OFFSET('Allocation %'!$A$1,MATCH(AC$4,'Allocation %'!$A:$A,0)-1,MATCH($D90,'Allocation %'!$5:$5,0)-1)*($F30-$G30)*'2020 Assumptions'!$B$20,0))</f>
        <v>0</v>
      </c>
      <c r="AD90" s="73">
        <f ca="1">IF(AD$5="Doyon Notional Allocation",0,IF($C90&lt;&gt;AD$3,OFFSET('Allocation %'!$A$1,MATCH(AD$4,'Allocation %'!$A:$A,0)-1,MATCH($D90,'Allocation %'!$5:$5,0)-1)*($F30-$G30)*'2020 Assumptions'!$B$20,0))</f>
        <v>0</v>
      </c>
      <c r="AE90" s="73">
        <f ca="1">IF(AE$5="Doyon Notional Allocation",0,IF($C90&lt;&gt;AE$3,OFFSET('Allocation %'!$A$1,MATCH(AE$4,'Allocation %'!$A:$A,0)-1,MATCH($D90,'Allocation %'!$5:$5,0)-1)*($F30-$G30)*'2020 Assumptions'!$B$20,0))</f>
        <v>0</v>
      </c>
      <c r="AF90" s="73">
        <f ca="1">IF(AF$5="Doyon Notional Allocation",0,IF($C90&lt;&gt;AF$3,OFFSET('Allocation %'!$A$1,MATCH(AF$4,'Allocation %'!$A:$A,0)-1,MATCH($D90,'Allocation %'!$5:$5,0)-1)*($F30-$G30)*'2020 Assumptions'!$B$20,0))</f>
        <v>0</v>
      </c>
      <c r="AG90" s="73">
        <f ca="1">IF(AG$5="Doyon Notional Allocation",0,IF($C90&lt;&gt;AG$3,OFFSET('Allocation %'!$A$1,MATCH(AG$4,'Allocation %'!$A:$A,0)-1,MATCH($D90,'Allocation %'!$5:$5,0)-1)*($F30-$G30)*'2020 Assumptions'!$B$20,0))</f>
        <v>0</v>
      </c>
      <c r="AH90" s="73">
        <f ca="1">IF(AH$5="Doyon Notional Allocation",0,IF($C90&lt;&gt;AH$3,OFFSET('Allocation %'!$A$1,MATCH(AH$4,'Allocation %'!$A:$A,0)-1,MATCH($D90,'Allocation %'!$5:$5,0)-1)*($F30-$G30)*'2020 Assumptions'!$B$20,0))</f>
        <v>0</v>
      </c>
      <c r="AI90" s="73">
        <f ca="1">IF(AI$5="Doyon Notional Allocation",0,IF($C90&lt;&gt;AI$3,OFFSET('Allocation %'!$A$1,MATCH(AI$4,'Allocation %'!$A:$A,0)-1,MATCH($D90,'Allocation %'!$5:$5,0)-1)*($F30-$G30)*'2020 Assumptions'!$B$20,0))</f>
        <v>0</v>
      </c>
      <c r="AJ90" s="73">
        <f ca="1">IF(AJ$5="Doyon Notional Allocation",0,IF($C90&lt;&gt;AJ$3,OFFSET('Allocation %'!$A$1,MATCH(AJ$4,'Allocation %'!$A:$A,0)-1,MATCH($D90,'Allocation %'!$5:$5,0)-1)*($F30-$G30)*'2020 Assumptions'!$B$20,0))</f>
        <v>0</v>
      </c>
      <c r="AK90" s="73">
        <f ca="1">IF(AK$5="Doyon Notional Allocation",0,IF($C90&lt;&gt;AK$3,OFFSET('Allocation %'!$A$1,MATCH(AK$4,'Allocation %'!$A:$A,0)-1,MATCH($D90,'Allocation %'!$5:$5,0)-1)*($F30-$G30)*'2020 Assumptions'!$B$20,0))</f>
        <v>0</v>
      </c>
      <c r="AL90" s="73">
        <f ca="1">IF(AL$5="Doyon Notional Allocation",0,IF($C90&lt;&gt;AL$3,OFFSET('Allocation %'!$A$1,MATCH(AL$4,'Allocation %'!$A:$A,0)-1,MATCH($D90,'Allocation %'!$5:$5,0)-1)*($F30-$G30)*'2020 Assumptions'!$B$20,0))</f>
        <v>0</v>
      </c>
      <c r="AM90" s="73">
        <f ca="1">IF(AM$5="Doyon Notional Allocation",0,IF($C90&lt;&gt;AM$3,OFFSET('Allocation %'!$A$1,MATCH(AM$4,'Allocation %'!$A:$A,0)-1,MATCH($D90,'Allocation %'!$5:$5,0)-1)*($F30-$G30)*'2020 Assumptions'!$B$20,0))</f>
        <v>0</v>
      </c>
      <c r="AN90" s="73">
        <f ca="1">IF(AN$5="Doyon Notional Allocation",0,IF($C90&lt;&gt;AN$3,OFFSET('Allocation %'!$A$1,MATCH(AN$4,'Allocation %'!$A:$A,0)-1,MATCH($D90,'Allocation %'!$5:$5,0)-1)*($F30-$G30)*'2020 Assumptions'!$B$20,0))</f>
        <v>0</v>
      </c>
      <c r="AO90" s="73">
        <f ca="1">IF(AO$5="Doyon Notional Allocation",0,IF($C90&lt;&gt;AO$3,OFFSET('Allocation %'!$A$1,MATCH(AO$4,'Allocation %'!$A:$A,0)-1,MATCH($D90,'Allocation %'!$5:$5,0)-1)*($F30-$G30)*'2020 Assumptions'!$B$20,0))</f>
        <v>0</v>
      </c>
      <c r="AP90" s="73">
        <f ca="1">IF(AP$5="Doyon Notional Allocation",0,IF($C90&lt;&gt;AP$3,OFFSET('Allocation %'!$A$1,MATCH(AP$4,'Allocation %'!$A:$A,0)-1,MATCH($D90,'Allocation %'!$5:$5,0)-1)*($F30-$G30)*'2020 Assumptions'!$B$20,0))</f>
        <v>0</v>
      </c>
      <c r="AQ90" s="73">
        <f ca="1">IF(AQ$5="Doyon Notional Allocation",0,IF($C90&lt;&gt;AQ$3,OFFSET('Allocation %'!$A$1,MATCH(AQ$4,'Allocation %'!$A:$A,0)-1,MATCH($D90,'Allocation %'!$5:$5,0)-1)*($F30-$G30)*'2020 Assumptions'!$B$20,0))</f>
        <v>0</v>
      </c>
      <c r="AR90" s="73">
        <f ca="1">IF(AR$5="Doyon Notional Allocation",0,IF($C90&lt;&gt;AR$3,OFFSET('Allocation %'!$A$1,MATCH(AR$4,'Allocation %'!$A:$A,0)-1,MATCH($D90,'Allocation %'!$5:$5,0)-1)*($F30-$G30)*'2020 Assumptions'!$B$20,0))</f>
        <v>0</v>
      </c>
      <c r="AS90" s="73">
        <f ca="1">IF(AS$5="Doyon Notional Allocation",0,IF($C90&lt;&gt;AS$3,OFFSET('Allocation %'!$A$1,MATCH(AS$4,'Allocation %'!$A:$A,0)-1,MATCH($D90,'Allocation %'!$5:$5,0)-1)*($F30-$G30)*'2020 Assumptions'!$B$20,0))</f>
        <v>0</v>
      </c>
      <c r="AT90" s="73">
        <f ca="1">IF(AT$5="Doyon Notional Allocation",0,IF($C90&lt;&gt;AT$3,OFFSET('Allocation %'!$A$1,MATCH(AT$4,'Allocation %'!$A:$A,0)-1,MATCH($D90,'Allocation %'!$5:$5,0)-1)*($F30-$G30)*'2020 Assumptions'!$B$20,0))</f>
        <v>0</v>
      </c>
      <c r="AU90" s="73">
        <f ca="1">IF(AU$5="Doyon Notional Allocation",0,IF($C90&lt;&gt;AU$3,OFFSET('Allocation %'!$A$1,MATCH(AU$4,'Allocation %'!$A:$A,0)-1,MATCH($D90,'Allocation %'!$5:$5,0)-1)*($F30-$G30)*'2020 Assumptions'!$B$20,0))</f>
        <v>0</v>
      </c>
      <c r="AV90" s="73">
        <f ca="1">IF(AV$5="Doyon Notional Allocation",0,IF($C90&lt;&gt;AV$3,OFFSET('Allocation %'!$A$1,MATCH(AV$4,'Allocation %'!$A:$A,0)-1,MATCH($D90,'Allocation %'!$5:$5,0)-1)*($F30-$G30)*'2020 Assumptions'!$B$20,0))</f>
        <v>0</v>
      </c>
      <c r="AW90" s="73">
        <f ca="1">IF(AW$5="Doyon Notional Allocation",0,IF($C90&lt;&gt;AW$3,OFFSET('Allocation %'!$A$1,MATCH(AW$4,'Allocation %'!$A:$A,0)-1,MATCH($D90,'Allocation %'!$5:$5,0)-1)*($F30-$G30)*'2020 Assumptions'!$B$20,0))</f>
        <v>0</v>
      </c>
      <c r="AX90" s="73">
        <f ca="1">IF(AX$5="Doyon Notional Allocation",0,IF($C90&lt;&gt;AX$3,OFFSET('Allocation %'!$A$1,MATCH(AX$4,'Allocation %'!$A:$A,0)-1,MATCH($D90,'Allocation %'!$5:$5,0)-1)*($F30-$G30)*'2020 Assumptions'!$B$20,0))</f>
        <v>0</v>
      </c>
      <c r="AY90" s="73">
        <f ca="1">IF(AY$5="Doyon Notional Allocation",0,IF($C90&lt;&gt;AY$3,OFFSET('Allocation %'!$A$1,MATCH(AY$4,'Allocation %'!$A:$A,0)-1,MATCH($D90,'Allocation %'!$5:$5,0)-1)*($F30-$G30)*'2020 Assumptions'!$B$20,0))</f>
        <v>0</v>
      </c>
      <c r="AZ90" s="73">
        <f ca="1">IF(AZ$5="Doyon Notional Allocation",0,IF($C90&lt;&gt;AZ$3,OFFSET('Allocation %'!$A$1,MATCH(AZ$4,'Allocation %'!$A:$A,0)-1,MATCH($D90,'Allocation %'!$5:$5,0)-1)*($F30-$G30)*'2020 Assumptions'!$B$20,0))</f>
        <v>0</v>
      </c>
      <c r="BA90" s="73">
        <f ca="1">IF(BA$5="Doyon Notional Allocation",0,IF($C90&lt;&gt;BA$3,OFFSET('Allocation %'!$A$1,MATCH(BA$4,'Allocation %'!$A:$A,0)-1,MATCH($D90,'Allocation %'!$5:$5,0)-1)*($F30-$G30)*'2020 Assumptions'!$B$20,0))</f>
        <v>0</v>
      </c>
      <c r="BB90" s="73">
        <f ca="1">IF(BB$5="Doyon Notional Allocation",0,IF($C90&lt;&gt;BB$3,OFFSET('Allocation %'!$A$1,MATCH(BB$4,'Allocation %'!$A:$A,0)-1,MATCH($D90,'Allocation %'!$5:$5,0)-1)*($F30-$G30)*'2020 Assumptions'!$B$20,0))</f>
        <v>0</v>
      </c>
      <c r="BC90" s="73">
        <f ca="1">IF(BC$5="Doyon Notional Allocation",0,IF($C90&lt;&gt;BC$3,OFFSET('Allocation %'!$A$1,MATCH(BC$4,'Allocation %'!$A:$A,0)-1,MATCH($D90,'Allocation %'!$5:$5,0)-1)*($F30-$G30)*'2020 Assumptions'!$B$20,0))</f>
        <v>0</v>
      </c>
      <c r="BD90" s="73">
        <f ca="1">IF(BD$5="Doyon Notional Allocation",0,IF($C90&lt;&gt;BD$3,OFFSET('Allocation %'!$A$1,MATCH(BD$4,'Allocation %'!$A:$A,0)-1,MATCH($D90,'Allocation %'!$5:$5,0)-1)*($F30-$G30)*'2020 Assumptions'!$B$20,0))</f>
        <v>0</v>
      </c>
      <c r="BE90" s="73">
        <f ca="1">IF(BE$5="Doyon Notional Allocation",0,IF($C90&lt;&gt;BE$3,OFFSET('Allocation %'!$A$1,MATCH(BE$4,'Allocation %'!$A:$A,0)-1,MATCH($D90,'Allocation %'!$5:$5,0)-1)*($F30-$G30)*'2020 Assumptions'!$B$20,0))</f>
        <v>0</v>
      </c>
      <c r="BG90" s="76">
        <f t="shared" ca="1" si="9"/>
        <v>0</v>
      </c>
      <c r="BH90" s="349">
        <f t="shared" ca="1" si="10"/>
        <v>0</v>
      </c>
    </row>
    <row r="91" spans="2:60" s="177" customFormat="1" x14ac:dyDescent="0.25">
      <c r="B91" s="305" t="str">
        <f t="shared" si="7"/>
        <v>1016-000200 - Business Development Mark up</v>
      </c>
      <c r="C91" s="177" t="str">
        <f t="shared" si="8"/>
        <v>USD</v>
      </c>
      <c r="D91" s="159" t="str">
        <f t="shared" ca="1" si="8"/>
        <v>ALL</v>
      </c>
      <c r="E91" s="73">
        <f ca="1">F91*'2020 Assumptions'!$B$4</f>
        <v>839.76543580426164</v>
      </c>
      <c r="F91" s="305">
        <f t="shared" ca="1" si="11"/>
        <v>624.73250692178362</v>
      </c>
      <c r="G91" s="73"/>
      <c r="I91" s="73">
        <f ca="1">IF(I$5="Doyon Notional Allocation",0,IF($C91&lt;&gt;I$3,OFFSET('Allocation %'!$A$1,MATCH(I$4,'Allocation %'!$A:$A,0)-1,MATCH($D91,'Allocation %'!$5:$5,0)-1)*($F31-$G31)*'2020 Assumptions'!$B$20,0))</f>
        <v>0</v>
      </c>
      <c r="J91" s="73">
        <f ca="1">IF(J$5="Doyon Notional Allocation",0,IF($C91&lt;&gt;J$3,OFFSET('Allocation %'!$A$1,MATCH(J$4,'Allocation %'!$A:$A,0)-1,MATCH($D91,'Allocation %'!$5:$5,0)-1)*($F31-$G31)*'2020 Assumptions'!$B$20,0))</f>
        <v>14.374879427048739</v>
      </c>
      <c r="K91" s="73">
        <f ca="1">IF(K$5="Doyon Notional Allocation",0,IF($C91&lt;&gt;K$3,OFFSET('Allocation %'!$A$1,MATCH(K$4,'Allocation %'!$A:$A,0)-1,MATCH($D91,'Allocation %'!$5:$5,0)-1)*($F31-$G31)*'2020 Assumptions'!$B$20,0))</f>
        <v>4.5255097014672439</v>
      </c>
      <c r="L91" s="73">
        <f ca="1">IF(L$5="Doyon Notional Allocation",0,IF($C91&lt;&gt;L$3,OFFSET('Allocation %'!$A$1,MATCH(L$4,'Allocation %'!$A:$A,0)-1,MATCH($D91,'Allocation %'!$5:$5,0)-1)*($F31-$G31)*'2020 Assumptions'!$B$20,0))</f>
        <v>4.8915770109604226</v>
      </c>
      <c r="M91" s="73">
        <f ca="1">IF(M$5="Doyon Notional Allocation",0,IF($C91&lt;&gt;M$3,OFFSET('Allocation %'!$A$1,MATCH(M$4,'Allocation %'!$A:$A,0)-1,MATCH($D91,'Allocation %'!$5:$5,0)-1)*($F31-$G31)*'2020 Assumptions'!$B$20,0))</f>
        <v>7.963258888272275</v>
      </c>
      <c r="N91" s="73">
        <f ca="1">IF(N$5="Doyon Notional Allocation",0,IF($C91&lt;&gt;N$3,OFFSET('Allocation %'!$A$1,MATCH(N$4,'Allocation %'!$A:$A,0)-1,MATCH($D91,'Allocation %'!$5:$5,0)-1)*($F31-$G31)*'2020 Assumptions'!$B$20,0))</f>
        <v>6.9684826880082058</v>
      </c>
      <c r="O91" s="73">
        <f ca="1">IF(O$5="Doyon Notional Allocation",0,IF($C91&lt;&gt;O$3,OFFSET('Allocation %'!$A$1,MATCH(O$4,'Allocation %'!$A:$A,0)-1,MATCH($D91,'Allocation %'!$5:$5,0)-1)*($F31-$G31)*'2020 Assumptions'!$B$20,0))</f>
        <v>16.292442529998549</v>
      </c>
      <c r="P91" s="73">
        <f ca="1">IF(P$5="Doyon Notional Allocation",0,IF($C91&lt;&gt;P$3,OFFSET('Allocation %'!$A$1,MATCH(P$4,'Allocation %'!$A:$A,0)-1,MATCH($D91,'Allocation %'!$5:$5,0)-1)*($F31-$G31)*'2020 Assumptions'!$B$20,0))</f>
        <v>2.3657167753923316</v>
      </c>
      <c r="Q91" s="73">
        <f ca="1">IF(Q$5="Doyon Notional Allocation",0,IF($C91&lt;&gt;Q$3,OFFSET('Allocation %'!$A$1,MATCH(Q$4,'Allocation %'!$A:$A,0)-1,MATCH($D91,'Allocation %'!$5:$5,0)-1)*($F31-$G31)*'2020 Assumptions'!$B$20,0))</f>
        <v>5.1626365608585791</v>
      </c>
      <c r="R91" s="73">
        <f ca="1">IF(R$5="Doyon Notional Allocation",0,IF($C91&lt;&gt;R$3,OFFSET('Allocation %'!$A$1,MATCH(R$4,'Allocation %'!$A:$A,0)-1,MATCH($D91,'Allocation %'!$5:$5,0)-1)*($F31-$G31)*'2020 Assumptions'!$B$20,0))</f>
        <v>4.7646423259520407</v>
      </c>
      <c r="S91" s="73">
        <f ca="1">IF(S$5="Doyon Notional Allocation",0,IF($C91&lt;&gt;S$3,OFFSET('Allocation %'!$A$1,MATCH(S$4,'Allocation %'!$A:$A,0)-1,MATCH($D91,'Allocation %'!$5:$5,0)-1)*($F31-$G31)*'2020 Assumptions'!$B$20,0))</f>
        <v>4.582777684338371</v>
      </c>
      <c r="T91" s="73">
        <f ca="1">IF(T$5="Doyon Notional Allocation",0,IF($C91&lt;&gt;T$3,OFFSET('Allocation %'!$A$1,MATCH(T$4,'Allocation %'!$A:$A,0)-1,MATCH($D91,'Allocation %'!$5:$5,0)-1)*($F31-$G31)*'2020 Assumptions'!$B$20,0))</f>
        <v>16.448035395411054</v>
      </c>
      <c r="U91" s="73">
        <f ca="1">IF(U$5="Doyon Notional Allocation",0,IF($C91&lt;&gt;U$3,OFFSET('Allocation %'!$A$1,MATCH(U$4,'Allocation %'!$A:$A,0)-1,MATCH($D91,'Allocation %'!$5:$5,0)-1)*($F31-$G31)*'2020 Assumptions'!$B$20,0))</f>
        <v>10.521001732849351</v>
      </c>
      <c r="V91" s="73">
        <f ca="1">IF(V$5="Doyon Notional Allocation",0,IF($C91&lt;&gt;V$3,OFFSET('Allocation %'!$A$1,MATCH(V$4,'Allocation %'!$A:$A,0)-1,MATCH($D91,'Allocation %'!$5:$5,0)-1)*($F31-$G31)*'2020 Assumptions'!$B$20,0))</f>
        <v>11.165702939303504</v>
      </c>
      <c r="W91" s="73">
        <f ca="1">IF(W$5="Doyon Notional Allocation",0,IF($C91&lt;&gt;W$3,OFFSET('Allocation %'!$A$1,MATCH(W$4,'Allocation %'!$A:$A,0)-1,MATCH($D91,'Allocation %'!$5:$5,0)-1)*($F31-$G31)*'2020 Assumptions'!$B$20,0))</f>
        <v>18.082213458149074</v>
      </c>
      <c r="X91" s="73">
        <f ca="1">IF(X$5="Doyon Notional Allocation",0,IF($C91&lt;&gt;X$3,OFFSET('Allocation %'!$A$1,MATCH(X$4,'Allocation %'!$A:$A,0)-1,MATCH($D91,'Allocation %'!$5:$5,0)-1)*($F31-$G31)*'2020 Assumptions'!$B$20,0))</f>
        <v>0.41879685063282712</v>
      </c>
      <c r="Y91" s="73">
        <f ca="1">IF(Y$5="Doyon Notional Allocation",0,IF($C91&lt;&gt;Y$3,OFFSET('Allocation %'!$A$1,MATCH(Y$4,'Allocation %'!$A:$A,0)-1,MATCH($D91,'Allocation %'!$5:$5,0)-1)*($F31-$G31)*'2020 Assumptions'!$B$20,0))</f>
        <v>0.33045607260240667</v>
      </c>
      <c r="Z91" s="73">
        <f ca="1">IF(Z$5="Doyon Notional Allocation",0,IF($C91&lt;&gt;Z$3,OFFSET('Allocation %'!$A$1,MATCH(Z$4,'Allocation %'!$A:$A,0)-1,MATCH($D91,'Allocation %'!$5:$5,0)-1)*($F31-$G31)*'2020 Assumptions'!$B$20,0))</f>
        <v>0.96366308077098906</v>
      </c>
      <c r="AA91" s="73">
        <f ca="1">IF(AA$5="Doyon Notional Allocation",0,IF($C91&lt;&gt;AA$3,OFFSET('Allocation %'!$A$1,MATCH(AA$4,'Allocation %'!$A:$A,0)-1,MATCH($D91,'Allocation %'!$5:$5,0)-1)*($F31-$G31)*'2020 Assumptions'!$B$20,0))</f>
        <v>0.87926753128759039</v>
      </c>
      <c r="AB91" s="73">
        <f ca="1">IF(AB$5="Doyon Notional Allocation",0,IF($C91&lt;&gt;AB$3,OFFSET('Allocation %'!$A$1,MATCH(AB$4,'Allocation %'!$A:$A,0)-1,MATCH($D91,'Allocation %'!$5:$5,0)-1)*($F31-$G31)*'2020 Assumptions'!$B$20,0))</f>
        <v>0.85080438286353199</v>
      </c>
      <c r="AC91" s="73">
        <f ca="1">IF(AC$5="Doyon Notional Allocation",0,IF($C91&lt;&gt;AC$3,OFFSET('Allocation %'!$A$1,MATCH(AC$4,'Allocation %'!$A:$A,0)-1,MATCH($D91,'Allocation %'!$5:$5,0)-1)*($F31-$G31)*'2020 Assumptions'!$B$20,0))</f>
        <v>0.96250339836193233</v>
      </c>
      <c r="AD91" s="73">
        <f ca="1">IF(AD$5="Doyon Notional Allocation",0,IF($C91&lt;&gt;AD$3,OFFSET('Allocation %'!$A$1,MATCH(AD$4,'Allocation %'!$A:$A,0)-1,MATCH($D91,'Allocation %'!$5:$5,0)-1)*($F31-$G31)*'2020 Assumptions'!$B$20,0))</f>
        <v>2.1269731902433846</v>
      </c>
      <c r="AE91" s="73">
        <f ca="1">IF(AE$5="Doyon Notional Allocation",0,IF($C91&lt;&gt;AE$3,OFFSET('Allocation %'!$A$1,MATCH(AE$4,'Allocation %'!$A:$A,0)-1,MATCH($D91,'Allocation %'!$5:$5,0)-1)*($F31-$G31)*'2020 Assumptions'!$B$20,0))</f>
        <v>2.0360686231044052</v>
      </c>
      <c r="AF91" s="73">
        <f ca="1">IF(AF$5="Doyon Notional Allocation",0,IF($C91&lt;&gt;AF$3,OFFSET('Allocation %'!$A$1,MATCH(AF$4,'Allocation %'!$A:$A,0)-1,MATCH($D91,'Allocation %'!$5:$5,0)-1)*($F31-$G31)*'2020 Assumptions'!$B$20,0))</f>
        <v>10.037828107372029</v>
      </c>
      <c r="AG91" s="73">
        <f ca="1">IF(AG$5="Doyon Notional Allocation",0,IF($C91&lt;&gt;AG$3,OFFSET('Allocation %'!$A$1,MATCH(AG$4,'Allocation %'!$A:$A,0)-1,MATCH($D91,'Allocation %'!$5:$5,0)-1)*($F31-$G31)*'2020 Assumptions'!$B$20,0))</f>
        <v>15.797368770408035</v>
      </c>
      <c r="AH91" s="73">
        <f ca="1">IF(AH$5="Doyon Notional Allocation",0,IF($C91&lt;&gt;AH$3,OFFSET('Allocation %'!$A$1,MATCH(AH$4,'Allocation %'!$A:$A,0)-1,MATCH($D91,'Allocation %'!$5:$5,0)-1)*($F31-$G31)*'2020 Assumptions'!$B$20,0))</f>
        <v>139.73171130725379</v>
      </c>
      <c r="AI91" s="73">
        <f ca="1">IF(AI$5="Doyon Notional Allocation",0,IF($C91&lt;&gt;AI$3,OFFSET('Allocation %'!$A$1,MATCH(AI$4,'Allocation %'!$A:$A,0)-1,MATCH($D91,'Allocation %'!$5:$5,0)-1)*($F31-$G31)*'2020 Assumptions'!$B$20,0))</f>
        <v>0.82990760768466842</v>
      </c>
      <c r="AJ91" s="73">
        <f ca="1">IF(AJ$5="Doyon Notional Allocation",0,IF($C91&lt;&gt;AJ$3,OFFSET('Allocation %'!$A$1,MATCH(AJ$4,'Allocation %'!$A:$A,0)-1,MATCH($D91,'Allocation %'!$5:$5,0)-1)*($F31-$G31)*'2020 Assumptions'!$B$20,0))</f>
        <v>19.436664407430246</v>
      </c>
      <c r="AK91" s="73">
        <f ca="1">IF(AK$5="Doyon Notional Allocation",0,IF($C91&lt;&gt;AK$3,OFFSET('Allocation %'!$A$1,MATCH(AK$4,'Allocation %'!$A:$A,0)-1,MATCH($D91,'Allocation %'!$5:$5,0)-1)*($F31-$G31)*'2020 Assumptions'!$B$20,0))</f>
        <v>17.492468169962162</v>
      </c>
      <c r="AL91" s="73">
        <f ca="1">IF(AL$5="Doyon Notional Allocation",0,IF($C91&lt;&gt;AL$3,OFFSET('Allocation %'!$A$1,MATCH(AL$4,'Allocation %'!$A:$A,0)-1,MATCH($D91,'Allocation %'!$5:$5,0)-1)*($F31-$G31)*'2020 Assumptions'!$B$20,0))</f>
        <v>0</v>
      </c>
      <c r="AM91" s="73">
        <f ca="1">IF(AM$5="Doyon Notional Allocation",0,IF($C91&lt;&gt;AM$3,OFFSET('Allocation %'!$A$1,MATCH(AM$4,'Allocation %'!$A:$A,0)-1,MATCH($D91,'Allocation %'!$5:$5,0)-1)*($F31-$G31)*'2020 Assumptions'!$B$20,0))</f>
        <v>2.293419845949451</v>
      </c>
      <c r="AN91" s="73">
        <f ca="1">IF(AN$5="Doyon Notional Allocation",0,IF($C91&lt;&gt;AN$3,OFFSET('Allocation %'!$A$1,MATCH(AN$4,'Allocation %'!$A:$A,0)-1,MATCH($D91,'Allocation %'!$5:$5,0)-1)*($F31-$G31)*'2020 Assumptions'!$B$20,0))</f>
        <v>0</v>
      </c>
      <c r="AO91" s="73">
        <f ca="1">IF(AO$5="Doyon Notional Allocation",0,IF($C91&lt;&gt;AO$3,OFFSET('Allocation %'!$A$1,MATCH(AO$4,'Allocation %'!$A:$A,0)-1,MATCH($D91,'Allocation %'!$5:$5,0)-1)*($F31-$G31)*'2020 Assumptions'!$B$20,0))</f>
        <v>18.858705539187987</v>
      </c>
      <c r="AP91" s="73">
        <f ca="1">IF(AP$5="Doyon Notional Allocation",0,IF($C91&lt;&gt;AP$3,OFFSET('Allocation %'!$A$1,MATCH(AP$4,'Allocation %'!$A:$A,0)-1,MATCH($D91,'Allocation %'!$5:$5,0)-1)*($F31-$G31)*'2020 Assumptions'!$B$20,0))</f>
        <v>3.9190249795174168</v>
      </c>
      <c r="AQ91" s="73">
        <f ca="1">IF(AQ$5="Doyon Notional Allocation",0,IF($C91&lt;&gt;AQ$3,OFFSET('Allocation %'!$A$1,MATCH(AQ$4,'Allocation %'!$A:$A,0)-1,MATCH($D91,'Allocation %'!$5:$5,0)-1)*($F31-$G31)*'2020 Assumptions'!$B$20,0))</f>
        <v>17.331484428135497</v>
      </c>
      <c r="AR91" s="73">
        <f ca="1">IF(AR$5="Doyon Notional Allocation",0,IF($C91&lt;&gt;AR$3,OFFSET('Allocation %'!$A$1,MATCH(AR$4,'Allocation %'!$A:$A,0)-1,MATCH($D91,'Allocation %'!$5:$5,0)-1)*($F31-$G31)*'2020 Assumptions'!$B$20,0))</f>
        <v>0.43490479714497504</v>
      </c>
      <c r="AS91" s="73">
        <f ca="1">IF(AS$5="Doyon Notional Allocation",0,IF($C91&lt;&gt;AS$3,OFFSET('Allocation %'!$A$1,MATCH(AS$4,'Allocation %'!$A:$A,0)-1,MATCH($D91,'Allocation %'!$5:$5,0)-1)*($F31-$G31)*'2020 Assumptions'!$B$20,0))</f>
        <v>31.856337685293298</v>
      </c>
      <c r="AT91" s="73">
        <f ca="1">IF(AT$5="Doyon Notional Allocation",0,IF($C91&lt;&gt;AT$3,OFFSET('Allocation %'!$A$1,MATCH(AT$4,'Allocation %'!$A:$A,0)-1,MATCH($D91,'Allocation %'!$5:$5,0)-1)*($F31-$G31)*'2020 Assumptions'!$B$20,0))</f>
        <v>18.757132810681181</v>
      </c>
      <c r="AU91" s="73">
        <f ca="1">IF(AU$5="Doyon Notional Allocation",0,IF($C91&lt;&gt;AU$3,OFFSET('Allocation %'!$A$1,MATCH(AU$4,'Allocation %'!$A:$A,0)-1,MATCH($D91,'Allocation %'!$5:$5,0)-1)*($F31-$G31)*'2020 Assumptions'!$B$20,0))</f>
        <v>22.420624406010546</v>
      </c>
      <c r="AV91" s="73">
        <f ca="1">IF(AV$5="Doyon Notional Allocation",0,IF($C91&lt;&gt;AV$3,OFFSET('Allocation %'!$A$1,MATCH(AV$4,'Allocation %'!$A:$A,0)-1,MATCH($D91,'Allocation %'!$5:$5,0)-1)*($F31-$G31)*'2020 Assumptions'!$B$20,0))</f>
        <v>34.540378710346261</v>
      </c>
      <c r="AW91" s="73">
        <f ca="1">IF(AW$5="Doyon Notional Allocation",0,IF($C91&lt;&gt;AW$3,OFFSET('Allocation %'!$A$1,MATCH(AW$4,'Allocation %'!$A:$A,0)-1,MATCH($D91,'Allocation %'!$5:$5,0)-1)*($F31-$G31)*'2020 Assumptions'!$B$20,0))</f>
        <v>132.01428237602227</v>
      </c>
      <c r="AX91" s="73">
        <f ca="1">IF(AX$5="Doyon Notional Allocation",0,IF($C91&lt;&gt;AX$3,OFFSET('Allocation %'!$A$1,MATCH(AX$4,'Allocation %'!$A:$A,0)-1,MATCH($D91,'Allocation %'!$5:$5,0)-1)*($F31-$G31)*'2020 Assumptions'!$B$20,0))</f>
        <v>2.3028527255069253</v>
      </c>
      <c r="AY91" s="73">
        <f ca="1">IF(AY$5="Doyon Notional Allocation",0,IF($C91&lt;&gt;AY$3,OFFSET('Allocation %'!$A$1,MATCH(AY$4,'Allocation %'!$A:$A,0)-1,MATCH($D91,'Allocation %'!$5:$5,0)-1)*($F31-$G31)*'2020 Assumptions'!$B$20,0))</f>
        <v>0</v>
      </c>
      <c r="AZ91" s="73">
        <f ca="1">IF(AZ$5="Doyon Notional Allocation",0,IF($C91&lt;&gt;AZ$3,OFFSET('Allocation %'!$A$1,MATCH(AZ$4,'Allocation %'!$A:$A,0)-1,MATCH($D91,'Allocation %'!$5:$5,0)-1)*($F31-$G31)*'2020 Assumptions'!$B$20,0))</f>
        <v>0</v>
      </c>
      <c r="BA91" s="73">
        <f ca="1">IF(BA$5="Doyon Notional Allocation",0,IF($C91&lt;&gt;BA$3,OFFSET('Allocation %'!$A$1,MATCH(BA$4,'Allocation %'!$A:$A,0)-1,MATCH($D91,'Allocation %'!$5:$5,0)-1)*($F31-$G31)*'2020 Assumptions'!$B$20,0))</f>
        <v>0</v>
      </c>
      <c r="BB91" s="73">
        <f ca="1">IF(BB$5="Doyon Notional Allocation",0,IF($C91&lt;&gt;BB$3,OFFSET('Allocation %'!$A$1,MATCH(BB$4,'Allocation %'!$A:$A,0)-1,MATCH($D91,'Allocation %'!$5:$5,0)-1)*($F31-$G31)*'2020 Assumptions'!$B$20,0))</f>
        <v>0</v>
      </c>
      <c r="BC91" s="73">
        <f ca="1">IF(BC$5="Doyon Notional Allocation",0,IF($C91&lt;&gt;BC$3,OFFSET('Allocation %'!$A$1,MATCH(BC$4,'Allocation %'!$A:$A,0)-1,MATCH($D91,'Allocation %'!$5:$5,0)-1)*($F31-$G31)*'2020 Assumptions'!$B$20,0))</f>
        <v>0</v>
      </c>
      <c r="BD91" s="73">
        <f ca="1">IF(BD$5="Doyon Notional Allocation",0,IF($C91&lt;&gt;BD$3,OFFSET('Allocation %'!$A$1,MATCH(BD$4,'Allocation %'!$A:$A,0)-1,MATCH($D91,'Allocation %'!$5:$5,0)-1)*($F31-$G31)*'2020 Assumptions'!$B$20,0))</f>
        <v>0</v>
      </c>
      <c r="BE91" s="73">
        <f ca="1">IF(BE$5="Doyon Notional Allocation",0,IF($C91&lt;&gt;BE$3,OFFSET('Allocation %'!$A$1,MATCH(BE$4,'Allocation %'!$A:$A,0)-1,MATCH($D91,'Allocation %'!$5:$5,0)-1)*($F31-$G31)*'2020 Assumptions'!$B$20,0))</f>
        <v>0</v>
      </c>
      <c r="BG91" s="76">
        <f t="shared" ca="1" si="9"/>
        <v>624.73250692178362</v>
      </c>
      <c r="BH91" s="349">
        <f t="shared" ca="1" si="10"/>
        <v>0</v>
      </c>
    </row>
    <row r="92" spans="2:60" s="177" customFormat="1" x14ac:dyDescent="0.25">
      <c r="B92" s="305" t="str">
        <f t="shared" si="7"/>
        <v>1016-000900 - HR Mark up</v>
      </c>
      <c r="C92" s="177" t="str">
        <f t="shared" si="8"/>
        <v>USD</v>
      </c>
      <c r="D92" s="159" t="str">
        <f t="shared" ca="1" si="8"/>
        <v>CU USD Headcount</v>
      </c>
      <c r="E92" s="73">
        <f ca="1">F92*'2020 Assumptions'!$B$4</f>
        <v>0</v>
      </c>
      <c r="F92" s="305">
        <f t="shared" ca="1" si="11"/>
        <v>0</v>
      </c>
      <c r="G92" s="73"/>
      <c r="I92" s="73">
        <f ca="1">IF(I$5="Doyon Notional Allocation",0,IF($C92&lt;&gt;I$3,OFFSET('Allocation %'!$A$1,MATCH(I$4,'Allocation %'!$A:$A,0)-1,MATCH($D92,'Allocation %'!$5:$5,0)-1)*($F32-$G32)*'2020 Assumptions'!$B$20,0))</f>
        <v>0</v>
      </c>
      <c r="J92" s="73">
        <f ca="1">IF(J$5="Doyon Notional Allocation",0,IF($C92&lt;&gt;J$3,OFFSET('Allocation %'!$A$1,MATCH(J$4,'Allocation %'!$A:$A,0)-1,MATCH($D92,'Allocation %'!$5:$5,0)-1)*($F32-$G32)*'2020 Assumptions'!$B$20,0))</f>
        <v>0</v>
      </c>
      <c r="K92" s="73">
        <f ca="1">IF(K$5="Doyon Notional Allocation",0,IF($C92&lt;&gt;K$3,OFFSET('Allocation %'!$A$1,MATCH(K$4,'Allocation %'!$A:$A,0)-1,MATCH($D92,'Allocation %'!$5:$5,0)-1)*($F32-$G32)*'2020 Assumptions'!$B$20,0))</f>
        <v>0</v>
      </c>
      <c r="L92" s="73">
        <f ca="1">IF(L$5="Doyon Notional Allocation",0,IF($C92&lt;&gt;L$3,OFFSET('Allocation %'!$A$1,MATCH(L$4,'Allocation %'!$A:$A,0)-1,MATCH($D92,'Allocation %'!$5:$5,0)-1)*($F32-$G32)*'2020 Assumptions'!$B$20,0))</f>
        <v>0</v>
      </c>
      <c r="M92" s="73">
        <f ca="1">IF(M$5="Doyon Notional Allocation",0,IF($C92&lt;&gt;M$3,OFFSET('Allocation %'!$A$1,MATCH(M$4,'Allocation %'!$A:$A,0)-1,MATCH($D92,'Allocation %'!$5:$5,0)-1)*($F32-$G32)*'2020 Assumptions'!$B$20,0))</f>
        <v>0</v>
      </c>
      <c r="N92" s="73">
        <f ca="1">IF(N$5="Doyon Notional Allocation",0,IF($C92&lt;&gt;N$3,OFFSET('Allocation %'!$A$1,MATCH(N$4,'Allocation %'!$A:$A,0)-1,MATCH($D92,'Allocation %'!$5:$5,0)-1)*($F32-$G32)*'2020 Assumptions'!$B$20,0))</f>
        <v>0</v>
      </c>
      <c r="O92" s="73">
        <f ca="1">IF(O$5="Doyon Notional Allocation",0,IF($C92&lt;&gt;O$3,OFFSET('Allocation %'!$A$1,MATCH(O$4,'Allocation %'!$A:$A,0)-1,MATCH($D92,'Allocation %'!$5:$5,0)-1)*($F32-$G32)*'2020 Assumptions'!$B$20,0))</f>
        <v>0</v>
      </c>
      <c r="P92" s="73">
        <f ca="1">IF(P$5="Doyon Notional Allocation",0,IF($C92&lt;&gt;P$3,OFFSET('Allocation %'!$A$1,MATCH(P$4,'Allocation %'!$A:$A,0)-1,MATCH($D92,'Allocation %'!$5:$5,0)-1)*($F32-$G32)*'2020 Assumptions'!$B$20,0))</f>
        <v>0</v>
      </c>
      <c r="Q92" s="73">
        <f ca="1">IF(Q$5="Doyon Notional Allocation",0,IF($C92&lt;&gt;Q$3,OFFSET('Allocation %'!$A$1,MATCH(Q$4,'Allocation %'!$A:$A,0)-1,MATCH($D92,'Allocation %'!$5:$5,0)-1)*($F32-$G32)*'2020 Assumptions'!$B$20,0))</f>
        <v>0</v>
      </c>
      <c r="R92" s="73">
        <f ca="1">IF(R$5="Doyon Notional Allocation",0,IF($C92&lt;&gt;R$3,OFFSET('Allocation %'!$A$1,MATCH(R$4,'Allocation %'!$A:$A,0)-1,MATCH($D92,'Allocation %'!$5:$5,0)-1)*($F32-$G32)*'2020 Assumptions'!$B$20,0))</f>
        <v>0</v>
      </c>
      <c r="S92" s="73">
        <f ca="1">IF(S$5="Doyon Notional Allocation",0,IF($C92&lt;&gt;S$3,OFFSET('Allocation %'!$A$1,MATCH(S$4,'Allocation %'!$A:$A,0)-1,MATCH($D92,'Allocation %'!$5:$5,0)-1)*($F32-$G32)*'2020 Assumptions'!$B$20,0))</f>
        <v>0</v>
      </c>
      <c r="T92" s="73">
        <f ca="1">IF(T$5="Doyon Notional Allocation",0,IF($C92&lt;&gt;T$3,OFFSET('Allocation %'!$A$1,MATCH(T$4,'Allocation %'!$A:$A,0)-1,MATCH($D92,'Allocation %'!$5:$5,0)-1)*($F32-$G32)*'2020 Assumptions'!$B$20,0))</f>
        <v>0</v>
      </c>
      <c r="U92" s="73">
        <f ca="1">IF(U$5="Doyon Notional Allocation",0,IF($C92&lt;&gt;U$3,OFFSET('Allocation %'!$A$1,MATCH(U$4,'Allocation %'!$A:$A,0)-1,MATCH($D92,'Allocation %'!$5:$5,0)-1)*($F32-$G32)*'2020 Assumptions'!$B$20,0))</f>
        <v>0</v>
      </c>
      <c r="V92" s="73">
        <f ca="1">IF(V$5="Doyon Notional Allocation",0,IF($C92&lt;&gt;V$3,OFFSET('Allocation %'!$A$1,MATCH(V$4,'Allocation %'!$A:$A,0)-1,MATCH($D92,'Allocation %'!$5:$5,0)-1)*($F32-$G32)*'2020 Assumptions'!$B$20,0))</f>
        <v>0</v>
      </c>
      <c r="W92" s="73">
        <f ca="1">IF(W$5="Doyon Notional Allocation",0,IF($C92&lt;&gt;W$3,OFFSET('Allocation %'!$A$1,MATCH(W$4,'Allocation %'!$A:$A,0)-1,MATCH($D92,'Allocation %'!$5:$5,0)-1)*($F32-$G32)*'2020 Assumptions'!$B$20,0))</f>
        <v>0</v>
      </c>
      <c r="X92" s="73">
        <f ca="1">IF(X$5="Doyon Notional Allocation",0,IF($C92&lt;&gt;X$3,OFFSET('Allocation %'!$A$1,MATCH(X$4,'Allocation %'!$A:$A,0)-1,MATCH($D92,'Allocation %'!$5:$5,0)-1)*($F32-$G32)*'2020 Assumptions'!$B$20,0))</f>
        <v>0</v>
      </c>
      <c r="Y92" s="73">
        <f ca="1">IF(Y$5="Doyon Notional Allocation",0,IF($C92&lt;&gt;Y$3,OFFSET('Allocation %'!$A$1,MATCH(Y$4,'Allocation %'!$A:$A,0)-1,MATCH($D92,'Allocation %'!$5:$5,0)-1)*($F32-$G32)*'2020 Assumptions'!$B$20,0))</f>
        <v>0</v>
      </c>
      <c r="Z92" s="73">
        <f ca="1">IF(Z$5="Doyon Notional Allocation",0,IF($C92&lt;&gt;Z$3,OFFSET('Allocation %'!$A$1,MATCH(Z$4,'Allocation %'!$A:$A,0)-1,MATCH($D92,'Allocation %'!$5:$5,0)-1)*($F32-$G32)*'2020 Assumptions'!$B$20,0))</f>
        <v>0</v>
      </c>
      <c r="AA92" s="73">
        <f ca="1">IF(AA$5="Doyon Notional Allocation",0,IF($C92&lt;&gt;AA$3,OFFSET('Allocation %'!$A$1,MATCH(AA$4,'Allocation %'!$A:$A,0)-1,MATCH($D92,'Allocation %'!$5:$5,0)-1)*($F32-$G32)*'2020 Assumptions'!$B$20,0))</f>
        <v>0</v>
      </c>
      <c r="AB92" s="73">
        <f ca="1">IF(AB$5="Doyon Notional Allocation",0,IF($C92&lt;&gt;AB$3,OFFSET('Allocation %'!$A$1,MATCH(AB$4,'Allocation %'!$A:$A,0)-1,MATCH($D92,'Allocation %'!$5:$5,0)-1)*($F32-$G32)*'2020 Assumptions'!$B$20,0))</f>
        <v>0</v>
      </c>
      <c r="AC92" s="73">
        <f ca="1">IF(AC$5="Doyon Notional Allocation",0,IF($C92&lt;&gt;AC$3,OFFSET('Allocation %'!$A$1,MATCH(AC$4,'Allocation %'!$A:$A,0)-1,MATCH($D92,'Allocation %'!$5:$5,0)-1)*($F32-$G32)*'2020 Assumptions'!$B$20,0))</f>
        <v>0</v>
      </c>
      <c r="AD92" s="73">
        <f ca="1">IF(AD$5="Doyon Notional Allocation",0,IF($C92&lt;&gt;AD$3,OFFSET('Allocation %'!$A$1,MATCH(AD$4,'Allocation %'!$A:$A,0)-1,MATCH($D92,'Allocation %'!$5:$5,0)-1)*($F32-$G32)*'2020 Assumptions'!$B$20,0))</f>
        <v>0</v>
      </c>
      <c r="AE92" s="73">
        <f ca="1">IF(AE$5="Doyon Notional Allocation",0,IF($C92&lt;&gt;AE$3,OFFSET('Allocation %'!$A$1,MATCH(AE$4,'Allocation %'!$A:$A,0)-1,MATCH($D92,'Allocation %'!$5:$5,0)-1)*($F32-$G32)*'2020 Assumptions'!$B$20,0))</f>
        <v>0</v>
      </c>
      <c r="AF92" s="73">
        <f ca="1">IF(AF$5="Doyon Notional Allocation",0,IF($C92&lt;&gt;AF$3,OFFSET('Allocation %'!$A$1,MATCH(AF$4,'Allocation %'!$A:$A,0)-1,MATCH($D92,'Allocation %'!$5:$5,0)-1)*($F32-$G32)*'2020 Assumptions'!$B$20,0))</f>
        <v>0</v>
      </c>
      <c r="AG92" s="73">
        <f ca="1">IF(AG$5="Doyon Notional Allocation",0,IF($C92&lt;&gt;AG$3,OFFSET('Allocation %'!$A$1,MATCH(AG$4,'Allocation %'!$A:$A,0)-1,MATCH($D92,'Allocation %'!$5:$5,0)-1)*($F32-$G32)*'2020 Assumptions'!$B$20,0))</f>
        <v>0</v>
      </c>
      <c r="AH92" s="73">
        <f ca="1">IF(AH$5="Doyon Notional Allocation",0,IF($C92&lt;&gt;AH$3,OFFSET('Allocation %'!$A$1,MATCH(AH$4,'Allocation %'!$A:$A,0)-1,MATCH($D92,'Allocation %'!$5:$5,0)-1)*($F32-$G32)*'2020 Assumptions'!$B$20,0))</f>
        <v>0</v>
      </c>
      <c r="AI92" s="73">
        <f ca="1">IF(AI$5="Doyon Notional Allocation",0,IF($C92&lt;&gt;AI$3,OFFSET('Allocation %'!$A$1,MATCH(AI$4,'Allocation %'!$A:$A,0)-1,MATCH($D92,'Allocation %'!$5:$5,0)-1)*($F32-$G32)*'2020 Assumptions'!$B$20,0))</f>
        <v>0</v>
      </c>
      <c r="AJ92" s="73">
        <f ca="1">IF(AJ$5="Doyon Notional Allocation",0,IF($C92&lt;&gt;AJ$3,OFFSET('Allocation %'!$A$1,MATCH(AJ$4,'Allocation %'!$A:$A,0)-1,MATCH($D92,'Allocation %'!$5:$5,0)-1)*($F32-$G32)*'2020 Assumptions'!$B$20,0))</f>
        <v>0</v>
      </c>
      <c r="AK92" s="73">
        <f ca="1">IF(AK$5="Doyon Notional Allocation",0,IF($C92&lt;&gt;AK$3,OFFSET('Allocation %'!$A$1,MATCH(AK$4,'Allocation %'!$A:$A,0)-1,MATCH($D92,'Allocation %'!$5:$5,0)-1)*($F32-$G32)*'2020 Assumptions'!$B$20,0))</f>
        <v>0</v>
      </c>
      <c r="AL92" s="73">
        <f ca="1">IF(AL$5="Doyon Notional Allocation",0,IF($C92&lt;&gt;AL$3,OFFSET('Allocation %'!$A$1,MATCH(AL$4,'Allocation %'!$A:$A,0)-1,MATCH($D92,'Allocation %'!$5:$5,0)-1)*($F32-$G32)*'2020 Assumptions'!$B$20,0))</f>
        <v>0</v>
      </c>
      <c r="AM92" s="73">
        <f ca="1">IF(AM$5="Doyon Notional Allocation",0,IF($C92&lt;&gt;AM$3,OFFSET('Allocation %'!$A$1,MATCH(AM$4,'Allocation %'!$A:$A,0)-1,MATCH($D92,'Allocation %'!$5:$5,0)-1)*($F32-$G32)*'2020 Assumptions'!$B$20,0))</f>
        <v>0</v>
      </c>
      <c r="AN92" s="73">
        <f ca="1">IF(AN$5="Doyon Notional Allocation",0,IF($C92&lt;&gt;AN$3,OFFSET('Allocation %'!$A$1,MATCH(AN$4,'Allocation %'!$A:$A,0)-1,MATCH($D92,'Allocation %'!$5:$5,0)-1)*($F32-$G32)*'2020 Assumptions'!$B$20,0))</f>
        <v>0</v>
      </c>
      <c r="AO92" s="73">
        <f ca="1">IF(AO$5="Doyon Notional Allocation",0,IF($C92&lt;&gt;AO$3,OFFSET('Allocation %'!$A$1,MATCH(AO$4,'Allocation %'!$A:$A,0)-1,MATCH($D92,'Allocation %'!$5:$5,0)-1)*($F32-$G32)*'2020 Assumptions'!$B$20,0))</f>
        <v>0</v>
      </c>
      <c r="AP92" s="73">
        <f ca="1">IF(AP$5="Doyon Notional Allocation",0,IF($C92&lt;&gt;AP$3,OFFSET('Allocation %'!$A$1,MATCH(AP$4,'Allocation %'!$A:$A,0)-1,MATCH($D92,'Allocation %'!$5:$5,0)-1)*($F32-$G32)*'2020 Assumptions'!$B$20,0))</f>
        <v>0</v>
      </c>
      <c r="AQ92" s="73">
        <f ca="1">IF(AQ$5="Doyon Notional Allocation",0,IF($C92&lt;&gt;AQ$3,OFFSET('Allocation %'!$A$1,MATCH(AQ$4,'Allocation %'!$A:$A,0)-1,MATCH($D92,'Allocation %'!$5:$5,0)-1)*($F32-$G32)*'2020 Assumptions'!$B$20,0))</f>
        <v>0</v>
      </c>
      <c r="AR92" s="73">
        <f ca="1">IF(AR$5="Doyon Notional Allocation",0,IF($C92&lt;&gt;AR$3,OFFSET('Allocation %'!$A$1,MATCH(AR$4,'Allocation %'!$A:$A,0)-1,MATCH($D92,'Allocation %'!$5:$5,0)-1)*($F32-$G32)*'2020 Assumptions'!$B$20,0))</f>
        <v>0</v>
      </c>
      <c r="AS92" s="73">
        <f ca="1">IF(AS$5="Doyon Notional Allocation",0,IF($C92&lt;&gt;AS$3,OFFSET('Allocation %'!$A$1,MATCH(AS$4,'Allocation %'!$A:$A,0)-1,MATCH($D92,'Allocation %'!$5:$5,0)-1)*($F32-$G32)*'2020 Assumptions'!$B$20,0))</f>
        <v>0</v>
      </c>
      <c r="AT92" s="73">
        <f ca="1">IF(AT$5="Doyon Notional Allocation",0,IF($C92&lt;&gt;AT$3,OFFSET('Allocation %'!$A$1,MATCH(AT$4,'Allocation %'!$A:$A,0)-1,MATCH($D92,'Allocation %'!$5:$5,0)-1)*($F32-$G32)*'2020 Assumptions'!$B$20,0))</f>
        <v>0</v>
      </c>
      <c r="AU92" s="73">
        <f ca="1">IF(AU$5="Doyon Notional Allocation",0,IF($C92&lt;&gt;AU$3,OFFSET('Allocation %'!$A$1,MATCH(AU$4,'Allocation %'!$A:$A,0)-1,MATCH($D92,'Allocation %'!$5:$5,0)-1)*($F32-$G32)*'2020 Assumptions'!$B$20,0))</f>
        <v>0</v>
      </c>
      <c r="AV92" s="73">
        <f ca="1">IF(AV$5="Doyon Notional Allocation",0,IF($C92&lt;&gt;AV$3,OFFSET('Allocation %'!$A$1,MATCH(AV$4,'Allocation %'!$A:$A,0)-1,MATCH($D92,'Allocation %'!$5:$5,0)-1)*($F32-$G32)*'2020 Assumptions'!$B$20,0))</f>
        <v>0</v>
      </c>
      <c r="AW92" s="73">
        <f ca="1">IF(AW$5="Doyon Notional Allocation",0,IF($C92&lt;&gt;AW$3,OFFSET('Allocation %'!$A$1,MATCH(AW$4,'Allocation %'!$A:$A,0)-1,MATCH($D92,'Allocation %'!$5:$5,0)-1)*($F32-$G32)*'2020 Assumptions'!$B$20,0))</f>
        <v>0</v>
      </c>
      <c r="AX92" s="73">
        <f ca="1">IF(AX$5="Doyon Notional Allocation",0,IF($C92&lt;&gt;AX$3,OFFSET('Allocation %'!$A$1,MATCH(AX$4,'Allocation %'!$A:$A,0)-1,MATCH($D92,'Allocation %'!$5:$5,0)-1)*($F32-$G32)*'2020 Assumptions'!$B$20,0))</f>
        <v>0</v>
      </c>
      <c r="AY92" s="73">
        <f ca="1">IF(AY$5="Doyon Notional Allocation",0,IF($C92&lt;&gt;AY$3,OFFSET('Allocation %'!$A$1,MATCH(AY$4,'Allocation %'!$A:$A,0)-1,MATCH($D92,'Allocation %'!$5:$5,0)-1)*($F32-$G32)*'2020 Assumptions'!$B$20,0))</f>
        <v>0</v>
      </c>
      <c r="AZ92" s="73">
        <f ca="1">IF(AZ$5="Doyon Notional Allocation",0,IF($C92&lt;&gt;AZ$3,OFFSET('Allocation %'!$A$1,MATCH(AZ$4,'Allocation %'!$A:$A,0)-1,MATCH($D92,'Allocation %'!$5:$5,0)-1)*($F32-$G32)*'2020 Assumptions'!$B$20,0))</f>
        <v>0</v>
      </c>
      <c r="BA92" s="73">
        <f ca="1">IF(BA$5="Doyon Notional Allocation",0,IF($C92&lt;&gt;BA$3,OFFSET('Allocation %'!$A$1,MATCH(BA$4,'Allocation %'!$A:$A,0)-1,MATCH($D92,'Allocation %'!$5:$5,0)-1)*($F32-$G32)*'2020 Assumptions'!$B$20,0))</f>
        <v>0</v>
      </c>
      <c r="BB92" s="73">
        <f ca="1">IF(BB$5="Doyon Notional Allocation",0,IF($C92&lt;&gt;BB$3,OFFSET('Allocation %'!$A$1,MATCH(BB$4,'Allocation %'!$A:$A,0)-1,MATCH($D92,'Allocation %'!$5:$5,0)-1)*($F32-$G32)*'2020 Assumptions'!$B$20,0))</f>
        <v>0</v>
      </c>
      <c r="BC92" s="73">
        <f ca="1">IF(BC$5="Doyon Notional Allocation",0,IF($C92&lt;&gt;BC$3,OFFSET('Allocation %'!$A$1,MATCH(BC$4,'Allocation %'!$A:$A,0)-1,MATCH($D92,'Allocation %'!$5:$5,0)-1)*($F32-$G32)*'2020 Assumptions'!$B$20,0))</f>
        <v>0</v>
      </c>
      <c r="BD92" s="73">
        <f ca="1">IF(BD$5="Doyon Notional Allocation",0,IF($C92&lt;&gt;BD$3,OFFSET('Allocation %'!$A$1,MATCH(BD$4,'Allocation %'!$A:$A,0)-1,MATCH($D92,'Allocation %'!$5:$5,0)-1)*($F32-$G32)*'2020 Assumptions'!$B$20,0))</f>
        <v>0</v>
      </c>
      <c r="BE92" s="73">
        <f ca="1">IF(BE$5="Doyon Notional Allocation",0,IF($C92&lt;&gt;BE$3,OFFSET('Allocation %'!$A$1,MATCH(BE$4,'Allocation %'!$A:$A,0)-1,MATCH($D92,'Allocation %'!$5:$5,0)-1)*($F32-$G32)*'2020 Assumptions'!$B$20,0))</f>
        <v>0</v>
      </c>
      <c r="BG92" s="76">
        <f t="shared" ca="1" si="9"/>
        <v>0</v>
      </c>
      <c r="BH92" s="349">
        <f t="shared" ca="1" si="10"/>
        <v>0</v>
      </c>
    </row>
    <row r="93" spans="2:60" s="177" customFormat="1" x14ac:dyDescent="0.25">
      <c r="B93" s="305" t="str">
        <f t="shared" si="7"/>
        <v>1016-001000 - HSE Mark up</v>
      </c>
      <c r="C93" s="177" t="str">
        <f t="shared" si="8"/>
        <v>USD</v>
      </c>
      <c r="D93" s="159" t="str">
        <f t="shared" ca="1" si="8"/>
        <v>ALL</v>
      </c>
      <c r="E93" s="73">
        <f ca="1">F93*'2020 Assumptions'!$B$4</f>
        <v>483.38261060361407</v>
      </c>
      <c r="F93" s="305">
        <f t="shared" ca="1" si="11"/>
        <v>359.60616768606906</v>
      </c>
      <c r="G93" s="73"/>
      <c r="I93" s="73">
        <f ca="1">IF(I$5="Doyon Notional Allocation",0,IF($C93&lt;&gt;I$3,OFFSET('Allocation %'!$A$1,MATCH(I$4,'Allocation %'!$A:$A,0)-1,MATCH($D93,'Allocation %'!$5:$5,0)-1)*($F33-$G33)*'2020 Assumptions'!$B$20,0))</f>
        <v>0</v>
      </c>
      <c r="J93" s="73">
        <f ca="1">IF(J$5="Doyon Notional Allocation",0,IF($C93&lt;&gt;J$3,OFFSET('Allocation %'!$A$1,MATCH(J$4,'Allocation %'!$A:$A,0)-1,MATCH($D93,'Allocation %'!$5:$5,0)-1)*($F33-$G33)*'2020 Assumptions'!$B$20,0))</f>
        <v>8.2744138402221949</v>
      </c>
      <c r="K93" s="73">
        <f ca="1">IF(K$5="Doyon Notional Allocation",0,IF($C93&lt;&gt;K$3,OFFSET('Allocation %'!$A$1,MATCH(K$4,'Allocation %'!$A:$A,0)-1,MATCH($D93,'Allocation %'!$5:$5,0)-1)*($F33-$G33)*'2020 Assumptions'!$B$20,0))</f>
        <v>2.6049568135799164</v>
      </c>
      <c r="L93" s="73">
        <f ca="1">IF(L$5="Doyon Notional Allocation",0,IF($C93&lt;&gt;L$3,OFFSET('Allocation %'!$A$1,MATCH(L$4,'Allocation %'!$A:$A,0)-1,MATCH($D93,'Allocation %'!$5:$5,0)-1)*($F33-$G33)*'2020 Assumptions'!$B$20,0))</f>
        <v>2.8156710966106111</v>
      </c>
      <c r="M93" s="73">
        <f ca="1">IF(M$5="Doyon Notional Allocation",0,IF($C93&lt;&gt;M$3,OFFSET('Allocation %'!$A$1,MATCH(M$4,'Allocation %'!$A:$A,0)-1,MATCH($D93,'Allocation %'!$5:$5,0)-1)*($F33-$G33)*'2020 Assumptions'!$B$20,0))</f>
        <v>4.5837810252799081</v>
      </c>
      <c r="N93" s="73">
        <f ca="1">IF(N$5="Doyon Notional Allocation",0,IF($C93&lt;&gt;N$3,OFFSET('Allocation %'!$A$1,MATCH(N$4,'Allocation %'!$A:$A,0)-1,MATCH($D93,'Allocation %'!$5:$5,0)-1)*($F33-$G33)*'2020 Assumptions'!$B$20,0))</f>
        <v>4.011171703500116</v>
      </c>
      <c r="O93" s="73">
        <f ca="1">IF(O$5="Doyon Notional Allocation",0,IF($C93&lt;&gt;O$3,OFFSET('Allocation %'!$A$1,MATCH(O$4,'Allocation %'!$A:$A,0)-1,MATCH($D93,'Allocation %'!$5:$5,0)-1)*($F33-$G33)*'2020 Assumptions'!$B$20,0))</f>
        <v>9.3781942760212917</v>
      </c>
      <c r="P93" s="73">
        <f ca="1">IF(P$5="Doyon Notional Allocation",0,IF($C93&lt;&gt;P$3,OFFSET('Allocation %'!$A$1,MATCH(P$4,'Allocation %'!$A:$A,0)-1,MATCH($D93,'Allocation %'!$5:$5,0)-1)*($F33-$G33)*'2020 Assumptions'!$B$20,0))</f>
        <v>1.3617449612494588</v>
      </c>
      <c r="Q93" s="73">
        <f ca="1">IF(Q$5="Doyon Notional Allocation",0,IF($C93&lt;&gt;Q$3,OFFSET('Allocation %'!$A$1,MATCH(Q$4,'Allocation %'!$A:$A,0)-1,MATCH($D93,'Allocation %'!$5:$5,0)-1)*($F33-$G33)*'2020 Assumptions'!$B$20,0))</f>
        <v>2.9716973716541002</v>
      </c>
      <c r="R93" s="73">
        <f ca="1">IF(R$5="Doyon Notional Allocation",0,IF($C93&lt;&gt;R$3,OFFSET('Allocation %'!$A$1,MATCH(R$4,'Allocation %'!$A:$A,0)-1,MATCH($D93,'Allocation %'!$5:$5,0)-1)*($F33-$G33)*'2020 Assumptions'!$B$20,0))</f>
        <v>2.7426054323198019</v>
      </c>
      <c r="S93" s="73">
        <f ca="1">IF(S$5="Doyon Notional Allocation",0,IF($C93&lt;&gt;S$3,OFFSET('Allocation %'!$A$1,MATCH(S$4,'Allocation %'!$A:$A,0)-1,MATCH($D93,'Allocation %'!$5:$5,0)-1)*($F33-$G33)*'2020 Assumptions'!$B$20,0))</f>
        <v>2.6379211937317812</v>
      </c>
      <c r="T93" s="73">
        <f ca="1">IF(T$5="Doyon Notional Allocation",0,IF($C93&lt;&gt;T$3,OFFSET('Allocation %'!$A$1,MATCH(T$4,'Allocation %'!$A:$A,0)-1,MATCH($D93,'Allocation %'!$5:$5,0)-1)*($F33-$G33)*'2020 Assumptions'!$B$20,0))</f>
        <v>9.4677560539508168</v>
      </c>
      <c r="U93" s="73">
        <f ca="1">IF(U$5="Doyon Notional Allocation",0,IF($C93&lt;&gt;U$3,OFFSET('Allocation %'!$A$1,MATCH(U$4,'Allocation %'!$A:$A,0)-1,MATCH($D93,'Allocation %'!$5:$5,0)-1)*($F33-$G33)*'2020 Assumptions'!$B$20,0))</f>
        <v>6.0560593077032419</v>
      </c>
      <c r="V93" s="73">
        <f ca="1">IF(V$5="Doyon Notional Allocation",0,IF($C93&lt;&gt;V$3,OFFSET('Allocation %'!$A$1,MATCH(V$4,'Allocation %'!$A:$A,0)-1,MATCH($D93,'Allocation %'!$5:$5,0)-1)*($F33-$G33)*'2020 Assumptions'!$B$20,0))</f>
        <v>6.4271597828456208</v>
      </c>
      <c r="W93" s="73">
        <f ca="1">IF(W$5="Doyon Notional Allocation",0,IF($C93&lt;&gt;W$3,OFFSET('Allocation %'!$A$1,MATCH(W$4,'Allocation %'!$A:$A,0)-1,MATCH($D93,'Allocation %'!$5:$5,0)-1)*($F33-$G33)*'2020 Assumptions'!$B$20,0))</f>
        <v>10.408415462492592</v>
      </c>
      <c r="X93" s="73">
        <f ca="1">IF(X$5="Doyon Notional Allocation",0,IF($C93&lt;&gt;X$3,OFFSET('Allocation %'!$A$1,MATCH(X$4,'Allocation %'!$A:$A,0)-1,MATCH($D93,'Allocation %'!$5:$5,0)-1)*($F33-$G33)*'2020 Assumptions'!$B$20,0))</f>
        <v>0.24106626248267474</v>
      </c>
      <c r="Y93" s="73">
        <f ca="1">IF(Y$5="Doyon Notional Allocation",0,IF($C93&lt;&gt;Y$3,OFFSET('Allocation %'!$A$1,MATCH(Y$4,'Allocation %'!$A:$A,0)-1,MATCH($D93,'Allocation %'!$5:$5,0)-1)*($F33-$G33)*'2020 Assumptions'!$B$20,0))</f>
        <v>0.1902158772602798</v>
      </c>
      <c r="Z93" s="73">
        <f ca="1">IF(Z$5="Doyon Notional Allocation",0,IF($C93&lt;&gt;Z$3,OFFSET('Allocation %'!$A$1,MATCH(Z$4,'Allocation %'!$A:$A,0)-1,MATCH($D93,'Allocation %'!$5:$5,0)-1)*($F33-$G33)*'2020 Assumptions'!$B$20,0))</f>
        <v>0.55470010536844516</v>
      </c>
      <c r="AA93" s="73">
        <f ca="1">IF(AA$5="Doyon Notional Allocation",0,IF($C93&lt;&gt;AA$3,OFFSET('Allocation %'!$A$1,MATCH(AA$4,'Allocation %'!$A:$A,0)-1,MATCH($D93,'Allocation %'!$5:$5,0)-1)*($F33-$G33)*'2020 Assumptions'!$B$20,0))</f>
        <v>0.50612065771168224</v>
      </c>
      <c r="AB93" s="73">
        <f ca="1">IF(AB$5="Doyon Notional Allocation",0,IF($C93&lt;&gt;AB$3,OFFSET('Allocation %'!$A$1,MATCH(AB$4,'Allocation %'!$A:$A,0)-1,MATCH($D93,'Allocation %'!$5:$5,0)-1)*($F33-$G33)*'2020 Assumptions'!$B$20,0))</f>
        <v>0.48973680764521399</v>
      </c>
      <c r="AC93" s="73">
        <f ca="1">IF(AC$5="Doyon Notional Allocation",0,IF($C93&lt;&gt;AC$3,OFFSET('Allocation %'!$A$1,MATCH(AC$4,'Allocation %'!$A:$A,0)-1,MATCH($D93,'Allocation %'!$5:$5,0)-1)*($F33-$G33)*'2020 Assumptions'!$B$20,0))</f>
        <v>0.55403257335717104</v>
      </c>
      <c r="AD93" s="73">
        <f ca="1">IF(AD$5="Doyon Notional Allocation",0,IF($C93&lt;&gt;AD$3,OFFSET('Allocation %'!$A$1,MATCH(AD$4,'Allocation %'!$A:$A,0)-1,MATCH($D93,'Allocation %'!$5:$5,0)-1)*($F33-$G33)*'2020 Assumptions'!$B$20,0))</f>
        <v>1.2243202798637112</v>
      </c>
      <c r="AE93" s="73">
        <f ca="1">IF(AE$5="Doyon Notional Allocation",0,IF($C93&lt;&gt;AE$3,OFFSET('Allocation %'!$A$1,MATCH(AE$4,'Allocation %'!$A:$A,0)-1,MATCH($D93,'Allocation %'!$5:$5,0)-1)*($F33-$G33)*'2020 Assumptions'!$B$20,0))</f>
        <v>1.1719941360312403</v>
      </c>
      <c r="AF93" s="73">
        <f ca="1">IF(AF$5="Doyon Notional Allocation",0,IF($C93&lt;&gt;AF$3,OFFSET('Allocation %'!$A$1,MATCH(AF$4,'Allocation %'!$A:$A,0)-1,MATCH($D93,'Allocation %'!$5:$5,0)-1)*($F33-$G33)*'2020 Assumptions'!$B$20,0))</f>
        <v>5.7779367290639367</v>
      </c>
      <c r="AG93" s="73">
        <f ca="1">IF(AG$5="Doyon Notional Allocation",0,IF($C93&lt;&gt;AG$3,OFFSET('Allocation %'!$A$1,MATCH(AG$4,'Allocation %'!$A:$A,0)-1,MATCH($D93,'Allocation %'!$5:$5,0)-1)*($F33-$G33)*'2020 Assumptions'!$B$20,0))</f>
        <v>9.0932217870988143</v>
      </c>
      <c r="AH93" s="73">
        <f ca="1">IF(AH$5="Doyon Notional Allocation",0,IF($C93&lt;&gt;AH$3,OFFSET('Allocation %'!$A$1,MATCH(AH$4,'Allocation %'!$A:$A,0)-1,MATCH($D93,'Allocation %'!$5:$5,0)-1)*($F33-$G33)*'2020 Assumptions'!$B$20,0))</f>
        <v>80.431840268732472</v>
      </c>
      <c r="AI93" s="73">
        <f ca="1">IF(AI$5="Doyon Notional Allocation",0,IF($C93&lt;&gt;AI$3,OFFSET('Allocation %'!$A$1,MATCH(AI$4,'Allocation %'!$A:$A,0)-1,MATCH($D93,'Allocation %'!$5:$5,0)-1)*($F33-$G33)*'2020 Assumptions'!$B$20,0))</f>
        <v>0.47770828478813576</v>
      </c>
      <c r="AJ93" s="73">
        <f ca="1">IF(AJ$5="Doyon Notional Allocation",0,IF($C93&lt;&gt;AJ$3,OFFSET('Allocation %'!$A$1,MATCH(AJ$4,'Allocation %'!$A:$A,0)-1,MATCH($D93,'Allocation %'!$5:$5,0)-1)*($F33-$G33)*'2020 Assumptions'!$B$20,0))</f>
        <v>11.188059405769486</v>
      </c>
      <c r="AK93" s="73">
        <f ca="1">IF(AK$5="Doyon Notional Allocation",0,IF($C93&lt;&gt;AK$3,OFFSET('Allocation %'!$A$1,MATCH(AK$4,'Allocation %'!$A:$A,0)-1,MATCH($D93,'Allocation %'!$5:$5,0)-1)*($F33-$G33)*'2020 Assumptions'!$B$20,0))</f>
        <v>10.06894850560129</v>
      </c>
      <c r="AL93" s="73">
        <f ca="1">IF(AL$5="Doyon Notional Allocation",0,IF($C93&lt;&gt;AL$3,OFFSET('Allocation %'!$A$1,MATCH(AL$4,'Allocation %'!$A:$A,0)-1,MATCH($D93,'Allocation %'!$5:$5,0)-1)*($F33-$G33)*'2020 Assumptions'!$B$20,0))</f>
        <v>0</v>
      </c>
      <c r="AM93" s="73">
        <f ca="1">IF(AM$5="Doyon Notional Allocation",0,IF($C93&lt;&gt;AM$3,OFFSET('Allocation %'!$A$1,MATCH(AM$4,'Allocation %'!$A:$A,0)-1,MATCH($D93,'Allocation %'!$5:$5,0)-1)*($F33-$G33)*'2020 Assumptions'!$B$20,0))</f>
        <v>1.3201296755962033</v>
      </c>
      <c r="AN93" s="73">
        <f ca="1">IF(AN$5="Doyon Notional Allocation",0,IF($C93&lt;&gt;AN$3,OFFSET('Allocation %'!$A$1,MATCH(AN$4,'Allocation %'!$A:$A,0)-1,MATCH($D93,'Allocation %'!$5:$5,0)-1)*($F33-$G33)*'2020 Assumptions'!$B$20,0))</f>
        <v>0</v>
      </c>
      <c r="AO93" s="73">
        <f ca="1">IF(AO$5="Doyon Notional Allocation",0,IF($C93&lt;&gt;AO$3,OFFSET('Allocation %'!$A$1,MATCH(AO$4,'Allocation %'!$A:$A,0)-1,MATCH($D93,'Allocation %'!$5:$5,0)-1)*($F33-$G33)*'2020 Assumptions'!$B$20,0))</f>
        <v>10.85537690344086</v>
      </c>
      <c r="AP93" s="73">
        <f ca="1">IF(AP$5="Doyon Notional Allocation",0,IF($C93&lt;&gt;AP$3,OFFSET('Allocation %'!$A$1,MATCH(AP$4,'Allocation %'!$A:$A,0)-1,MATCH($D93,'Allocation %'!$5:$5,0)-1)*($F33-$G33)*'2020 Assumptions'!$B$20,0))</f>
        <v>2.2558543670061955</v>
      </c>
      <c r="AQ93" s="73">
        <f ca="1">IF(AQ$5="Doyon Notional Allocation",0,IF($C93&lt;&gt;AQ$3,OFFSET('Allocation %'!$A$1,MATCH(AQ$4,'Allocation %'!$A:$A,0)-1,MATCH($D93,'Allocation %'!$5:$5,0)-1)*($F33-$G33)*'2020 Assumptions'!$B$20,0))</f>
        <v>9.9762836517372033</v>
      </c>
      <c r="AR93" s="73">
        <f ca="1">IF(AR$5="Doyon Notional Allocation",0,IF($C93&lt;&gt;AR$3,OFFSET('Allocation %'!$A$1,MATCH(AR$4,'Allocation %'!$A:$A,0)-1,MATCH($D93,'Allocation %'!$5:$5,0)-1)*($F33-$G33)*'2020 Assumptions'!$B$20,0))</f>
        <v>0.25033825785725017</v>
      </c>
      <c r="AS93" s="73">
        <f ca="1">IF(AS$5="Doyon Notional Allocation",0,IF($C93&lt;&gt;AS$3,OFFSET('Allocation %'!$A$1,MATCH(AS$4,'Allocation %'!$A:$A,0)-1,MATCH($D93,'Allocation %'!$5:$5,0)-1)*($F33-$G33)*'2020 Assumptions'!$B$20,0))</f>
        <v>18.337024861995666</v>
      </c>
      <c r="AT93" s="73">
        <f ca="1">IF(AT$5="Doyon Notional Allocation",0,IF($C93&lt;&gt;AT$3,OFFSET('Allocation %'!$A$1,MATCH(AT$4,'Allocation %'!$A:$A,0)-1,MATCH($D93,'Allocation %'!$5:$5,0)-1)*($F33-$G33)*'2020 Assumptions'!$B$20,0))</f>
        <v>10.796909992827027</v>
      </c>
      <c r="AU93" s="73">
        <f ca="1">IF(AU$5="Doyon Notional Allocation",0,IF($C93&lt;&gt;AU$3,OFFSET('Allocation %'!$A$1,MATCH(AU$4,'Allocation %'!$A:$A,0)-1,MATCH($D93,'Allocation %'!$5:$5,0)-1)*($F33-$G33)*'2020 Assumptions'!$B$20,0))</f>
        <v>12.905675197694872</v>
      </c>
      <c r="AV93" s="73">
        <f ca="1">IF(AV$5="Doyon Notional Allocation",0,IF($C93&lt;&gt;AV$3,OFFSET('Allocation %'!$A$1,MATCH(AV$4,'Allocation %'!$A:$A,0)-1,MATCH($D93,'Allocation %'!$5:$5,0)-1)*($F33-$G33)*'2020 Assumptions'!$B$20,0))</f>
        <v>19.882002426373194</v>
      </c>
      <c r="AW93" s="73">
        <f ca="1">IF(AW$5="Doyon Notional Allocation",0,IF($C93&lt;&gt;AW$3,OFFSET('Allocation %'!$A$1,MATCH(AW$4,'Allocation %'!$A:$A,0)-1,MATCH($D93,'Allocation %'!$5:$5,0)-1)*($F33-$G33)*'2020 Assumptions'!$B$20,0))</f>
        <v>75.989562955480338</v>
      </c>
      <c r="AX93" s="73">
        <f ca="1">IF(AX$5="Doyon Notional Allocation",0,IF($C93&lt;&gt;AX$3,OFFSET('Allocation %'!$A$1,MATCH(AX$4,'Allocation %'!$A:$A,0)-1,MATCH($D93,'Allocation %'!$5:$5,0)-1)*($F33-$G33)*'2020 Assumptions'!$B$20,0))</f>
        <v>1.3255593941242523</v>
      </c>
      <c r="AY93" s="73">
        <f ca="1">IF(AY$5="Doyon Notional Allocation",0,IF($C93&lt;&gt;AY$3,OFFSET('Allocation %'!$A$1,MATCH(AY$4,'Allocation %'!$A:$A,0)-1,MATCH($D93,'Allocation %'!$5:$5,0)-1)*($F33-$G33)*'2020 Assumptions'!$B$20,0))</f>
        <v>0</v>
      </c>
      <c r="AZ93" s="73">
        <f ca="1">IF(AZ$5="Doyon Notional Allocation",0,IF($C93&lt;&gt;AZ$3,OFFSET('Allocation %'!$A$1,MATCH(AZ$4,'Allocation %'!$A:$A,0)-1,MATCH($D93,'Allocation %'!$5:$5,0)-1)*($F33-$G33)*'2020 Assumptions'!$B$20,0))</f>
        <v>0</v>
      </c>
      <c r="BA93" s="73">
        <f ca="1">IF(BA$5="Doyon Notional Allocation",0,IF($C93&lt;&gt;BA$3,OFFSET('Allocation %'!$A$1,MATCH(BA$4,'Allocation %'!$A:$A,0)-1,MATCH($D93,'Allocation %'!$5:$5,0)-1)*($F33-$G33)*'2020 Assumptions'!$B$20,0))</f>
        <v>0</v>
      </c>
      <c r="BB93" s="73">
        <f ca="1">IF(BB$5="Doyon Notional Allocation",0,IF($C93&lt;&gt;BB$3,OFFSET('Allocation %'!$A$1,MATCH(BB$4,'Allocation %'!$A:$A,0)-1,MATCH($D93,'Allocation %'!$5:$5,0)-1)*($F33-$G33)*'2020 Assumptions'!$B$20,0))</f>
        <v>0</v>
      </c>
      <c r="BC93" s="73">
        <f ca="1">IF(BC$5="Doyon Notional Allocation",0,IF($C93&lt;&gt;BC$3,OFFSET('Allocation %'!$A$1,MATCH(BC$4,'Allocation %'!$A:$A,0)-1,MATCH($D93,'Allocation %'!$5:$5,0)-1)*($F33-$G33)*'2020 Assumptions'!$B$20,0))</f>
        <v>0</v>
      </c>
      <c r="BD93" s="73">
        <f ca="1">IF(BD$5="Doyon Notional Allocation",0,IF($C93&lt;&gt;BD$3,OFFSET('Allocation %'!$A$1,MATCH(BD$4,'Allocation %'!$A:$A,0)-1,MATCH($D93,'Allocation %'!$5:$5,0)-1)*($F33-$G33)*'2020 Assumptions'!$B$20,0))</f>
        <v>0</v>
      </c>
      <c r="BE93" s="73">
        <f ca="1">IF(BE$5="Doyon Notional Allocation",0,IF($C93&lt;&gt;BE$3,OFFSET('Allocation %'!$A$1,MATCH(BE$4,'Allocation %'!$A:$A,0)-1,MATCH($D93,'Allocation %'!$5:$5,0)-1)*($F33-$G33)*'2020 Assumptions'!$B$20,0))</f>
        <v>0</v>
      </c>
      <c r="BG93" s="76">
        <f t="shared" ca="1" si="9"/>
        <v>359.60616768606906</v>
      </c>
      <c r="BH93" s="349">
        <f t="shared" ca="1" si="10"/>
        <v>0</v>
      </c>
    </row>
    <row r="94" spans="2:60" s="177" customFormat="1" x14ac:dyDescent="0.25">
      <c r="B94" s="305" t="str">
        <f t="shared" si="7"/>
        <v>1016-001200 - Corporate HR Mark up</v>
      </c>
      <c r="C94" s="177" t="str">
        <f t="shared" si="8"/>
        <v>USD</v>
      </c>
      <c r="D94" s="159" t="str">
        <f t="shared" ca="1" si="8"/>
        <v>ALL</v>
      </c>
      <c r="E94" s="73">
        <f ca="1">F94*'2020 Assumptions'!$B$4</f>
        <v>25.794436667519264</v>
      </c>
      <c r="F94" s="305">
        <f t="shared" ca="1" si="11"/>
        <v>19.189433616663639</v>
      </c>
      <c r="G94" s="73"/>
      <c r="I94" s="73">
        <f ca="1">IF(I$5="Doyon Notional Allocation",0,IF($C94&lt;&gt;I$3,OFFSET('Allocation %'!$A$1,MATCH(I$4,'Allocation %'!$A:$A,0)-1,MATCH($D94,'Allocation %'!$5:$5,0)-1)*($F34-$G34)*'2020 Assumptions'!$B$20,0))</f>
        <v>0</v>
      </c>
      <c r="J94" s="73">
        <f ca="1">IF(J$5="Doyon Notional Allocation",0,IF($C94&lt;&gt;J$3,OFFSET('Allocation %'!$A$1,MATCH(J$4,'Allocation %'!$A:$A,0)-1,MATCH($D94,'Allocation %'!$5:$5,0)-1)*($F34-$G34)*'2020 Assumptions'!$B$20,0))</f>
        <v>0.44154224641208162</v>
      </c>
      <c r="K94" s="73">
        <f ca="1">IF(K$5="Doyon Notional Allocation",0,IF($C94&lt;&gt;K$3,OFFSET('Allocation %'!$A$1,MATCH(K$4,'Allocation %'!$A:$A,0)-1,MATCH($D94,'Allocation %'!$5:$5,0)-1)*($F34-$G34)*'2020 Assumptions'!$B$20,0))</f>
        <v>0.13900664209993729</v>
      </c>
      <c r="L94" s="73">
        <f ca="1">IF(L$5="Doyon Notional Allocation",0,IF($C94&lt;&gt;L$3,OFFSET('Allocation %'!$A$1,MATCH(L$4,'Allocation %'!$A:$A,0)-1,MATCH($D94,'Allocation %'!$5:$5,0)-1)*($F34-$G34)*'2020 Assumptions'!$B$20,0))</f>
        <v>0.15025085343346006</v>
      </c>
      <c r="M94" s="73">
        <f ca="1">IF(M$5="Doyon Notional Allocation",0,IF($C94&lt;&gt;M$3,OFFSET('Allocation %'!$A$1,MATCH(M$4,'Allocation %'!$A:$A,0)-1,MATCH($D94,'Allocation %'!$5:$5,0)-1)*($F34-$G34)*'2020 Assumptions'!$B$20,0))</f>
        <v>0.24460137117202926</v>
      </c>
      <c r="N94" s="73">
        <f ca="1">IF(N$5="Doyon Notional Allocation",0,IF($C94&lt;&gt;N$3,OFFSET('Allocation %'!$A$1,MATCH(N$4,'Allocation %'!$A:$A,0)-1,MATCH($D94,'Allocation %'!$5:$5,0)-1)*($F34-$G34)*'2020 Assumptions'!$B$20,0))</f>
        <v>0.21404558666121265</v>
      </c>
      <c r="O94" s="73">
        <f ca="1">IF(O$5="Doyon Notional Allocation",0,IF($C94&lt;&gt;O$3,OFFSET('Allocation %'!$A$1,MATCH(O$4,'Allocation %'!$A:$A,0)-1,MATCH($D94,'Allocation %'!$5:$5,0)-1)*($F34-$G34)*'2020 Assumptions'!$B$20,0))</f>
        <v>0.50044257489206878</v>
      </c>
      <c r="P94" s="73">
        <f ca="1">IF(P$5="Doyon Notional Allocation",0,IF($C94&lt;&gt;P$3,OFFSET('Allocation %'!$A$1,MATCH(P$4,'Allocation %'!$A:$A,0)-1,MATCH($D94,'Allocation %'!$5:$5,0)-1)*($F34-$G34)*'2020 Assumptions'!$B$20,0))</f>
        <v>7.2665924238359478E-2</v>
      </c>
      <c r="Q94" s="73">
        <f ca="1">IF(Q$5="Doyon Notional Allocation",0,IF($C94&lt;&gt;Q$3,OFFSET('Allocation %'!$A$1,MATCH(Q$4,'Allocation %'!$A:$A,0)-1,MATCH($D94,'Allocation %'!$5:$5,0)-1)*($F34-$G34)*'2020 Assumptions'!$B$20,0))</f>
        <v>0.15857678362166558</v>
      </c>
      <c r="R94" s="73">
        <f ca="1">IF(R$5="Doyon Notional Allocation",0,IF($C94&lt;&gt;R$3,OFFSET('Allocation %'!$A$1,MATCH(R$4,'Allocation %'!$A:$A,0)-1,MATCH($D94,'Allocation %'!$5:$5,0)-1)*($F34-$G34)*'2020 Assumptions'!$B$20,0))</f>
        <v>0.14635189718477326</v>
      </c>
      <c r="S94" s="73">
        <f ca="1">IF(S$5="Doyon Notional Allocation",0,IF($C94&lt;&gt;S$3,OFFSET('Allocation %'!$A$1,MATCH(S$4,'Allocation %'!$A:$A,0)-1,MATCH($D94,'Allocation %'!$5:$5,0)-1)*($F34-$G34)*'2020 Assumptions'!$B$20,0))</f>
        <v>0.14076569920596252</v>
      </c>
      <c r="T94" s="73">
        <f ca="1">IF(T$5="Doyon Notional Allocation",0,IF($C94&lt;&gt;T$3,OFFSET('Allocation %'!$A$1,MATCH(T$4,'Allocation %'!$A:$A,0)-1,MATCH($D94,'Allocation %'!$5:$5,0)-1)*($F34-$G34)*'2020 Assumptions'!$B$20,0))</f>
        <v>0.50522180268793171</v>
      </c>
      <c r="U94" s="73">
        <f ca="1">IF(U$5="Doyon Notional Allocation",0,IF($C94&lt;&gt;U$3,OFFSET('Allocation %'!$A$1,MATCH(U$4,'Allocation %'!$A:$A,0)-1,MATCH($D94,'Allocation %'!$5:$5,0)-1)*($F34-$G34)*'2020 Assumptions'!$B$20,0))</f>
        <v>0.32316561423718676</v>
      </c>
      <c r="V94" s="73">
        <f ca="1">IF(V$5="Doyon Notional Allocation",0,IF($C94&lt;&gt;V$3,OFFSET('Allocation %'!$A$1,MATCH(V$4,'Allocation %'!$A:$A,0)-1,MATCH($D94,'Allocation %'!$5:$5,0)-1)*($F34-$G34)*'2020 Assumptions'!$B$20,0))</f>
        <v>0.34296841122111876</v>
      </c>
      <c r="W94" s="73">
        <f ca="1">IF(W$5="Doyon Notional Allocation",0,IF($C94&lt;&gt;W$3,OFFSET('Allocation %'!$A$1,MATCH(W$4,'Allocation %'!$A:$A,0)-1,MATCH($D94,'Allocation %'!$5:$5,0)-1)*($F34-$G34)*'2020 Assumptions'!$B$20,0))</f>
        <v>0.5554176082611566</v>
      </c>
      <c r="X94" s="73">
        <f ca="1">IF(X$5="Doyon Notional Allocation",0,IF($C94&lt;&gt;X$3,OFFSET('Allocation %'!$A$1,MATCH(X$4,'Allocation %'!$A:$A,0)-1,MATCH($D94,'Allocation %'!$5:$5,0)-1)*($F34-$G34)*'2020 Assumptions'!$B$20,0))</f>
        <v>1.2863864574110595E-2</v>
      </c>
      <c r="Y94" s="73">
        <f ca="1">IF(Y$5="Doyon Notional Allocation",0,IF($C94&lt;&gt;Y$3,OFFSET('Allocation %'!$A$1,MATCH(Y$4,'Allocation %'!$A:$A,0)-1,MATCH($D94,'Allocation %'!$5:$5,0)-1)*($F34-$G34)*'2020 Assumptions'!$B$20,0))</f>
        <v>1.0150368034588584E-2</v>
      </c>
      <c r="Z94" s="73">
        <f ca="1">IF(Z$5="Doyon Notional Allocation",0,IF($C94&lt;&gt;Z$3,OFFSET('Allocation %'!$A$1,MATCH(Z$4,'Allocation %'!$A:$A,0)-1,MATCH($D94,'Allocation %'!$5:$5,0)-1)*($F34-$G34)*'2020 Assumptions'!$B$20,0))</f>
        <v>2.9600106465405493E-2</v>
      </c>
      <c r="AA94" s="73">
        <f ca="1">IF(AA$5="Doyon Notional Allocation",0,IF($C94&lt;&gt;AA$3,OFFSET('Allocation %'!$A$1,MATCH(AA$4,'Allocation %'!$A:$A,0)-1,MATCH($D94,'Allocation %'!$5:$5,0)-1)*($F34-$G34)*'2020 Assumptions'!$B$20,0))</f>
        <v>2.7007792512777611E-2</v>
      </c>
      <c r="AB94" s="73">
        <f ca="1">IF(AB$5="Doyon Notional Allocation",0,IF($C94&lt;&gt;AB$3,OFFSET('Allocation %'!$A$1,MATCH(AB$4,'Allocation %'!$A:$A,0)-1,MATCH($D94,'Allocation %'!$5:$5,0)-1)*($F34-$G34)*'2020 Assumptions'!$B$20,0))</f>
        <v>2.6133511614708234E-2</v>
      </c>
      <c r="AC94" s="73">
        <f ca="1">IF(AC$5="Doyon Notional Allocation",0,IF($C94&lt;&gt;AC$3,OFFSET('Allocation %'!$A$1,MATCH(AC$4,'Allocation %'!$A:$A,0)-1,MATCH($D94,'Allocation %'!$5:$5,0)-1)*($F34-$G34)*'2020 Assumptions'!$B$20,0))</f>
        <v>2.9564485382208367E-2</v>
      </c>
      <c r="AD94" s="73">
        <f ca="1">IF(AD$5="Doyon Notional Allocation",0,IF($C94&lt;&gt;AD$3,OFFSET('Allocation %'!$A$1,MATCH(AD$4,'Allocation %'!$A:$A,0)-1,MATCH($D94,'Allocation %'!$5:$5,0)-1)*($F34-$G34)*'2020 Assumptions'!$B$20,0))</f>
        <v>6.5332618979131812E-2</v>
      </c>
      <c r="AE94" s="73">
        <f ca="1">IF(AE$5="Doyon Notional Allocation",0,IF($C94&lt;&gt;AE$3,OFFSET('Allocation %'!$A$1,MATCH(AE$4,'Allocation %'!$A:$A,0)-1,MATCH($D94,'Allocation %'!$5:$5,0)-1)*($F34-$G34)*'2020 Assumptions'!$B$20,0))</f>
        <v>6.2540372478049083E-2</v>
      </c>
      <c r="AF94" s="73">
        <f ca="1">IF(AF$5="Doyon Notional Allocation",0,IF($C94&lt;&gt;AF$3,OFFSET('Allocation %'!$A$1,MATCH(AF$4,'Allocation %'!$A:$A,0)-1,MATCH($D94,'Allocation %'!$5:$5,0)-1)*($F34-$G34)*'2020 Assumptions'!$B$20,0))</f>
        <v>0.30832433719670682</v>
      </c>
      <c r="AG94" s="73">
        <f ca="1">IF(AG$5="Doyon Notional Allocation",0,IF($C94&lt;&gt;AG$3,OFFSET('Allocation %'!$A$1,MATCH(AG$4,'Allocation %'!$A:$A,0)-1,MATCH($D94,'Allocation %'!$5:$5,0)-1)*($F34-$G34)*'2020 Assumptions'!$B$20,0))</f>
        <v>0.48523577047616911</v>
      </c>
      <c r="AH94" s="73">
        <f ca="1">IF(AH$5="Doyon Notional Allocation",0,IF($C94&lt;&gt;AH$3,OFFSET('Allocation %'!$A$1,MATCH(AH$4,'Allocation %'!$A:$A,0)-1,MATCH($D94,'Allocation %'!$5:$5,0)-1)*($F34-$G34)*'2020 Assumptions'!$B$20,0))</f>
        <v>4.2920327797334572</v>
      </c>
      <c r="AI94" s="73">
        <f ca="1">IF(AI$5="Doyon Notional Allocation",0,IF($C94&lt;&gt;AI$3,OFFSET('Allocation %'!$A$1,MATCH(AI$4,'Allocation %'!$A:$A,0)-1,MATCH($D94,'Allocation %'!$5:$5,0)-1)*($F34-$G34)*'2020 Assumptions'!$B$20,0))</f>
        <v>2.5491641253146673E-2</v>
      </c>
      <c r="AJ94" s="73">
        <f ca="1">IF(AJ$5="Doyon Notional Allocation",0,IF($C94&lt;&gt;AJ$3,OFFSET('Allocation %'!$A$1,MATCH(AJ$4,'Allocation %'!$A:$A,0)-1,MATCH($D94,'Allocation %'!$5:$5,0)-1)*($F34-$G34)*'2020 Assumptions'!$B$20,0))</f>
        <v>0.5970212486837162</v>
      </c>
      <c r="AK94" s="73">
        <f ca="1">IF(AK$5="Doyon Notional Allocation",0,IF($C94&lt;&gt;AK$3,OFFSET('Allocation %'!$A$1,MATCH(AK$4,'Allocation %'!$A:$A,0)-1,MATCH($D94,'Allocation %'!$5:$5,0)-1)*($F34-$G34)*'2020 Assumptions'!$B$20,0))</f>
        <v>0.537302850451988</v>
      </c>
      <c r="AL94" s="73">
        <f ca="1">IF(AL$5="Doyon Notional Allocation",0,IF($C94&lt;&gt;AL$3,OFFSET('Allocation %'!$A$1,MATCH(AL$4,'Allocation %'!$A:$A,0)-1,MATCH($D94,'Allocation %'!$5:$5,0)-1)*($F34-$G34)*'2020 Assumptions'!$B$20,0))</f>
        <v>0</v>
      </c>
      <c r="AM94" s="73">
        <f ca="1">IF(AM$5="Doyon Notional Allocation",0,IF($C94&lt;&gt;AM$3,OFFSET('Allocation %'!$A$1,MATCH(AM$4,'Allocation %'!$A:$A,0)-1,MATCH($D94,'Allocation %'!$5:$5,0)-1)*($F34-$G34)*'2020 Assumptions'!$B$20,0))</f>
        <v>7.0445234402531115E-2</v>
      </c>
      <c r="AN94" s="73">
        <f ca="1">IF(AN$5="Doyon Notional Allocation",0,IF($C94&lt;&gt;AN$3,OFFSET('Allocation %'!$A$1,MATCH(AN$4,'Allocation %'!$A:$A,0)-1,MATCH($D94,'Allocation %'!$5:$5,0)-1)*($F34-$G34)*'2020 Assumptions'!$B$20,0))</f>
        <v>0</v>
      </c>
      <c r="AO94" s="73">
        <f ca="1">IF(AO$5="Doyon Notional Allocation",0,IF($C94&lt;&gt;AO$3,OFFSET('Allocation %'!$A$1,MATCH(AO$4,'Allocation %'!$A:$A,0)-1,MATCH($D94,'Allocation %'!$5:$5,0)-1)*($F34-$G34)*'2020 Assumptions'!$B$20,0))</f>
        <v>0.57926852537827533</v>
      </c>
      <c r="AP94" s="73">
        <f ca="1">IF(AP$5="Doyon Notional Allocation",0,IF($C94&lt;&gt;AP$3,OFFSET('Allocation %'!$A$1,MATCH(AP$4,'Allocation %'!$A:$A,0)-1,MATCH($D94,'Allocation %'!$5:$5,0)-1)*($F34-$G34)*'2020 Assumptions'!$B$20,0))</f>
        <v>0.12037771182588961</v>
      </c>
      <c r="AQ94" s="73">
        <f ca="1">IF(AQ$5="Doyon Notional Allocation",0,IF($C94&lt;&gt;AQ$3,OFFSET('Allocation %'!$A$1,MATCH(AQ$4,'Allocation %'!$A:$A,0)-1,MATCH($D94,'Allocation %'!$5:$5,0)-1)*($F34-$G34)*'2020 Assumptions'!$B$20,0))</f>
        <v>0.53235803520239244</v>
      </c>
      <c r="AR94" s="73">
        <f ca="1">IF(AR$5="Doyon Notional Allocation",0,IF($C94&lt;&gt;AR$3,OFFSET('Allocation %'!$A$1,MATCH(AR$4,'Allocation %'!$A:$A,0)-1,MATCH($D94,'Allocation %'!$5:$5,0)-1)*($F34-$G34)*'2020 Assumptions'!$B$20,0))</f>
        <v>1.3358640125039836E-2</v>
      </c>
      <c r="AS94" s="73">
        <f ca="1">IF(AS$5="Doyon Notional Allocation",0,IF($C94&lt;&gt;AS$3,OFFSET('Allocation %'!$A$1,MATCH(AS$4,'Allocation %'!$A:$A,0)-1,MATCH($D94,'Allocation %'!$5:$5,0)-1)*($F34-$G34)*'2020 Assumptions'!$B$20,0))</f>
        <v>0.9785069137734036</v>
      </c>
      <c r="AT94" s="73">
        <f ca="1">IF(AT$5="Doyon Notional Allocation",0,IF($C94&lt;&gt;AT$3,OFFSET('Allocation %'!$A$1,MATCH(AT$4,'Allocation %'!$A:$A,0)-1,MATCH($D94,'Allocation %'!$5:$5,0)-1)*($F34-$G34)*'2020 Assumptions'!$B$20,0))</f>
        <v>0.57614859307228949</v>
      </c>
      <c r="AU94" s="73">
        <f ca="1">IF(AU$5="Doyon Notional Allocation",0,IF($C94&lt;&gt;AU$3,OFFSET('Allocation %'!$A$1,MATCH(AU$4,'Allocation %'!$A:$A,0)-1,MATCH($D94,'Allocation %'!$5:$5,0)-1)*($F34-$G34)*'2020 Assumptions'!$B$20,0))</f>
        <v>0.68867728014216156</v>
      </c>
      <c r="AV94" s="73">
        <f ca="1">IF(AV$5="Doyon Notional Allocation",0,IF($C94&lt;&gt;AV$3,OFFSET('Allocation %'!$A$1,MATCH(AV$4,'Allocation %'!$A:$A,0)-1,MATCH($D94,'Allocation %'!$5:$5,0)-1)*($F34-$G34)*'2020 Assumptions'!$B$20,0))</f>
        <v>1.0609505620612687</v>
      </c>
      <c r="AW94" s="73">
        <f ca="1">IF(AW$5="Doyon Notional Allocation",0,IF($C94&lt;&gt;AW$3,OFFSET('Allocation %'!$A$1,MATCH(AW$4,'Allocation %'!$A:$A,0)-1,MATCH($D94,'Allocation %'!$5:$5,0)-1)*($F34-$G34)*'2020 Assumptions'!$B$20,0))</f>
        <v>4.0549823805203937</v>
      </c>
      <c r="AX94" s="73">
        <f ca="1">IF(AX$5="Doyon Notional Allocation",0,IF($C94&lt;&gt;AX$3,OFFSET('Allocation %'!$A$1,MATCH(AX$4,'Allocation %'!$A:$A,0)-1,MATCH($D94,'Allocation %'!$5:$5,0)-1)*($F34-$G34)*'2020 Assumptions'!$B$20,0))</f>
        <v>7.0734976994883222E-2</v>
      </c>
      <c r="AY94" s="73">
        <f ca="1">IF(AY$5="Doyon Notional Allocation",0,IF($C94&lt;&gt;AY$3,OFFSET('Allocation %'!$A$1,MATCH(AY$4,'Allocation %'!$A:$A,0)-1,MATCH($D94,'Allocation %'!$5:$5,0)-1)*($F34-$G34)*'2020 Assumptions'!$B$20,0))</f>
        <v>0</v>
      </c>
      <c r="AZ94" s="73">
        <f ca="1">IF(AZ$5="Doyon Notional Allocation",0,IF($C94&lt;&gt;AZ$3,OFFSET('Allocation %'!$A$1,MATCH(AZ$4,'Allocation %'!$A:$A,0)-1,MATCH($D94,'Allocation %'!$5:$5,0)-1)*($F34-$G34)*'2020 Assumptions'!$B$20,0))</f>
        <v>0</v>
      </c>
      <c r="BA94" s="73">
        <f ca="1">IF(BA$5="Doyon Notional Allocation",0,IF($C94&lt;&gt;BA$3,OFFSET('Allocation %'!$A$1,MATCH(BA$4,'Allocation %'!$A:$A,0)-1,MATCH($D94,'Allocation %'!$5:$5,0)-1)*($F34-$G34)*'2020 Assumptions'!$B$20,0))</f>
        <v>0</v>
      </c>
      <c r="BB94" s="73">
        <f ca="1">IF(BB$5="Doyon Notional Allocation",0,IF($C94&lt;&gt;BB$3,OFFSET('Allocation %'!$A$1,MATCH(BB$4,'Allocation %'!$A:$A,0)-1,MATCH($D94,'Allocation %'!$5:$5,0)-1)*($F34-$G34)*'2020 Assumptions'!$B$20,0))</f>
        <v>0</v>
      </c>
      <c r="BC94" s="73">
        <f ca="1">IF(BC$5="Doyon Notional Allocation",0,IF($C94&lt;&gt;BC$3,OFFSET('Allocation %'!$A$1,MATCH(BC$4,'Allocation %'!$A:$A,0)-1,MATCH($D94,'Allocation %'!$5:$5,0)-1)*($F34-$G34)*'2020 Assumptions'!$B$20,0))</f>
        <v>0</v>
      </c>
      <c r="BD94" s="73">
        <f ca="1">IF(BD$5="Doyon Notional Allocation",0,IF($C94&lt;&gt;BD$3,OFFSET('Allocation %'!$A$1,MATCH(BD$4,'Allocation %'!$A:$A,0)-1,MATCH($D94,'Allocation %'!$5:$5,0)-1)*($F34-$G34)*'2020 Assumptions'!$B$20,0))</f>
        <v>0</v>
      </c>
      <c r="BE94" s="73">
        <f ca="1">IF(BE$5="Doyon Notional Allocation",0,IF($C94&lt;&gt;BE$3,OFFSET('Allocation %'!$A$1,MATCH(BE$4,'Allocation %'!$A:$A,0)-1,MATCH($D94,'Allocation %'!$5:$5,0)-1)*($F34-$G34)*'2020 Assumptions'!$B$20,0))</f>
        <v>0</v>
      </c>
      <c r="BG94" s="76">
        <f t="shared" ca="1" si="9"/>
        <v>19.189433616663639</v>
      </c>
      <c r="BH94" s="349">
        <f t="shared" ca="1" si="10"/>
        <v>0</v>
      </c>
    </row>
    <row r="95" spans="2:60" s="177" customFormat="1" x14ac:dyDescent="0.25">
      <c r="B95" s="305" t="str">
        <f t="shared" si="7"/>
        <v>1016-001300 - ECU COO Admin Mark up</v>
      </c>
      <c r="C95" s="177" t="str">
        <f t="shared" si="8"/>
        <v>USD</v>
      </c>
      <c r="D95" s="159" t="str">
        <f t="shared" ca="1" si="8"/>
        <v>CU Only</v>
      </c>
      <c r="E95" s="73">
        <f ca="1">F95*'2020 Assumptions'!$B$4</f>
        <v>1766.3664157271737</v>
      </c>
      <c r="F95" s="305">
        <f t="shared" ca="1" si="11"/>
        <v>1314.0651805737045</v>
      </c>
      <c r="G95" s="73"/>
      <c r="I95" s="73">
        <f ca="1">IF(I$5="Doyon Notional Allocation",0,IF($C95&lt;&gt;I$3,OFFSET('Allocation %'!$A$1,MATCH(I$4,'Allocation %'!$A:$A,0)-1,MATCH($D95,'Allocation %'!$5:$5,0)-1)*($F35-$G35)*'2020 Assumptions'!$B$20,0))</f>
        <v>0</v>
      </c>
      <c r="J95" s="73">
        <f ca="1">IF(J$5="Doyon Notional Allocation",0,IF($C95&lt;&gt;J$3,OFFSET('Allocation %'!$A$1,MATCH(J$4,'Allocation %'!$A:$A,0)-1,MATCH($D95,'Allocation %'!$5:$5,0)-1)*($F35-$G35)*'2020 Assumptions'!$B$20,0))</f>
        <v>0</v>
      </c>
      <c r="K95" s="73">
        <f ca="1">IF(K$5="Doyon Notional Allocation",0,IF($C95&lt;&gt;K$3,OFFSET('Allocation %'!$A$1,MATCH(K$4,'Allocation %'!$A:$A,0)-1,MATCH($D95,'Allocation %'!$5:$5,0)-1)*($F35-$G35)*'2020 Assumptions'!$B$20,0))</f>
        <v>0</v>
      </c>
      <c r="L95" s="73">
        <f ca="1">IF(L$5="Doyon Notional Allocation",0,IF($C95&lt;&gt;L$3,OFFSET('Allocation %'!$A$1,MATCH(L$4,'Allocation %'!$A:$A,0)-1,MATCH($D95,'Allocation %'!$5:$5,0)-1)*($F35-$G35)*'2020 Assumptions'!$B$20,0))</f>
        <v>0</v>
      </c>
      <c r="M95" s="73">
        <f ca="1">IF(M$5="Doyon Notional Allocation",0,IF($C95&lt;&gt;M$3,OFFSET('Allocation %'!$A$1,MATCH(M$4,'Allocation %'!$A:$A,0)-1,MATCH($D95,'Allocation %'!$5:$5,0)-1)*($F35-$G35)*'2020 Assumptions'!$B$20,0))</f>
        <v>0</v>
      </c>
      <c r="N95" s="73">
        <f ca="1">IF(N$5="Doyon Notional Allocation",0,IF($C95&lt;&gt;N$3,OFFSET('Allocation %'!$A$1,MATCH(N$4,'Allocation %'!$A:$A,0)-1,MATCH($D95,'Allocation %'!$5:$5,0)-1)*($F35-$G35)*'2020 Assumptions'!$B$20,0))</f>
        <v>0</v>
      </c>
      <c r="O95" s="73">
        <f ca="1">IF(O$5="Doyon Notional Allocation",0,IF($C95&lt;&gt;O$3,OFFSET('Allocation %'!$A$1,MATCH(O$4,'Allocation %'!$A:$A,0)-1,MATCH($D95,'Allocation %'!$5:$5,0)-1)*($F35-$G35)*'2020 Assumptions'!$B$20,0))</f>
        <v>0</v>
      </c>
      <c r="P95" s="73">
        <f ca="1">IF(P$5="Doyon Notional Allocation",0,IF($C95&lt;&gt;P$3,OFFSET('Allocation %'!$A$1,MATCH(P$4,'Allocation %'!$A:$A,0)-1,MATCH($D95,'Allocation %'!$5:$5,0)-1)*($F35-$G35)*'2020 Assumptions'!$B$20,0))</f>
        <v>0</v>
      </c>
      <c r="Q95" s="73">
        <f ca="1">IF(Q$5="Doyon Notional Allocation",0,IF($C95&lt;&gt;Q$3,OFFSET('Allocation %'!$A$1,MATCH(Q$4,'Allocation %'!$A:$A,0)-1,MATCH($D95,'Allocation %'!$5:$5,0)-1)*($F35-$G35)*'2020 Assumptions'!$B$20,0))</f>
        <v>0</v>
      </c>
      <c r="R95" s="73">
        <f ca="1">IF(R$5="Doyon Notional Allocation",0,IF($C95&lt;&gt;R$3,OFFSET('Allocation %'!$A$1,MATCH(R$4,'Allocation %'!$A:$A,0)-1,MATCH($D95,'Allocation %'!$5:$5,0)-1)*($F35-$G35)*'2020 Assumptions'!$B$20,0))</f>
        <v>0</v>
      </c>
      <c r="S95" s="73">
        <f ca="1">IF(S$5="Doyon Notional Allocation",0,IF($C95&lt;&gt;S$3,OFFSET('Allocation %'!$A$1,MATCH(S$4,'Allocation %'!$A:$A,0)-1,MATCH($D95,'Allocation %'!$5:$5,0)-1)*($F35-$G35)*'2020 Assumptions'!$B$20,0))</f>
        <v>0</v>
      </c>
      <c r="T95" s="73">
        <f ca="1">IF(T$5="Doyon Notional Allocation",0,IF($C95&lt;&gt;T$3,OFFSET('Allocation %'!$A$1,MATCH(T$4,'Allocation %'!$A:$A,0)-1,MATCH($D95,'Allocation %'!$5:$5,0)-1)*($F35-$G35)*'2020 Assumptions'!$B$20,0))</f>
        <v>0</v>
      </c>
      <c r="U95" s="73">
        <f ca="1">IF(U$5="Doyon Notional Allocation",0,IF($C95&lt;&gt;U$3,OFFSET('Allocation %'!$A$1,MATCH(U$4,'Allocation %'!$A:$A,0)-1,MATCH($D95,'Allocation %'!$5:$5,0)-1)*($F35-$G35)*'2020 Assumptions'!$B$20,0))</f>
        <v>0</v>
      </c>
      <c r="V95" s="73">
        <f ca="1">IF(V$5="Doyon Notional Allocation",0,IF($C95&lt;&gt;V$3,OFFSET('Allocation %'!$A$1,MATCH(V$4,'Allocation %'!$A:$A,0)-1,MATCH($D95,'Allocation %'!$5:$5,0)-1)*($F35-$G35)*'2020 Assumptions'!$B$20,0))</f>
        <v>0</v>
      </c>
      <c r="W95" s="73">
        <f ca="1">IF(W$5="Doyon Notional Allocation",0,IF($C95&lt;&gt;W$3,OFFSET('Allocation %'!$A$1,MATCH(W$4,'Allocation %'!$A:$A,0)-1,MATCH($D95,'Allocation %'!$5:$5,0)-1)*($F35-$G35)*'2020 Assumptions'!$B$20,0))</f>
        <v>0</v>
      </c>
      <c r="X95" s="73">
        <f ca="1">IF(X$5="Doyon Notional Allocation",0,IF($C95&lt;&gt;X$3,OFFSET('Allocation %'!$A$1,MATCH(X$4,'Allocation %'!$A:$A,0)-1,MATCH($D95,'Allocation %'!$5:$5,0)-1)*($F35-$G35)*'2020 Assumptions'!$B$20,0))</f>
        <v>0</v>
      </c>
      <c r="Y95" s="73">
        <f ca="1">IF(Y$5="Doyon Notional Allocation",0,IF($C95&lt;&gt;Y$3,OFFSET('Allocation %'!$A$1,MATCH(Y$4,'Allocation %'!$A:$A,0)-1,MATCH($D95,'Allocation %'!$5:$5,0)-1)*($F35-$G35)*'2020 Assumptions'!$B$20,0))</f>
        <v>0</v>
      </c>
      <c r="Z95" s="73">
        <f ca="1">IF(Z$5="Doyon Notional Allocation",0,IF($C95&lt;&gt;Z$3,OFFSET('Allocation %'!$A$1,MATCH(Z$4,'Allocation %'!$A:$A,0)-1,MATCH($D95,'Allocation %'!$5:$5,0)-1)*($F35-$G35)*'2020 Assumptions'!$B$20,0))</f>
        <v>0</v>
      </c>
      <c r="AA95" s="73">
        <f ca="1">IF(AA$5="Doyon Notional Allocation",0,IF($C95&lt;&gt;AA$3,OFFSET('Allocation %'!$A$1,MATCH(AA$4,'Allocation %'!$A:$A,0)-1,MATCH($D95,'Allocation %'!$5:$5,0)-1)*($F35-$G35)*'2020 Assumptions'!$B$20,0))</f>
        <v>0</v>
      </c>
      <c r="AB95" s="73">
        <f ca="1">IF(AB$5="Doyon Notional Allocation",0,IF($C95&lt;&gt;AB$3,OFFSET('Allocation %'!$A$1,MATCH(AB$4,'Allocation %'!$A:$A,0)-1,MATCH($D95,'Allocation %'!$5:$5,0)-1)*($F35-$G35)*'2020 Assumptions'!$B$20,0))</f>
        <v>0</v>
      </c>
      <c r="AC95" s="73">
        <f ca="1">IF(AC$5="Doyon Notional Allocation",0,IF($C95&lt;&gt;AC$3,OFFSET('Allocation %'!$A$1,MATCH(AC$4,'Allocation %'!$A:$A,0)-1,MATCH($D95,'Allocation %'!$5:$5,0)-1)*($F35-$G35)*'2020 Assumptions'!$B$20,0))</f>
        <v>0</v>
      </c>
      <c r="AD95" s="73">
        <f ca="1">IF(AD$5="Doyon Notional Allocation",0,IF($C95&lt;&gt;AD$3,OFFSET('Allocation %'!$A$1,MATCH(AD$4,'Allocation %'!$A:$A,0)-1,MATCH($D95,'Allocation %'!$5:$5,0)-1)*($F35-$G35)*'2020 Assumptions'!$B$20,0))</f>
        <v>0</v>
      </c>
      <c r="AE95" s="73">
        <f ca="1">IF(AE$5="Doyon Notional Allocation",0,IF($C95&lt;&gt;AE$3,OFFSET('Allocation %'!$A$1,MATCH(AE$4,'Allocation %'!$A:$A,0)-1,MATCH($D95,'Allocation %'!$5:$5,0)-1)*($F35-$G35)*'2020 Assumptions'!$B$20,0))</f>
        <v>0</v>
      </c>
      <c r="AF95" s="73">
        <f ca="1">IF(AF$5="Doyon Notional Allocation",0,IF($C95&lt;&gt;AF$3,OFFSET('Allocation %'!$A$1,MATCH(AF$4,'Allocation %'!$A:$A,0)-1,MATCH($D95,'Allocation %'!$5:$5,0)-1)*($F35-$G35)*'2020 Assumptions'!$B$20,0))</f>
        <v>62.451551637903876</v>
      </c>
      <c r="AG95" s="73">
        <f ca="1">IF(AG$5="Doyon Notional Allocation",0,IF($C95&lt;&gt;AG$3,OFFSET('Allocation %'!$A$1,MATCH(AG$4,'Allocation %'!$A:$A,0)-1,MATCH($D95,'Allocation %'!$5:$5,0)-1)*($F35-$G35)*'2020 Assumptions'!$B$20,0))</f>
        <v>0</v>
      </c>
      <c r="AH95" s="73">
        <f ca="1">IF(AH$5="Doyon Notional Allocation",0,IF($C95&lt;&gt;AH$3,OFFSET('Allocation %'!$A$1,MATCH(AH$4,'Allocation %'!$A:$A,0)-1,MATCH($D95,'Allocation %'!$5:$5,0)-1)*($F35-$G35)*'2020 Assumptions'!$B$20,0))</f>
        <v>0</v>
      </c>
      <c r="AI95" s="73">
        <f ca="1">IF(AI$5="Doyon Notional Allocation",0,IF($C95&lt;&gt;AI$3,OFFSET('Allocation %'!$A$1,MATCH(AI$4,'Allocation %'!$A:$A,0)-1,MATCH($D95,'Allocation %'!$5:$5,0)-1)*($F35-$G35)*'2020 Assumptions'!$B$20,0))</f>
        <v>0</v>
      </c>
      <c r="AJ95" s="73">
        <f ca="1">IF(AJ$5="Doyon Notional Allocation",0,IF($C95&lt;&gt;AJ$3,OFFSET('Allocation %'!$A$1,MATCH(AJ$4,'Allocation %'!$A:$A,0)-1,MATCH($D95,'Allocation %'!$5:$5,0)-1)*($F35-$G35)*'2020 Assumptions'!$B$20,0))</f>
        <v>120.91246410948401</v>
      </c>
      <c r="AK95" s="73">
        <f ca="1">IF(AK$5="Doyon Notional Allocation",0,IF($C95&lt;&gt;AK$3,OFFSET('Allocation %'!$A$1,MATCH(AK$4,'Allocation %'!$A:$A,0)-1,MATCH($D95,'Allocation %'!$5:$5,0)-1)*($F35-$G35)*'2020 Assumptions'!$B$20,0))</f>
        <v>108.80793178988178</v>
      </c>
      <c r="AL95" s="73">
        <f ca="1">IF(AL$5="Doyon Notional Allocation",0,IF($C95&lt;&gt;AL$3,OFFSET('Allocation %'!$A$1,MATCH(AL$4,'Allocation %'!$A:$A,0)-1,MATCH($D95,'Allocation %'!$5:$5,0)-1)*($F35-$G35)*'2020 Assumptions'!$B$20,0))</f>
        <v>0</v>
      </c>
      <c r="AM95" s="73">
        <f ca="1">IF(AM$5="Doyon Notional Allocation",0,IF($C95&lt;&gt;AM$3,OFFSET('Allocation %'!$A$1,MATCH(AM$4,'Allocation %'!$A:$A,0)-1,MATCH($D95,'Allocation %'!$5:$5,0)-1)*($F35-$G35)*'2020 Assumptions'!$B$20,0))</f>
        <v>0</v>
      </c>
      <c r="AN95" s="73">
        <f ca="1">IF(AN$5="Doyon Notional Allocation",0,IF($C95&lt;&gt;AN$3,OFFSET('Allocation %'!$A$1,MATCH(AN$4,'Allocation %'!$A:$A,0)-1,MATCH($D95,'Allocation %'!$5:$5,0)-1)*($F35-$G35)*'2020 Assumptions'!$B$20,0))</f>
        <v>0</v>
      </c>
      <c r="AO95" s="73">
        <f ca="1">IF(AO$5="Doyon Notional Allocation",0,IF($C95&lt;&gt;AO$3,OFFSET('Allocation %'!$A$1,MATCH(AO$4,'Allocation %'!$A:$A,0)-1,MATCH($D95,'Allocation %'!$5:$5,0)-1)*($F35-$G35)*'2020 Assumptions'!$B$20,0))</f>
        <v>117.29246116095139</v>
      </c>
      <c r="AP95" s="73">
        <f ca="1">IF(AP$5="Doyon Notional Allocation",0,IF($C95&lt;&gt;AP$3,OFFSET('Allocation %'!$A$1,MATCH(AP$4,'Allocation %'!$A:$A,0)-1,MATCH($D95,'Allocation %'!$5:$5,0)-1)*($F35-$G35)*'2020 Assumptions'!$B$20,0))</f>
        <v>24.378580303405379</v>
      </c>
      <c r="AQ95" s="73">
        <f ca="1">IF(AQ$5="Doyon Notional Allocation",0,IF($C95&lt;&gt;AQ$3,OFFSET('Allocation %'!$A$1,MATCH(AQ$4,'Allocation %'!$A:$A,0)-1,MATCH($D95,'Allocation %'!$5:$5,0)-1)*($F35-$G35)*'2020 Assumptions'!$B$20,0))</f>
        <v>0</v>
      </c>
      <c r="AR95" s="73">
        <f ca="1">IF(AR$5="Doyon Notional Allocation",0,IF($C95&lt;&gt;AR$3,OFFSET('Allocation %'!$A$1,MATCH(AR$4,'Allocation %'!$A:$A,0)-1,MATCH($D95,'Allocation %'!$5:$5,0)-1)*($F35-$G35)*'2020 Assumptions'!$B$20,0))</f>
        <v>0</v>
      </c>
      <c r="AS95" s="73">
        <f ca="1">IF(AS$5="Doyon Notional Allocation",0,IF($C95&lt;&gt;AS$3,OFFSET('Allocation %'!$A$1,MATCH(AS$4,'Allocation %'!$A:$A,0)-1,MATCH($D95,'Allocation %'!$5:$5,0)-1)*($F35-$G35)*'2020 Assumptions'!$B$20,0))</f>
        <v>0</v>
      </c>
      <c r="AT95" s="73">
        <f ca="1">IF(AT$5="Doyon Notional Allocation",0,IF($C95&lt;&gt;AT$3,OFFSET('Allocation %'!$A$1,MATCH(AT$4,'Allocation %'!$A:$A,0)-1,MATCH($D95,'Allocation %'!$5:$5,0)-1)*($F35-$G35)*'2020 Assumptions'!$B$20,0))</f>
        <v>0</v>
      </c>
      <c r="AU95" s="73">
        <f ca="1">IF(AU$5="Doyon Notional Allocation",0,IF($C95&lt;&gt;AU$3,OFFSET('Allocation %'!$A$1,MATCH(AU$4,'Allocation %'!$A:$A,0)-1,MATCH($D95,'Allocation %'!$5:$5,0)-1)*($F35-$G35)*'2020 Assumptions'!$B$20,0))</f>
        <v>0</v>
      </c>
      <c r="AV95" s="73">
        <f ca="1">IF(AV$5="Doyon Notional Allocation",0,IF($C95&lt;&gt;AV$3,OFFSET('Allocation %'!$A$1,MATCH(AV$4,'Allocation %'!$A:$A,0)-1,MATCH($D95,'Allocation %'!$5:$5,0)-1)*($F35-$G35)*'2020 Assumptions'!$B$20,0))</f>
        <v>0</v>
      </c>
      <c r="AW95" s="73">
        <f ca="1">IF(AW$5="Doyon Notional Allocation",0,IF($C95&lt;&gt;AW$3,OFFSET('Allocation %'!$A$1,MATCH(AW$4,'Allocation %'!$A:$A,0)-1,MATCH($D95,'Allocation %'!$5:$5,0)-1)*($F35-$G35)*'2020 Assumptions'!$B$20,0))</f>
        <v>880.22219157207803</v>
      </c>
      <c r="AX95" s="73">
        <f ca="1">IF(AX$5="Doyon Notional Allocation",0,IF($C95&lt;&gt;AX$3,OFFSET('Allocation %'!$A$1,MATCH(AX$4,'Allocation %'!$A:$A,0)-1,MATCH($D95,'Allocation %'!$5:$5,0)-1)*($F35-$G35)*'2020 Assumptions'!$B$20,0))</f>
        <v>0</v>
      </c>
      <c r="AY95" s="73">
        <f ca="1">IF(AY$5="Doyon Notional Allocation",0,IF($C95&lt;&gt;AY$3,OFFSET('Allocation %'!$A$1,MATCH(AY$4,'Allocation %'!$A:$A,0)-1,MATCH($D95,'Allocation %'!$5:$5,0)-1)*($F35-$G35)*'2020 Assumptions'!$B$20,0))</f>
        <v>0</v>
      </c>
      <c r="AZ95" s="73">
        <f ca="1">IF(AZ$5="Doyon Notional Allocation",0,IF($C95&lt;&gt;AZ$3,OFFSET('Allocation %'!$A$1,MATCH(AZ$4,'Allocation %'!$A:$A,0)-1,MATCH($D95,'Allocation %'!$5:$5,0)-1)*($F35-$G35)*'2020 Assumptions'!$B$20,0))</f>
        <v>0</v>
      </c>
      <c r="BA95" s="73">
        <f ca="1">IF(BA$5="Doyon Notional Allocation",0,IF($C95&lt;&gt;BA$3,OFFSET('Allocation %'!$A$1,MATCH(BA$4,'Allocation %'!$A:$A,0)-1,MATCH($D95,'Allocation %'!$5:$5,0)-1)*($F35-$G35)*'2020 Assumptions'!$B$20,0))</f>
        <v>0</v>
      </c>
      <c r="BB95" s="73">
        <f ca="1">IF(BB$5="Doyon Notional Allocation",0,IF($C95&lt;&gt;BB$3,OFFSET('Allocation %'!$A$1,MATCH(BB$4,'Allocation %'!$A:$A,0)-1,MATCH($D95,'Allocation %'!$5:$5,0)-1)*($F35-$G35)*'2020 Assumptions'!$B$20,0))</f>
        <v>0</v>
      </c>
      <c r="BC95" s="73">
        <f ca="1">IF(BC$5="Doyon Notional Allocation",0,IF($C95&lt;&gt;BC$3,OFFSET('Allocation %'!$A$1,MATCH(BC$4,'Allocation %'!$A:$A,0)-1,MATCH($D95,'Allocation %'!$5:$5,0)-1)*($F35-$G35)*'2020 Assumptions'!$B$20,0))</f>
        <v>0</v>
      </c>
      <c r="BD95" s="73">
        <f ca="1">IF(BD$5="Doyon Notional Allocation",0,IF($C95&lt;&gt;BD$3,OFFSET('Allocation %'!$A$1,MATCH(BD$4,'Allocation %'!$A:$A,0)-1,MATCH($D95,'Allocation %'!$5:$5,0)-1)*($F35-$G35)*'2020 Assumptions'!$B$20,0))</f>
        <v>0</v>
      </c>
      <c r="BE95" s="73">
        <f ca="1">IF(BE$5="Doyon Notional Allocation",0,IF($C95&lt;&gt;BE$3,OFFSET('Allocation %'!$A$1,MATCH(BE$4,'Allocation %'!$A:$A,0)-1,MATCH($D95,'Allocation %'!$5:$5,0)-1)*($F35-$G35)*'2020 Assumptions'!$B$20,0))</f>
        <v>0</v>
      </c>
      <c r="BG95" s="76">
        <f t="shared" ca="1" si="9"/>
        <v>1314.0651805737045</v>
      </c>
      <c r="BH95" s="349">
        <f t="shared" ca="1" si="10"/>
        <v>0</v>
      </c>
    </row>
    <row r="96" spans="2:60" s="177" customFormat="1" x14ac:dyDescent="0.25">
      <c r="B96" s="305" t="s">
        <v>321</v>
      </c>
      <c r="C96" s="177" t="str">
        <f t="shared" ref="C96:D96" si="12">C36</f>
        <v>USD</v>
      </c>
      <c r="D96" s="159" t="str">
        <f t="shared" ca="1" si="12"/>
        <v>All Less RU - L48</v>
      </c>
      <c r="E96" s="73">
        <f ca="1">F96*'2020 Assumptions'!$B$4</f>
        <v>1141.2439669211924</v>
      </c>
      <c r="F96" s="305">
        <f t="shared" ca="1" si="11"/>
        <v>849.01351504329148</v>
      </c>
      <c r="G96" s="73"/>
      <c r="I96" s="73">
        <f ca="1">IF(I$5="Doyon Notional Allocation",0,IF($C96&lt;&gt;I$3,OFFSET('Allocation %'!$A$1,MATCH(I$4,'Allocation %'!$A:$A,0)-1,MATCH($D96,'Allocation %'!$5:$5,0)-1)*($F36-$G36)*'2020 Assumptions'!$B$20,0))</f>
        <v>0</v>
      </c>
      <c r="J96" s="73">
        <f ca="1">IF(J$5="Doyon Notional Allocation",0,IF($C96&lt;&gt;J$3,OFFSET('Allocation %'!$A$1,MATCH(J$4,'Allocation %'!$A:$A,0)-1,MATCH($D96,'Allocation %'!$5:$5,0)-1)*($F36-$G36)*'2020 Assumptions'!$B$20,0))</f>
        <v>19.452368335704765</v>
      </c>
      <c r="K96" s="73">
        <f ca="1">IF(K$5="Doyon Notional Allocation",0,IF($C96&lt;&gt;K$3,OFFSET('Allocation %'!$A$1,MATCH(K$4,'Allocation %'!$A:$A,0)-1,MATCH($D96,'Allocation %'!$5:$5,0)-1)*($F36-$G36)*'2020 Assumptions'!$B$20,0))</f>
        <v>6.0906154894612197</v>
      </c>
      <c r="L96" s="73">
        <f ca="1">IF(L$5="Doyon Notional Allocation",0,IF($C96&lt;&gt;L$3,OFFSET('Allocation %'!$A$1,MATCH(L$4,'Allocation %'!$A:$A,0)-1,MATCH($D96,'Allocation %'!$5:$5,0)-1)*($F36-$G36)*'2020 Assumptions'!$B$20,0))</f>
        <v>6.5650949914861929</v>
      </c>
      <c r="M96" s="73">
        <f ca="1">IF(M$5="Doyon Notional Allocation",0,IF($C96&lt;&gt;M$3,OFFSET('Allocation %'!$A$1,MATCH(M$4,'Allocation %'!$A:$A,0)-1,MATCH($D96,'Allocation %'!$5:$5,0)-1)*($F36-$G36)*'2020 Assumptions'!$B$20,0))</f>
        <v>10.85728895797881</v>
      </c>
      <c r="N96" s="73">
        <f ca="1">IF(N$5="Doyon Notional Allocation",0,IF($C96&lt;&gt;N$3,OFFSET('Allocation %'!$A$1,MATCH(N$4,'Allocation %'!$A:$A,0)-1,MATCH($D96,'Allocation %'!$5:$5,0)-1)*($F36-$G36)*'2020 Assumptions'!$B$20,0))</f>
        <v>9.3990195118316979</v>
      </c>
      <c r="O96" s="73">
        <f ca="1">IF(O$5="Doyon Notional Allocation",0,IF($C96&lt;&gt;O$3,OFFSET('Allocation %'!$A$1,MATCH(O$4,'Allocation %'!$A:$A,0)-1,MATCH($D96,'Allocation %'!$5:$5,0)-1)*($F36-$G36)*'2020 Assumptions'!$B$20,0))</f>
        <v>22.094097832932377</v>
      </c>
      <c r="P96" s="73">
        <f ca="1">IF(P$5="Doyon Notional Allocation",0,IF($C96&lt;&gt;P$3,OFFSET('Allocation %'!$A$1,MATCH(P$4,'Allocation %'!$A:$A,0)-1,MATCH($D96,'Allocation %'!$5:$5,0)-1)*($F36-$G36)*'2020 Assumptions'!$B$20,0))</f>
        <v>3.2206353808649695</v>
      </c>
      <c r="Q96" s="73">
        <f ca="1">IF(Q$5="Doyon Notional Allocation",0,IF($C96&lt;&gt;Q$3,OFFSET('Allocation %'!$A$1,MATCH(Q$4,'Allocation %'!$A:$A,0)-1,MATCH($D96,'Allocation %'!$5:$5,0)-1)*($F36-$G36)*'2020 Assumptions'!$B$20,0))</f>
        <v>7.0280018442866075</v>
      </c>
      <c r="R96" s="73">
        <f ca="1">IF(R$5="Doyon Notional Allocation",0,IF($C96&lt;&gt;R$3,OFFSET('Allocation %'!$A$1,MATCH(R$4,'Allocation %'!$A:$A,0)-1,MATCH($D96,'Allocation %'!$5:$5,0)-1)*($F36-$G36)*'2020 Assumptions'!$B$20,0))</f>
        <v>6.4989498418586438</v>
      </c>
      <c r="S96" s="73">
        <f ca="1">IF(S$5="Doyon Notional Allocation",0,IF($C96&lt;&gt;S$3,OFFSET('Allocation %'!$A$1,MATCH(S$4,'Allocation %'!$A:$A,0)-1,MATCH($D96,'Allocation %'!$5:$5,0)-1)*($F36-$G36)*'2020 Assumptions'!$B$20,0))</f>
        <v>6.2406279141370726</v>
      </c>
      <c r="T96" s="73">
        <f ca="1">IF(T$5="Doyon Notional Allocation",0,IF($C96&lt;&gt;T$3,OFFSET('Allocation %'!$A$1,MATCH(T$4,'Allocation %'!$A:$A,0)-1,MATCH($D96,'Allocation %'!$5:$5,0)-1)*($F36-$G36)*'2020 Assumptions'!$B$20,0))</f>
        <v>22.423492243814152</v>
      </c>
      <c r="U96" s="73">
        <f ca="1">IF(U$5="Doyon Notional Allocation",0,IF($C96&lt;&gt;U$3,OFFSET('Allocation %'!$A$1,MATCH(U$4,'Allocation %'!$A:$A,0)-1,MATCH($D96,'Allocation %'!$5:$5,0)-1)*($F36-$G36)*'2020 Assumptions'!$B$20,0))</f>
        <v>14.312063687442413</v>
      </c>
      <c r="V96" s="73">
        <f ca="1">IF(V$5="Doyon Notional Allocation",0,IF($C96&lt;&gt;V$3,OFFSET('Allocation %'!$A$1,MATCH(V$4,'Allocation %'!$A:$A,0)-1,MATCH($D96,'Allocation %'!$5:$5,0)-1)*($F36-$G36)*'2020 Assumptions'!$B$20,0))</f>
        <v>15.17307151032256</v>
      </c>
      <c r="W96" s="73">
        <f ca="1">IF(W$5="Doyon Notional Allocation",0,IF($C96&lt;&gt;W$3,OFFSET('Allocation %'!$A$1,MATCH(W$4,'Allocation %'!$A:$A,0)-1,MATCH($D96,'Allocation %'!$5:$5,0)-1)*($F36-$G36)*'2020 Assumptions'!$B$20,0))</f>
        <v>24.61194523402952</v>
      </c>
      <c r="X96" s="73">
        <f ca="1">IF(X$5="Doyon Notional Allocation",0,IF($C96&lt;&gt;X$3,OFFSET('Allocation %'!$A$1,MATCH(X$4,'Allocation %'!$A:$A,0)-1,MATCH($D96,'Allocation %'!$5:$5,0)-1)*($F36-$G36)*'2020 Assumptions'!$B$20,0))</f>
        <v>0.56667602030238473</v>
      </c>
      <c r="Y96" s="73">
        <f ca="1">IF(Y$5="Doyon Notional Allocation",0,IF($C96&lt;&gt;Y$3,OFFSET('Allocation %'!$A$1,MATCH(Y$4,'Allocation %'!$A:$A,0)-1,MATCH($D96,'Allocation %'!$5:$5,0)-1)*($F36-$G36)*'2020 Assumptions'!$B$20,0))</f>
        <v>0.44498991315996239</v>
      </c>
      <c r="Z96" s="73">
        <f ca="1">IF(Z$5="Doyon Notional Allocation",0,IF($C96&lt;&gt;Z$3,OFFSET('Allocation %'!$A$1,MATCH(Z$4,'Allocation %'!$A:$A,0)-1,MATCH($D96,'Allocation %'!$5:$5,0)-1)*($F36-$G36)*'2020 Assumptions'!$B$20,0))</f>
        <v>1.2959946257825776</v>
      </c>
      <c r="AA96" s="73">
        <f ca="1">IF(AA$5="Doyon Notional Allocation",0,IF($C96&lt;&gt;AA$3,OFFSET('Allocation %'!$A$1,MATCH(AA$4,'Allocation %'!$A:$A,0)-1,MATCH($D96,'Allocation %'!$5:$5,0)-1)*($F36-$G36)*'2020 Assumptions'!$B$20,0))</f>
        <v>1.1803896747617846</v>
      </c>
      <c r="AB96" s="73">
        <f ca="1">IF(AB$5="Doyon Notional Allocation",0,IF($C96&lt;&gt;AB$3,OFFSET('Allocation %'!$A$1,MATCH(AB$4,'Allocation %'!$A:$A,0)-1,MATCH($D96,'Allocation %'!$5:$5,0)-1)*($F36-$G36)*'2020 Assumptions'!$B$20,0))</f>
        <v>1.1355307005274415</v>
      </c>
      <c r="AC96" s="73">
        <f ca="1">IF(AC$5="Doyon Notional Allocation",0,IF($C96&lt;&gt;AC$3,OFFSET('Allocation %'!$A$1,MATCH(AC$4,'Allocation %'!$A:$A,0)-1,MATCH($D96,'Allocation %'!$5:$5,0)-1)*($F36-$G36)*'2020 Assumptions'!$B$20,0))</f>
        <v>1.2959510657646911</v>
      </c>
      <c r="AD96" s="73">
        <f ca="1">IF(AD$5="Doyon Notional Allocation",0,IF($C96&lt;&gt;AD$3,OFFSET('Allocation %'!$A$1,MATCH(AD$4,'Allocation %'!$A:$A,0)-1,MATCH($D96,'Allocation %'!$5:$5,0)-1)*($F36-$G36)*'2020 Assumptions'!$B$20,0))</f>
        <v>2.8383831631951706</v>
      </c>
      <c r="AE96" s="73">
        <f ca="1">IF(AE$5="Doyon Notional Allocation",0,IF($C96&lt;&gt;AE$3,OFFSET('Allocation %'!$A$1,MATCH(AE$4,'Allocation %'!$A:$A,0)-1,MATCH($D96,'Allocation %'!$5:$5,0)-1)*($F36-$G36)*'2020 Assumptions'!$B$20,0))</f>
        <v>2.750982249998331</v>
      </c>
      <c r="AF96" s="73">
        <f ca="1">IF(AF$5="Doyon Notional Allocation",0,IF($C96&lt;&gt;AF$3,OFFSET('Allocation %'!$A$1,MATCH(AF$4,'Allocation %'!$A:$A,0)-1,MATCH($D96,'Allocation %'!$5:$5,0)-1)*($F36-$G36)*'2020 Assumptions'!$B$20,0))</f>
        <v>13.73256833702113</v>
      </c>
      <c r="AG96" s="73">
        <f ca="1">IF(AG$5="Doyon Notional Allocation",0,IF($C96&lt;&gt;AG$3,OFFSET('Allocation %'!$A$1,MATCH(AG$4,'Allocation %'!$A:$A,0)-1,MATCH($D96,'Allocation %'!$5:$5,0)-1)*($F36-$G36)*'2020 Assumptions'!$B$20,0))</f>
        <v>21.627352575715818</v>
      </c>
      <c r="AH96" s="73">
        <f ca="1">IF(AH$5="Doyon Notional Allocation",0,IF($C96&lt;&gt;AH$3,OFFSET('Allocation %'!$A$1,MATCH(AH$4,'Allocation %'!$A:$A,0)-1,MATCH($D96,'Allocation %'!$5:$5,0)-1)*($F36-$G36)*'2020 Assumptions'!$B$20,0))</f>
        <v>188.51834884021414</v>
      </c>
      <c r="AI96" s="73">
        <f ca="1">IF(AI$5="Doyon Notional Allocation",0,IF($C96&lt;&gt;AI$3,OFFSET('Allocation %'!$A$1,MATCH(AI$4,'Allocation %'!$A:$A,0)-1,MATCH($D96,'Allocation %'!$5:$5,0)-1)*($F36-$G36)*'2020 Assumptions'!$B$20,0))</f>
        <v>1.1293616793246157</v>
      </c>
      <c r="AJ96" s="73">
        <f ca="1">IF(AJ$5="Doyon Notional Allocation",0,IF($C96&lt;&gt;AJ$3,OFFSET('Allocation %'!$A$1,MATCH(AJ$4,'Allocation %'!$A:$A,0)-1,MATCH($D96,'Allocation %'!$5:$5,0)-1)*($F36-$G36)*'2020 Assumptions'!$B$20,0))</f>
        <v>26.511756598478026</v>
      </c>
      <c r="AK96" s="73">
        <f ca="1">IF(AK$5="Doyon Notional Allocation",0,IF($C96&lt;&gt;AK$3,OFFSET('Allocation %'!$A$1,MATCH(AK$4,'Allocation %'!$A:$A,0)-1,MATCH($D96,'Allocation %'!$5:$5,0)-1)*($F36-$G36)*'2020 Assumptions'!$B$20,0))</f>
        <v>23.807381352263388</v>
      </c>
      <c r="AL96" s="73">
        <f ca="1">IF(AL$5="Doyon Notional Allocation",0,IF($C96&lt;&gt;AL$3,OFFSET('Allocation %'!$A$1,MATCH(AL$4,'Allocation %'!$A:$A,0)-1,MATCH($D96,'Allocation %'!$5:$5,0)-1)*($F36-$G36)*'2020 Assumptions'!$B$20,0))</f>
        <v>0</v>
      </c>
      <c r="AM96" s="73">
        <f ca="1">IF(AM$5="Doyon Notional Allocation",0,IF($C96&lt;&gt;AM$3,OFFSET('Allocation %'!$A$1,MATCH(AM$4,'Allocation %'!$A:$A,0)-1,MATCH($D96,'Allocation %'!$5:$5,0)-1)*($F36-$G36)*'2020 Assumptions'!$B$20,0))</f>
        <v>3.0864567220454266</v>
      </c>
      <c r="AN96" s="73">
        <f ca="1">IF(AN$5="Doyon Notional Allocation",0,IF($C96&lt;&gt;AN$3,OFFSET('Allocation %'!$A$1,MATCH(AN$4,'Allocation %'!$A:$A,0)-1,MATCH($D96,'Allocation %'!$5:$5,0)-1)*($F36-$G36)*'2020 Assumptions'!$B$20,0))</f>
        <v>0</v>
      </c>
      <c r="AO96" s="73">
        <f ca="1">IF(AO$5="Doyon Notional Allocation",0,IF($C96&lt;&gt;AO$3,OFFSET('Allocation %'!$A$1,MATCH(AO$4,'Allocation %'!$A:$A,0)-1,MATCH($D96,'Allocation %'!$5:$5,0)-1)*($F36-$G36)*'2020 Assumptions'!$B$20,0))</f>
        <v>25.594138834620683</v>
      </c>
      <c r="AP96" s="73">
        <f ca="1">IF(AP$5="Doyon Notional Allocation",0,IF($C96&lt;&gt;AP$3,OFFSET('Allocation %'!$A$1,MATCH(AP$4,'Allocation %'!$A:$A,0)-1,MATCH($D96,'Allocation %'!$5:$5,0)-1)*($F36-$G36)*'2020 Assumptions'!$B$20,0))</f>
        <v>5.339989843989807</v>
      </c>
      <c r="AQ96" s="73">
        <f ca="1">IF(AQ$5="Doyon Notional Allocation",0,IF($C96&lt;&gt;AQ$3,OFFSET('Allocation %'!$A$1,MATCH(AQ$4,'Allocation %'!$A:$A,0)-1,MATCH($D96,'Allocation %'!$5:$5,0)-1)*($F36-$G36)*'2020 Assumptions'!$B$20,0))</f>
        <v>23.648777438944087</v>
      </c>
      <c r="AR96" s="73">
        <f ca="1">IF(AR$5="Doyon Notional Allocation",0,IF($C96&lt;&gt;AR$3,OFFSET('Allocation %'!$A$1,MATCH(AR$4,'Allocation %'!$A:$A,0)-1,MATCH($D96,'Allocation %'!$5:$5,0)-1)*($F36-$G36)*'2020 Assumptions'!$B$20,0))</f>
        <v>0.58308878392605035</v>
      </c>
      <c r="AS96" s="73">
        <f ca="1">IF(AS$5="Doyon Notional Allocation",0,IF($C96&lt;&gt;AS$3,OFFSET('Allocation %'!$A$1,MATCH(AS$4,'Allocation %'!$A:$A,0)-1,MATCH($D96,'Allocation %'!$5:$5,0)-1)*($F36-$G36)*'2020 Assumptions'!$B$20,0))</f>
        <v>43.514042937434844</v>
      </c>
      <c r="AT96" s="73">
        <f ca="1">IF(AT$5="Doyon Notional Allocation",0,IF($C96&lt;&gt;AT$3,OFFSET('Allocation %'!$A$1,MATCH(AT$4,'Allocation %'!$A:$A,0)-1,MATCH($D96,'Allocation %'!$5:$5,0)-1)*($F36-$G36)*'2020 Assumptions'!$B$20,0))</f>
        <v>25.650877868945972</v>
      </c>
      <c r="AU96" s="73">
        <f ca="1">IF(AU$5="Doyon Notional Allocation",0,IF($C96&lt;&gt;AU$3,OFFSET('Allocation %'!$A$1,MATCH(AU$4,'Allocation %'!$A:$A,0)-1,MATCH($D96,'Allocation %'!$5:$5,0)-1)*($F36-$G36)*'2020 Assumptions'!$B$20,0))</f>
        <v>30.520973670325432</v>
      </c>
      <c r="AV96" s="73">
        <f ca="1">IF(AV$5="Doyon Notional Allocation",0,IF($C96&lt;&gt;AV$3,OFFSET('Allocation %'!$A$1,MATCH(AV$4,'Allocation %'!$A:$A,0)-1,MATCH($D96,'Allocation %'!$5:$5,0)-1)*($F36-$G36)*'2020 Assumptions'!$B$20,0))</f>
        <v>46.966117972495127</v>
      </c>
      <c r="AW96" s="73">
        <f ca="1">IF(AW$5="Doyon Notional Allocation",0,IF($C96&lt;&gt;AW$3,OFFSET('Allocation %'!$A$1,MATCH(AW$4,'Allocation %'!$A:$A,0)-1,MATCH($D96,'Allocation %'!$5:$5,0)-1)*($F36-$G36)*'2020 Assumptions'!$B$20,0))</f>
        <v>180.23302216792155</v>
      </c>
      <c r="AX96" s="73">
        <f ca="1">IF(AX$5="Doyon Notional Allocation",0,IF($C96&lt;&gt;AX$3,OFFSET('Allocation %'!$A$1,MATCH(AX$4,'Allocation %'!$A:$A,0)-1,MATCH($D96,'Allocation %'!$5:$5,0)-1)*($F36-$G36)*'2020 Assumptions'!$B$20,0))</f>
        <v>3.0730892299817949</v>
      </c>
      <c r="AY96" s="73">
        <f ca="1">IF(AY$5="Doyon Notional Allocation",0,IF($C96&lt;&gt;AY$3,OFFSET('Allocation %'!$A$1,MATCH(AY$4,'Allocation %'!$A:$A,0)-1,MATCH($D96,'Allocation %'!$5:$5,0)-1)*($F36-$G36)*'2020 Assumptions'!$B$20,0))</f>
        <v>0</v>
      </c>
      <c r="AZ96" s="73">
        <f ca="1">IF(AZ$5="Doyon Notional Allocation",0,IF($C96&lt;&gt;AZ$3,OFFSET('Allocation %'!$A$1,MATCH(AZ$4,'Allocation %'!$A:$A,0)-1,MATCH($D96,'Allocation %'!$5:$5,0)-1)*($F36-$G36)*'2020 Assumptions'!$B$20,0))</f>
        <v>0</v>
      </c>
      <c r="BA96" s="73">
        <f ca="1">IF(BA$5="Doyon Notional Allocation",0,IF($C96&lt;&gt;BA$3,OFFSET('Allocation %'!$A$1,MATCH(BA$4,'Allocation %'!$A:$A,0)-1,MATCH($D96,'Allocation %'!$5:$5,0)-1)*($F36-$G36)*'2020 Assumptions'!$B$20,0))</f>
        <v>0</v>
      </c>
      <c r="BB96" s="73">
        <f ca="1">IF(BB$5="Doyon Notional Allocation",0,IF($C96&lt;&gt;BB$3,OFFSET('Allocation %'!$A$1,MATCH(BB$4,'Allocation %'!$A:$A,0)-1,MATCH($D96,'Allocation %'!$5:$5,0)-1)*($F36-$G36)*'2020 Assumptions'!$B$20,0))</f>
        <v>0</v>
      </c>
      <c r="BC96" s="73">
        <f ca="1">IF(BC$5="Doyon Notional Allocation",0,IF($C96&lt;&gt;BC$3,OFFSET('Allocation %'!$A$1,MATCH(BC$4,'Allocation %'!$A:$A,0)-1,MATCH($D96,'Allocation %'!$5:$5,0)-1)*($F36-$G36)*'2020 Assumptions'!$B$20,0))</f>
        <v>0</v>
      </c>
      <c r="BD96" s="73">
        <f ca="1">IF(BD$5="Doyon Notional Allocation",0,IF($C96&lt;&gt;BD$3,OFFSET('Allocation %'!$A$1,MATCH(BD$4,'Allocation %'!$A:$A,0)-1,MATCH($D96,'Allocation %'!$5:$5,0)-1)*($F36-$G36)*'2020 Assumptions'!$B$20,0))</f>
        <v>0</v>
      </c>
      <c r="BE96" s="73">
        <f ca="1">IF(BE$5="Doyon Notional Allocation",0,IF($C96&lt;&gt;BE$3,OFFSET('Allocation %'!$A$1,MATCH(BE$4,'Allocation %'!$A:$A,0)-1,MATCH($D96,'Allocation %'!$5:$5,0)-1)*($F36-$G36)*'2020 Assumptions'!$B$20,0))</f>
        <v>0</v>
      </c>
      <c r="BG96" s="76">
        <f t="shared" ca="1" si="9"/>
        <v>849.01351504329148</v>
      </c>
      <c r="BH96" s="349">
        <f t="shared" ca="1" si="10"/>
        <v>0</v>
      </c>
    </row>
    <row r="97" spans="1:60" s="177" customFormat="1" x14ac:dyDescent="0.25">
      <c r="B97" s="305" t="s">
        <v>322</v>
      </c>
      <c r="C97" s="177" t="str">
        <f t="shared" ref="C97:D97" si="13">C37</f>
        <v>USD</v>
      </c>
      <c r="D97" s="159" t="str">
        <f t="shared" ca="1" si="13"/>
        <v>All Less RU - L48</v>
      </c>
      <c r="E97" s="73">
        <f ca="1">F97*'2020 Assumptions'!$B$4</f>
        <v>226.98749953344691</v>
      </c>
      <c r="F97" s="305">
        <f t="shared" ca="1" si="11"/>
        <v>168.86437995346444</v>
      </c>
      <c r="G97" s="73"/>
      <c r="I97" s="73">
        <f ca="1">IF(I$5="Doyon Notional Allocation",0,IF($C97&lt;&gt;I$3,OFFSET('Allocation %'!$A$1,MATCH(I$4,'Allocation %'!$A:$A,0)-1,MATCH($D97,'Allocation %'!$5:$5,0)-1)*($F37-$G37)*'2020 Assumptions'!$B$20,0))</f>
        <v>0</v>
      </c>
      <c r="J97" s="73">
        <f ca="1">IF(J$5="Doyon Notional Allocation",0,IF($C97&lt;&gt;J$3,OFFSET('Allocation %'!$A$1,MATCH(J$4,'Allocation %'!$A:$A,0)-1,MATCH($D97,'Allocation %'!$5:$5,0)-1)*($F37-$G37)*'2020 Assumptions'!$B$20,0))</f>
        <v>3.8689750627440804</v>
      </c>
      <c r="K97" s="73">
        <f ca="1">IF(K$5="Doyon Notional Allocation",0,IF($C97&lt;&gt;K$3,OFFSET('Allocation %'!$A$1,MATCH(K$4,'Allocation %'!$A:$A,0)-1,MATCH($D97,'Allocation %'!$5:$5,0)-1)*($F37-$G37)*'2020 Assumptions'!$B$20,0))</f>
        <v>1.2113917975856869</v>
      </c>
      <c r="L97" s="73">
        <f ca="1">IF(L$5="Doyon Notional Allocation",0,IF($C97&lt;&gt;L$3,OFFSET('Allocation %'!$A$1,MATCH(L$4,'Allocation %'!$A:$A,0)-1,MATCH($D97,'Allocation %'!$5:$5,0)-1)*($F37-$G37)*'2020 Assumptions'!$B$20,0))</f>
        <v>1.305763306979139</v>
      </c>
      <c r="M97" s="73">
        <f ca="1">IF(M$5="Doyon Notional Allocation",0,IF($C97&lt;&gt;M$3,OFFSET('Allocation %'!$A$1,MATCH(M$4,'Allocation %'!$A:$A,0)-1,MATCH($D97,'Allocation %'!$5:$5,0)-1)*($F37-$G37)*'2020 Assumptions'!$B$20,0))</f>
        <v>2.1594584012849336</v>
      </c>
      <c r="N97" s="73">
        <f ca="1">IF(N$5="Doyon Notional Allocation",0,IF($C97&lt;&gt;N$3,OFFSET('Allocation %'!$A$1,MATCH(N$4,'Allocation %'!$A:$A,0)-1,MATCH($D97,'Allocation %'!$5:$5,0)-1)*($F37-$G37)*'2020 Assumptions'!$B$20,0))</f>
        <v>1.8694161799709916</v>
      </c>
      <c r="O97" s="73">
        <f ca="1">IF(O$5="Doyon Notional Allocation",0,IF($C97&lt;&gt;O$3,OFFSET('Allocation %'!$A$1,MATCH(O$4,'Allocation %'!$A:$A,0)-1,MATCH($D97,'Allocation %'!$5:$5,0)-1)*($F37-$G37)*'2020 Assumptions'!$B$20,0))</f>
        <v>4.3944013435393536</v>
      </c>
      <c r="P97" s="73">
        <f ca="1">IF(P$5="Doyon Notional Allocation",0,IF($C97&lt;&gt;P$3,OFFSET('Allocation %'!$A$1,MATCH(P$4,'Allocation %'!$A:$A,0)-1,MATCH($D97,'Allocation %'!$5:$5,0)-1)*($F37-$G37)*'2020 Assumptions'!$B$20,0))</f>
        <v>0.64056765529606663</v>
      </c>
      <c r="Q97" s="73">
        <f ca="1">IF(Q$5="Doyon Notional Allocation",0,IF($C97&lt;&gt;Q$3,OFFSET('Allocation %'!$A$1,MATCH(Q$4,'Allocation %'!$A:$A,0)-1,MATCH($D97,'Allocation %'!$5:$5,0)-1)*($F37-$G37)*'2020 Assumptions'!$B$20,0))</f>
        <v>1.397833076528527</v>
      </c>
      <c r="R97" s="73">
        <f ca="1">IF(R$5="Doyon Notional Allocation",0,IF($C97&lt;&gt;R$3,OFFSET('Allocation %'!$A$1,MATCH(R$4,'Allocation %'!$A:$A,0)-1,MATCH($D97,'Allocation %'!$5:$5,0)-1)*($F37-$G37)*'2020 Assumptions'!$B$20,0))</f>
        <v>1.2926073801524431</v>
      </c>
      <c r="S97" s="73">
        <f ca="1">IF(S$5="Doyon Notional Allocation",0,IF($C97&lt;&gt;S$3,OFFSET('Allocation %'!$A$1,MATCH(S$4,'Allocation %'!$A:$A,0)-1,MATCH($D97,'Allocation %'!$5:$5,0)-1)*($F37-$G37)*'2020 Assumptions'!$B$20,0))</f>
        <v>1.2412284899696853</v>
      </c>
      <c r="T97" s="73">
        <f ca="1">IF(T$5="Doyon Notional Allocation",0,IF($C97&lt;&gt;T$3,OFFSET('Allocation %'!$A$1,MATCH(T$4,'Allocation %'!$A:$A,0)-1,MATCH($D97,'Allocation %'!$5:$5,0)-1)*($F37-$G37)*'2020 Assumptions'!$B$20,0))</f>
        <v>4.4599161816050952</v>
      </c>
      <c r="U97" s="73">
        <f ca="1">IF(U$5="Doyon Notional Allocation",0,IF($C97&lt;&gt;U$3,OFFSET('Allocation %'!$A$1,MATCH(U$4,'Allocation %'!$A:$A,0)-1,MATCH($D97,'Allocation %'!$5:$5,0)-1)*($F37-$G37)*'2020 Assumptions'!$B$20,0))</f>
        <v>2.8465951573353037</v>
      </c>
      <c r="V97" s="73">
        <f ca="1">IF(V$5="Doyon Notional Allocation",0,IF($C97&lt;&gt;V$3,OFFSET('Allocation %'!$A$1,MATCH(V$4,'Allocation %'!$A:$A,0)-1,MATCH($D97,'Allocation %'!$5:$5,0)-1)*($F37-$G37)*'2020 Assumptions'!$B$20,0))</f>
        <v>3.0178451428415118</v>
      </c>
      <c r="W97" s="73">
        <f ca="1">IF(W$5="Doyon Notional Allocation",0,IF($C97&lt;&gt;W$3,OFFSET('Allocation %'!$A$1,MATCH(W$4,'Allocation %'!$A:$A,0)-1,MATCH($D97,'Allocation %'!$5:$5,0)-1)*($F37-$G37)*'2020 Assumptions'!$B$20,0))</f>
        <v>4.8951881186262396</v>
      </c>
      <c r="X97" s="73">
        <f ca="1">IF(X$5="Doyon Notional Allocation",0,IF($C97&lt;&gt;X$3,OFFSET('Allocation %'!$A$1,MATCH(X$4,'Allocation %'!$A:$A,0)-1,MATCH($D97,'Allocation %'!$5:$5,0)-1)*($F37-$G37)*'2020 Assumptions'!$B$20,0))</f>
        <v>0.11270891818250939</v>
      </c>
      <c r="Y97" s="73">
        <f ca="1">IF(Y$5="Doyon Notional Allocation",0,IF($C97&lt;&gt;Y$3,OFFSET('Allocation %'!$A$1,MATCH(Y$4,'Allocation %'!$A:$A,0)-1,MATCH($D97,'Allocation %'!$5:$5,0)-1)*($F37-$G37)*'2020 Assumptions'!$B$20,0))</f>
        <v>8.8506183281984036E-2</v>
      </c>
      <c r="Z97" s="73">
        <f ca="1">IF(Z$5="Doyon Notional Allocation",0,IF($C97&lt;&gt;Z$3,OFFSET('Allocation %'!$A$1,MATCH(Z$4,'Allocation %'!$A:$A,0)-1,MATCH($D97,'Allocation %'!$5:$5,0)-1)*($F37-$G37)*'2020 Assumptions'!$B$20,0))</f>
        <v>0.25776660209541907</v>
      </c>
      <c r="AA97" s="73">
        <f ca="1">IF(AA$5="Doyon Notional Allocation",0,IF($C97&lt;&gt;AA$3,OFFSET('Allocation %'!$A$1,MATCH(AA$4,'Allocation %'!$A:$A,0)-1,MATCH($D97,'Allocation %'!$5:$5,0)-1)*($F37-$G37)*'2020 Assumptions'!$B$20,0))</f>
        <v>0.23477337757333186</v>
      </c>
      <c r="AB97" s="73">
        <f ca="1">IF(AB$5="Doyon Notional Allocation",0,IF($C97&lt;&gt;AB$3,OFFSET('Allocation %'!$A$1,MATCH(AB$4,'Allocation %'!$A:$A,0)-1,MATCH($D97,'Allocation %'!$5:$5,0)-1)*($F37-$G37)*'2020 Assumptions'!$B$20,0))</f>
        <v>0.22585116051175247</v>
      </c>
      <c r="AC97" s="73">
        <f ca="1">IF(AC$5="Doyon Notional Allocation",0,IF($C97&lt;&gt;AC$3,OFFSET('Allocation %'!$A$1,MATCH(AC$4,'Allocation %'!$A:$A,0)-1,MATCH($D97,'Allocation %'!$5:$5,0)-1)*($F37-$G37)*'2020 Assumptions'!$B$20,0))</f>
        <v>0.2577579382340307</v>
      </c>
      <c r="AD97" s="73">
        <f ca="1">IF(AD$5="Doyon Notional Allocation",0,IF($C97&lt;&gt;AD$3,OFFSET('Allocation %'!$A$1,MATCH(AD$4,'Allocation %'!$A:$A,0)-1,MATCH($D97,'Allocation %'!$5:$5,0)-1)*($F37-$G37)*'2020 Assumptions'!$B$20,0))</f>
        <v>0.56453967390479742</v>
      </c>
      <c r="AE97" s="73">
        <f ca="1">IF(AE$5="Doyon Notional Allocation",0,IF($C97&lt;&gt;AE$3,OFFSET('Allocation %'!$A$1,MATCH(AE$4,'Allocation %'!$A:$A,0)-1,MATCH($D97,'Allocation %'!$5:$5,0)-1)*($F37-$G37)*'2020 Assumptions'!$B$20,0))</f>
        <v>0.54715608606686039</v>
      </c>
      <c r="AF97" s="73">
        <f ca="1">IF(AF$5="Doyon Notional Allocation",0,IF($C97&lt;&gt;AF$3,OFFSET('Allocation %'!$A$1,MATCH(AF$4,'Allocation %'!$A:$A,0)-1,MATCH($D97,'Allocation %'!$5:$5,0)-1)*($F37-$G37)*'2020 Assumptions'!$B$20,0))</f>
        <v>2.7313365409517756</v>
      </c>
      <c r="AG97" s="73">
        <f ca="1">IF(AG$5="Doyon Notional Allocation",0,IF($C97&lt;&gt;AG$3,OFFSET('Allocation %'!$A$1,MATCH(AG$4,'Allocation %'!$A:$A,0)-1,MATCH($D97,'Allocation %'!$5:$5,0)-1)*($F37-$G37)*'2020 Assumptions'!$B$20,0))</f>
        <v>4.3015681352810899</v>
      </c>
      <c r="AH97" s="73">
        <f ca="1">IF(AH$5="Doyon Notional Allocation",0,IF($C97&lt;&gt;AH$3,OFFSET('Allocation %'!$A$1,MATCH(AH$4,'Allocation %'!$A:$A,0)-1,MATCH($D97,'Allocation %'!$5:$5,0)-1)*($F37-$G37)*'2020 Assumptions'!$B$20,0))</f>
        <v>37.495320772520863</v>
      </c>
      <c r="AI97" s="73">
        <f ca="1">IF(AI$5="Doyon Notional Allocation",0,IF($C97&lt;&gt;AI$3,OFFSET('Allocation %'!$A$1,MATCH(AI$4,'Allocation %'!$A:$A,0)-1,MATCH($D97,'Allocation %'!$5:$5,0)-1)*($F37-$G37)*'2020 Assumptions'!$B$20,0))</f>
        <v>0.22462417422487124</v>
      </c>
      <c r="AJ97" s="73">
        <f ca="1">IF(AJ$5="Doyon Notional Allocation",0,IF($C97&lt;&gt;AJ$3,OFFSET('Allocation %'!$A$1,MATCH(AJ$4,'Allocation %'!$A:$A,0)-1,MATCH($D97,'Allocation %'!$5:$5,0)-1)*($F37-$G37)*'2020 Assumptions'!$B$20,0))</f>
        <v>5.2730507349472342</v>
      </c>
      <c r="AK97" s="73">
        <f ca="1">IF(AK$5="Doyon Notional Allocation",0,IF($C97&lt;&gt;AK$3,OFFSET('Allocation %'!$A$1,MATCH(AK$4,'Allocation %'!$A:$A,0)-1,MATCH($D97,'Allocation %'!$5:$5,0)-1)*($F37-$G37)*'2020 Assumptions'!$B$20,0))</f>
        <v>4.7351645399433213</v>
      </c>
      <c r="AL97" s="73">
        <f ca="1">IF(AL$5="Doyon Notional Allocation",0,IF($C97&lt;&gt;AL$3,OFFSET('Allocation %'!$A$1,MATCH(AL$4,'Allocation %'!$A:$A,0)-1,MATCH($D97,'Allocation %'!$5:$5,0)-1)*($F37-$G37)*'2020 Assumptions'!$B$20,0))</f>
        <v>0</v>
      </c>
      <c r="AM97" s="73">
        <f ca="1">IF(AM$5="Doyon Notional Allocation",0,IF($C97&lt;&gt;AM$3,OFFSET('Allocation %'!$A$1,MATCH(AM$4,'Allocation %'!$A:$A,0)-1,MATCH($D97,'Allocation %'!$5:$5,0)-1)*($F37-$G37)*'2020 Assumptions'!$B$20,0))</f>
        <v>0.61388021672991588</v>
      </c>
      <c r="AN97" s="73">
        <f ca="1">IF(AN$5="Doyon Notional Allocation",0,IF($C97&lt;&gt;AN$3,OFFSET('Allocation %'!$A$1,MATCH(AN$4,'Allocation %'!$A:$A,0)-1,MATCH($D97,'Allocation %'!$5:$5,0)-1)*($F37-$G37)*'2020 Assumptions'!$B$20,0))</f>
        <v>0</v>
      </c>
      <c r="AO97" s="73">
        <f ca="1">IF(AO$5="Doyon Notional Allocation",0,IF($C97&lt;&gt;AO$3,OFFSET('Allocation %'!$A$1,MATCH(AO$4,'Allocation %'!$A:$A,0)-1,MATCH($D97,'Allocation %'!$5:$5,0)-1)*($F37-$G37)*'2020 Assumptions'!$B$20,0))</f>
        <v>5.090541326106842</v>
      </c>
      <c r="AP97" s="73">
        <f ca="1">IF(AP$5="Doyon Notional Allocation",0,IF($C97&lt;&gt;AP$3,OFFSET('Allocation %'!$A$1,MATCH(AP$4,'Allocation %'!$A:$A,0)-1,MATCH($D97,'Allocation %'!$5:$5,0)-1)*($F37-$G37)*'2020 Assumptions'!$B$20,0))</f>
        <v>1.0620962540474477</v>
      </c>
      <c r="AQ97" s="73">
        <f ca="1">IF(AQ$5="Doyon Notional Allocation",0,IF($C97&lt;&gt;AQ$3,OFFSET('Allocation %'!$A$1,MATCH(AQ$4,'Allocation %'!$A:$A,0)-1,MATCH($D97,'Allocation %'!$5:$5,0)-1)*($F37-$G37)*'2020 Assumptions'!$B$20,0))</f>
        <v>4.7036190450762687</v>
      </c>
      <c r="AR97" s="73">
        <f ca="1">IF(AR$5="Doyon Notional Allocation",0,IF($C97&lt;&gt;AR$3,OFFSET('Allocation %'!$A$1,MATCH(AR$4,'Allocation %'!$A:$A,0)-1,MATCH($D97,'Allocation %'!$5:$5,0)-1)*($F37-$G37)*'2020 Assumptions'!$B$20,0))</f>
        <v>0.11597333165005209</v>
      </c>
      <c r="AS97" s="73">
        <f ca="1">IF(AS$5="Doyon Notional Allocation",0,IF($C97&lt;&gt;AS$3,OFFSET('Allocation %'!$A$1,MATCH(AS$4,'Allocation %'!$A:$A,0)-1,MATCH($D97,'Allocation %'!$5:$5,0)-1)*($F37-$G37)*'2020 Assumptions'!$B$20,0))</f>
        <v>8.654717209682687</v>
      </c>
      <c r="AT97" s="73">
        <f ca="1">IF(AT$5="Doyon Notional Allocation",0,IF($C97&lt;&gt;AT$3,OFFSET('Allocation %'!$A$1,MATCH(AT$4,'Allocation %'!$A:$A,0)-1,MATCH($D97,'Allocation %'!$5:$5,0)-1)*($F37-$G37)*'2020 Assumptions'!$B$20,0))</f>
        <v>5.1018264254376922</v>
      </c>
      <c r="AU97" s="73">
        <f ca="1">IF(AU$5="Doyon Notional Allocation",0,IF($C97&lt;&gt;AU$3,OFFSET('Allocation %'!$A$1,MATCH(AU$4,'Allocation %'!$A:$A,0)-1,MATCH($D97,'Allocation %'!$5:$5,0)-1)*($F37-$G37)*'2020 Assumptions'!$B$20,0))</f>
        <v>6.070463194160955</v>
      </c>
      <c r="AV97" s="73">
        <f ca="1">IF(AV$5="Doyon Notional Allocation",0,IF($C97&lt;&gt;AV$3,OFFSET('Allocation %'!$A$1,MATCH(AV$4,'Allocation %'!$A:$A,0)-1,MATCH($D97,'Allocation %'!$5:$5,0)-1)*($F37-$G37)*'2020 Assumptions'!$B$20,0))</f>
        <v>9.3413170105334</v>
      </c>
      <c r="AW97" s="73">
        <f ca="1">IF(AW$5="Doyon Notional Allocation",0,IF($C97&lt;&gt;AW$3,OFFSET('Allocation %'!$A$1,MATCH(AW$4,'Allocation %'!$A:$A,0)-1,MATCH($D97,'Allocation %'!$5:$5,0)-1)*($F37-$G37)*'2020 Assumptions'!$B$20,0))</f>
        <v>35.847412315896058</v>
      </c>
      <c r="AX97" s="73">
        <f ca="1">IF(AX$5="Doyon Notional Allocation",0,IF($C97&lt;&gt;AX$3,OFFSET('Allocation %'!$A$1,MATCH(AX$4,'Allocation %'!$A:$A,0)-1,MATCH($D97,'Allocation %'!$5:$5,0)-1)*($F37-$G37)*'2020 Assumptions'!$B$20,0))</f>
        <v>0.61122149196421771</v>
      </c>
      <c r="AY97" s="73">
        <f ca="1">IF(AY$5="Doyon Notional Allocation",0,IF($C97&lt;&gt;AY$3,OFFSET('Allocation %'!$A$1,MATCH(AY$4,'Allocation %'!$A:$A,0)-1,MATCH($D97,'Allocation %'!$5:$5,0)-1)*($F37-$G37)*'2020 Assumptions'!$B$20,0))</f>
        <v>0</v>
      </c>
      <c r="AZ97" s="73">
        <f ca="1">IF(AZ$5="Doyon Notional Allocation",0,IF($C97&lt;&gt;AZ$3,OFFSET('Allocation %'!$A$1,MATCH(AZ$4,'Allocation %'!$A:$A,0)-1,MATCH($D97,'Allocation %'!$5:$5,0)-1)*($F37-$G37)*'2020 Assumptions'!$B$20,0))</f>
        <v>0</v>
      </c>
      <c r="BA97" s="73">
        <f ca="1">IF(BA$5="Doyon Notional Allocation",0,IF($C97&lt;&gt;BA$3,OFFSET('Allocation %'!$A$1,MATCH(BA$4,'Allocation %'!$A:$A,0)-1,MATCH($D97,'Allocation %'!$5:$5,0)-1)*($F37-$G37)*'2020 Assumptions'!$B$20,0))</f>
        <v>0</v>
      </c>
      <c r="BB97" s="73">
        <f ca="1">IF(BB$5="Doyon Notional Allocation",0,IF($C97&lt;&gt;BB$3,OFFSET('Allocation %'!$A$1,MATCH(BB$4,'Allocation %'!$A:$A,0)-1,MATCH($D97,'Allocation %'!$5:$5,0)-1)*($F37-$G37)*'2020 Assumptions'!$B$20,0))</f>
        <v>0</v>
      </c>
      <c r="BC97" s="73">
        <f ca="1">IF(BC$5="Doyon Notional Allocation",0,IF($C97&lt;&gt;BC$3,OFFSET('Allocation %'!$A$1,MATCH(BC$4,'Allocation %'!$A:$A,0)-1,MATCH($D97,'Allocation %'!$5:$5,0)-1)*($F37-$G37)*'2020 Assumptions'!$B$20,0))</f>
        <v>0</v>
      </c>
      <c r="BD97" s="73">
        <f ca="1">IF(BD$5="Doyon Notional Allocation",0,IF($C97&lt;&gt;BD$3,OFFSET('Allocation %'!$A$1,MATCH(BD$4,'Allocation %'!$A:$A,0)-1,MATCH($D97,'Allocation %'!$5:$5,0)-1)*($F37-$G37)*'2020 Assumptions'!$B$20,0))</f>
        <v>0</v>
      </c>
      <c r="BE97" s="73">
        <f ca="1">IF(BE$5="Doyon Notional Allocation",0,IF($C97&lt;&gt;BE$3,OFFSET('Allocation %'!$A$1,MATCH(BE$4,'Allocation %'!$A:$A,0)-1,MATCH($D97,'Allocation %'!$5:$5,0)-1)*($F37-$G37)*'2020 Assumptions'!$B$20,0))</f>
        <v>0</v>
      </c>
      <c r="BG97" s="76">
        <f t="shared" ca="1" si="9"/>
        <v>168.86437995346444</v>
      </c>
      <c r="BH97" s="349">
        <f t="shared" ca="1" si="10"/>
        <v>0</v>
      </c>
    </row>
    <row r="98" spans="1:60" s="177" customFormat="1" x14ac:dyDescent="0.25">
      <c r="B98" s="305" t="s">
        <v>323</v>
      </c>
      <c r="C98" s="177" t="str">
        <f t="shared" ref="C98:D98" si="14">C38</f>
        <v>USD</v>
      </c>
      <c r="D98" s="159" t="str">
        <f t="shared" ca="1" si="14"/>
        <v>Canadian RU + Alaska</v>
      </c>
      <c r="E98" s="73">
        <f ca="1">F98*'2020 Assumptions'!$B$4</f>
        <v>1790.2212973178557</v>
      </c>
      <c r="F98" s="305">
        <f t="shared" ca="1" si="11"/>
        <v>1331.8117075716825</v>
      </c>
      <c r="G98" s="73"/>
      <c r="I98" s="73">
        <f ca="1">IF(I$5="Doyon Notional Allocation",0,IF($C98&lt;&gt;I$3,OFFSET('Allocation %'!$A$1,MATCH(I$4,'Allocation %'!$A:$A,0)-1,MATCH($D98,'Allocation %'!$5:$5,0)-1)*($F38-$G38)*'2020 Assumptions'!$B$20,0))</f>
        <v>0</v>
      </c>
      <c r="J98" s="73">
        <f ca="1">IF(J$5="Doyon Notional Allocation",0,IF($C98&lt;&gt;J$3,OFFSET('Allocation %'!$A$1,MATCH(J$4,'Allocation %'!$A:$A,0)-1,MATCH($D98,'Allocation %'!$5:$5,0)-1)*($F38-$G38)*'2020 Assumptions'!$B$20,0))</f>
        <v>46.500414629232836</v>
      </c>
      <c r="K98" s="73">
        <f ca="1">IF(K$5="Doyon Notional Allocation",0,IF($C98&lt;&gt;K$3,OFFSET('Allocation %'!$A$1,MATCH(K$4,'Allocation %'!$A:$A,0)-1,MATCH($D98,'Allocation %'!$5:$5,0)-1)*($F38-$G38)*'2020 Assumptions'!$B$20,0))</f>
        <v>14.517851829187626</v>
      </c>
      <c r="L98" s="73">
        <f ca="1">IF(L$5="Doyon Notional Allocation",0,IF($C98&lt;&gt;L$3,OFFSET('Allocation %'!$A$1,MATCH(L$4,'Allocation %'!$A:$A,0)-1,MATCH($D98,'Allocation %'!$5:$5,0)-1)*($F38-$G38)*'2020 Assumptions'!$B$20,0))</f>
        <v>15.626048905316051</v>
      </c>
      <c r="M98" s="73">
        <f ca="1">IF(M$5="Doyon Notional Allocation",0,IF($C98&lt;&gt;M$3,OFFSET('Allocation %'!$A$1,MATCH(M$4,'Allocation %'!$A:$A,0)-1,MATCH($D98,'Allocation %'!$5:$5,0)-1)*($F38-$G38)*'2020 Assumptions'!$B$20,0))</f>
        <v>26.055347241021703</v>
      </c>
      <c r="N98" s="73">
        <f ca="1">IF(N$5="Doyon Notional Allocation",0,IF($C98&lt;&gt;N$3,OFFSET('Allocation %'!$A$1,MATCH(N$4,'Allocation %'!$A:$A,0)-1,MATCH($D98,'Allocation %'!$5:$5,0)-1)*($F38-$G38)*'2020 Assumptions'!$B$20,0))</f>
        <v>22.429658410037717</v>
      </c>
      <c r="O98" s="73">
        <f ca="1">IF(O$5="Doyon Notional Allocation",0,IF($C98&lt;&gt;O$3,OFFSET('Allocation %'!$A$1,MATCH(O$4,'Allocation %'!$A:$A,0)-1,MATCH($D98,'Allocation %'!$5:$5,0)-1)*($F38-$G38)*'2020 Assumptions'!$B$20,0))</f>
        <v>53.714549656460349</v>
      </c>
      <c r="P98" s="73">
        <f ca="1">IF(P$5="Doyon Notional Allocation",0,IF($C98&lt;&gt;P$3,OFFSET('Allocation %'!$A$1,MATCH(P$4,'Allocation %'!$A:$A,0)-1,MATCH($D98,'Allocation %'!$5:$5,0)-1)*($F38-$G38)*'2020 Assumptions'!$B$20,0))</f>
        <v>7.8946988547939378</v>
      </c>
      <c r="Q98" s="73">
        <f ca="1">IF(Q$5="Doyon Notional Allocation",0,IF($C98&lt;&gt;Q$3,OFFSET('Allocation %'!$A$1,MATCH(Q$4,'Allocation %'!$A:$A,0)-1,MATCH($D98,'Allocation %'!$5:$5,0)-1)*($F38-$G38)*'2020 Assumptions'!$B$20,0))</f>
        <v>17.226098161291301</v>
      </c>
      <c r="R98" s="73">
        <f ca="1">IF(R$5="Doyon Notional Allocation",0,IF($C98&lt;&gt;R$3,OFFSET('Allocation %'!$A$1,MATCH(R$4,'Allocation %'!$A:$A,0)-1,MATCH($D98,'Allocation %'!$5:$5,0)-1)*($F38-$G38)*'2020 Assumptions'!$B$20,0))</f>
        <v>15.995162011371512</v>
      </c>
      <c r="S98" s="73">
        <f ca="1">IF(S$5="Doyon Notional Allocation",0,IF($C98&lt;&gt;S$3,OFFSET('Allocation %'!$A$1,MATCH(S$4,'Allocation %'!$A:$A,0)-1,MATCH($D98,'Allocation %'!$5:$5,0)-1)*($F38-$G38)*'2020 Assumptions'!$B$20,0))</f>
        <v>15.3065169888011</v>
      </c>
      <c r="T98" s="73">
        <f ca="1">IF(T$5="Doyon Notional Allocation",0,IF($C98&lt;&gt;T$3,OFFSET('Allocation %'!$A$1,MATCH(T$4,'Allocation %'!$A:$A,0)-1,MATCH($D98,'Allocation %'!$5:$5,0)-1)*($F38-$G38)*'2020 Assumptions'!$B$20,0))</f>
        <v>55.128994030494063</v>
      </c>
      <c r="U98" s="73">
        <f ca="1">IF(U$5="Doyon Notional Allocation",0,IF($C98&lt;&gt;U$3,OFFSET('Allocation %'!$A$1,MATCH(U$4,'Allocation %'!$A:$A,0)-1,MATCH($D98,'Allocation %'!$5:$5,0)-1)*($F38-$G38)*'2020 Assumptions'!$B$20,0))</f>
        <v>35.026176468088238</v>
      </c>
      <c r="V98" s="73">
        <f ca="1">IF(V$5="Doyon Notional Allocation",0,IF($C98&lt;&gt;V$3,OFFSET('Allocation %'!$A$1,MATCH(V$4,'Allocation %'!$A:$A,0)-1,MATCH($D98,'Allocation %'!$5:$5,0)-1)*($F38-$G38)*'2020 Assumptions'!$B$20,0))</f>
        <v>34.409788900773862</v>
      </c>
      <c r="W98" s="73">
        <f ca="1">IF(W$5="Doyon Notional Allocation",0,IF($C98&lt;&gt;W$3,OFFSET('Allocation %'!$A$1,MATCH(W$4,'Allocation %'!$A:$A,0)-1,MATCH($D98,'Allocation %'!$5:$5,0)-1)*($F38-$G38)*'2020 Assumptions'!$B$20,0))</f>
        <v>55.824810782956426</v>
      </c>
      <c r="X98" s="73">
        <f ca="1">IF(X$5="Doyon Notional Allocation",0,IF($C98&lt;&gt;X$3,OFFSET('Allocation %'!$A$1,MATCH(X$4,'Allocation %'!$A:$A,0)-1,MATCH($D98,'Allocation %'!$5:$5,0)-1)*($F38-$G38)*'2020 Assumptions'!$B$20,0))</f>
        <v>1.4180416344685631</v>
      </c>
      <c r="Y98" s="73">
        <f ca="1">IF(Y$5="Doyon Notional Allocation",0,IF($C98&lt;&gt;Y$3,OFFSET('Allocation %'!$A$1,MATCH(Y$4,'Allocation %'!$A:$A,0)-1,MATCH($D98,'Allocation %'!$5:$5,0)-1)*($F38-$G38)*'2020 Assumptions'!$B$20,0))</f>
        <v>1.1041289133777494</v>
      </c>
      <c r="Z98" s="73">
        <f ca="1">IF(Z$5="Doyon Notional Allocation",0,IF($C98&lt;&gt;Z$3,OFFSET('Allocation %'!$A$1,MATCH(Z$4,'Allocation %'!$A:$A,0)-1,MATCH($D98,'Allocation %'!$5:$5,0)-1)*($F38-$G38)*'2020 Assumptions'!$B$20,0))</f>
        <v>3.208354376579603</v>
      </c>
      <c r="AA98" s="73">
        <f ca="1">IF(AA$5="Doyon Notional Allocation",0,IF($C98&lt;&gt;AA$3,OFFSET('Allocation %'!$A$1,MATCH(AA$4,'Allocation %'!$A:$A,0)-1,MATCH($D98,'Allocation %'!$5:$5,0)-1)*($F38-$G38)*'2020 Assumptions'!$B$20,0))</f>
        <v>2.9129066610403056</v>
      </c>
      <c r="AB98" s="73">
        <f ca="1">IF(AB$5="Doyon Notional Allocation",0,IF($C98&lt;&gt;AB$3,OFFSET('Allocation %'!$A$1,MATCH(AB$4,'Allocation %'!$A:$A,0)-1,MATCH($D98,'Allocation %'!$5:$5,0)-1)*($F38-$G38)*'2020 Assumptions'!$B$20,0))</f>
        <v>2.7729114007409241</v>
      </c>
      <c r="AC98" s="73">
        <f ca="1">IF(AC$5="Doyon Notional Allocation",0,IF($C98&lt;&gt;AC$3,OFFSET('Allocation %'!$A$1,MATCH(AC$4,'Allocation %'!$A:$A,0)-1,MATCH($D98,'Allocation %'!$5:$5,0)-1)*($F38-$G38)*'2020 Assumptions'!$B$20,0))</f>
        <v>3.2149150954279446</v>
      </c>
      <c r="AD98" s="73">
        <f ca="1">IF(AD$5="Doyon Notional Allocation",0,IF($C98&lt;&gt;AD$3,OFFSET('Allocation %'!$A$1,MATCH(AD$4,'Allocation %'!$A:$A,0)-1,MATCH($D98,'Allocation %'!$5:$5,0)-1)*($F38-$G38)*'2020 Assumptions'!$B$20,0))</f>
        <v>6.9294525916251546</v>
      </c>
      <c r="AE98" s="73">
        <f ca="1">IF(AE$5="Doyon Notional Allocation",0,IF($C98&lt;&gt;AE$3,OFFSET('Allocation %'!$A$1,MATCH(AE$4,'Allocation %'!$A:$A,0)-1,MATCH($D98,'Allocation %'!$5:$5,0)-1)*($F38-$G38)*'2020 Assumptions'!$B$20,0))</f>
        <v>6.8663900589522076</v>
      </c>
      <c r="AF98" s="73">
        <f ca="1">IF(AF$5="Doyon Notional Allocation",0,IF($C98&lt;&gt;AF$3,OFFSET('Allocation %'!$A$1,MATCH(AF$4,'Allocation %'!$A:$A,0)-1,MATCH($D98,'Allocation %'!$5:$5,0)-1)*($F38-$G38)*'2020 Assumptions'!$B$20,0))</f>
        <v>0</v>
      </c>
      <c r="AG98" s="73">
        <f ca="1">IF(AG$5="Doyon Notional Allocation",0,IF($C98&lt;&gt;AG$3,OFFSET('Allocation %'!$A$1,MATCH(AG$4,'Allocation %'!$A:$A,0)-1,MATCH($D98,'Allocation %'!$5:$5,0)-1)*($F38-$G38)*'2020 Assumptions'!$B$20,0))</f>
        <v>45.15385610231283</v>
      </c>
      <c r="AH98" s="73">
        <f ca="1">IF(AH$5="Doyon Notional Allocation",0,IF($C98&lt;&gt;AH$3,OFFSET('Allocation %'!$A$1,MATCH(AH$4,'Allocation %'!$A:$A,0)-1,MATCH($D98,'Allocation %'!$5:$5,0)-1)*($F38-$G38)*'2020 Assumptions'!$B$20,0))</f>
        <v>458.18489606971082</v>
      </c>
      <c r="AI98" s="73">
        <f ca="1">IF(AI$5="Doyon Notional Allocation",0,IF($C98&lt;&gt;AI$3,OFFSET('Allocation %'!$A$1,MATCH(AI$4,'Allocation %'!$A:$A,0)-1,MATCH($D98,'Allocation %'!$5:$5,0)-1)*($F38-$G38)*'2020 Assumptions'!$B$20,0))</f>
        <v>2.8541201234595737</v>
      </c>
      <c r="AJ98" s="73">
        <f ca="1">IF(AJ$5="Doyon Notional Allocation",0,IF($C98&lt;&gt;AJ$3,OFFSET('Allocation %'!$A$1,MATCH(AJ$4,'Allocation %'!$A:$A,0)-1,MATCH($D98,'Allocation %'!$5:$5,0)-1)*($F38-$G38)*'2020 Assumptions'!$B$20,0))</f>
        <v>0</v>
      </c>
      <c r="AK98" s="73">
        <f ca="1">IF(AK$5="Doyon Notional Allocation",0,IF($C98&lt;&gt;AK$3,OFFSET('Allocation %'!$A$1,MATCH(AK$4,'Allocation %'!$A:$A,0)-1,MATCH($D98,'Allocation %'!$5:$5,0)-1)*($F38-$G38)*'2020 Assumptions'!$B$20,0))</f>
        <v>0</v>
      </c>
      <c r="AL98" s="73">
        <f ca="1">IF(AL$5="Doyon Notional Allocation",0,IF($C98&lt;&gt;AL$3,OFFSET('Allocation %'!$A$1,MATCH(AL$4,'Allocation %'!$A:$A,0)-1,MATCH($D98,'Allocation %'!$5:$5,0)-1)*($F38-$G38)*'2020 Assumptions'!$B$20,0))</f>
        <v>0</v>
      </c>
      <c r="AM98" s="73">
        <f ca="1">IF(AM$5="Doyon Notional Allocation",0,IF($C98&lt;&gt;AM$3,OFFSET('Allocation %'!$A$1,MATCH(AM$4,'Allocation %'!$A:$A,0)-1,MATCH($D98,'Allocation %'!$5:$5,0)-1)*($F38-$G38)*'2020 Assumptions'!$B$20,0))</f>
        <v>7.6501411815296825</v>
      </c>
      <c r="AN98" s="73">
        <f ca="1">IF(AN$5="Doyon Notional Allocation",0,IF($C98&lt;&gt;AN$3,OFFSET('Allocation %'!$A$1,MATCH(AN$4,'Allocation %'!$A:$A,0)-1,MATCH($D98,'Allocation %'!$5:$5,0)-1)*($F38-$G38)*'2020 Assumptions'!$B$20,0))</f>
        <v>0</v>
      </c>
      <c r="AO98" s="73">
        <f ca="1">IF(AO$5="Doyon Notional Allocation",0,IF($C98&lt;&gt;AO$3,OFFSET('Allocation %'!$A$1,MATCH(AO$4,'Allocation %'!$A:$A,0)-1,MATCH($D98,'Allocation %'!$5:$5,0)-1)*($F38-$G38)*'2020 Assumptions'!$B$20,0))</f>
        <v>0</v>
      </c>
      <c r="AP98" s="73">
        <f ca="1">IF(AP$5="Doyon Notional Allocation",0,IF($C98&lt;&gt;AP$3,OFFSET('Allocation %'!$A$1,MATCH(AP$4,'Allocation %'!$A:$A,0)-1,MATCH($D98,'Allocation %'!$5:$5,0)-1)*($F38-$G38)*'2020 Assumptions'!$B$20,0))</f>
        <v>0</v>
      </c>
      <c r="AQ98" s="73">
        <f ca="1">IF(AQ$5="Doyon Notional Allocation",0,IF($C98&lt;&gt;AQ$3,OFFSET('Allocation %'!$A$1,MATCH(AQ$4,'Allocation %'!$A:$A,0)-1,MATCH($D98,'Allocation %'!$5:$5,0)-1)*($F38-$G38)*'2020 Assumptions'!$B$20,0))</f>
        <v>50.436721628815583</v>
      </c>
      <c r="AR98" s="73">
        <f ca="1">IF(AR$5="Doyon Notional Allocation",0,IF($C98&lt;&gt;AR$3,OFFSET('Allocation %'!$A$1,MATCH(AR$4,'Allocation %'!$A:$A,0)-1,MATCH($D98,'Allocation %'!$5:$5,0)-1)*($F38-$G38)*'2020 Assumptions'!$B$20,0))</f>
        <v>1.4355792086318262</v>
      </c>
      <c r="AS98" s="73">
        <f ca="1">IF(AS$5="Doyon Notional Allocation",0,IF($C98&lt;&gt;AS$3,OFFSET('Allocation %'!$A$1,MATCH(AS$4,'Allocation %'!$A:$A,0)-1,MATCH($D98,'Allocation %'!$5:$5,0)-1)*($F38-$G38)*'2020 Assumptions'!$B$20,0))</f>
        <v>92.043812914181316</v>
      </c>
      <c r="AT98" s="73">
        <f ca="1">IF(AT$5="Doyon Notional Allocation",0,IF($C98&lt;&gt;AT$3,OFFSET('Allocation %'!$A$1,MATCH(AT$4,'Allocation %'!$A:$A,0)-1,MATCH($D98,'Allocation %'!$5:$5,0)-1)*($F38-$G38)*'2020 Assumptions'!$B$20,0))</f>
        <v>53.845124657507739</v>
      </c>
      <c r="AU98" s="73">
        <f ca="1">IF(AU$5="Doyon Notional Allocation",0,IF($C98&lt;&gt;AU$3,OFFSET('Allocation %'!$A$1,MATCH(AU$4,'Allocation %'!$A:$A,0)-1,MATCH($D98,'Allocation %'!$5:$5,0)-1)*($F38-$G38)*'2020 Assumptions'!$B$20,0))</f>
        <v>66.228876813531386</v>
      </c>
      <c r="AV98" s="73">
        <f ca="1">IF(AV$5="Doyon Notional Allocation",0,IF($C98&lt;&gt;AV$3,OFFSET('Allocation %'!$A$1,MATCH(AV$4,'Allocation %'!$A:$A,0)-1,MATCH($D98,'Allocation %'!$5:$5,0)-1)*($F38-$G38)*'2020 Assumptions'!$B$20,0))</f>
        <v>102.39291184554422</v>
      </c>
      <c r="AW98" s="73">
        <f ca="1">IF(AW$5="Doyon Notional Allocation",0,IF($C98&lt;&gt;AW$3,OFFSET('Allocation %'!$A$1,MATCH(AW$4,'Allocation %'!$A:$A,0)-1,MATCH($D98,'Allocation %'!$5:$5,0)-1)*($F38-$G38)*'2020 Assumptions'!$B$20,0))</f>
        <v>0</v>
      </c>
      <c r="AX98" s="73">
        <f ca="1">IF(AX$5="Doyon Notional Allocation",0,IF($C98&lt;&gt;AX$3,OFFSET('Allocation %'!$A$1,MATCH(AX$4,'Allocation %'!$A:$A,0)-1,MATCH($D98,'Allocation %'!$5:$5,0)-1)*($F38-$G38)*'2020 Assumptions'!$B$20,0))</f>
        <v>7.5024494244184767</v>
      </c>
      <c r="AY98" s="73">
        <f ca="1">IF(AY$5="Doyon Notional Allocation",0,IF($C98&lt;&gt;AY$3,OFFSET('Allocation %'!$A$1,MATCH(AY$4,'Allocation %'!$A:$A,0)-1,MATCH($D98,'Allocation %'!$5:$5,0)-1)*($F38-$G38)*'2020 Assumptions'!$B$20,0))</f>
        <v>0</v>
      </c>
      <c r="AZ98" s="73">
        <f ca="1">IF(AZ$5="Doyon Notional Allocation",0,IF($C98&lt;&gt;AZ$3,OFFSET('Allocation %'!$A$1,MATCH(AZ$4,'Allocation %'!$A:$A,0)-1,MATCH($D98,'Allocation %'!$5:$5,0)-1)*($F38-$G38)*'2020 Assumptions'!$B$20,0))</f>
        <v>0</v>
      </c>
      <c r="BA98" s="73">
        <f ca="1">IF(BA$5="Doyon Notional Allocation",0,IF($C98&lt;&gt;BA$3,OFFSET('Allocation %'!$A$1,MATCH(BA$4,'Allocation %'!$A:$A,0)-1,MATCH($D98,'Allocation %'!$5:$5,0)-1)*($F38-$G38)*'2020 Assumptions'!$B$20,0))</f>
        <v>0</v>
      </c>
      <c r="BB98" s="73">
        <f ca="1">IF(BB$5="Doyon Notional Allocation",0,IF($C98&lt;&gt;BB$3,OFFSET('Allocation %'!$A$1,MATCH(BB$4,'Allocation %'!$A:$A,0)-1,MATCH($D98,'Allocation %'!$5:$5,0)-1)*($F38-$G38)*'2020 Assumptions'!$B$20,0))</f>
        <v>0</v>
      </c>
      <c r="BC98" s="73">
        <f ca="1">IF(BC$5="Doyon Notional Allocation",0,IF($C98&lt;&gt;BC$3,OFFSET('Allocation %'!$A$1,MATCH(BC$4,'Allocation %'!$A:$A,0)-1,MATCH($D98,'Allocation %'!$5:$5,0)-1)*($F38-$G38)*'2020 Assumptions'!$B$20,0))</f>
        <v>0</v>
      </c>
      <c r="BD98" s="73">
        <f ca="1">IF(BD$5="Doyon Notional Allocation",0,IF($C98&lt;&gt;BD$3,OFFSET('Allocation %'!$A$1,MATCH(BD$4,'Allocation %'!$A:$A,0)-1,MATCH($D98,'Allocation %'!$5:$5,0)-1)*($F38-$G38)*'2020 Assumptions'!$B$20,0))</f>
        <v>0</v>
      </c>
      <c r="BE98" s="73">
        <f ca="1">IF(BE$5="Doyon Notional Allocation",0,IF($C98&lt;&gt;BE$3,OFFSET('Allocation %'!$A$1,MATCH(BE$4,'Allocation %'!$A:$A,0)-1,MATCH($D98,'Allocation %'!$5:$5,0)-1)*($F38-$G38)*'2020 Assumptions'!$B$20,0))</f>
        <v>0</v>
      </c>
      <c r="BG98" s="76">
        <f t="shared" ca="1" si="9"/>
        <v>1331.8117075716825</v>
      </c>
      <c r="BH98" s="349">
        <f t="shared" ca="1" si="10"/>
        <v>0</v>
      </c>
    </row>
    <row r="99" spans="1:60" s="177" customFormat="1" x14ac:dyDescent="0.25">
      <c r="B99" s="305" t="s">
        <v>324</v>
      </c>
      <c r="C99" s="177" t="str">
        <f t="shared" ref="C99:D99" si="15">C39</f>
        <v>USD</v>
      </c>
      <c r="D99" s="159" t="str">
        <f t="shared" ca="1" si="15"/>
        <v>All Less RU - L48</v>
      </c>
      <c r="E99" s="73">
        <f ca="1">F99*'2020 Assumptions'!$B$4</f>
        <v>1107.8663344178267</v>
      </c>
      <c r="F99" s="305">
        <f t="shared" ca="1" si="11"/>
        <v>824.18266211711546</v>
      </c>
      <c r="G99" s="73"/>
      <c r="I99" s="73">
        <f ca="1">IF(I$5="Doyon Notional Allocation",0,IF($C99&lt;&gt;I$3,OFFSET('Allocation %'!$A$1,MATCH(I$4,'Allocation %'!$A:$A,0)-1,MATCH($D99,'Allocation %'!$5:$5,0)-1)*($F39-$G39)*'2020 Assumptions'!$B$20,0))</f>
        <v>0</v>
      </c>
      <c r="J99" s="73">
        <f ca="1">IF(J$5="Doyon Notional Allocation",0,IF($C99&lt;&gt;J$3,OFFSET('Allocation %'!$A$1,MATCH(J$4,'Allocation %'!$A:$A,0)-1,MATCH($D99,'Allocation %'!$5:$5,0)-1)*($F39-$G39)*'2020 Assumptions'!$B$20,0))</f>
        <v>18.883450540344281</v>
      </c>
      <c r="K99" s="73">
        <f ca="1">IF(K$5="Doyon Notional Allocation",0,IF($C99&lt;&gt;K$3,OFFSET('Allocation %'!$A$1,MATCH(K$4,'Allocation %'!$A:$A,0)-1,MATCH($D99,'Allocation %'!$5:$5,0)-1)*($F39-$G39)*'2020 Assumptions'!$B$20,0))</f>
        <v>5.9124850183096651</v>
      </c>
      <c r="L99" s="73">
        <f ca="1">IF(L$5="Doyon Notional Allocation",0,IF($C99&lt;&gt;L$3,OFFSET('Allocation %'!$A$1,MATCH(L$4,'Allocation %'!$A:$A,0)-1,MATCH($D99,'Allocation %'!$5:$5,0)-1)*($F39-$G39)*'2020 Assumptions'!$B$20,0))</f>
        <v>6.373087555454207</v>
      </c>
      <c r="M99" s="73">
        <f ca="1">IF(M$5="Doyon Notional Allocation",0,IF($C99&lt;&gt;M$3,OFFSET('Allocation %'!$A$1,MATCH(M$4,'Allocation %'!$A:$A,0)-1,MATCH($D99,'Allocation %'!$5:$5,0)-1)*($F39-$G39)*'2020 Assumptions'!$B$20,0))</f>
        <v>10.539748965368897</v>
      </c>
      <c r="N99" s="73">
        <f ca="1">IF(N$5="Doyon Notional Allocation",0,IF($C99&lt;&gt;N$3,OFFSET('Allocation %'!$A$1,MATCH(N$4,'Allocation %'!$A:$A,0)-1,MATCH($D99,'Allocation %'!$5:$5,0)-1)*($F39-$G39)*'2020 Assumptions'!$B$20,0))</f>
        <v>9.1241291043019093</v>
      </c>
      <c r="O99" s="73">
        <f ca="1">IF(O$5="Doyon Notional Allocation",0,IF($C99&lt;&gt;O$3,OFFSET('Allocation %'!$A$1,MATCH(O$4,'Allocation %'!$A:$A,0)-1,MATCH($D99,'Allocation %'!$5:$5,0)-1)*($F39-$G39)*'2020 Assumptions'!$B$20,0))</f>
        <v>21.447918138374618</v>
      </c>
      <c r="P99" s="73">
        <f ca="1">IF(P$5="Doyon Notional Allocation",0,IF($C99&lt;&gt;P$3,OFFSET('Allocation %'!$A$1,MATCH(P$4,'Allocation %'!$A:$A,0)-1,MATCH($D99,'Allocation %'!$5:$5,0)-1)*($F39-$G39)*'2020 Assumptions'!$B$20,0))</f>
        <v>3.126442388581427</v>
      </c>
      <c r="Q99" s="73">
        <f ca="1">IF(Q$5="Doyon Notional Allocation",0,IF($C99&lt;&gt;Q$3,OFFSET('Allocation %'!$A$1,MATCH(Q$4,'Allocation %'!$A:$A,0)-1,MATCH($D99,'Allocation %'!$5:$5,0)-1)*($F39-$G39)*'2020 Assumptions'!$B$20,0))</f>
        <v>6.8224559053017924</v>
      </c>
      <c r="R99" s="73">
        <f ca="1">IF(R$5="Doyon Notional Allocation",0,IF($C99&lt;&gt;R$3,OFFSET('Allocation %'!$A$1,MATCH(R$4,'Allocation %'!$A:$A,0)-1,MATCH($D99,'Allocation %'!$5:$5,0)-1)*($F39-$G39)*'2020 Assumptions'!$B$20,0))</f>
        <v>6.3088769339031598</v>
      </c>
      <c r="S99" s="73">
        <f ca="1">IF(S$5="Doyon Notional Allocation",0,IF($C99&lt;&gt;S$3,OFFSET('Allocation %'!$A$1,MATCH(S$4,'Allocation %'!$A:$A,0)-1,MATCH($D99,'Allocation %'!$5:$5,0)-1)*($F39-$G39)*'2020 Assumptions'!$B$20,0))</f>
        <v>6.0581100729516795</v>
      </c>
      <c r="T99" s="73">
        <f ca="1">IF(T$5="Doyon Notional Allocation",0,IF($C99&lt;&gt;T$3,OFFSET('Allocation %'!$A$1,MATCH(T$4,'Allocation %'!$A:$A,0)-1,MATCH($D99,'Allocation %'!$5:$5,0)-1)*($F39-$G39)*'2020 Assumptions'!$B$20,0))</f>
        <v>21.767678846109877</v>
      </c>
      <c r="U99" s="73">
        <f ca="1">IF(U$5="Doyon Notional Allocation",0,IF($C99&lt;&gt;U$3,OFFSET('Allocation %'!$A$1,MATCH(U$4,'Allocation %'!$A:$A,0)-1,MATCH($D99,'Allocation %'!$5:$5,0)-1)*($F39-$G39)*'2020 Assumptions'!$B$20,0))</f>
        <v>13.893482896682182</v>
      </c>
      <c r="V99" s="73">
        <f ca="1">IF(V$5="Doyon Notional Allocation",0,IF($C99&lt;&gt;V$3,OFFSET('Allocation %'!$A$1,MATCH(V$4,'Allocation %'!$A:$A,0)-1,MATCH($D99,'Allocation %'!$5:$5,0)-1)*($F39-$G39)*'2020 Assumptions'!$B$20,0))</f>
        <v>14.729309072580969</v>
      </c>
      <c r="W99" s="73">
        <f ca="1">IF(W$5="Doyon Notional Allocation",0,IF($C99&lt;&gt;W$3,OFFSET('Allocation %'!$A$1,MATCH(W$4,'Allocation %'!$A:$A,0)-1,MATCH($D99,'Allocation %'!$5:$5,0)-1)*($F39-$G39)*'2020 Assumptions'!$B$20,0))</f>
        <v>23.892126784140515</v>
      </c>
      <c r="X99" s="73">
        <f ca="1">IF(X$5="Doyon Notional Allocation",0,IF($C99&lt;&gt;X$3,OFFSET('Allocation %'!$A$1,MATCH(X$4,'Allocation %'!$A:$A,0)-1,MATCH($D99,'Allocation %'!$5:$5,0)-1)*($F39-$G39)*'2020 Assumptions'!$B$20,0))</f>
        <v>0.55010261049488396</v>
      </c>
      <c r="Y99" s="73">
        <f ca="1">IF(Y$5="Doyon Notional Allocation",0,IF($C99&lt;&gt;Y$3,OFFSET('Allocation %'!$A$1,MATCH(Y$4,'Allocation %'!$A:$A,0)-1,MATCH($D99,'Allocation %'!$5:$5,0)-1)*($F39-$G39)*'2020 Assumptions'!$B$20,0))</f>
        <v>0.43197542176315196</v>
      </c>
      <c r="Z99" s="73">
        <f ca="1">IF(Z$5="Doyon Notional Allocation",0,IF($C99&lt;&gt;Z$3,OFFSET('Allocation %'!$A$1,MATCH(Z$4,'Allocation %'!$A:$A,0)-1,MATCH($D99,'Allocation %'!$5:$5,0)-1)*($F39-$G39)*'2020 Assumptions'!$B$20,0))</f>
        <v>1.2580910454794061</v>
      </c>
      <c r="AA99" s="73">
        <f ca="1">IF(AA$5="Doyon Notional Allocation",0,IF($C99&lt;&gt;AA$3,OFFSET('Allocation %'!$A$1,MATCH(AA$4,'Allocation %'!$A:$A,0)-1,MATCH($D99,'Allocation %'!$5:$5,0)-1)*($F39-$G39)*'2020 Assumptions'!$B$20,0))</f>
        <v>1.145867159053549</v>
      </c>
      <c r="AB99" s="73">
        <f ca="1">IF(AB$5="Doyon Notional Allocation",0,IF($C99&lt;&gt;AB$3,OFFSET('Allocation %'!$A$1,MATCH(AB$4,'Allocation %'!$A:$A,0)-1,MATCH($D99,'Allocation %'!$5:$5,0)-1)*($F39-$G39)*'2020 Assumptions'!$B$20,0))</f>
        <v>1.1023201622752721</v>
      </c>
      <c r="AC99" s="73">
        <f ca="1">IF(AC$5="Doyon Notional Allocation",0,IF($C99&lt;&gt;AC$3,OFFSET('Allocation %'!$A$1,MATCH(AC$4,'Allocation %'!$A:$A,0)-1,MATCH($D99,'Allocation %'!$5:$5,0)-1)*($F39-$G39)*'2020 Assumptions'!$B$20,0))</f>
        <v>1.2580487594487746</v>
      </c>
      <c r="AD99" s="73">
        <f ca="1">IF(AD$5="Doyon Notional Allocation",0,IF($C99&lt;&gt;AD$3,OFFSET('Allocation %'!$A$1,MATCH(AD$4,'Allocation %'!$A:$A,0)-1,MATCH($D99,'Allocation %'!$5:$5,0)-1)*($F39-$G39)*'2020 Assumptions'!$B$20,0))</f>
        <v>2.7553697910584045</v>
      </c>
      <c r="AE99" s="73">
        <f ca="1">IF(AE$5="Doyon Notional Allocation",0,IF($C99&lt;&gt;AE$3,OFFSET('Allocation %'!$A$1,MATCH(AE$4,'Allocation %'!$A:$A,0)-1,MATCH($D99,'Allocation %'!$5:$5,0)-1)*($F39-$G39)*'2020 Assumptions'!$B$20,0))</f>
        <v>2.670525067112679</v>
      </c>
      <c r="AF99" s="73">
        <f ca="1">IF(AF$5="Doyon Notional Allocation",0,IF($C99&lt;&gt;AF$3,OFFSET('Allocation %'!$A$1,MATCH(AF$4,'Allocation %'!$A:$A,0)-1,MATCH($D99,'Allocation %'!$5:$5,0)-1)*($F39-$G39)*'2020 Assumptions'!$B$20,0))</f>
        <v>13.330935879311854</v>
      </c>
      <c r="AG99" s="73">
        <f ca="1">IF(AG$5="Doyon Notional Allocation",0,IF($C99&lt;&gt;AG$3,OFFSET('Allocation %'!$A$1,MATCH(AG$4,'Allocation %'!$A:$A,0)-1,MATCH($D99,'Allocation %'!$5:$5,0)-1)*($F39-$G39)*'2020 Assumptions'!$B$20,0))</f>
        <v>20.994823644815625</v>
      </c>
      <c r="AH99" s="73">
        <f ca="1">IF(AH$5="Doyon Notional Allocation",0,IF($C99&lt;&gt;AH$3,OFFSET('Allocation %'!$A$1,MATCH(AH$4,'Allocation %'!$A:$A,0)-1,MATCH($D99,'Allocation %'!$5:$5,0)-1)*($F39-$G39)*'2020 Assumptions'!$B$20,0))</f>
        <v>183.00480716979897</v>
      </c>
      <c r="AI99" s="73">
        <f ca="1">IF(AI$5="Doyon Notional Allocation",0,IF($C99&lt;&gt;AI$3,OFFSET('Allocation %'!$A$1,MATCH(AI$4,'Allocation %'!$A:$A,0)-1,MATCH($D99,'Allocation %'!$5:$5,0)-1)*($F39-$G39)*'2020 Assumptions'!$B$20,0))</f>
        <v>1.0963315646528389</v>
      </c>
      <c r="AJ99" s="73">
        <f ca="1">IF(AJ$5="Doyon Notional Allocation",0,IF($C99&lt;&gt;AJ$3,OFFSET('Allocation %'!$A$1,MATCH(AJ$4,'Allocation %'!$A:$A,0)-1,MATCH($D99,'Allocation %'!$5:$5,0)-1)*($F39-$G39)*'2020 Assumptions'!$B$20,0))</f>
        <v>25.736374914621312</v>
      </c>
      <c r="AK99" s="73">
        <f ca="1">IF(AK$5="Doyon Notional Allocation",0,IF($C99&lt;&gt;AK$3,OFFSET('Allocation %'!$A$1,MATCH(AK$4,'Allocation %'!$A:$A,0)-1,MATCH($D99,'Allocation %'!$5:$5,0)-1)*($F39-$G39)*'2020 Assumptions'!$B$20,0))</f>
        <v>23.111093749721174</v>
      </c>
      <c r="AL99" s="73">
        <f ca="1">IF(AL$5="Doyon Notional Allocation",0,IF($C99&lt;&gt;AL$3,OFFSET('Allocation %'!$A$1,MATCH(AL$4,'Allocation %'!$A:$A,0)-1,MATCH($D99,'Allocation %'!$5:$5,0)-1)*($F39-$G39)*'2020 Assumptions'!$B$20,0))</f>
        <v>0</v>
      </c>
      <c r="AM99" s="73">
        <f ca="1">IF(AM$5="Doyon Notional Allocation",0,IF($C99&lt;&gt;AM$3,OFFSET('Allocation %'!$A$1,MATCH(AM$4,'Allocation %'!$A:$A,0)-1,MATCH($D99,'Allocation %'!$5:$5,0)-1)*($F39-$G39)*'2020 Assumptions'!$B$20,0))</f>
        <v>2.9961880142213726</v>
      </c>
      <c r="AN99" s="73">
        <f ca="1">IF(AN$5="Doyon Notional Allocation",0,IF($C99&lt;&gt;AN$3,OFFSET('Allocation %'!$A$1,MATCH(AN$4,'Allocation %'!$A:$A,0)-1,MATCH($D99,'Allocation %'!$5:$5,0)-1)*($F39-$G39)*'2020 Assumptions'!$B$20,0))</f>
        <v>0</v>
      </c>
      <c r="AO99" s="73">
        <f ca="1">IF(AO$5="Doyon Notional Allocation",0,IF($C99&lt;&gt;AO$3,OFFSET('Allocation %'!$A$1,MATCH(AO$4,'Allocation %'!$A:$A,0)-1,MATCH($D99,'Allocation %'!$5:$5,0)-1)*($F39-$G39)*'2020 Assumptions'!$B$20,0))</f>
        <v>24.845594452329923</v>
      </c>
      <c r="AP99" s="73">
        <f ca="1">IF(AP$5="Doyon Notional Allocation",0,IF($C99&lt;&gt;AP$3,OFFSET('Allocation %'!$A$1,MATCH(AP$4,'Allocation %'!$A:$A,0)-1,MATCH($D99,'Allocation %'!$5:$5,0)-1)*($F39-$G39)*'2020 Assumptions'!$B$20,0))</f>
        <v>5.1838127041752289</v>
      </c>
      <c r="AQ99" s="73">
        <f ca="1">IF(AQ$5="Doyon Notional Allocation",0,IF($C99&lt;&gt;AQ$3,OFFSET('Allocation %'!$A$1,MATCH(AQ$4,'Allocation %'!$A:$A,0)-1,MATCH($D99,'Allocation %'!$5:$5,0)-1)*($F39-$G39)*'2020 Assumptions'!$B$20,0))</f>
        <v>22.957128479221296</v>
      </c>
      <c r="AR99" s="73">
        <f ca="1">IF(AR$5="Doyon Notional Allocation",0,IF($C99&lt;&gt;AR$3,OFFSET('Allocation %'!$A$1,MATCH(AR$4,'Allocation %'!$A:$A,0)-1,MATCH($D99,'Allocation %'!$5:$5,0)-1)*($F39-$G39)*'2020 Assumptions'!$B$20,0))</f>
        <v>0.56603535476381606</v>
      </c>
      <c r="AS99" s="73">
        <f ca="1">IF(AS$5="Doyon Notional Allocation",0,IF($C99&lt;&gt;AS$3,OFFSET('Allocation %'!$A$1,MATCH(AS$4,'Allocation %'!$A:$A,0)-1,MATCH($D99,'Allocation %'!$5:$5,0)-1)*($F39-$G39)*'2020 Assumptions'!$B$20,0))</f>
        <v>42.241400298350769</v>
      </c>
      <c r="AT99" s="73">
        <f ca="1">IF(AT$5="Doyon Notional Allocation",0,IF($C99&lt;&gt;AT$3,OFFSET('Allocation %'!$A$1,MATCH(AT$4,'Allocation %'!$A:$A,0)-1,MATCH($D99,'Allocation %'!$5:$5,0)-1)*($F39-$G39)*'2020 Assumptions'!$B$20,0))</f>
        <v>24.90067405651477</v>
      </c>
      <c r="AU99" s="73">
        <f ca="1">IF(AU$5="Doyon Notional Allocation",0,IF($C99&lt;&gt;AU$3,OFFSET('Allocation %'!$A$1,MATCH(AU$4,'Allocation %'!$A:$A,0)-1,MATCH($D99,'Allocation %'!$5:$5,0)-1)*($F39-$G39)*'2020 Assumptions'!$B$20,0))</f>
        <v>29.628335573353692</v>
      </c>
      <c r="AV99" s="73">
        <f ca="1">IF(AV$5="Doyon Notional Allocation",0,IF($C99&lt;&gt;AV$3,OFFSET('Allocation %'!$A$1,MATCH(AV$4,'Allocation %'!$A:$A,0)-1,MATCH($D99,'Allocation %'!$5:$5,0)-1)*($F39-$G39)*'2020 Assumptions'!$B$20,0))</f>
        <v>45.592513492442791</v>
      </c>
      <c r="AW99" s="73">
        <f ca="1">IF(AW$5="Doyon Notional Allocation",0,IF($C99&lt;&gt;AW$3,OFFSET('Allocation %'!$A$1,MATCH(AW$4,'Allocation %'!$A:$A,0)-1,MATCH($D99,'Allocation %'!$5:$5,0)-1)*($F39-$G39)*'2020 Assumptions'!$B$20,0))</f>
        <v>174.96179905239359</v>
      </c>
      <c r="AX99" s="73">
        <f ca="1">IF(AX$5="Doyon Notional Allocation",0,IF($C99&lt;&gt;AX$3,OFFSET('Allocation %'!$A$1,MATCH(AX$4,'Allocation %'!$A:$A,0)-1,MATCH($D99,'Allocation %'!$5:$5,0)-1)*($F39-$G39)*'2020 Assumptions'!$B$20,0))</f>
        <v>2.9832114773351819</v>
      </c>
      <c r="AY99" s="73">
        <f ca="1">IF(AY$5="Doyon Notional Allocation",0,IF($C99&lt;&gt;AY$3,OFFSET('Allocation %'!$A$1,MATCH(AY$4,'Allocation %'!$A:$A,0)-1,MATCH($D99,'Allocation %'!$5:$5,0)-1)*($F39-$G39)*'2020 Assumptions'!$B$20,0))</f>
        <v>0</v>
      </c>
      <c r="AZ99" s="73">
        <f ca="1">IF(AZ$5="Doyon Notional Allocation",0,IF($C99&lt;&gt;AZ$3,OFFSET('Allocation %'!$A$1,MATCH(AZ$4,'Allocation %'!$A:$A,0)-1,MATCH($D99,'Allocation %'!$5:$5,0)-1)*($F39-$G39)*'2020 Assumptions'!$B$20,0))</f>
        <v>0</v>
      </c>
      <c r="BA99" s="73">
        <f ca="1">IF(BA$5="Doyon Notional Allocation",0,IF($C99&lt;&gt;BA$3,OFFSET('Allocation %'!$A$1,MATCH(BA$4,'Allocation %'!$A:$A,0)-1,MATCH($D99,'Allocation %'!$5:$5,0)-1)*($F39-$G39)*'2020 Assumptions'!$B$20,0))</f>
        <v>0</v>
      </c>
      <c r="BB99" s="73">
        <f ca="1">IF(BB$5="Doyon Notional Allocation",0,IF($C99&lt;&gt;BB$3,OFFSET('Allocation %'!$A$1,MATCH(BB$4,'Allocation %'!$A:$A,0)-1,MATCH($D99,'Allocation %'!$5:$5,0)-1)*($F39-$G39)*'2020 Assumptions'!$B$20,0))</f>
        <v>0</v>
      </c>
      <c r="BC99" s="73">
        <f ca="1">IF(BC$5="Doyon Notional Allocation",0,IF($C99&lt;&gt;BC$3,OFFSET('Allocation %'!$A$1,MATCH(BC$4,'Allocation %'!$A:$A,0)-1,MATCH($D99,'Allocation %'!$5:$5,0)-1)*($F39-$G39)*'2020 Assumptions'!$B$20,0))</f>
        <v>0</v>
      </c>
      <c r="BD99" s="73">
        <f ca="1">IF(BD$5="Doyon Notional Allocation",0,IF($C99&lt;&gt;BD$3,OFFSET('Allocation %'!$A$1,MATCH(BD$4,'Allocation %'!$A:$A,0)-1,MATCH($D99,'Allocation %'!$5:$5,0)-1)*($F39-$G39)*'2020 Assumptions'!$B$20,0))</f>
        <v>0</v>
      </c>
      <c r="BE99" s="73">
        <f ca="1">IF(BE$5="Doyon Notional Allocation",0,IF($C99&lt;&gt;BE$3,OFFSET('Allocation %'!$A$1,MATCH(BE$4,'Allocation %'!$A:$A,0)-1,MATCH($D99,'Allocation %'!$5:$5,0)-1)*($F39-$G39)*'2020 Assumptions'!$B$20,0))</f>
        <v>0</v>
      </c>
      <c r="BG99" s="76">
        <f t="shared" ca="1" si="9"/>
        <v>824.18266211711546</v>
      </c>
      <c r="BH99" s="349">
        <f t="shared" ca="1" si="10"/>
        <v>0</v>
      </c>
    </row>
    <row r="100" spans="1:60" s="177" customFormat="1" x14ac:dyDescent="0.25">
      <c r="B100" s="305" t="s">
        <v>325</v>
      </c>
      <c r="C100" s="177" t="str">
        <f t="shared" ref="C100:D100" si="16">C40</f>
        <v>USD</v>
      </c>
      <c r="D100" s="159" t="str">
        <f t="shared" ca="1" si="16"/>
        <v>All Less RU - L48</v>
      </c>
      <c r="E100" s="73">
        <f ca="1">F100*'2020 Assumptions'!$B$4</f>
        <v>0</v>
      </c>
      <c r="F100" s="305">
        <f t="shared" ca="1" si="11"/>
        <v>0</v>
      </c>
      <c r="G100" s="73"/>
      <c r="I100" s="73">
        <f ca="1">IF(I$5="Doyon Notional Allocation",0,IF($C100&lt;&gt;I$3,OFFSET('Allocation %'!$A$1,MATCH(I$4,'Allocation %'!$A:$A,0)-1,MATCH($D100,'Allocation %'!$5:$5,0)-1)*($F40-$G40)*'2020 Assumptions'!$B$20,0))</f>
        <v>0</v>
      </c>
      <c r="J100" s="73">
        <f ca="1">IF(J$5="Doyon Notional Allocation",0,IF($C100&lt;&gt;J$3,OFFSET('Allocation %'!$A$1,MATCH(J$4,'Allocation %'!$A:$A,0)-1,MATCH($D100,'Allocation %'!$5:$5,0)-1)*($F40-$G40)*'2020 Assumptions'!$B$20,0))</f>
        <v>0</v>
      </c>
      <c r="K100" s="73">
        <f ca="1">IF(K$5="Doyon Notional Allocation",0,IF($C100&lt;&gt;K$3,OFFSET('Allocation %'!$A$1,MATCH(K$4,'Allocation %'!$A:$A,0)-1,MATCH($D100,'Allocation %'!$5:$5,0)-1)*($F40-$G40)*'2020 Assumptions'!$B$20,0))</f>
        <v>0</v>
      </c>
      <c r="L100" s="73">
        <f ca="1">IF(L$5="Doyon Notional Allocation",0,IF($C100&lt;&gt;L$3,OFFSET('Allocation %'!$A$1,MATCH(L$4,'Allocation %'!$A:$A,0)-1,MATCH($D100,'Allocation %'!$5:$5,0)-1)*($F40-$G40)*'2020 Assumptions'!$B$20,0))</f>
        <v>0</v>
      </c>
      <c r="M100" s="73">
        <f ca="1">IF(M$5="Doyon Notional Allocation",0,IF($C100&lt;&gt;M$3,OFFSET('Allocation %'!$A$1,MATCH(M$4,'Allocation %'!$A:$A,0)-1,MATCH($D100,'Allocation %'!$5:$5,0)-1)*($F40-$G40)*'2020 Assumptions'!$B$20,0))</f>
        <v>0</v>
      </c>
      <c r="N100" s="73">
        <f ca="1">IF(N$5="Doyon Notional Allocation",0,IF($C100&lt;&gt;N$3,OFFSET('Allocation %'!$A$1,MATCH(N$4,'Allocation %'!$A:$A,0)-1,MATCH($D100,'Allocation %'!$5:$5,0)-1)*($F40-$G40)*'2020 Assumptions'!$B$20,0))</f>
        <v>0</v>
      </c>
      <c r="O100" s="73">
        <f ca="1">IF(O$5="Doyon Notional Allocation",0,IF($C100&lt;&gt;O$3,OFFSET('Allocation %'!$A$1,MATCH(O$4,'Allocation %'!$A:$A,0)-1,MATCH($D100,'Allocation %'!$5:$5,0)-1)*($F40-$G40)*'2020 Assumptions'!$B$20,0))</f>
        <v>0</v>
      </c>
      <c r="P100" s="73">
        <f ca="1">IF(P$5="Doyon Notional Allocation",0,IF($C100&lt;&gt;P$3,OFFSET('Allocation %'!$A$1,MATCH(P$4,'Allocation %'!$A:$A,0)-1,MATCH($D100,'Allocation %'!$5:$5,0)-1)*($F40-$G40)*'2020 Assumptions'!$B$20,0))</f>
        <v>0</v>
      </c>
      <c r="Q100" s="73">
        <f ca="1">IF(Q$5="Doyon Notional Allocation",0,IF($C100&lt;&gt;Q$3,OFFSET('Allocation %'!$A$1,MATCH(Q$4,'Allocation %'!$A:$A,0)-1,MATCH($D100,'Allocation %'!$5:$5,0)-1)*($F40-$G40)*'2020 Assumptions'!$B$20,0))</f>
        <v>0</v>
      </c>
      <c r="R100" s="73">
        <f ca="1">IF(R$5="Doyon Notional Allocation",0,IF($C100&lt;&gt;R$3,OFFSET('Allocation %'!$A$1,MATCH(R$4,'Allocation %'!$A:$A,0)-1,MATCH($D100,'Allocation %'!$5:$5,0)-1)*($F40-$G40)*'2020 Assumptions'!$B$20,0))</f>
        <v>0</v>
      </c>
      <c r="S100" s="73">
        <f ca="1">IF(S$5="Doyon Notional Allocation",0,IF($C100&lt;&gt;S$3,OFFSET('Allocation %'!$A$1,MATCH(S$4,'Allocation %'!$A:$A,0)-1,MATCH($D100,'Allocation %'!$5:$5,0)-1)*($F40-$G40)*'2020 Assumptions'!$B$20,0))</f>
        <v>0</v>
      </c>
      <c r="T100" s="73">
        <f ca="1">IF(T$5="Doyon Notional Allocation",0,IF($C100&lt;&gt;T$3,OFFSET('Allocation %'!$A$1,MATCH(T$4,'Allocation %'!$A:$A,0)-1,MATCH($D100,'Allocation %'!$5:$5,0)-1)*($F40-$G40)*'2020 Assumptions'!$B$20,0))</f>
        <v>0</v>
      </c>
      <c r="U100" s="73">
        <f ca="1">IF(U$5="Doyon Notional Allocation",0,IF($C100&lt;&gt;U$3,OFFSET('Allocation %'!$A$1,MATCH(U$4,'Allocation %'!$A:$A,0)-1,MATCH($D100,'Allocation %'!$5:$5,0)-1)*($F40-$G40)*'2020 Assumptions'!$B$20,0))</f>
        <v>0</v>
      </c>
      <c r="V100" s="73">
        <f ca="1">IF(V$5="Doyon Notional Allocation",0,IF($C100&lt;&gt;V$3,OFFSET('Allocation %'!$A$1,MATCH(V$4,'Allocation %'!$A:$A,0)-1,MATCH($D100,'Allocation %'!$5:$5,0)-1)*($F40-$G40)*'2020 Assumptions'!$B$20,0))</f>
        <v>0</v>
      </c>
      <c r="W100" s="73">
        <f ca="1">IF(W$5="Doyon Notional Allocation",0,IF($C100&lt;&gt;W$3,OFFSET('Allocation %'!$A$1,MATCH(W$4,'Allocation %'!$A:$A,0)-1,MATCH($D100,'Allocation %'!$5:$5,0)-1)*($F40-$G40)*'2020 Assumptions'!$B$20,0))</f>
        <v>0</v>
      </c>
      <c r="X100" s="73">
        <f ca="1">IF(X$5="Doyon Notional Allocation",0,IF($C100&lt;&gt;X$3,OFFSET('Allocation %'!$A$1,MATCH(X$4,'Allocation %'!$A:$A,0)-1,MATCH($D100,'Allocation %'!$5:$5,0)-1)*($F40-$G40)*'2020 Assumptions'!$B$20,0))</f>
        <v>0</v>
      </c>
      <c r="Y100" s="73">
        <f ca="1">IF(Y$5="Doyon Notional Allocation",0,IF($C100&lt;&gt;Y$3,OFFSET('Allocation %'!$A$1,MATCH(Y$4,'Allocation %'!$A:$A,0)-1,MATCH($D100,'Allocation %'!$5:$5,0)-1)*($F40-$G40)*'2020 Assumptions'!$B$20,0))</f>
        <v>0</v>
      </c>
      <c r="Z100" s="73">
        <f ca="1">IF(Z$5="Doyon Notional Allocation",0,IF($C100&lt;&gt;Z$3,OFFSET('Allocation %'!$A$1,MATCH(Z$4,'Allocation %'!$A:$A,0)-1,MATCH($D100,'Allocation %'!$5:$5,0)-1)*($F40-$G40)*'2020 Assumptions'!$B$20,0))</f>
        <v>0</v>
      </c>
      <c r="AA100" s="73">
        <f ca="1">IF(AA$5="Doyon Notional Allocation",0,IF($C100&lt;&gt;AA$3,OFFSET('Allocation %'!$A$1,MATCH(AA$4,'Allocation %'!$A:$A,0)-1,MATCH($D100,'Allocation %'!$5:$5,0)-1)*($F40-$G40)*'2020 Assumptions'!$B$20,0))</f>
        <v>0</v>
      </c>
      <c r="AB100" s="73">
        <f ca="1">IF(AB$5="Doyon Notional Allocation",0,IF($C100&lt;&gt;AB$3,OFFSET('Allocation %'!$A$1,MATCH(AB$4,'Allocation %'!$A:$A,0)-1,MATCH($D100,'Allocation %'!$5:$5,0)-1)*($F40-$G40)*'2020 Assumptions'!$B$20,0))</f>
        <v>0</v>
      </c>
      <c r="AC100" s="73">
        <f ca="1">IF(AC$5="Doyon Notional Allocation",0,IF($C100&lt;&gt;AC$3,OFFSET('Allocation %'!$A$1,MATCH(AC$4,'Allocation %'!$A:$A,0)-1,MATCH($D100,'Allocation %'!$5:$5,0)-1)*($F40-$G40)*'2020 Assumptions'!$B$20,0))</f>
        <v>0</v>
      </c>
      <c r="AD100" s="73">
        <f ca="1">IF(AD$5="Doyon Notional Allocation",0,IF($C100&lt;&gt;AD$3,OFFSET('Allocation %'!$A$1,MATCH(AD$4,'Allocation %'!$A:$A,0)-1,MATCH($D100,'Allocation %'!$5:$5,0)-1)*($F40-$G40)*'2020 Assumptions'!$B$20,0))</f>
        <v>0</v>
      </c>
      <c r="AE100" s="73">
        <f ca="1">IF(AE$5="Doyon Notional Allocation",0,IF($C100&lt;&gt;AE$3,OFFSET('Allocation %'!$A$1,MATCH(AE$4,'Allocation %'!$A:$A,0)-1,MATCH($D100,'Allocation %'!$5:$5,0)-1)*($F40-$G40)*'2020 Assumptions'!$B$20,0))</f>
        <v>0</v>
      </c>
      <c r="AF100" s="73">
        <f ca="1">IF(AF$5="Doyon Notional Allocation",0,IF($C100&lt;&gt;AF$3,OFFSET('Allocation %'!$A$1,MATCH(AF$4,'Allocation %'!$A:$A,0)-1,MATCH($D100,'Allocation %'!$5:$5,0)-1)*($F40-$G40)*'2020 Assumptions'!$B$20,0))</f>
        <v>0</v>
      </c>
      <c r="AG100" s="73">
        <f ca="1">IF(AG$5="Doyon Notional Allocation",0,IF($C100&lt;&gt;AG$3,OFFSET('Allocation %'!$A$1,MATCH(AG$4,'Allocation %'!$A:$A,0)-1,MATCH($D100,'Allocation %'!$5:$5,0)-1)*($F40-$G40)*'2020 Assumptions'!$B$20,0))</f>
        <v>0</v>
      </c>
      <c r="AH100" s="73">
        <f ca="1">IF(AH$5="Doyon Notional Allocation",0,IF($C100&lt;&gt;AH$3,OFFSET('Allocation %'!$A$1,MATCH(AH$4,'Allocation %'!$A:$A,0)-1,MATCH($D100,'Allocation %'!$5:$5,0)-1)*($F40-$G40)*'2020 Assumptions'!$B$20,0))</f>
        <v>0</v>
      </c>
      <c r="AI100" s="73">
        <f ca="1">IF(AI$5="Doyon Notional Allocation",0,IF($C100&lt;&gt;AI$3,OFFSET('Allocation %'!$A$1,MATCH(AI$4,'Allocation %'!$A:$A,0)-1,MATCH($D100,'Allocation %'!$5:$5,0)-1)*($F40-$G40)*'2020 Assumptions'!$B$20,0))</f>
        <v>0</v>
      </c>
      <c r="AJ100" s="73">
        <f ca="1">IF(AJ$5="Doyon Notional Allocation",0,IF($C100&lt;&gt;AJ$3,OFFSET('Allocation %'!$A$1,MATCH(AJ$4,'Allocation %'!$A:$A,0)-1,MATCH($D100,'Allocation %'!$5:$5,0)-1)*($F40-$G40)*'2020 Assumptions'!$B$20,0))</f>
        <v>0</v>
      </c>
      <c r="AK100" s="73">
        <f ca="1">IF(AK$5="Doyon Notional Allocation",0,IF($C100&lt;&gt;AK$3,OFFSET('Allocation %'!$A$1,MATCH(AK$4,'Allocation %'!$A:$A,0)-1,MATCH($D100,'Allocation %'!$5:$5,0)-1)*($F40-$G40)*'2020 Assumptions'!$B$20,0))</f>
        <v>0</v>
      </c>
      <c r="AL100" s="73">
        <f ca="1">IF(AL$5="Doyon Notional Allocation",0,IF($C100&lt;&gt;AL$3,OFFSET('Allocation %'!$A$1,MATCH(AL$4,'Allocation %'!$A:$A,0)-1,MATCH($D100,'Allocation %'!$5:$5,0)-1)*($F40-$G40)*'2020 Assumptions'!$B$20,0))</f>
        <v>0</v>
      </c>
      <c r="AM100" s="73">
        <f ca="1">IF(AM$5="Doyon Notional Allocation",0,IF($C100&lt;&gt;AM$3,OFFSET('Allocation %'!$A$1,MATCH(AM$4,'Allocation %'!$A:$A,0)-1,MATCH($D100,'Allocation %'!$5:$5,0)-1)*($F40-$G40)*'2020 Assumptions'!$B$20,0))</f>
        <v>0</v>
      </c>
      <c r="AN100" s="73">
        <f ca="1">IF(AN$5="Doyon Notional Allocation",0,IF($C100&lt;&gt;AN$3,OFFSET('Allocation %'!$A$1,MATCH(AN$4,'Allocation %'!$A:$A,0)-1,MATCH($D100,'Allocation %'!$5:$5,0)-1)*($F40-$G40)*'2020 Assumptions'!$B$20,0))</f>
        <v>0</v>
      </c>
      <c r="AO100" s="73">
        <f ca="1">IF(AO$5="Doyon Notional Allocation",0,IF($C100&lt;&gt;AO$3,OFFSET('Allocation %'!$A$1,MATCH(AO$4,'Allocation %'!$A:$A,0)-1,MATCH($D100,'Allocation %'!$5:$5,0)-1)*($F40-$G40)*'2020 Assumptions'!$B$20,0))</f>
        <v>0</v>
      </c>
      <c r="AP100" s="73">
        <f ca="1">IF(AP$5="Doyon Notional Allocation",0,IF($C100&lt;&gt;AP$3,OFFSET('Allocation %'!$A$1,MATCH(AP$4,'Allocation %'!$A:$A,0)-1,MATCH($D100,'Allocation %'!$5:$5,0)-1)*($F40-$G40)*'2020 Assumptions'!$B$20,0))</f>
        <v>0</v>
      </c>
      <c r="AQ100" s="73">
        <f ca="1">IF(AQ$5="Doyon Notional Allocation",0,IF($C100&lt;&gt;AQ$3,OFFSET('Allocation %'!$A$1,MATCH(AQ$4,'Allocation %'!$A:$A,0)-1,MATCH($D100,'Allocation %'!$5:$5,0)-1)*($F40-$G40)*'2020 Assumptions'!$B$20,0))</f>
        <v>0</v>
      </c>
      <c r="AR100" s="73">
        <f ca="1">IF(AR$5="Doyon Notional Allocation",0,IF($C100&lt;&gt;AR$3,OFFSET('Allocation %'!$A$1,MATCH(AR$4,'Allocation %'!$A:$A,0)-1,MATCH($D100,'Allocation %'!$5:$5,0)-1)*($F40-$G40)*'2020 Assumptions'!$B$20,0))</f>
        <v>0</v>
      </c>
      <c r="AS100" s="73">
        <f ca="1">IF(AS$5="Doyon Notional Allocation",0,IF($C100&lt;&gt;AS$3,OFFSET('Allocation %'!$A$1,MATCH(AS$4,'Allocation %'!$A:$A,0)-1,MATCH($D100,'Allocation %'!$5:$5,0)-1)*($F40-$G40)*'2020 Assumptions'!$B$20,0))</f>
        <v>0</v>
      </c>
      <c r="AT100" s="73">
        <f ca="1">IF(AT$5="Doyon Notional Allocation",0,IF($C100&lt;&gt;AT$3,OFFSET('Allocation %'!$A$1,MATCH(AT$4,'Allocation %'!$A:$A,0)-1,MATCH($D100,'Allocation %'!$5:$5,0)-1)*($F40-$G40)*'2020 Assumptions'!$B$20,0))</f>
        <v>0</v>
      </c>
      <c r="AU100" s="73">
        <f ca="1">IF(AU$5="Doyon Notional Allocation",0,IF($C100&lt;&gt;AU$3,OFFSET('Allocation %'!$A$1,MATCH(AU$4,'Allocation %'!$A:$A,0)-1,MATCH($D100,'Allocation %'!$5:$5,0)-1)*($F40-$G40)*'2020 Assumptions'!$B$20,0))</f>
        <v>0</v>
      </c>
      <c r="AV100" s="73">
        <f ca="1">IF(AV$5="Doyon Notional Allocation",0,IF($C100&lt;&gt;AV$3,OFFSET('Allocation %'!$A$1,MATCH(AV$4,'Allocation %'!$A:$A,0)-1,MATCH($D100,'Allocation %'!$5:$5,0)-1)*($F40-$G40)*'2020 Assumptions'!$B$20,0))</f>
        <v>0</v>
      </c>
      <c r="AW100" s="73">
        <f ca="1">IF(AW$5="Doyon Notional Allocation",0,IF($C100&lt;&gt;AW$3,OFFSET('Allocation %'!$A$1,MATCH(AW$4,'Allocation %'!$A:$A,0)-1,MATCH($D100,'Allocation %'!$5:$5,0)-1)*($F40-$G40)*'2020 Assumptions'!$B$20,0))</f>
        <v>0</v>
      </c>
      <c r="AX100" s="73">
        <f ca="1">IF(AX$5="Doyon Notional Allocation",0,IF($C100&lt;&gt;AX$3,OFFSET('Allocation %'!$A$1,MATCH(AX$4,'Allocation %'!$A:$A,0)-1,MATCH($D100,'Allocation %'!$5:$5,0)-1)*($F40-$G40)*'2020 Assumptions'!$B$20,0))</f>
        <v>0</v>
      </c>
      <c r="AY100" s="73">
        <f ca="1">IF(AY$5="Doyon Notional Allocation",0,IF($C100&lt;&gt;AY$3,OFFSET('Allocation %'!$A$1,MATCH(AY$4,'Allocation %'!$A:$A,0)-1,MATCH($D100,'Allocation %'!$5:$5,0)-1)*($F40-$G40)*'2020 Assumptions'!$B$20,0))</f>
        <v>0</v>
      </c>
      <c r="AZ100" s="73">
        <f ca="1">IF(AZ$5="Doyon Notional Allocation",0,IF($C100&lt;&gt;AZ$3,OFFSET('Allocation %'!$A$1,MATCH(AZ$4,'Allocation %'!$A:$A,0)-1,MATCH($D100,'Allocation %'!$5:$5,0)-1)*($F40-$G40)*'2020 Assumptions'!$B$20,0))</f>
        <v>0</v>
      </c>
      <c r="BA100" s="73">
        <f ca="1">IF(BA$5="Doyon Notional Allocation",0,IF($C100&lt;&gt;BA$3,OFFSET('Allocation %'!$A$1,MATCH(BA$4,'Allocation %'!$A:$A,0)-1,MATCH($D100,'Allocation %'!$5:$5,0)-1)*($F40-$G40)*'2020 Assumptions'!$B$20,0))</f>
        <v>0</v>
      </c>
      <c r="BB100" s="73">
        <f ca="1">IF(BB$5="Doyon Notional Allocation",0,IF($C100&lt;&gt;BB$3,OFFSET('Allocation %'!$A$1,MATCH(BB$4,'Allocation %'!$A:$A,0)-1,MATCH($D100,'Allocation %'!$5:$5,0)-1)*($F40-$G40)*'2020 Assumptions'!$B$20,0))</f>
        <v>0</v>
      </c>
      <c r="BC100" s="73">
        <f ca="1">IF(BC$5="Doyon Notional Allocation",0,IF($C100&lt;&gt;BC$3,OFFSET('Allocation %'!$A$1,MATCH(BC$4,'Allocation %'!$A:$A,0)-1,MATCH($D100,'Allocation %'!$5:$5,0)-1)*($F40-$G40)*'2020 Assumptions'!$B$20,0))</f>
        <v>0</v>
      </c>
      <c r="BD100" s="73">
        <f ca="1">IF(BD$5="Doyon Notional Allocation",0,IF($C100&lt;&gt;BD$3,OFFSET('Allocation %'!$A$1,MATCH(BD$4,'Allocation %'!$A:$A,0)-1,MATCH($D100,'Allocation %'!$5:$5,0)-1)*($F40-$G40)*'2020 Assumptions'!$B$20,0))</f>
        <v>0</v>
      </c>
      <c r="BE100" s="73">
        <f ca="1">IF(BE$5="Doyon Notional Allocation",0,IF($C100&lt;&gt;BE$3,OFFSET('Allocation %'!$A$1,MATCH(BE$4,'Allocation %'!$A:$A,0)-1,MATCH($D100,'Allocation %'!$5:$5,0)-1)*($F40-$G40)*'2020 Assumptions'!$B$20,0))</f>
        <v>0</v>
      </c>
      <c r="BG100" s="76">
        <f t="shared" ca="1" si="9"/>
        <v>0</v>
      </c>
      <c r="BH100" s="349">
        <f t="shared" ca="1" si="10"/>
        <v>0</v>
      </c>
    </row>
    <row r="101" spans="1:60" s="177" customFormat="1" x14ac:dyDescent="0.25">
      <c r="B101" s="305" t="s">
        <v>326</v>
      </c>
      <c r="C101" s="177" t="str">
        <f t="shared" ref="C101:D101" si="17">C41</f>
        <v>USD</v>
      </c>
      <c r="D101" s="159" t="str">
        <f t="shared" ca="1" si="17"/>
        <v>All Less RU - L48</v>
      </c>
      <c r="E101" s="73">
        <f ca="1">F101*'2020 Assumptions'!$B$4</f>
        <v>0</v>
      </c>
      <c r="F101" s="305">
        <f t="shared" ca="1" si="11"/>
        <v>0</v>
      </c>
      <c r="G101" s="73"/>
      <c r="I101" s="73">
        <f ca="1">IF(I$5="Doyon Notional Allocation",0,IF($C101&lt;&gt;I$3,OFFSET('Allocation %'!$A$1,MATCH(I$4,'Allocation %'!$A:$A,0)-1,MATCH($D101,'Allocation %'!$5:$5,0)-1)*($F41-$G41)*'2020 Assumptions'!$B$20,0))</f>
        <v>0</v>
      </c>
      <c r="J101" s="73">
        <f ca="1">IF(J$5="Doyon Notional Allocation",0,IF($C101&lt;&gt;J$3,OFFSET('Allocation %'!$A$1,MATCH(J$4,'Allocation %'!$A:$A,0)-1,MATCH($D101,'Allocation %'!$5:$5,0)-1)*($F41-$G41)*'2020 Assumptions'!$B$20,0))</f>
        <v>0</v>
      </c>
      <c r="K101" s="73">
        <f ca="1">IF(K$5="Doyon Notional Allocation",0,IF($C101&lt;&gt;K$3,OFFSET('Allocation %'!$A$1,MATCH(K$4,'Allocation %'!$A:$A,0)-1,MATCH($D101,'Allocation %'!$5:$5,0)-1)*($F41-$G41)*'2020 Assumptions'!$B$20,0))</f>
        <v>0</v>
      </c>
      <c r="L101" s="73">
        <f ca="1">IF(L$5="Doyon Notional Allocation",0,IF($C101&lt;&gt;L$3,OFFSET('Allocation %'!$A$1,MATCH(L$4,'Allocation %'!$A:$A,0)-1,MATCH($D101,'Allocation %'!$5:$5,0)-1)*($F41-$G41)*'2020 Assumptions'!$B$20,0))</f>
        <v>0</v>
      </c>
      <c r="M101" s="73">
        <f ca="1">IF(M$5="Doyon Notional Allocation",0,IF($C101&lt;&gt;M$3,OFFSET('Allocation %'!$A$1,MATCH(M$4,'Allocation %'!$A:$A,0)-1,MATCH($D101,'Allocation %'!$5:$5,0)-1)*($F41-$G41)*'2020 Assumptions'!$B$20,0))</f>
        <v>0</v>
      </c>
      <c r="N101" s="73">
        <f ca="1">IF(N$5="Doyon Notional Allocation",0,IF($C101&lt;&gt;N$3,OFFSET('Allocation %'!$A$1,MATCH(N$4,'Allocation %'!$A:$A,0)-1,MATCH($D101,'Allocation %'!$5:$5,0)-1)*($F41-$G41)*'2020 Assumptions'!$B$20,0))</f>
        <v>0</v>
      </c>
      <c r="O101" s="73">
        <f ca="1">IF(O$5="Doyon Notional Allocation",0,IF($C101&lt;&gt;O$3,OFFSET('Allocation %'!$A$1,MATCH(O$4,'Allocation %'!$A:$A,0)-1,MATCH($D101,'Allocation %'!$5:$5,0)-1)*($F41-$G41)*'2020 Assumptions'!$B$20,0))</f>
        <v>0</v>
      </c>
      <c r="P101" s="73">
        <f ca="1">IF(P$5="Doyon Notional Allocation",0,IF($C101&lt;&gt;P$3,OFFSET('Allocation %'!$A$1,MATCH(P$4,'Allocation %'!$A:$A,0)-1,MATCH($D101,'Allocation %'!$5:$5,0)-1)*($F41-$G41)*'2020 Assumptions'!$B$20,0))</f>
        <v>0</v>
      </c>
      <c r="Q101" s="73">
        <f ca="1">IF(Q$5="Doyon Notional Allocation",0,IF($C101&lt;&gt;Q$3,OFFSET('Allocation %'!$A$1,MATCH(Q$4,'Allocation %'!$A:$A,0)-1,MATCH($D101,'Allocation %'!$5:$5,0)-1)*($F41-$G41)*'2020 Assumptions'!$B$20,0))</f>
        <v>0</v>
      </c>
      <c r="R101" s="73">
        <f ca="1">IF(R$5="Doyon Notional Allocation",0,IF($C101&lt;&gt;R$3,OFFSET('Allocation %'!$A$1,MATCH(R$4,'Allocation %'!$A:$A,0)-1,MATCH($D101,'Allocation %'!$5:$5,0)-1)*($F41-$G41)*'2020 Assumptions'!$B$20,0))</f>
        <v>0</v>
      </c>
      <c r="S101" s="73">
        <f ca="1">IF(S$5="Doyon Notional Allocation",0,IF($C101&lt;&gt;S$3,OFFSET('Allocation %'!$A$1,MATCH(S$4,'Allocation %'!$A:$A,0)-1,MATCH($D101,'Allocation %'!$5:$5,0)-1)*($F41-$G41)*'2020 Assumptions'!$B$20,0))</f>
        <v>0</v>
      </c>
      <c r="T101" s="73">
        <f ca="1">IF(T$5="Doyon Notional Allocation",0,IF($C101&lt;&gt;T$3,OFFSET('Allocation %'!$A$1,MATCH(T$4,'Allocation %'!$A:$A,0)-1,MATCH($D101,'Allocation %'!$5:$5,0)-1)*($F41-$G41)*'2020 Assumptions'!$B$20,0))</f>
        <v>0</v>
      </c>
      <c r="U101" s="73">
        <f ca="1">IF(U$5="Doyon Notional Allocation",0,IF($C101&lt;&gt;U$3,OFFSET('Allocation %'!$A$1,MATCH(U$4,'Allocation %'!$A:$A,0)-1,MATCH($D101,'Allocation %'!$5:$5,0)-1)*($F41-$G41)*'2020 Assumptions'!$B$20,0))</f>
        <v>0</v>
      </c>
      <c r="V101" s="73">
        <f ca="1">IF(V$5="Doyon Notional Allocation",0,IF($C101&lt;&gt;V$3,OFFSET('Allocation %'!$A$1,MATCH(V$4,'Allocation %'!$A:$A,0)-1,MATCH($D101,'Allocation %'!$5:$5,0)-1)*($F41-$G41)*'2020 Assumptions'!$B$20,0))</f>
        <v>0</v>
      </c>
      <c r="W101" s="73">
        <f ca="1">IF(W$5="Doyon Notional Allocation",0,IF($C101&lt;&gt;W$3,OFFSET('Allocation %'!$A$1,MATCH(W$4,'Allocation %'!$A:$A,0)-1,MATCH($D101,'Allocation %'!$5:$5,0)-1)*($F41-$G41)*'2020 Assumptions'!$B$20,0))</f>
        <v>0</v>
      </c>
      <c r="X101" s="73">
        <f ca="1">IF(X$5="Doyon Notional Allocation",0,IF($C101&lt;&gt;X$3,OFFSET('Allocation %'!$A$1,MATCH(X$4,'Allocation %'!$A:$A,0)-1,MATCH($D101,'Allocation %'!$5:$5,0)-1)*($F41-$G41)*'2020 Assumptions'!$B$20,0))</f>
        <v>0</v>
      </c>
      <c r="Y101" s="73">
        <f ca="1">IF(Y$5="Doyon Notional Allocation",0,IF($C101&lt;&gt;Y$3,OFFSET('Allocation %'!$A$1,MATCH(Y$4,'Allocation %'!$A:$A,0)-1,MATCH($D101,'Allocation %'!$5:$5,0)-1)*($F41-$G41)*'2020 Assumptions'!$B$20,0))</f>
        <v>0</v>
      </c>
      <c r="Z101" s="73">
        <f ca="1">IF(Z$5="Doyon Notional Allocation",0,IF($C101&lt;&gt;Z$3,OFFSET('Allocation %'!$A$1,MATCH(Z$4,'Allocation %'!$A:$A,0)-1,MATCH($D101,'Allocation %'!$5:$5,0)-1)*($F41-$G41)*'2020 Assumptions'!$B$20,0))</f>
        <v>0</v>
      </c>
      <c r="AA101" s="73">
        <f ca="1">IF(AA$5="Doyon Notional Allocation",0,IF($C101&lt;&gt;AA$3,OFFSET('Allocation %'!$A$1,MATCH(AA$4,'Allocation %'!$A:$A,0)-1,MATCH($D101,'Allocation %'!$5:$5,0)-1)*($F41-$G41)*'2020 Assumptions'!$B$20,0))</f>
        <v>0</v>
      </c>
      <c r="AB101" s="73">
        <f ca="1">IF(AB$5="Doyon Notional Allocation",0,IF($C101&lt;&gt;AB$3,OFFSET('Allocation %'!$A$1,MATCH(AB$4,'Allocation %'!$A:$A,0)-1,MATCH($D101,'Allocation %'!$5:$5,0)-1)*($F41-$G41)*'2020 Assumptions'!$B$20,0))</f>
        <v>0</v>
      </c>
      <c r="AC101" s="73">
        <f ca="1">IF(AC$5="Doyon Notional Allocation",0,IF($C101&lt;&gt;AC$3,OFFSET('Allocation %'!$A$1,MATCH(AC$4,'Allocation %'!$A:$A,0)-1,MATCH($D101,'Allocation %'!$5:$5,0)-1)*($F41-$G41)*'2020 Assumptions'!$B$20,0))</f>
        <v>0</v>
      </c>
      <c r="AD101" s="73">
        <f ca="1">IF(AD$5="Doyon Notional Allocation",0,IF($C101&lt;&gt;AD$3,OFFSET('Allocation %'!$A$1,MATCH(AD$4,'Allocation %'!$A:$A,0)-1,MATCH($D101,'Allocation %'!$5:$5,0)-1)*($F41-$G41)*'2020 Assumptions'!$B$20,0))</f>
        <v>0</v>
      </c>
      <c r="AE101" s="73">
        <f ca="1">IF(AE$5="Doyon Notional Allocation",0,IF($C101&lt;&gt;AE$3,OFFSET('Allocation %'!$A$1,MATCH(AE$4,'Allocation %'!$A:$A,0)-1,MATCH($D101,'Allocation %'!$5:$5,0)-1)*($F41-$G41)*'2020 Assumptions'!$B$20,0))</f>
        <v>0</v>
      </c>
      <c r="AF101" s="73">
        <f ca="1">IF(AF$5="Doyon Notional Allocation",0,IF($C101&lt;&gt;AF$3,OFFSET('Allocation %'!$A$1,MATCH(AF$4,'Allocation %'!$A:$A,0)-1,MATCH($D101,'Allocation %'!$5:$5,0)-1)*($F41-$G41)*'2020 Assumptions'!$B$20,0))</f>
        <v>0</v>
      </c>
      <c r="AG101" s="73">
        <f ca="1">IF(AG$5="Doyon Notional Allocation",0,IF($C101&lt;&gt;AG$3,OFFSET('Allocation %'!$A$1,MATCH(AG$4,'Allocation %'!$A:$A,0)-1,MATCH($D101,'Allocation %'!$5:$5,0)-1)*($F41-$G41)*'2020 Assumptions'!$B$20,0))</f>
        <v>0</v>
      </c>
      <c r="AH101" s="73">
        <f ca="1">IF(AH$5="Doyon Notional Allocation",0,IF($C101&lt;&gt;AH$3,OFFSET('Allocation %'!$A$1,MATCH(AH$4,'Allocation %'!$A:$A,0)-1,MATCH($D101,'Allocation %'!$5:$5,0)-1)*($F41-$G41)*'2020 Assumptions'!$B$20,0))</f>
        <v>0</v>
      </c>
      <c r="AI101" s="73">
        <f ca="1">IF(AI$5="Doyon Notional Allocation",0,IF($C101&lt;&gt;AI$3,OFFSET('Allocation %'!$A$1,MATCH(AI$4,'Allocation %'!$A:$A,0)-1,MATCH($D101,'Allocation %'!$5:$5,0)-1)*($F41-$G41)*'2020 Assumptions'!$B$20,0))</f>
        <v>0</v>
      </c>
      <c r="AJ101" s="73">
        <f ca="1">IF(AJ$5="Doyon Notional Allocation",0,IF($C101&lt;&gt;AJ$3,OFFSET('Allocation %'!$A$1,MATCH(AJ$4,'Allocation %'!$A:$A,0)-1,MATCH($D101,'Allocation %'!$5:$5,0)-1)*($F41-$G41)*'2020 Assumptions'!$B$20,0))</f>
        <v>0</v>
      </c>
      <c r="AK101" s="73">
        <f ca="1">IF(AK$5="Doyon Notional Allocation",0,IF($C101&lt;&gt;AK$3,OFFSET('Allocation %'!$A$1,MATCH(AK$4,'Allocation %'!$A:$A,0)-1,MATCH($D101,'Allocation %'!$5:$5,0)-1)*($F41-$G41)*'2020 Assumptions'!$B$20,0))</f>
        <v>0</v>
      </c>
      <c r="AL101" s="73">
        <f ca="1">IF(AL$5="Doyon Notional Allocation",0,IF($C101&lt;&gt;AL$3,OFFSET('Allocation %'!$A$1,MATCH(AL$4,'Allocation %'!$A:$A,0)-1,MATCH($D101,'Allocation %'!$5:$5,0)-1)*($F41-$G41)*'2020 Assumptions'!$B$20,0))</f>
        <v>0</v>
      </c>
      <c r="AM101" s="73">
        <f ca="1">IF(AM$5="Doyon Notional Allocation",0,IF($C101&lt;&gt;AM$3,OFFSET('Allocation %'!$A$1,MATCH(AM$4,'Allocation %'!$A:$A,0)-1,MATCH($D101,'Allocation %'!$5:$5,0)-1)*($F41-$G41)*'2020 Assumptions'!$B$20,0))</f>
        <v>0</v>
      </c>
      <c r="AN101" s="73">
        <f ca="1">IF(AN$5="Doyon Notional Allocation",0,IF($C101&lt;&gt;AN$3,OFFSET('Allocation %'!$A$1,MATCH(AN$4,'Allocation %'!$A:$A,0)-1,MATCH($D101,'Allocation %'!$5:$5,0)-1)*($F41-$G41)*'2020 Assumptions'!$B$20,0))</f>
        <v>0</v>
      </c>
      <c r="AO101" s="73">
        <f ca="1">IF(AO$5="Doyon Notional Allocation",0,IF($C101&lt;&gt;AO$3,OFFSET('Allocation %'!$A$1,MATCH(AO$4,'Allocation %'!$A:$A,0)-1,MATCH($D101,'Allocation %'!$5:$5,0)-1)*($F41-$G41)*'2020 Assumptions'!$B$20,0))</f>
        <v>0</v>
      </c>
      <c r="AP101" s="73">
        <f ca="1">IF(AP$5="Doyon Notional Allocation",0,IF($C101&lt;&gt;AP$3,OFFSET('Allocation %'!$A$1,MATCH(AP$4,'Allocation %'!$A:$A,0)-1,MATCH($D101,'Allocation %'!$5:$5,0)-1)*($F41-$G41)*'2020 Assumptions'!$B$20,0))</f>
        <v>0</v>
      </c>
      <c r="AQ101" s="73">
        <f ca="1">IF(AQ$5="Doyon Notional Allocation",0,IF($C101&lt;&gt;AQ$3,OFFSET('Allocation %'!$A$1,MATCH(AQ$4,'Allocation %'!$A:$A,0)-1,MATCH($D101,'Allocation %'!$5:$5,0)-1)*($F41-$G41)*'2020 Assumptions'!$B$20,0))</f>
        <v>0</v>
      </c>
      <c r="AR101" s="73">
        <f ca="1">IF(AR$5="Doyon Notional Allocation",0,IF($C101&lt;&gt;AR$3,OFFSET('Allocation %'!$A$1,MATCH(AR$4,'Allocation %'!$A:$A,0)-1,MATCH($D101,'Allocation %'!$5:$5,0)-1)*($F41-$G41)*'2020 Assumptions'!$B$20,0))</f>
        <v>0</v>
      </c>
      <c r="AS101" s="73">
        <f ca="1">IF(AS$5="Doyon Notional Allocation",0,IF($C101&lt;&gt;AS$3,OFFSET('Allocation %'!$A$1,MATCH(AS$4,'Allocation %'!$A:$A,0)-1,MATCH($D101,'Allocation %'!$5:$5,0)-1)*($F41-$G41)*'2020 Assumptions'!$B$20,0))</f>
        <v>0</v>
      </c>
      <c r="AT101" s="73">
        <f ca="1">IF(AT$5="Doyon Notional Allocation",0,IF($C101&lt;&gt;AT$3,OFFSET('Allocation %'!$A$1,MATCH(AT$4,'Allocation %'!$A:$A,0)-1,MATCH($D101,'Allocation %'!$5:$5,0)-1)*($F41-$G41)*'2020 Assumptions'!$B$20,0))</f>
        <v>0</v>
      </c>
      <c r="AU101" s="73">
        <f ca="1">IF(AU$5="Doyon Notional Allocation",0,IF($C101&lt;&gt;AU$3,OFFSET('Allocation %'!$A$1,MATCH(AU$4,'Allocation %'!$A:$A,0)-1,MATCH($D101,'Allocation %'!$5:$5,0)-1)*($F41-$G41)*'2020 Assumptions'!$B$20,0))</f>
        <v>0</v>
      </c>
      <c r="AV101" s="73">
        <f ca="1">IF(AV$5="Doyon Notional Allocation",0,IF($C101&lt;&gt;AV$3,OFFSET('Allocation %'!$A$1,MATCH(AV$4,'Allocation %'!$A:$A,0)-1,MATCH($D101,'Allocation %'!$5:$5,0)-1)*($F41-$G41)*'2020 Assumptions'!$B$20,0))</f>
        <v>0</v>
      </c>
      <c r="AW101" s="73">
        <f ca="1">IF(AW$5="Doyon Notional Allocation",0,IF($C101&lt;&gt;AW$3,OFFSET('Allocation %'!$A$1,MATCH(AW$4,'Allocation %'!$A:$A,0)-1,MATCH($D101,'Allocation %'!$5:$5,0)-1)*($F41-$G41)*'2020 Assumptions'!$B$20,0))</f>
        <v>0</v>
      </c>
      <c r="AX101" s="73">
        <f ca="1">IF(AX$5="Doyon Notional Allocation",0,IF($C101&lt;&gt;AX$3,OFFSET('Allocation %'!$A$1,MATCH(AX$4,'Allocation %'!$A:$A,0)-1,MATCH($D101,'Allocation %'!$5:$5,0)-1)*($F41-$G41)*'2020 Assumptions'!$B$20,0))</f>
        <v>0</v>
      </c>
      <c r="AY101" s="73">
        <f ca="1">IF(AY$5="Doyon Notional Allocation",0,IF($C101&lt;&gt;AY$3,OFFSET('Allocation %'!$A$1,MATCH(AY$4,'Allocation %'!$A:$A,0)-1,MATCH($D101,'Allocation %'!$5:$5,0)-1)*($F41-$G41)*'2020 Assumptions'!$B$20,0))</f>
        <v>0</v>
      </c>
      <c r="AZ101" s="73">
        <f ca="1">IF(AZ$5="Doyon Notional Allocation",0,IF($C101&lt;&gt;AZ$3,OFFSET('Allocation %'!$A$1,MATCH(AZ$4,'Allocation %'!$A:$A,0)-1,MATCH($D101,'Allocation %'!$5:$5,0)-1)*($F41-$G41)*'2020 Assumptions'!$B$20,0))</f>
        <v>0</v>
      </c>
      <c r="BA101" s="73">
        <f ca="1">IF(BA$5="Doyon Notional Allocation",0,IF($C101&lt;&gt;BA$3,OFFSET('Allocation %'!$A$1,MATCH(BA$4,'Allocation %'!$A:$A,0)-1,MATCH($D101,'Allocation %'!$5:$5,0)-1)*($F41-$G41)*'2020 Assumptions'!$B$20,0))</f>
        <v>0</v>
      </c>
      <c r="BB101" s="73">
        <f ca="1">IF(BB$5="Doyon Notional Allocation",0,IF($C101&lt;&gt;BB$3,OFFSET('Allocation %'!$A$1,MATCH(BB$4,'Allocation %'!$A:$A,0)-1,MATCH($D101,'Allocation %'!$5:$5,0)-1)*($F41-$G41)*'2020 Assumptions'!$B$20,0))</f>
        <v>0</v>
      </c>
      <c r="BC101" s="73">
        <f ca="1">IF(BC$5="Doyon Notional Allocation",0,IF($C101&lt;&gt;BC$3,OFFSET('Allocation %'!$A$1,MATCH(BC$4,'Allocation %'!$A:$A,0)-1,MATCH($D101,'Allocation %'!$5:$5,0)-1)*($F41-$G41)*'2020 Assumptions'!$B$20,0))</f>
        <v>0</v>
      </c>
      <c r="BD101" s="73">
        <f ca="1">IF(BD$5="Doyon Notional Allocation",0,IF($C101&lt;&gt;BD$3,OFFSET('Allocation %'!$A$1,MATCH(BD$4,'Allocation %'!$A:$A,0)-1,MATCH($D101,'Allocation %'!$5:$5,0)-1)*($F41-$G41)*'2020 Assumptions'!$B$20,0))</f>
        <v>0</v>
      </c>
      <c r="BE101" s="73">
        <f ca="1">IF(BE$5="Doyon Notional Allocation",0,IF($C101&lt;&gt;BE$3,OFFSET('Allocation %'!$A$1,MATCH(BE$4,'Allocation %'!$A:$A,0)-1,MATCH($D101,'Allocation %'!$5:$5,0)-1)*($F41-$G41)*'2020 Assumptions'!$B$20,0))</f>
        <v>0</v>
      </c>
      <c r="BG101" s="76">
        <f t="shared" ca="1" si="9"/>
        <v>0</v>
      </c>
      <c r="BH101" s="349">
        <f t="shared" ca="1" si="10"/>
        <v>0</v>
      </c>
    </row>
    <row r="102" spans="1:60" s="177" customFormat="1" x14ac:dyDescent="0.25">
      <c r="B102" s="305" t="s">
        <v>327</v>
      </c>
      <c r="C102" s="177" t="str">
        <f t="shared" ref="C102:D102" si="18">C42</f>
        <v>USD</v>
      </c>
      <c r="D102" s="159" t="str">
        <f t="shared" ca="1" si="18"/>
        <v>All Less RU - L48</v>
      </c>
      <c r="E102" s="73">
        <f ca="1">F102*'2020 Assumptions'!$B$4</f>
        <v>0</v>
      </c>
      <c r="F102" s="305">
        <f t="shared" ca="1" si="11"/>
        <v>0</v>
      </c>
      <c r="G102" s="73"/>
      <c r="I102" s="73">
        <f ca="1">IF(I$5="Doyon Notional Allocation",0,IF($C102&lt;&gt;I$3,OFFSET('Allocation %'!$A$1,MATCH(I$4,'Allocation %'!$A:$A,0)-1,MATCH($D102,'Allocation %'!$5:$5,0)-1)*($F42-$G42)*'2020 Assumptions'!$B$20,0))</f>
        <v>0</v>
      </c>
      <c r="J102" s="73">
        <f ca="1">IF(J$5="Doyon Notional Allocation",0,IF($C102&lt;&gt;J$3,OFFSET('Allocation %'!$A$1,MATCH(J$4,'Allocation %'!$A:$A,0)-1,MATCH($D102,'Allocation %'!$5:$5,0)-1)*($F42-$G42)*'2020 Assumptions'!$B$20,0))</f>
        <v>0</v>
      </c>
      <c r="K102" s="73">
        <f ca="1">IF(K$5="Doyon Notional Allocation",0,IF($C102&lt;&gt;K$3,OFFSET('Allocation %'!$A$1,MATCH(K$4,'Allocation %'!$A:$A,0)-1,MATCH($D102,'Allocation %'!$5:$5,0)-1)*($F42-$G42)*'2020 Assumptions'!$B$20,0))</f>
        <v>0</v>
      </c>
      <c r="L102" s="73">
        <f ca="1">IF(L$5="Doyon Notional Allocation",0,IF($C102&lt;&gt;L$3,OFFSET('Allocation %'!$A$1,MATCH(L$4,'Allocation %'!$A:$A,0)-1,MATCH($D102,'Allocation %'!$5:$5,0)-1)*($F42-$G42)*'2020 Assumptions'!$B$20,0))</f>
        <v>0</v>
      </c>
      <c r="M102" s="73">
        <f ca="1">IF(M$5="Doyon Notional Allocation",0,IF($C102&lt;&gt;M$3,OFFSET('Allocation %'!$A$1,MATCH(M$4,'Allocation %'!$A:$A,0)-1,MATCH($D102,'Allocation %'!$5:$5,0)-1)*($F42-$G42)*'2020 Assumptions'!$B$20,0))</f>
        <v>0</v>
      </c>
      <c r="N102" s="73">
        <f ca="1">IF(N$5="Doyon Notional Allocation",0,IF($C102&lt;&gt;N$3,OFFSET('Allocation %'!$A$1,MATCH(N$4,'Allocation %'!$A:$A,0)-1,MATCH($D102,'Allocation %'!$5:$5,0)-1)*($F42-$G42)*'2020 Assumptions'!$B$20,0))</f>
        <v>0</v>
      </c>
      <c r="O102" s="73">
        <f ca="1">IF(O$5="Doyon Notional Allocation",0,IF($C102&lt;&gt;O$3,OFFSET('Allocation %'!$A$1,MATCH(O$4,'Allocation %'!$A:$A,0)-1,MATCH($D102,'Allocation %'!$5:$5,0)-1)*($F42-$G42)*'2020 Assumptions'!$B$20,0))</f>
        <v>0</v>
      </c>
      <c r="P102" s="73">
        <f ca="1">IF(P$5="Doyon Notional Allocation",0,IF($C102&lt;&gt;P$3,OFFSET('Allocation %'!$A$1,MATCH(P$4,'Allocation %'!$A:$A,0)-1,MATCH($D102,'Allocation %'!$5:$5,0)-1)*($F42-$G42)*'2020 Assumptions'!$B$20,0))</f>
        <v>0</v>
      </c>
      <c r="Q102" s="73">
        <f ca="1">IF(Q$5="Doyon Notional Allocation",0,IF($C102&lt;&gt;Q$3,OFFSET('Allocation %'!$A$1,MATCH(Q$4,'Allocation %'!$A:$A,0)-1,MATCH($D102,'Allocation %'!$5:$5,0)-1)*($F42-$G42)*'2020 Assumptions'!$B$20,0))</f>
        <v>0</v>
      </c>
      <c r="R102" s="73">
        <f ca="1">IF(R$5="Doyon Notional Allocation",0,IF($C102&lt;&gt;R$3,OFFSET('Allocation %'!$A$1,MATCH(R$4,'Allocation %'!$A:$A,0)-1,MATCH($D102,'Allocation %'!$5:$5,0)-1)*($F42-$G42)*'2020 Assumptions'!$B$20,0))</f>
        <v>0</v>
      </c>
      <c r="S102" s="73">
        <f ca="1">IF(S$5="Doyon Notional Allocation",0,IF($C102&lt;&gt;S$3,OFFSET('Allocation %'!$A$1,MATCH(S$4,'Allocation %'!$A:$A,0)-1,MATCH($D102,'Allocation %'!$5:$5,0)-1)*($F42-$G42)*'2020 Assumptions'!$B$20,0))</f>
        <v>0</v>
      </c>
      <c r="T102" s="73">
        <f ca="1">IF(T$5="Doyon Notional Allocation",0,IF($C102&lt;&gt;T$3,OFFSET('Allocation %'!$A$1,MATCH(T$4,'Allocation %'!$A:$A,0)-1,MATCH($D102,'Allocation %'!$5:$5,0)-1)*($F42-$G42)*'2020 Assumptions'!$B$20,0))</f>
        <v>0</v>
      </c>
      <c r="U102" s="73">
        <f ca="1">IF(U$5="Doyon Notional Allocation",0,IF($C102&lt;&gt;U$3,OFFSET('Allocation %'!$A$1,MATCH(U$4,'Allocation %'!$A:$A,0)-1,MATCH($D102,'Allocation %'!$5:$5,0)-1)*($F42-$G42)*'2020 Assumptions'!$B$20,0))</f>
        <v>0</v>
      </c>
      <c r="V102" s="73">
        <f ca="1">IF(V$5="Doyon Notional Allocation",0,IF($C102&lt;&gt;V$3,OFFSET('Allocation %'!$A$1,MATCH(V$4,'Allocation %'!$A:$A,0)-1,MATCH($D102,'Allocation %'!$5:$5,0)-1)*($F42-$G42)*'2020 Assumptions'!$B$20,0))</f>
        <v>0</v>
      </c>
      <c r="W102" s="73">
        <f ca="1">IF(W$5="Doyon Notional Allocation",0,IF($C102&lt;&gt;W$3,OFFSET('Allocation %'!$A$1,MATCH(W$4,'Allocation %'!$A:$A,0)-1,MATCH($D102,'Allocation %'!$5:$5,0)-1)*($F42-$G42)*'2020 Assumptions'!$B$20,0))</f>
        <v>0</v>
      </c>
      <c r="X102" s="73">
        <f ca="1">IF(X$5="Doyon Notional Allocation",0,IF($C102&lt;&gt;X$3,OFFSET('Allocation %'!$A$1,MATCH(X$4,'Allocation %'!$A:$A,0)-1,MATCH($D102,'Allocation %'!$5:$5,0)-1)*($F42-$G42)*'2020 Assumptions'!$B$20,0))</f>
        <v>0</v>
      </c>
      <c r="Y102" s="73">
        <f ca="1">IF(Y$5="Doyon Notional Allocation",0,IF($C102&lt;&gt;Y$3,OFFSET('Allocation %'!$A$1,MATCH(Y$4,'Allocation %'!$A:$A,0)-1,MATCH($D102,'Allocation %'!$5:$5,0)-1)*($F42-$G42)*'2020 Assumptions'!$B$20,0))</f>
        <v>0</v>
      </c>
      <c r="Z102" s="73">
        <f ca="1">IF(Z$5="Doyon Notional Allocation",0,IF($C102&lt;&gt;Z$3,OFFSET('Allocation %'!$A$1,MATCH(Z$4,'Allocation %'!$A:$A,0)-1,MATCH($D102,'Allocation %'!$5:$5,0)-1)*($F42-$G42)*'2020 Assumptions'!$B$20,0))</f>
        <v>0</v>
      </c>
      <c r="AA102" s="73">
        <f ca="1">IF(AA$5="Doyon Notional Allocation",0,IF($C102&lt;&gt;AA$3,OFFSET('Allocation %'!$A$1,MATCH(AA$4,'Allocation %'!$A:$A,0)-1,MATCH($D102,'Allocation %'!$5:$5,0)-1)*($F42-$G42)*'2020 Assumptions'!$B$20,0))</f>
        <v>0</v>
      </c>
      <c r="AB102" s="73">
        <f ca="1">IF(AB$5="Doyon Notional Allocation",0,IF($C102&lt;&gt;AB$3,OFFSET('Allocation %'!$A$1,MATCH(AB$4,'Allocation %'!$A:$A,0)-1,MATCH($D102,'Allocation %'!$5:$5,0)-1)*($F42-$G42)*'2020 Assumptions'!$B$20,0))</f>
        <v>0</v>
      </c>
      <c r="AC102" s="73">
        <f ca="1">IF(AC$5="Doyon Notional Allocation",0,IF($C102&lt;&gt;AC$3,OFFSET('Allocation %'!$A$1,MATCH(AC$4,'Allocation %'!$A:$A,0)-1,MATCH($D102,'Allocation %'!$5:$5,0)-1)*($F42-$G42)*'2020 Assumptions'!$B$20,0))</f>
        <v>0</v>
      </c>
      <c r="AD102" s="73">
        <f ca="1">IF(AD$5="Doyon Notional Allocation",0,IF($C102&lt;&gt;AD$3,OFFSET('Allocation %'!$A$1,MATCH(AD$4,'Allocation %'!$A:$A,0)-1,MATCH($D102,'Allocation %'!$5:$5,0)-1)*($F42-$G42)*'2020 Assumptions'!$B$20,0))</f>
        <v>0</v>
      </c>
      <c r="AE102" s="73">
        <f ca="1">IF(AE$5="Doyon Notional Allocation",0,IF($C102&lt;&gt;AE$3,OFFSET('Allocation %'!$A$1,MATCH(AE$4,'Allocation %'!$A:$A,0)-1,MATCH($D102,'Allocation %'!$5:$5,0)-1)*($F42-$G42)*'2020 Assumptions'!$B$20,0))</f>
        <v>0</v>
      </c>
      <c r="AF102" s="73">
        <f ca="1">IF(AF$5="Doyon Notional Allocation",0,IF($C102&lt;&gt;AF$3,OFFSET('Allocation %'!$A$1,MATCH(AF$4,'Allocation %'!$A:$A,0)-1,MATCH($D102,'Allocation %'!$5:$5,0)-1)*($F42-$G42)*'2020 Assumptions'!$B$20,0))</f>
        <v>0</v>
      </c>
      <c r="AG102" s="73">
        <f ca="1">IF(AG$5="Doyon Notional Allocation",0,IF($C102&lt;&gt;AG$3,OFFSET('Allocation %'!$A$1,MATCH(AG$4,'Allocation %'!$A:$A,0)-1,MATCH($D102,'Allocation %'!$5:$5,0)-1)*($F42-$G42)*'2020 Assumptions'!$B$20,0))</f>
        <v>0</v>
      </c>
      <c r="AH102" s="73">
        <f ca="1">IF(AH$5="Doyon Notional Allocation",0,IF($C102&lt;&gt;AH$3,OFFSET('Allocation %'!$A$1,MATCH(AH$4,'Allocation %'!$A:$A,0)-1,MATCH($D102,'Allocation %'!$5:$5,0)-1)*($F42-$G42)*'2020 Assumptions'!$B$20,0))</f>
        <v>0</v>
      </c>
      <c r="AI102" s="73">
        <f ca="1">IF(AI$5="Doyon Notional Allocation",0,IF($C102&lt;&gt;AI$3,OFFSET('Allocation %'!$A$1,MATCH(AI$4,'Allocation %'!$A:$A,0)-1,MATCH($D102,'Allocation %'!$5:$5,0)-1)*($F42-$G42)*'2020 Assumptions'!$B$20,0))</f>
        <v>0</v>
      </c>
      <c r="AJ102" s="73">
        <f ca="1">IF(AJ$5="Doyon Notional Allocation",0,IF($C102&lt;&gt;AJ$3,OFFSET('Allocation %'!$A$1,MATCH(AJ$4,'Allocation %'!$A:$A,0)-1,MATCH($D102,'Allocation %'!$5:$5,0)-1)*($F42-$G42)*'2020 Assumptions'!$B$20,0))</f>
        <v>0</v>
      </c>
      <c r="AK102" s="73">
        <f ca="1">IF(AK$5="Doyon Notional Allocation",0,IF($C102&lt;&gt;AK$3,OFFSET('Allocation %'!$A$1,MATCH(AK$4,'Allocation %'!$A:$A,0)-1,MATCH($D102,'Allocation %'!$5:$5,0)-1)*($F42-$G42)*'2020 Assumptions'!$B$20,0))</f>
        <v>0</v>
      </c>
      <c r="AL102" s="73">
        <f ca="1">IF(AL$5="Doyon Notional Allocation",0,IF($C102&lt;&gt;AL$3,OFFSET('Allocation %'!$A$1,MATCH(AL$4,'Allocation %'!$A:$A,0)-1,MATCH($D102,'Allocation %'!$5:$5,0)-1)*($F42-$G42)*'2020 Assumptions'!$B$20,0))</f>
        <v>0</v>
      </c>
      <c r="AM102" s="73">
        <f ca="1">IF(AM$5="Doyon Notional Allocation",0,IF($C102&lt;&gt;AM$3,OFFSET('Allocation %'!$A$1,MATCH(AM$4,'Allocation %'!$A:$A,0)-1,MATCH($D102,'Allocation %'!$5:$5,0)-1)*($F42-$G42)*'2020 Assumptions'!$B$20,0))</f>
        <v>0</v>
      </c>
      <c r="AN102" s="73">
        <f ca="1">IF(AN$5="Doyon Notional Allocation",0,IF($C102&lt;&gt;AN$3,OFFSET('Allocation %'!$A$1,MATCH(AN$4,'Allocation %'!$A:$A,0)-1,MATCH($D102,'Allocation %'!$5:$5,0)-1)*($F42-$G42)*'2020 Assumptions'!$B$20,0))</f>
        <v>0</v>
      </c>
      <c r="AO102" s="73">
        <f ca="1">IF(AO$5="Doyon Notional Allocation",0,IF($C102&lt;&gt;AO$3,OFFSET('Allocation %'!$A$1,MATCH(AO$4,'Allocation %'!$A:$A,0)-1,MATCH($D102,'Allocation %'!$5:$5,0)-1)*($F42-$G42)*'2020 Assumptions'!$B$20,0))</f>
        <v>0</v>
      </c>
      <c r="AP102" s="73">
        <f ca="1">IF(AP$5="Doyon Notional Allocation",0,IF($C102&lt;&gt;AP$3,OFFSET('Allocation %'!$A$1,MATCH(AP$4,'Allocation %'!$A:$A,0)-1,MATCH($D102,'Allocation %'!$5:$5,0)-1)*($F42-$G42)*'2020 Assumptions'!$B$20,0))</f>
        <v>0</v>
      </c>
      <c r="AQ102" s="73">
        <f ca="1">IF(AQ$5="Doyon Notional Allocation",0,IF($C102&lt;&gt;AQ$3,OFFSET('Allocation %'!$A$1,MATCH(AQ$4,'Allocation %'!$A:$A,0)-1,MATCH($D102,'Allocation %'!$5:$5,0)-1)*($F42-$G42)*'2020 Assumptions'!$B$20,0))</f>
        <v>0</v>
      </c>
      <c r="AR102" s="73">
        <f ca="1">IF(AR$5="Doyon Notional Allocation",0,IF($C102&lt;&gt;AR$3,OFFSET('Allocation %'!$A$1,MATCH(AR$4,'Allocation %'!$A:$A,0)-1,MATCH($D102,'Allocation %'!$5:$5,0)-1)*($F42-$G42)*'2020 Assumptions'!$B$20,0))</f>
        <v>0</v>
      </c>
      <c r="AS102" s="73">
        <f ca="1">IF(AS$5="Doyon Notional Allocation",0,IF($C102&lt;&gt;AS$3,OFFSET('Allocation %'!$A$1,MATCH(AS$4,'Allocation %'!$A:$A,0)-1,MATCH($D102,'Allocation %'!$5:$5,0)-1)*($F42-$G42)*'2020 Assumptions'!$B$20,0))</f>
        <v>0</v>
      </c>
      <c r="AT102" s="73">
        <f ca="1">IF(AT$5="Doyon Notional Allocation",0,IF($C102&lt;&gt;AT$3,OFFSET('Allocation %'!$A$1,MATCH(AT$4,'Allocation %'!$A:$A,0)-1,MATCH($D102,'Allocation %'!$5:$5,0)-1)*($F42-$G42)*'2020 Assumptions'!$B$20,0))</f>
        <v>0</v>
      </c>
      <c r="AU102" s="73">
        <f ca="1">IF(AU$5="Doyon Notional Allocation",0,IF($C102&lt;&gt;AU$3,OFFSET('Allocation %'!$A$1,MATCH(AU$4,'Allocation %'!$A:$A,0)-1,MATCH($D102,'Allocation %'!$5:$5,0)-1)*($F42-$G42)*'2020 Assumptions'!$B$20,0))</f>
        <v>0</v>
      </c>
      <c r="AV102" s="73">
        <f ca="1">IF(AV$5="Doyon Notional Allocation",0,IF($C102&lt;&gt;AV$3,OFFSET('Allocation %'!$A$1,MATCH(AV$4,'Allocation %'!$A:$A,0)-1,MATCH($D102,'Allocation %'!$5:$5,0)-1)*($F42-$G42)*'2020 Assumptions'!$B$20,0))</f>
        <v>0</v>
      </c>
      <c r="AW102" s="73">
        <f ca="1">IF(AW$5="Doyon Notional Allocation",0,IF($C102&lt;&gt;AW$3,OFFSET('Allocation %'!$A$1,MATCH(AW$4,'Allocation %'!$A:$A,0)-1,MATCH($D102,'Allocation %'!$5:$5,0)-1)*($F42-$G42)*'2020 Assumptions'!$B$20,0))</f>
        <v>0</v>
      </c>
      <c r="AX102" s="73">
        <f ca="1">IF(AX$5="Doyon Notional Allocation",0,IF($C102&lt;&gt;AX$3,OFFSET('Allocation %'!$A$1,MATCH(AX$4,'Allocation %'!$A:$A,0)-1,MATCH($D102,'Allocation %'!$5:$5,0)-1)*($F42-$G42)*'2020 Assumptions'!$B$20,0))</f>
        <v>0</v>
      </c>
      <c r="AY102" s="73">
        <f ca="1">IF(AY$5="Doyon Notional Allocation",0,IF($C102&lt;&gt;AY$3,OFFSET('Allocation %'!$A$1,MATCH(AY$4,'Allocation %'!$A:$A,0)-1,MATCH($D102,'Allocation %'!$5:$5,0)-1)*($F42-$G42)*'2020 Assumptions'!$B$20,0))</f>
        <v>0</v>
      </c>
      <c r="AZ102" s="73">
        <f ca="1">IF(AZ$5="Doyon Notional Allocation",0,IF($C102&lt;&gt;AZ$3,OFFSET('Allocation %'!$A$1,MATCH(AZ$4,'Allocation %'!$A:$A,0)-1,MATCH($D102,'Allocation %'!$5:$5,0)-1)*($F42-$G42)*'2020 Assumptions'!$B$20,0))</f>
        <v>0</v>
      </c>
      <c r="BA102" s="73">
        <f ca="1">IF(BA$5="Doyon Notional Allocation",0,IF($C102&lt;&gt;BA$3,OFFSET('Allocation %'!$A$1,MATCH(BA$4,'Allocation %'!$A:$A,0)-1,MATCH($D102,'Allocation %'!$5:$5,0)-1)*($F42-$G42)*'2020 Assumptions'!$B$20,0))</f>
        <v>0</v>
      </c>
      <c r="BB102" s="73">
        <f ca="1">IF(BB$5="Doyon Notional Allocation",0,IF($C102&lt;&gt;BB$3,OFFSET('Allocation %'!$A$1,MATCH(BB$4,'Allocation %'!$A:$A,0)-1,MATCH($D102,'Allocation %'!$5:$5,0)-1)*($F42-$G42)*'2020 Assumptions'!$B$20,0))</f>
        <v>0</v>
      </c>
      <c r="BC102" s="73">
        <f ca="1">IF(BC$5="Doyon Notional Allocation",0,IF($C102&lt;&gt;BC$3,OFFSET('Allocation %'!$A$1,MATCH(BC$4,'Allocation %'!$A:$A,0)-1,MATCH($D102,'Allocation %'!$5:$5,0)-1)*($F42-$G42)*'2020 Assumptions'!$B$20,0))</f>
        <v>0</v>
      </c>
      <c r="BD102" s="73">
        <f ca="1">IF(BD$5="Doyon Notional Allocation",0,IF($C102&lt;&gt;BD$3,OFFSET('Allocation %'!$A$1,MATCH(BD$4,'Allocation %'!$A:$A,0)-1,MATCH($D102,'Allocation %'!$5:$5,0)-1)*($F42-$G42)*'2020 Assumptions'!$B$20,0))</f>
        <v>0</v>
      </c>
      <c r="BE102" s="73">
        <f ca="1">IF(BE$5="Doyon Notional Allocation",0,IF($C102&lt;&gt;BE$3,OFFSET('Allocation %'!$A$1,MATCH(BE$4,'Allocation %'!$A:$A,0)-1,MATCH($D102,'Allocation %'!$5:$5,0)-1)*($F42-$G42)*'2020 Assumptions'!$B$20,0))</f>
        <v>0</v>
      </c>
      <c r="BG102" s="76">
        <f t="shared" ca="1" si="9"/>
        <v>0</v>
      </c>
      <c r="BH102" s="349">
        <f t="shared" ca="1" si="10"/>
        <v>0</v>
      </c>
    </row>
    <row r="103" spans="1:60" s="177" customFormat="1" x14ac:dyDescent="0.25">
      <c r="A103" s="139" t="s">
        <v>419</v>
      </c>
      <c r="B103" s="259" t="str">
        <f t="shared" ref="B103:B121" si="19">B43&amp;" Mark up"</f>
        <v>009010 - Water Service Corporation Admin Mark up</v>
      </c>
      <c r="C103" s="69" t="str">
        <f t="shared" ref="C103:D121" si="20">C43</f>
        <v>USD</v>
      </c>
      <c r="D103" s="352" t="str">
        <f t="shared" ca="1" si="20"/>
        <v>RU - L48</v>
      </c>
      <c r="E103" s="73">
        <f ca="1">F103*'2020 Assumptions'!$B$4</f>
        <v>0</v>
      </c>
      <c r="F103" s="317">
        <f t="shared" ca="1" si="11"/>
        <v>0</v>
      </c>
      <c r="G103" s="73"/>
      <c r="I103" s="73">
        <f ca="1">IF(I$5="Doyon Notional Allocation",0,IF($C103&lt;&gt;I$3,OFFSET('Allocation %'!$A$1,MATCH(I$4,'Allocation %'!$A:$A,0)-1,MATCH($D103,'Allocation %'!$5:$5,0)-1)*($F43-$G43)*'2020 Assumptions'!$B$20,0))</f>
        <v>0</v>
      </c>
      <c r="J103" s="73">
        <f ca="1">IF(J$5="Doyon Notional Allocation",0,IF($C103&lt;&gt;J$3,OFFSET('Allocation %'!$A$1,MATCH(J$4,'Allocation %'!$A:$A,0)-1,MATCH($D103,'Allocation %'!$5:$5,0)-1)*($F43-$G43)*'2020 Assumptions'!$B$20,0))</f>
        <v>0</v>
      </c>
      <c r="K103" s="73">
        <f ca="1">IF(K$5="Doyon Notional Allocation",0,IF($C103&lt;&gt;K$3,OFFSET('Allocation %'!$A$1,MATCH(K$4,'Allocation %'!$A:$A,0)-1,MATCH($D103,'Allocation %'!$5:$5,0)-1)*($F43-$G43)*'2020 Assumptions'!$B$20,0))</f>
        <v>0</v>
      </c>
      <c r="L103" s="73">
        <f ca="1">IF(L$5="Doyon Notional Allocation",0,IF($C103&lt;&gt;L$3,OFFSET('Allocation %'!$A$1,MATCH(L$4,'Allocation %'!$A:$A,0)-1,MATCH($D103,'Allocation %'!$5:$5,0)-1)*($F43-$G43)*'2020 Assumptions'!$B$20,0))</f>
        <v>0</v>
      </c>
      <c r="M103" s="73">
        <f ca="1">IF(M$5="Doyon Notional Allocation",0,IF($C103&lt;&gt;M$3,OFFSET('Allocation %'!$A$1,MATCH(M$4,'Allocation %'!$A:$A,0)-1,MATCH($D103,'Allocation %'!$5:$5,0)-1)*($F43-$G43)*'2020 Assumptions'!$B$20,0))</f>
        <v>0</v>
      </c>
      <c r="N103" s="73">
        <f ca="1">IF(N$5="Doyon Notional Allocation",0,IF($C103&lt;&gt;N$3,OFFSET('Allocation %'!$A$1,MATCH(N$4,'Allocation %'!$A:$A,0)-1,MATCH($D103,'Allocation %'!$5:$5,0)-1)*($F43-$G43)*'2020 Assumptions'!$B$20,0))</f>
        <v>0</v>
      </c>
      <c r="O103" s="73">
        <f ca="1">IF(O$5="Doyon Notional Allocation",0,IF($C103&lt;&gt;O$3,OFFSET('Allocation %'!$A$1,MATCH(O$4,'Allocation %'!$A:$A,0)-1,MATCH($D103,'Allocation %'!$5:$5,0)-1)*($F43-$G43)*'2020 Assumptions'!$B$20,0))</f>
        <v>0</v>
      </c>
      <c r="P103" s="73">
        <f ca="1">IF(P$5="Doyon Notional Allocation",0,IF($C103&lt;&gt;P$3,OFFSET('Allocation %'!$A$1,MATCH(P$4,'Allocation %'!$A:$A,0)-1,MATCH($D103,'Allocation %'!$5:$5,0)-1)*($F43-$G43)*'2020 Assumptions'!$B$20,0))</f>
        <v>0</v>
      </c>
      <c r="Q103" s="73">
        <f ca="1">IF(Q$5="Doyon Notional Allocation",0,IF($C103&lt;&gt;Q$3,OFFSET('Allocation %'!$A$1,MATCH(Q$4,'Allocation %'!$A:$A,0)-1,MATCH($D103,'Allocation %'!$5:$5,0)-1)*($F43-$G43)*'2020 Assumptions'!$B$20,0))</f>
        <v>0</v>
      </c>
      <c r="R103" s="73">
        <f ca="1">IF(R$5="Doyon Notional Allocation",0,IF($C103&lt;&gt;R$3,OFFSET('Allocation %'!$A$1,MATCH(R$4,'Allocation %'!$A:$A,0)-1,MATCH($D103,'Allocation %'!$5:$5,0)-1)*($F43-$G43)*'2020 Assumptions'!$B$20,0))</f>
        <v>0</v>
      </c>
      <c r="S103" s="73">
        <f ca="1">IF(S$5="Doyon Notional Allocation",0,IF($C103&lt;&gt;S$3,OFFSET('Allocation %'!$A$1,MATCH(S$4,'Allocation %'!$A:$A,0)-1,MATCH($D103,'Allocation %'!$5:$5,0)-1)*($F43-$G43)*'2020 Assumptions'!$B$20,0))</f>
        <v>0</v>
      </c>
      <c r="T103" s="73">
        <f ca="1">IF(T$5="Doyon Notional Allocation",0,IF($C103&lt;&gt;T$3,OFFSET('Allocation %'!$A$1,MATCH(T$4,'Allocation %'!$A:$A,0)-1,MATCH($D103,'Allocation %'!$5:$5,0)-1)*($F43-$G43)*'2020 Assumptions'!$B$20,0))</f>
        <v>0</v>
      </c>
      <c r="U103" s="73">
        <f ca="1">IF(U$5="Doyon Notional Allocation",0,IF($C103&lt;&gt;U$3,OFFSET('Allocation %'!$A$1,MATCH(U$4,'Allocation %'!$A:$A,0)-1,MATCH($D103,'Allocation %'!$5:$5,0)-1)*($F43-$G43)*'2020 Assumptions'!$B$20,0))</f>
        <v>0</v>
      </c>
      <c r="V103" s="73">
        <f ca="1">IF(V$5="Doyon Notional Allocation",0,IF($C103&lt;&gt;V$3,OFFSET('Allocation %'!$A$1,MATCH(V$4,'Allocation %'!$A:$A,0)-1,MATCH($D103,'Allocation %'!$5:$5,0)-1)*($F43-$G43)*'2020 Assumptions'!$B$20,0))</f>
        <v>0</v>
      </c>
      <c r="W103" s="73">
        <f ca="1">IF(W$5="Doyon Notional Allocation",0,IF($C103&lt;&gt;W$3,OFFSET('Allocation %'!$A$1,MATCH(W$4,'Allocation %'!$A:$A,0)-1,MATCH($D103,'Allocation %'!$5:$5,0)-1)*($F43-$G43)*'2020 Assumptions'!$B$20,0))</f>
        <v>0</v>
      </c>
      <c r="X103" s="73">
        <f ca="1">IF(X$5="Doyon Notional Allocation",0,IF($C103&lt;&gt;X$3,OFFSET('Allocation %'!$A$1,MATCH(X$4,'Allocation %'!$A:$A,0)-1,MATCH($D103,'Allocation %'!$5:$5,0)-1)*($F43-$G43)*'2020 Assumptions'!$B$20,0))</f>
        <v>0</v>
      </c>
      <c r="Y103" s="73">
        <f ca="1">IF(Y$5="Doyon Notional Allocation",0,IF($C103&lt;&gt;Y$3,OFFSET('Allocation %'!$A$1,MATCH(Y$4,'Allocation %'!$A:$A,0)-1,MATCH($D103,'Allocation %'!$5:$5,0)-1)*($F43-$G43)*'2020 Assumptions'!$B$20,0))</f>
        <v>0</v>
      </c>
      <c r="Z103" s="73">
        <f ca="1">IF(Z$5="Doyon Notional Allocation",0,IF($C103&lt;&gt;Z$3,OFFSET('Allocation %'!$A$1,MATCH(Z$4,'Allocation %'!$A:$A,0)-1,MATCH($D103,'Allocation %'!$5:$5,0)-1)*($F43-$G43)*'2020 Assumptions'!$B$20,0))</f>
        <v>0</v>
      </c>
      <c r="AA103" s="73">
        <f ca="1">IF(AA$5="Doyon Notional Allocation",0,IF($C103&lt;&gt;AA$3,OFFSET('Allocation %'!$A$1,MATCH(AA$4,'Allocation %'!$A:$A,0)-1,MATCH($D103,'Allocation %'!$5:$5,0)-1)*($F43-$G43)*'2020 Assumptions'!$B$20,0))</f>
        <v>0</v>
      </c>
      <c r="AB103" s="73">
        <f ca="1">IF(AB$5="Doyon Notional Allocation",0,IF($C103&lt;&gt;AB$3,OFFSET('Allocation %'!$A$1,MATCH(AB$4,'Allocation %'!$A:$A,0)-1,MATCH($D103,'Allocation %'!$5:$5,0)-1)*($F43-$G43)*'2020 Assumptions'!$B$20,0))</f>
        <v>0</v>
      </c>
      <c r="AC103" s="73">
        <f ca="1">IF(AC$5="Doyon Notional Allocation",0,IF($C103&lt;&gt;AC$3,OFFSET('Allocation %'!$A$1,MATCH(AC$4,'Allocation %'!$A:$A,0)-1,MATCH($D103,'Allocation %'!$5:$5,0)-1)*($F43-$G43)*'2020 Assumptions'!$B$20,0))</f>
        <v>0</v>
      </c>
      <c r="AD103" s="73">
        <f ca="1">IF(AD$5="Doyon Notional Allocation",0,IF($C103&lt;&gt;AD$3,OFFSET('Allocation %'!$A$1,MATCH(AD$4,'Allocation %'!$A:$A,0)-1,MATCH($D103,'Allocation %'!$5:$5,0)-1)*($F43-$G43)*'2020 Assumptions'!$B$20,0))</f>
        <v>0</v>
      </c>
      <c r="AE103" s="73">
        <f ca="1">IF(AE$5="Doyon Notional Allocation",0,IF($C103&lt;&gt;AE$3,OFFSET('Allocation %'!$A$1,MATCH(AE$4,'Allocation %'!$A:$A,0)-1,MATCH($D103,'Allocation %'!$5:$5,0)-1)*($F43-$G43)*'2020 Assumptions'!$B$20,0))</f>
        <v>0</v>
      </c>
      <c r="AF103" s="73">
        <f ca="1">IF(AF$5="Doyon Notional Allocation",0,IF($C103&lt;&gt;AF$3,OFFSET('Allocation %'!$A$1,MATCH(AF$4,'Allocation %'!$A:$A,0)-1,MATCH($D103,'Allocation %'!$5:$5,0)-1)*($F43-$G43)*'2020 Assumptions'!$B$20,0))</f>
        <v>0</v>
      </c>
      <c r="AG103" s="73">
        <f ca="1">IF(AG$5="Doyon Notional Allocation",0,IF($C103&lt;&gt;AG$3,OFFSET('Allocation %'!$A$1,MATCH(AG$4,'Allocation %'!$A:$A,0)-1,MATCH($D103,'Allocation %'!$5:$5,0)-1)*($F43-$G43)*'2020 Assumptions'!$B$20,0))</f>
        <v>0</v>
      </c>
      <c r="AH103" s="73">
        <f ca="1">IF(AH$5="Doyon Notional Allocation",0,IF($C103&lt;&gt;AH$3,OFFSET('Allocation %'!$A$1,MATCH(AH$4,'Allocation %'!$A:$A,0)-1,MATCH($D103,'Allocation %'!$5:$5,0)-1)*($F43-$G43)*'2020 Assumptions'!$B$20,0))</f>
        <v>0</v>
      </c>
      <c r="AI103" s="73">
        <f ca="1">IF(AI$5="Doyon Notional Allocation",0,IF($C103&lt;&gt;AI$3,OFFSET('Allocation %'!$A$1,MATCH(AI$4,'Allocation %'!$A:$A,0)-1,MATCH($D103,'Allocation %'!$5:$5,0)-1)*($F43-$G43)*'2020 Assumptions'!$B$20,0))</f>
        <v>0</v>
      </c>
      <c r="AJ103" s="73">
        <f ca="1">IF(AJ$5="Doyon Notional Allocation",0,IF($C103&lt;&gt;AJ$3,OFFSET('Allocation %'!$A$1,MATCH(AJ$4,'Allocation %'!$A:$A,0)-1,MATCH($D103,'Allocation %'!$5:$5,0)-1)*($F43-$G43)*'2020 Assumptions'!$B$20,0))</f>
        <v>0</v>
      </c>
      <c r="AK103" s="73">
        <f ca="1">IF(AK$5="Doyon Notional Allocation",0,IF($C103&lt;&gt;AK$3,OFFSET('Allocation %'!$A$1,MATCH(AK$4,'Allocation %'!$A:$A,0)-1,MATCH($D103,'Allocation %'!$5:$5,0)-1)*($F43-$G43)*'2020 Assumptions'!$B$20,0))</f>
        <v>0</v>
      </c>
      <c r="AL103" s="73">
        <f ca="1">IF(AL$5="Doyon Notional Allocation",0,IF($C103&lt;&gt;AL$3,OFFSET('Allocation %'!$A$1,MATCH(AL$4,'Allocation %'!$A:$A,0)-1,MATCH($D103,'Allocation %'!$5:$5,0)-1)*($F43-$G43)*'2020 Assumptions'!$B$20,0))</f>
        <v>0</v>
      </c>
      <c r="AM103" s="73">
        <f ca="1">IF(AM$5="Doyon Notional Allocation",0,IF($C103&lt;&gt;AM$3,OFFSET('Allocation %'!$A$1,MATCH(AM$4,'Allocation %'!$A:$A,0)-1,MATCH($D103,'Allocation %'!$5:$5,0)-1)*($F43-$G43)*'2020 Assumptions'!$B$20,0))</f>
        <v>0</v>
      </c>
      <c r="AN103" s="73">
        <f ca="1">IF(AN$5="Doyon Notional Allocation",0,IF($C103&lt;&gt;AN$3,OFFSET('Allocation %'!$A$1,MATCH(AN$4,'Allocation %'!$A:$A,0)-1,MATCH($D103,'Allocation %'!$5:$5,0)-1)*($F43-$G43)*'2020 Assumptions'!$B$20,0))</f>
        <v>0</v>
      </c>
      <c r="AO103" s="73">
        <f ca="1">IF(AO$5="Doyon Notional Allocation",0,IF($C103&lt;&gt;AO$3,OFFSET('Allocation %'!$A$1,MATCH(AO$4,'Allocation %'!$A:$A,0)-1,MATCH($D103,'Allocation %'!$5:$5,0)-1)*($F43-$G43)*'2020 Assumptions'!$B$20,0))</f>
        <v>0</v>
      </c>
      <c r="AP103" s="73">
        <f ca="1">IF(AP$5="Doyon Notional Allocation",0,IF($C103&lt;&gt;AP$3,OFFSET('Allocation %'!$A$1,MATCH(AP$4,'Allocation %'!$A:$A,0)-1,MATCH($D103,'Allocation %'!$5:$5,0)-1)*($F43-$G43)*'2020 Assumptions'!$B$20,0))</f>
        <v>0</v>
      </c>
      <c r="AQ103" s="73">
        <f ca="1">IF(AQ$5="Doyon Notional Allocation",0,IF($C103&lt;&gt;AQ$3,OFFSET('Allocation %'!$A$1,MATCH(AQ$4,'Allocation %'!$A:$A,0)-1,MATCH($D103,'Allocation %'!$5:$5,0)-1)*($F43-$G43)*'2020 Assumptions'!$B$20,0))</f>
        <v>0</v>
      </c>
      <c r="AR103" s="73">
        <f ca="1">IF(AR$5="Doyon Notional Allocation",0,IF($C103&lt;&gt;AR$3,OFFSET('Allocation %'!$A$1,MATCH(AR$4,'Allocation %'!$A:$A,0)-1,MATCH($D103,'Allocation %'!$5:$5,0)-1)*($F43-$G43)*'2020 Assumptions'!$B$20,0))</f>
        <v>0</v>
      </c>
      <c r="AS103" s="73">
        <f ca="1">IF(AS$5="Doyon Notional Allocation",0,IF($C103&lt;&gt;AS$3,OFFSET('Allocation %'!$A$1,MATCH(AS$4,'Allocation %'!$A:$A,0)-1,MATCH($D103,'Allocation %'!$5:$5,0)-1)*($F43-$G43)*'2020 Assumptions'!$B$20,0))</f>
        <v>0</v>
      </c>
      <c r="AT103" s="73">
        <f ca="1">IF(AT$5="Doyon Notional Allocation",0,IF($C103&lt;&gt;AT$3,OFFSET('Allocation %'!$A$1,MATCH(AT$4,'Allocation %'!$A:$A,0)-1,MATCH($D103,'Allocation %'!$5:$5,0)-1)*($F43-$G43)*'2020 Assumptions'!$B$20,0))</f>
        <v>0</v>
      </c>
      <c r="AU103" s="73">
        <f ca="1">IF(AU$5="Doyon Notional Allocation",0,IF($C103&lt;&gt;AU$3,OFFSET('Allocation %'!$A$1,MATCH(AU$4,'Allocation %'!$A:$A,0)-1,MATCH($D103,'Allocation %'!$5:$5,0)-1)*($F43-$G43)*'2020 Assumptions'!$B$20,0))</f>
        <v>0</v>
      </c>
      <c r="AV103" s="73">
        <f ca="1">IF(AV$5="Doyon Notional Allocation",0,IF($C103&lt;&gt;AV$3,OFFSET('Allocation %'!$A$1,MATCH(AV$4,'Allocation %'!$A:$A,0)-1,MATCH($D103,'Allocation %'!$5:$5,0)-1)*($F43-$G43)*'2020 Assumptions'!$B$20,0))</f>
        <v>0</v>
      </c>
      <c r="AW103" s="73">
        <f ca="1">IF(AW$5="Doyon Notional Allocation",0,IF($C103&lt;&gt;AW$3,OFFSET('Allocation %'!$A$1,MATCH(AW$4,'Allocation %'!$A:$A,0)-1,MATCH($D103,'Allocation %'!$5:$5,0)-1)*($F43-$G43)*'2020 Assumptions'!$B$20,0))</f>
        <v>0</v>
      </c>
      <c r="AX103" s="73">
        <f ca="1">IF(AX$5="Doyon Notional Allocation",0,IF($C103&lt;&gt;AX$3,OFFSET('Allocation %'!$A$1,MATCH(AX$4,'Allocation %'!$A:$A,0)-1,MATCH($D103,'Allocation %'!$5:$5,0)-1)*($F43-$G43)*'2020 Assumptions'!$B$20,0))</f>
        <v>0</v>
      </c>
      <c r="AY103" s="73">
        <f ca="1">IF(AY$5="Doyon Notional Allocation",0,IF($C103&lt;&gt;AY$3,OFFSET('Allocation %'!$A$1,MATCH(AY$4,'Allocation %'!$A:$A,0)-1,MATCH($D103,'Allocation %'!$5:$5,0)-1)*($F43-$G43)*'2020 Assumptions'!$B$20,0))</f>
        <v>0</v>
      </c>
      <c r="AZ103" s="73">
        <f ca="1">IF(AZ$5="Doyon Notional Allocation",0,IF($C103&lt;&gt;AZ$3,OFFSET('Allocation %'!$A$1,MATCH(AZ$4,'Allocation %'!$A:$A,0)-1,MATCH($D103,'Allocation %'!$5:$5,0)-1)*($F43-$G43)*'2020 Assumptions'!$B$20,0))</f>
        <v>0</v>
      </c>
      <c r="BA103" s="73">
        <f ca="1">IF(BA$5="Doyon Notional Allocation",0,IF($C103&lt;&gt;BA$3,OFFSET('Allocation %'!$A$1,MATCH(BA$4,'Allocation %'!$A:$A,0)-1,MATCH($D103,'Allocation %'!$5:$5,0)-1)*($F43-$G43)*'2020 Assumptions'!$B$20,0))</f>
        <v>0</v>
      </c>
      <c r="BB103" s="73">
        <f ca="1">IF(BB$5="Doyon Notional Allocation",0,IF($C103&lt;&gt;BB$3,OFFSET('Allocation %'!$A$1,MATCH(BB$4,'Allocation %'!$A:$A,0)-1,MATCH($D103,'Allocation %'!$5:$5,0)-1)*($F43-$G43)*'2020 Assumptions'!$B$20,0))</f>
        <v>0</v>
      </c>
      <c r="BC103" s="73">
        <f ca="1">IF(BC$5="Doyon Notional Allocation",0,IF($C103&lt;&gt;BC$3,OFFSET('Allocation %'!$A$1,MATCH(BC$4,'Allocation %'!$A:$A,0)-1,MATCH($D103,'Allocation %'!$5:$5,0)-1)*($F43-$G43)*'2020 Assumptions'!$B$20,0))</f>
        <v>0</v>
      </c>
      <c r="BD103" s="73">
        <f ca="1">IF(BD$5="Doyon Notional Allocation",0,IF($C103&lt;&gt;BD$3,OFFSET('Allocation %'!$A$1,MATCH(BD$4,'Allocation %'!$A:$A,0)-1,MATCH($D103,'Allocation %'!$5:$5,0)-1)*($F43-$G43)*'2020 Assumptions'!$B$20,0))</f>
        <v>0</v>
      </c>
      <c r="BE103" s="73">
        <f ca="1">IF(BE$5="Doyon Notional Allocation",0,IF($C103&lt;&gt;BE$3,OFFSET('Allocation %'!$A$1,MATCH(BE$4,'Allocation %'!$A:$A,0)-1,MATCH($D103,'Allocation %'!$5:$5,0)-1)*($F43-$G43)*'2020 Assumptions'!$B$20,0))</f>
        <v>0</v>
      </c>
      <c r="BG103" s="76">
        <f t="shared" ca="1" si="9"/>
        <v>0</v>
      </c>
      <c r="BH103" s="349">
        <f t="shared" ca="1" si="10"/>
        <v>0</v>
      </c>
    </row>
    <row r="104" spans="1:60" s="177" customFormat="1" x14ac:dyDescent="0.25">
      <c r="A104" s="139" t="s">
        <v>419</v>
      </c>
      <c r="B104" s="259" t="str">
        <f t="shared" si="19"/>
        <v>009015 - Corporate Finance Cost Ctr Mark up</v>
      </c>
      <c r="C104" s="69" t="str">
        <f t="shared" si="20"/>
        <v>USD</v>
      </c>
      <c r="D104" s="352" t="str">
        <f t="shared" ca="1" si="20"/>
        <v>ALL</v>
      </c>
      <c r="E104" s="73">
        <f ca="1">F104*'2020 Assumptions'!$B$4</f>
        <v>620.28970279947237</v>
      </c>
      <c r="F104" s="317">
        <f t="shared" ca="1" si="11"/>
        <v>461.45640737946161</v>
      </c>
      <c r="G104" s="73"/>
      <c r="I104" s="73">
        <f ca="1">IF(I$5="Doyon Notional Allocation",0,IF($C104&lt;&gt;I$3,OFFSET('Allocation %'!$A$1,MATCH(I$4,'Allocation %'!$A:$A,0)-1,MATCH($D104,'Allocation %'!$5:$5,0)-1)*($F44-$G44)*'2020 Assumptions'!$B$20,0))</f>
        <v>0</v>
      </c>
      <c r="J104" s="73">
        <f ca="1">IF(J$5="Doyon Notional Allocation",0,IF($C104&lt;&gt;J$3,OFFSET('Allocation %'!$A$1,MATCH(J$4,'Allocation %'!$A:$A,0)-1,MATCH($D104,'Allocation %'!$5:$5,0)-1)*($F44-$G44)*'2020 Assumptions'!$B$20,0))</f>
        <v>10.617952713239147</v>
      </c>
      <c r="K104" s="73">
        <f ca="1">IF(K$5="Doyon Notional Allocation",0,IF($C104&lt;&gt;K$3,OFFSET('Allocation %'!$A$1,MATCH(K$4,'Allocation %'!$A:$A,0)-1,MATCH($D104,'Allocation %'!$5:$5,0)-1)*($F44-$G44)*'2020 Assumptions'!$B$20,0))</f>
        <v>3.3427513780092646</v>
      </c>
      <c r="L104" s="73">
        <f ca="1">IF(L$5="Doyon Notional Allocation",0,IF($C104&lt;&gt;L$3,OFFSET('Allocation %'!$A$1,MATCH(L$4,'Allocation %'!$A:$A,0)-1,MATCH($D104,'Allocation %'!$5:$5,0)-1)*($F44-$G44)*'2020 Assumptions'!$B$20,0))</f>
        <v>3.6131456725692193</v>
      </c>
      <c r="M104" s="73">
        <f ca="1">IF(M$5="Doyon Notional Allocation",0,IF($C104&lt;&gt;M$3,OFFSET('Allocation %'!$A$1,MATCH(M$4,'Allocation %'!$A:$A,0)-1,MATCH($D104,'Allocation %'!$5:$5,0)-1)*($F44-$G44)*'2020 Assumptions'!$B$20,0))</f>
        <v>5.8820323849015939</v>
      </c>
      <c r="N104" s="73">
        <f ca="1">IF(N$5="Doyon Notional Allocation",0,IF($C104&lt;&gt;N$3,OFFSET('Allocation %'!$A$1,MATCH(N$4,'Allocation %'!$A:$A,0)-1,MATCH($D104,'Allocation %'!$5:$5,0)-1)*($F44-$G44)*'2020 Assumptions'!$B$20,0))</f>
        <v>5.1472445414095276</v>
      </c>
      <c r="O104" s="73">
        <f ca="1">IF(O$5="Doyon Notional Allocation",0,IF($C104&lt;&gt;O$3,OFFSET('Allocation %'!$A$1,MATCH(O$4,'Allocation %'!$A:$A,0)-1,MATCH($D104,'Allocation %'!$5:$5,0)-1)*($F44-$G44)*'2020 Assumptions'!$B$20,0))</f>
        <v>12.034353765860244</v>
      </c>
      <c r="P104" s="73">
        <f ca="1">IF(P$5="Doyon Notional Allocation",0,IF($C104&lt;&gt;P$3,OFFSET('Allocation %'!$A$1,MATCH(P$4,'Allocation %'!$A:$A,0)-1,MATCH($D104,'Allocation %'!$5:$5,0)-1)*($F44-$G44)*'2020 Assumptions'!$B$20,0))</f>
        <v>1.7474281423722164</v>
      </c>
      <c r="Q104" s="73">
        <f ca="1">IF(Q$5="Doyon Notional Allocation",0,IF($C104&lt;&gt;Q$3,OFFSET('Allocation %'!$A$1,MATCH(Q$4,'Allocation %'!$A:$A,0)-1,MATCH($D104,'Allocation %'!$5:$5,0)-1)*($F44-$G44)*'2020 Assumptions'!$B$20,0))</f>
        <v>3.8133628290258423</v>
      </c>
      <c r="R104" s="73">
        <f ca="1">IF(R$5="Doyon Notional Allocation",0,IF($C104&lt;&gt;R$3,OFFSET('Allocation %'!$A$1,MATCH(R$4,'Allocation %'!$A:$A,0)-1,MATCH($D104,'Allocation %'!$5:$5,0)-1)*($F44-$G44)*'2020 Assumptions'!$B$20,0))</f>
        <v>3.5193858264481577</v>
      </c>
      <c r="S104" s="73">
        <f ca="1">IF(S$5="Doyon Notional Allocation",0,IF($C104&lt;&gt;S$3,OFFSET('Allocation %'!$A$1,MATCH(S$4,'Allocation %'!$A:$A,0)-1,MATCH($D104,'Allocation %'!$5:$5,0)-1)*($F44-$G44)*'2020 Assumptions'!$B$20,0))</f>
        <v>3.3850521664919859</v>
      </c>
      <c r="T104" s="73">
        <f ca="1">IF(T$5="Doyon Notional Allocation",0,IF($C104&lt;&gt;T$3,OFFSET('Allocation %'!$A$1,MATCH(T$4,'Allocation %'!$A:$A,0)-1,MATCH($D104,'Allocation %'!$5:$5,0)-1)*($F44-$G44)*'2020 Assumptions'!$B$20,0))</f>
        <v>12.149281873316832</v>
      </c>
      <c r="U104" s="73">
        <f ca="1">IF(U$5="Doyon Notional Allocation",0,IF($C104&lt;&gt;U$3,OFFSET('Allocation %'!$A$1,MATCH(U$4,'Allocation %'!$A:$A,0)-1,MATCH($D104,'Allocation %'!$5:$5,0)-1)*($F44-$G44)*'2020 Assumptions'!$B$20,0))</f>
        <v>7.7712998889644709</v>
      </c>
      <c r="V104" s="73">
        <f ca="1">IF(V$5="Doyon Notional Allocation",0,IF($C104&lt;&gt;V$3,OFFSET('Allocation %'!$A$1,MATCH(V$4,'Allocation %'!$A:$A,0)-1,MATCH($D104,'Allocation %'!$5:$5,0)-1)*($F44-$G44)*'2020 Assumptions'!$B$20,0))</f>
        <v>8.2475061040522757</v>
      </c>
      <c r="W104" s="73">
        <f ca="1">IF(W$5="Doyon Notional Allocation",0,IF($C104&lt;&gt;W$3,OFFSET('Allocation %'!$A$1,MATCH(W$4,'Allocation %'!$A:$A,0)-1,MATCH($D104,'Allocation %'!$5:$5,0)-1)*($F44-$G44)*'2020 Assumptions'!$B$20,0))</f>
        <v>13.356361590626673</v>
      </c>
      <c r="X104" s="73">
        <f ca="1">IF(X$5="Doyon Notional Allocation",0,IF($C104&lt;&gt;X$3,OFFSET('Allocation %'!$A$1,MATCH(X$4,'Allocation %'!$A:$A,0)-1,MATCH($D104,'Allocation %'!$5:$5,0)-1)*($F44-$G44)*'2020 Assumptions'!$B$20,0))</f>
        <v>0.30934277946745797</v>
      </c>
      <c r="Y104" s="73">
        <f ca="1">IF(Y$5="Doyon Notional Allocation",0,IF($C104&lt;&gt;Y$3,OFFSET('Allocation %'!$A$1,MATCH(Y$4,'Allocation %'!$A:$A,0)-1,MATCH($D104,'Allocation %'!$5:$5,0)-1)*($F44-$G44)*'2020 Assumptions'!$B$20,0))</f>
        <v>0.24409018319087566</v>
      </c>
      <c r="Z104" s="73">
        <f ca="1">IF(Z$5="Doyon Notional Allocation",0,IF($C104&lt;&gt;Z$3,OFFSET('Allocation %'!$A$1,MATCH(Z$4,'Allocation %'!$A:$A,0)-1,MATCH($D104,'Allocation %'!$5:$5,0)-1)*($F44-$G44)*'2020 Assumptions'!$B$20,0))</f>
        <v>0.71180625027485489</v>
      </c>
      <c r="AA104" s="73">
        <f ca="1">IF(AA$5="Doyon Notional Allocation",0,IF($C104&lt;&gt;AA$3,OFFSET('Allocation %'!$A$1,MATCH(AA$4,'Allocation %'!$A:$A,0)-1,MATCH($D104,'Allocation %'!$5:$5,0)-1)*($F44-$G44)*'2020 Assumptions'!$B$20,0))</f>
        <v>0.6494677827996852</v>
      </c>
      <c r="AB104" s="73">
        <f ca="1">IF(AB$5="Doyon Notional Allocation",0,IF($C104&lt;&gt;AB$3,OFFSET('Allocation %'!$A$1,MATCH(AB$4,'Allocation %'!$A:$A,0)-1,MATCH($D104,'Allocation %'!$5:$5,0)-1)*($F44-$G44)*'2020 Assumptions'!$B$20,0))</f>
        <v>0.62844358113105203</v>
      </c>
      <c r="AC104" s="73">
        <f ca="1">IF(AC$5="Doyon Notional Allocation",0,IF($C104&lt;&gt;AC$3,OFFSET('Allocation %'!$A$1,MATCH(AC$4,'Allocation %'!$A:$A,0)-1,MATCH($D104,'Allocation %'!$5:$5,0)-1)*($F44-$G44)*'2020 Assumptions'!$B$20,0))</f>
        <v>0.71094965505649288</v>
      </c>
      <c r="AD104" s="73">
        <f ca="1">IF(AD$5="Doyon Notional Allocation",0,IF($C104&lt;&gt;AD$3,OFFSET('Allocation %'!$A$1,MATCH(AD$4,'Allocation %'!$A:$A,0)-1,MATCH($D104,'Allocation %'!$5:$5,0)-1)*($F44-$G44)*'2020 Assumptions'!$B$20,0))</f>
        <v>1.5710810564320912</v>
      </c>
      <c r="AE104" s="73">
        <f ca="1">IF(AE$5="Doyon Notional Allocation",0,IF($C104&lt;&gt;AE$3,OFFSET('Allocation %'!$A$1,MATCH(AE$4,'Allocation %'!$A:$A,0)-1,MATCH($D104,'Allocation %'!$5:$5,0)-1)*($F44-$G44)*'2020 Assumptions'!$B$20,0))</f>
        <v>1.5039347266004173</v>
      </c>
      <c r="AF104" s="73">
        <f ca="1">IF(AF$5="Doyon Notional Allocation",0,IF($C104&lt;&gt;AF$3,OFFSET('Allocation %'!$A$1,MATCH(AF$4,'Allocation %'!$A:$A,0)-1,MATCH($D104,'Allocation %'!$5:$5,0)-1)*($F44-$G44)*'2020 Assumptions'!$B$20,0))</f>
        <v>7.41440543752657</v>
      </c>
      <c r="AG104" s="73">
        <f ca="1">IF(AG$5="Doyon Notional Allocation",0,IF($C104&lt;&gt;AG$3,OFFSET('Allocation %'!$A$1,MATCH(AG$4,'Allocation %'!$A:$A,0)-1,MATCH($D104,'Allocation %'!$5:$5,0)-1)*($F44-$G44)*'2020 Assumptions'!$B$20,0))</f>
        <v>11.668669323387196</v>
      </c>
      <c r="AH104" s="73">
        <f ca="1">IF(AH$5="Doyon Notional Allocation",0,IF($C104&lt;&gt;AH$3,OFFSET('Allocation %'!$A$1,MATCH(AH$4,'Allocation %'!$A:$A,0)-1,MATCH($D104,'Allocation %'!$5:$5,0)-1)*($F44-$G44)*'2020 Assumptions'!$B$20,0))</f>
        <v>103.21232332624933</v>
      </c>
      <c r="AI104" s="73">
        <f ca="1">IF(AI$5="Doyon Notional Allocation",0,IF($C104&lt;&gt;AI$3,OFFSET('Allocation %'!$A$1,MATCH(AI$4,'Allocation %'!$A:$A,0)-1,MATCH($D104,'Allocation %'!$5:$5,0)-1)*($F44-$G44)*'2020 Assumptions'!$B$20,0))</f>
        <v>0.61300825370208911</v>
      </c>
      <c r="AJ104" s="73">
        <f ca="1">IF(AJ$5="Doyon Notional Allocation",0,IF($C104&lt;&gt;AJ$3,OFFSET('Allocation %'!$A$1,MATCH(AJ$4,'Allocation %'!$A:$A,0)-1,MATCH($D104,'Allocation %'!$5:$5,0)-1)*($F44-$G44)*'2020 Assumptions'!$B$20,0))</f>
        <v>14.356821886996755</v>
      </c>
      <c r="AK104" s="73">
        <f ca="1">IF(AK$5="Doyon Notional Allocation",0,IF($C104&lt;&gt;AK$3,OFFSET('Allocation %'!$A$1,MATCH(AK$4,'Allocation %'!$A:$A,0)-1,MATCH($D104,'Allocation %'!$5:$5,0)-1)*($F44-$G44)*'2020 Assumptions'!$B$20,0))</f>
        <v>12.920748365861712</v>
      </c>
      <c r="AL104" s="73">
        <f ca="1">IF(AL$5="Doyon Notional Allocation",0,IF($C104&lt;&gt;AL$3,OFFSET('Allocation %'!$A$1,MATCH(AL$4,'Allocation %'!$A:$A,0)-1,MATCH($D104,'Allocation %'!$5:$5,0)-1)*($F44-$G44)*'2020 Assumptions'!$B$20,0))</f>
        <v>0</v>
      </c>
      <c r="AM104" s="73">
        <f ca="1">IF(AM$5="Doyon Notional Allocation",0,IF($C104&lt;&gt;AM$3,OFFSET('Allocation %'!$A$1,MATCH(AM$4,'Allocation %'!$A:$A,0)-1,MATCH($D104,'Allocation %'!$5:$5,0)-1)*($F44-$G44)*'2020 Assumptions'!$B$20,0))</f>
        <v>1.6940262768447436</v>
      </c>
      <c r="AN104" s="73">
        <f ca="1">IF(AN$5="Doyon Notional Allocation",0,IF($C104&lt;&gt;AN$3,OFFSET('Allocation %'!$A$1,MATCH(AN$4,'Allocation %'!$A:$A,0)-1,MATCH($D104,'Allocation %'!$5:$5,0)-1)*($F44-$G44)*'2020 Assumptions'!$B$20,0))</f>
        <v>0</v>
      </c>
      <c r="AO104" s="73">
        <f ca="1">IF(AO$5="Doyon Notional Allocation",0,IF($C104&lt;&gt;AO$3,OFFSET('Allocation %'!$A$1,MATCH(AO$4,'Allocation %'!$A:$A,0)-1,MATCH($D104,'Allocation %'!$5:$5,0)-1)*($F44-$G44)*'2020 Assumptions'!$B$20,0))</f>
        <v>13.929914658707508</v>
      </c>
      <c r="AP104" s="73">
        <f ca="1">IF(AP$5="Doyon Notional Allocation",0,IF($C104&lt;&gt;AP$3,OFFSET('Allocation %'!$A$1,MATCH(AP$4,'Allocation %'!$A:$A,0)-1,MATCH($D104,'Allocation %'!$5:$5,0)-1)*($F44-$G44)*'2020 Assumptions'!$B$20,0))</f>
        <v>2.8947736310204428</v>
      </c>
      <c r="AQ104" s="73">
        <f ca="1">IF(AQ$5="Doyon Notional Allocation",0,IF($C104&lt;&gt;AQ$3,OFFSET('Allocation %'!$A$1,MATCH(AQ$4,'Allocation %'!$A:$A,0)-1,MATCH($D104,'Allocation %'!$5:$5,0)-1)*($F44-$G44)*'2020 Assumptions'!$B$20,0))</f>
        <v>12.801838307033709</v>
      </c>
      <c r="AR104" s="73">
        <f ca="1">IF(AR$5="Doyon Notional Allocation",0,IF($C104&lt;&gt;AR$3,OFFSET('Allocation %'!$A$1,MATCH(AR$4,'Allocation %'!$A:$A,0)-1,MATCH($D104,'Allocation %'!$5:$5,0)-1)*($F44-$G44)*'2020 Assumptions'!$B$20,0))</f>
        <v>0.32124085591681883</v>
      </c>
      <c r="AS104" s="73">
        <f ca="1">IF(AS$5="Doyon Notional Allocation",0,IF($C104&lt;&gt;AS$3,OFFSET('Allocation %'!$A$1,MATCH(AS$4,'Allocation %'!$A:$A,0)-1,MATCH($D104,'Allocation %'!$5:$5,0)-1)*($F44-$G44)*'2020 Assumptions'!$B$20,0))</f>
        <v>23.530568647619415</v>
      </c>
      <c r="AT104" s="73">
        <f ca="1">IF(AT$5="Doyon Notional Allocation",0,IF($C104&lt;&gt;AT$3,OFFSET('Allocation %'!$A$1,MATCH(AT$4,'Allocation %'!$A:$A,0)-1,MATCH($D104,'Allocation %'!$5:$5,0)-1)*($F44-$G44)*'2020 Assumptions'!$B$20,0))</f>
        <v>13.85488833005458</v>
      </c>
      <c r="AU104" s="73">
        <f ca="1">IF(AU$5="Doyon Notional Allocation",0,IF($C104&lt;&gt;AU$3,OFFSET('Allocation %'!$A$1,MATCH(AU$4,'Allocation %'!$A:$A,0)-1,MATCH($D104,'Allocation %'!$5:$5,0)-1)*($F44-$G44)*'2020 Assumptions'!$B$20,0))</f>
        <v>16.560913150781889</v>
      </c>
      <c r="AV104" s="73">
        <f ca="1">IF(AV$5="Doyon Notional Allocation",0,IF($C104&lt;&gt;AV$3,OFFSET('Allocation %'!$A$1,MATCH(AV$4,'Allocation %'!$A:$A,0)-1,MATCH($D104,'Allocation %'!$5:$5,0)-1)*($F44-$G44)*'2020 Assumptions'!$B$20,0))</f>
        <v>25.513125846031851</v>
      </c>
      <c r="AW104" s="73">
        <f ca="1">IF(AW$5="Doyon Notional Allocation",0,IF($C104&lt;&gt;AW$3,OFFSET('Allocation %'!$A$1,MATCH(AW$4,'Allocation %'!$A:$A,0)-1,MATCH($D104,'Allocation %'!$5:$5,0)-1)*($F44-$G44)*'2020 Assumptions'!$B$20,0))</f>
        <v>97.511872350263403</v>
      </c>
      <c r="AX104" s="73">
        <f ca="1">IF(AX$5="Doyon Notional Allocation",0,IF($C104&lt;&gt;AX$3,OFFSET('Allocation %'!$A$1,MATCH(AX$4,'Allocation %'!$A:$A,0)-1,MATCH($D104,'Allocation %'!$5:$5,0)-1)*($F44-$G44)*'2020 Assumptions'!$B$20,0))</f>
        <v>1.7009938392232133</v>
      </c>
      <c r="AY104" s="73">
        <f ca="1">IF(AY$5="Doyon Notional Allocation",0,IF($C104&lt;&gt;AY$3,OFFSET('Allocation %'!$A$1,MATCH(AY$4,'Allocation %'!$A:$A,0)-1,MATCH($D104,'Allocation %'!$5:$5,0)-1)*($F44-$G44)*'2020 Assumptions'!$B$20,0))</f>
        <v>0</v>
      </c>
      <c r="AZ104" s="73">
        <f ca="1">IF(AZ$5="Doyon Notional Allocation",0,IF($C104&lt;&gt;AZ$3,OFFSET('Allocation %'!$A$1,MATCH(AZ$4,'Allocation %'!$A:$A,0)-1,MATCH($D104,'Allocation %'!$5:$5,0)-1)*($F44-$G44)*'2020 Assumptions'!$B$20,0))</f>
        <v>0</v>
      </c>
      <c r="BA104" s="73">
        <f ca="1">IF(BA$5="Doyon Notional Allocation",0,IF($C104&lt;&gt;BA$3,OFFSET('Allocation %'!$A$1,MATCH(BA$4,'Allocation %'!$A:$A,0)-1,MATCH($D104,'Allocation %'!$5:$5,0)-1)*($F44-$G44)*'2020 Assumptions'!$B$20,0))</f>
        <v>0</v>
      </c>
      <c r="BB104" s="73">
        <f ca="1">IF(BB$5="Doyon Notional Allocation",0,IF($C104&lt;&gt;BB$3,OFFSET('Allocation %'!$A$1,MATCH(BB$4,'Allocation %'!$A:$A,0)-1,MATCH($D104,'Allocation %'!$5:$5,0)-1)*($F44-$G44)*'2020 Assumptions'!$B$20,0))</f>
        <v>0</v>
      </c>
      <c r="BC104" s="73">
        <f ca="1">IF(BC$5="Doyon Notional Allocation",0,IF($C104&lt;&gt;BC$3,OFFSET('Allocation %'!$A$1,MATCH(BC$4,'Allocation %'!$A:$A,0)-1,MATCH($D104,'Allocation %'!$5:$5,0)-1)*($F44-$G44)*'2020 Assumptions'!$B$20,0))</f>
        <v>0</v>
      </c>
      <c r="BD104" s="73">
        <f ca="1">IF(BD$5="Doyon Notional Allocation",0,IF($C104&lt;&gt;BD$3,OFFSET('Allocation %'!$A$1,MATCH(BD$4,'Allocation %'!$A:$A,0)-1,MATCH($D104,'Allocation %'!$5:$5,0)-1)*($F44-$G44)*'2020 Assumptions'!$B$20,0))</f>
        <v>0</v>
      </c>
      <c r="BE104" s="73">
        <f ca="1">IF(BE$5="Doyon Notional Allocation",0,IF($C104&lt;&gt;BE$3,OFFSET('Allocation %'!$A$1,MATCH(BE$4,'Allocation %'!$A:$A,0)-1,MATCH($D104,'Allocation %'!$5:$5,0)-1)*($F44-$G44)*'2020 Assumptions'!$B$20,0))</f>
        <v>0</v>
      </c>
      <c r="BG104" s="76">
        <f t="shared" ca="1" si="9"/>
        <v>461.45640737946161</v>
      </c>
      <c r="BH104" s="349">
        <f t="shared" ca="1" si="10"/>
        <v>0</v>
      </c>
    </row>
    <row r="105" spans="1:60" s="177" customFormat="1" x14ac:dyDescent="0.25">
      <c r="A105" s="139" t="s">
        <v>419</v>
      </c>
      <c r="B105" s="259" t="str">
        <f t="shared" si="19"/>
        <v>009020 - Accounting/Tax Cost Ctr Mark up</v>
      </c>
      <c r="C105" s="69" t="str">
        <f t="shared" si="20"/>
        <v>USD</v>
      </c>
      <c r="D105" s="352" t="str">
        <f t="shared" ca="1" si="20"/>
        <v>RU - L48</v>
      </c>
      <c r="E105" s="73">
        <f ca="1">F105*'2020 Assumptions'!$B$4</f>
        <v>0</v>
      </c>
      <c r="F105" s="317">
        <f t="shared" ca="1" si="11"/>
        <v>0</v>
      </c>
      <c r="G105" s="73"/>
      <c r="I105" s="73">
        <f ca="1">IF(I$5="Doyon Notional Allocation",0,IF($C105&lt;&gt;I$3,OFFSET('Allocation %'!$A$1,MATCH(I$4,'Allocation %'!$A:$A,0)-1,MATCH($D105,'Allocation %'!$5:$5,0)-1)*($F45-$G45)*'2020 Assumptions'!$B$20,0))</f>
        <v>0</v>
      </c>
      <c r="J105" s="73">
        <f ca="1">IF(J$5="Doyon Notional Allocation",0,IF($C105&lt;&gt;J$3,OFFSET('Allocation %'!$A$1,MATCH(J$4,'Allocation %'!$A:$A,0)-1,MATCH($D105,'Allocation %'!$5:$5,0)-1)*($F45-$G45)*'2020 Assumptions'!$B$20,0))</f>
        <v>0</v>
      </c>
      <c r="K105" s="73">
        <f ca="1">IF(K$5="Doyon Notional Allocation",0,IF($C105&lt;&gt;K$3,OFFSET('Allocation %'!$A$1,MATCH(K$4,'Allocation %'!$A:$A,0)-1,MATCH($D105,'Allocation %'!$5:$5,0)-1)*($F45-$G45)*'2020 Assumptions'!$B$20,0))</f>
        <v>0</v>
      </c>
      <c r="L105" s="73">
        <f ca="1">IF(L$5="Doyon Notional Allocation",0,IF($C105&lt;&gt;L$3,OFFSET('Allocation %'!$A$1,MATCH(L$4,'Allocation %'!$A:$A,0)-1,MATCH($D105,'Allocation %'!$5:$5,0)-1)*($F45-$G45)*'2020 Assumptions'!$B$20,0))</f>
        <v>0</v>
      </c>
      <c r="M105" s="73">
        <f ca="1">IF(M$5="Doyon Notional Allocation",0,IF($C105&lt;&gt;M$3,OFFSET('Allocation %'!$A$1,MATCH(M$4,'Allocation %'!$A:$A,0)-1,MATCH($D105,'Allocation %'!$5:$5,0)-1)*($F45-$G45)*'2020 Assumptions'!$B$20,0))</f>
        <v>0</v>
      </c>
      <c r="N105" s="73">
        <f ca="1">IF(N$5="Doyon Notional Allocation",0,IF($C105&lt;&gt;N$3,OFFSET('Allocation %'!$A$1,MATCH(N$4,'Allocation %'!$A:$A,0)-1,MATCH($D105,'Allocation %'!$5:$5,0)-1)*($F45-$G45)*'2020 Assumptions'!$B$20,0))</f>
        <v>0</v>
      </c>
      <c r="O105" s="73">
        <f ca="1">IF(O$5="Doyon Notional Allocation",0,IF($C105&lt;&gt;O$3,OFFSET('Allocation %'!$A$1,MATCH(O$4,'Allocation %'!$A:$A,0)-1,MATCH($D105,'Allocation %'!$5:$5,0)-1)*($F45-$G45)*'2020 Assumptions'!$B$20,0))</f>
        <v>0</v>
      </c>
      <c r="P105" s="73">
        <f ca="1">IF(P$5="Doyon Notional Allocation",0,IF($C105&lt;&gt;P$3,OFFSET('Allocation %'!$A$1,MATCH(P$4,'Allocation %'!$A:$A,0)-1,MATCH($D105,'Allocation %'!$5:$5,0)-1)*($F45-$G45)*'2020 Assumptions'!$B$20,0))</f>
        <v>0</v>
      </c>
      <c r="Q105" s="73">
        <f ca="1">IF(Q$5="Doyon Notional Allocation",0,IF($C105&lt;&gt;Q$3,OFFSET('Allocation %'!$A$1,MATCH(Q$4,'Allocation %'!$A:$A,0)-1,MATCH($D105,'Allocation %'!$5:$5,0)-1)*($F45-$G45)*'2020 Assumptions'!$B$20,0))</f>
        <v>0</v>
      </c>
      <c r="R105" s="73">
        <f ca="1">IF(R$5="Doyon Notional Allocation",0,IF($C105&lt;&gt;R$3,OFFSET('Allocation %'!$A$1,MATCH(R$4,'Allocation %'!$A:$A,0)-1,MATCH($D105,'Allocation %'!$5:$5,0)-1)*($F45-$G45)*'2020 Assumptions'!$B$20,0))</f>
        <v>0</v>
      </c>
      <c r="S105" s="73">
        <f ca="1">IF(S$5="Doyon Notional Allocation",0,IF($C105&lt;&gt;S$3,OFFSET('Allocation %'!$A$1,MATCH(S$4,'Allocation %'!$A:$A,0)-1,MATCH($D105,'Allocation %'!$5:$5,0)-1)*($F45-$G45)*'2020 Assumptions'!$B$20,0))</f>
        <v>0</v>
      </c>
      <c r="T105" s="73">
        <f ca="1">IF(T$5="Doyon Notional Allocation",0,IF($C105&lt;&gt;T$3,OFFSET('Allocation %'!$A$1,MATCH(T$4,'Allocation %'!$A:$A,0)-1,MATCH($D105,'Allocation %'!$5:$5,0)-1)*($F45-$G45)*'2020 Assumptions'!$B$20,0))</f>
        <v>0</v>
      </c>
      <c r="U105" s="73">
        <f ca="1">IF(U$5="Doyon Notional Allocation",0,IF($C105&lt;&gt;U$3,OFFSET('Allocation %'!$A$1,MATCH(U$4,'Allocation %'!$A:$A,0)-1,MATCH($D105,'Allocation %'!$5:$5,0)-1)*($F45-$G45)*'2020 Assumptions'!$B$20,0))</f>
        <v>0</v>
      </c>
      <c r="V105" s="73">
        <f ca="1">IF(V$5="Doyon Notional Allocation",0,IF($C105&lt;&gt;V$3,OFFSET('Allocation %'!$A$1,MATCH(V$4,'Allocation %'!$A:$A,0)-1,MATCH($D105,'Allocation %'!$5:$5,0)-1)*($F45-$G45)*'2020 Assumptions'!$B$20,0))</f>
        <v>0</v>
      </c>
      <c r="W105" s="73">
        <f ca="1">IF(W$5="Doyon Notional Allocation",0,IF($C105&lt;&gt;W$3,OFFSET('Allocation %'!$A$1,MATCH(W$4,'Allocation %'!$A:$A,0)-1,MATCH($D105,'Allocation %'!$5:$5,0)-1)*($F45-$G45)*'2020 Assumptions'!$B$20,0))</f>
        <v>0</v>
      </c>
      <c r="X105" s="73">
        <f ca="1">IF(X$5="Doyon Notional Allocation",0,IF($C105&lt;&gt;X$3,OFFSET('Allocation %'!$A$1,MATCH(X$4,'Allocation %'!$A:$A,0)-1,MATCH($D105,'Allocation %'!$5:$5,0)-1)*($F45-$G45)*'2020 Assumptions'!$B$20,0))</f>
        <v>0</v>
      </c>
      <c r="Y105" s="73">
        <f ca="1">IF(Y$5="Doyon Notional Allocation",0,IF($C105&lt;&gt;Y$3,OFFSET('Allocation %'!$A$1,MATCH(Y$4,'Allocation %'!$A:$A,0)-1,MATCH($D105,'Allocation %'!$5:$5,0)-1)*($F45-$G45)*'2020 Assumptions'!$B$20,0))</f>
        <v>0</v>
      </c>
      <c r="Z105" s="73">
        <f ca="1">IF(Z$5="Doyon Notional Allocation",0,IF($C105&lt;&gt;Z$3,OFFSET('Allocation %'!$A$1,MATCH(Z$4,'Allocation %'!$A:$A,0)-1,MATCH($D105,'Allocation %'!$5:$5,0)-1)*($F45-$G45)*'2020 Assumptions'!$B$20,0))</f>
        <v>0</v>
      </c>
      <c r="AA105" s="73">
        <f ca="1">IF(AA$5="Doyon Notional Allocation",0,IF($C105&lt;&gt;AA$3,OFFSET('Allocation %'!$A$1,MATCH(AA$4,'Allocation %'!$A:$A,0)-1,MATCH($D105,'Allocation %'!$5:$5,0)-1)*($F45-$G45)*'2020 Assumptions'!$B$20,0))</f>
        <v>0</v>
      </c>
      <c r="AB105" s="73">
        <f ca="1">IF(AB$5="Doyon Notional Allocation",0,IF($C105&lt;&gt;AB$3,OFFSET('Allocation %'!$A$1,MATCH(AB$4,'Allocation %'!$A:$A,0)-1,MATCH($D105,'Allocation %'!$5:$5,0)-1)*($F45-$G45)*'2020 Assumptions'!$B$20,0))</f>
        <v>0</v>
      </c>
      <c r="AC105" s="73">
        <f ca="1">IF(AC$5="Doyon Notional Allocation",0,IF($C105&lt;&gt;AC$3,OFFSET('Allocation %'!$A$1,MATCH(AC$4,'Allocation %'!$A:$A,0)-1,MATCH($D105,'Allocation %'!$5:$5,0)-1)*($F45-$G45)*'2020 Assumptions'!$B$20,0))</f>
        <v>0</v>
      </c>
      <c r="AD105" s="73">
        <f ca="1">IF(AD$5="Doyon Notional Allocation",0,IF($C105&lt;&gt;AD$3,OFFSET('Allocation %'!$A$1,MATCH(AD$4,'Allocation %'!$A:$A,0)-1,MATCH($D105,'Allocation %'!$5:$5,0)-1)*($F45-$G45)*'2020 Assumptions'!$B$20,0))</f>
        <v>0</v>
      </c>
      <c r="AE105" s="73">
        <f ca="1">IF(AE$5="Doyon Notional Allocation",0,IF($C105&lt;&gt;AE$3,OFFSET('Allocation %'!$A$1,MATCH(AE$4,'Allocation %'!$A:$A,0)-1,MATCH($D105,'Allocation %'!$5:$5,0)-1)*($F45-$G45)*'2020 Assumptions'!$B$20,0))</f>
        <v>0</v>
      </c>
      <c r="AF105" s="73">
        <f ca="1">IF(AF$5="Doyon Notional Allocation",0,IF($C105&lt;&gt;AF$3,OFFSET('Allocation %'!$A$1,MATCH(AF$4,'Allocation %'!$A:$A,0)-1,MATCH($D105,'Allocation %'!$5:$5,0)-1)*($F45-$G45)*'2020 Assumptions'!$B$20,0))</f>
        <v>0</v>
      </c>
      <c r="AG105" s="73">
        <f ca="1">IF(AG$5="Doyon Notional Allocation",0,IF($C105&lt;&gt;AG$3,OFFSET('Allocation %'!$A$1,MATCH(AG$4,'Allocation %'!$A:$A,0)-1,MATCH($D105,'Allocation %'!$5:$5,0)-1)*($F45-$G45)*'2020 Assumptions'!$B$20,0))</f>
        <v>0</v>
      </c>
      <c r="AH105" s="73">
        <f ca="1">IF(AH$5="Doyon Notional Allocation",0,IF($C105&lt;&gt;AH$3,OFFSET('Allocation %'!$A$1,MATCH(AH$4,'Allocation %'!$A:$A,0)-1,MATCH($D105,'Allocation %'!$5:$5,0)-1)*($F45-$G45)*'2020 Assumptions'!$B$20,0))</f>
        <v>0</v>
      </c>
      <c r="AI105" s="73">
        <f ca="1">IF(AI$5="Doyon Notional Allocation",0,IF($C105&lt;&gt;AI$3,OFFSET('Allocation %'!$A$1,MATCH(AI$4,'Allocation %'!$A:$A,0)-1,MATCH($D105,'Allocation %'!$5:$5,0)-1)*($F45-$G45)*'2020 Assumptions'!$B$20,0))</f>
        <v>0</v>
      </c>
      <c r="AJ105" s="73">
        <f ca="1">IF(AJ$5="Doyon Notional Allocation",0,IF($C105&lt;&gt;AJ$3,OFFSET('Allocation %'!$A$1,MATCH(AJ$4,'Allocation %'!$A:$A,0)-1,MATCH($D105,'Allocation %'!$5:$5,0)-1)*($F45-$G45)*'2020 Assumptions'!$B$20,0))</f>
        <v>0</v>
      </c>
      <c r="AK105" s="73">
        <f ca="1">IF(AK$5="Doyon Notional Allocation",0,IF($C105&lt;&gt;AK$3,OFFSET('Allocation %'!$A$1,MATCH(AK$4,'Allocation %'!$A:$A,0)-1,MATCH($D105,'Allocation %'!$5:$5,0)-1)*($F45-$G45)*'2020 Assumptions'!$B$20,0))</f>
        <v>0</v>
      </c>
      <c r="AL105" s="73">
        <f ca="1">IF(AL$5="Doyon Notional Allocation",0,IF($C105&lt;&gt;AL$3,OFFSET('Allocation %'!$A$1,MATCH(AL$4,'Allocation %'!$A:$A,0)-1,MATCH($D105,'Allocation %'!$5:$5,0)-1)*($F45-$G45)*'2020 Assumptions'!$B$20,0))</f>
        <v>0</v>
      </c>
      <c r="AM105" s="73">
        <f ca="1">IF(AM$5="Doyon Notional Allocation",0,IF($C105&lt;&gt;AM$3,OFFSET('Allocation %'!$A$1,MATCH(AM$4,'Allocation %'!$A:$A,0)-1,MATCH($D105,'Allocation %'!$5:$5,0)-1)*($F45-$G45)*'2020 Assumptions'!$B$20,0))</f>
        <v>0</v>
      </c>
      <c r="AN105" s="73">
        <f ca="1">IF(AN$5="Doyon Notional Allocation",0,IF($C105&lt;&gt;AN$3,OFFSET('Allocation %'!$A$1,MATCH(AN$4,'Allocation %'!$A:$A,0)-1,MATCH($D105,'Allocation %'!$5:$5,0)-1)*($F45-$G45)*'2020 Assumptions'!$B$20,0))</f>
        <v>0</v>
      </c>
      <c r="AO105" s="73">
        <f ca="1">IF(AO$5="Doyon Notional Allocation",0,IF($C105&lt;&gt;AO$3,OFFSET('Allocation %'!$A$1,MATCH(AO$4,'Allocation %'!$A:$A,0)-1,MATCH($D105,'Allocation %'!$5:$5,0)-1)*($F45-$G45)*'2020 Assumptions'!$B$20,0))</f>
        <v>0</v>
      </c>
      <c r="AP105" s="73">
        <f ca="1">IF(AP$5="Doyon Notional Allocation",0,IF($C105&lt;&gt;AP$3,OFFSET('Allocation %'!$A$1,MATCH(AP$4,'Allocation %'!$A:$A,0)-1,MATCH($D105,'Allocation %'!$5:$5,0)-1)*($F45-$G45)*'2020 Assumptions'!$B$20,0))</f>
        <v>0</v>
      </c>
      <c r="AQ105" s="73">
        <f ca="1">IF(AQ$5="Doyon Notional Allocation",0,IF($C105&lt;&gt;AQ$3,OFFSET('Allocation %'!$A$1,MATCH(AQ$4,'Allocation %'!$A:$A,0)-1,MATCH($D105,'Allocation %'!$5:$5,0)-1)*($F45-$G45)*'2020 Assumptions'!$B$20,0))</f>
        <v>0</v>
      </c>
      <c r="AR105" s="73">
        <f ca="1">IF(AR$5="Doyon Notional Allocation",0,IF($C105&lt;&gt;AR$3,OFFSET('Allocation %'!$A$1,MATCH(AR$4,'Allocation %'!$A:$A,0)-1,MATCH($D105,'Allocation %'!$5:$5,0)-1)*($F45-$G45)*'2020 Assumptions'!$B$20,0))</f>
        <v>0</v>
      </c>
      <c r="AS105" s="73">
        <f ca="1">IF(AS$5="Doyon Notional Allocation",0,IF($C105&lt;&gt;AS$3,OFFSET('Allocation %'!$A$1,MATCH(AS$4,'Allocation %'!$A:$A,0)-1,MATCH($D105,'Allocation %'!$5:$5,0)-1)*($F45-$G45)*'2020 Assumptions'!$B$20,0))</f>
        <v>0</v>
      </c>
      <c r="AT105" s="73">
        <f ca="1">IF(AT$5="Doyon Notional Allocation",0,IF($C105&lt;&gt;AT$3,OFFSET('Allocation %'!$A$1,MATCH(AT$4,'Allocation %'!$A:$A,0)-1,MATCH($D105,'Allocation %'!$5:$5,0)-1)*($F45-$G45)*'2020 Assumptions'!$B$20,0))</f>
        <v>0</v>
      </c>
      <c r="AU105" s="73">
        <f ca="1">IF(AU$5="Doyon Notional Allocation",0,IF($C105&lt;&gt;AU$3,OFFSET('Allocation %'!$A$1,MATCH(AU$4,'Allocation %'!$A:$A,0)-1,MATCH($D105,'Allocation %'!$5:$5,0)-1)*($F45-$G45)*'2020 Assumptions'!$B$20,0))</f>
        <v>0</v>
      </c>
      <c r="AV105" s="73">
        <f ca="1">IF(AV$5="Doyon Notional Allocation",0,IF($C105&lt;&gt;AV$3,OFFSET('Allocation %'!$A$1,MATCH(AV$4,'Allocation %'!$A:$A,0)-1,MATCH($D105,'Allocation %'!$5:$5,0)-1)*($F45-$G45)*'2020 Assumptions'!$B$20,0))</f>
        <v>0</v>
      </c>
      <c r="AW105" s="73">
        <f ca="1">IF(AW$5="Doyon Notional Allocation",0,IF($C105&lt;&gt;AW$3,OFFSET('Allocation %'!$A$1,MATCH(AW$4,'Allocation %'!$A:$A,0)-1,MATCH($D105,'Allocation %'!$5:$5,0)-1)*($F45-$G45)*'2020 Assumptions'!$B$20,0))</f>
        <v>0</v>
      </c>
      <c r="AX105" s="73">
        <f ca="1">IF(AX$5="Doyon Notional Allocation",0,IF($C105&lt;&gt;AX$3,OFFSET('Allocation %'!$A$1,MATCH(AX$4,'Allocation %'!$A:$A,0)-1,MATCH($D105,'Allocation %'!$5:$5,0)-1)*($F45-$G45)*'2020 Assumptions'!$B$20,0))</f>
        <v>0</v>
      </c>
      <c r="AY105" s="73">
        <f ca="1">IF(AY$5="Doyon Notional Allocation",0,IF($C105&lt;&gt;AY$3,OFFSET('Allocation %'!$A$1,MATCH(AY$4,'Allocation %'!$A:$A,0)-1,MATCH($D105,'Allocation %'!$5:$5,0)-1)*($F45-$G45)*'2020 Assumptions'!$B$20,0))</f>
        <v>0</v>
      </c>
      <c r="AZ105" s="73">
        <f ca="1">IF(AZ$5="Doyon Notional Allocation",0,IF($C105&lt;&gt;AZ$3,OFFSET('Allocation %'!$A$1,MATCH(AZ$4,'Allocation %'!$A:$A,0)-1,MATCH($D105,'Allocation %'!$5:$5,0)-1)*($F45-$G45)*'2020 Assumptions'!$B$20,0))</f>
        <v>0</v>
      </c>
      <c r="BA105" s="73">
        <f ca="1">IF(BA$5="Doyon Notional Allocation",0,IF($C105&lt;&gt;BA$3,OFFSET('Allocation %'!$A$1,MATCH(BA$4,'Allocation %'!$A:$A,0)-1,MATCH($D105,'Allocation %'!$5:$5,0)-1)*($F45-$G45)*'2020 Assumptions'!$B$20,0))</f>
        <v>0</v>
      </c>
      <c r="BB105" s="73">
        <f ca="1">IF(BB$5="Doyon Notional Allocation",0,IF($C105&lt;&gt;BB$3,OFFSET('Allocation %'!$A$1,MATCH(BB$4,'Allocation %'!$A:$A,0)-1,MATCH($D105,'Allocation %'!$5:$5,0)-1)*($F45-$G45)*'2020 Assumptions'!$B$20,0))</f>
        <v>0</v>
      </c>
      <c r="BC105" s="73">
        <f ca="1">IF(BC$5="Doyon Notional Allocation",0,IF($C105&lt;&gt;BC$3,OFFSET('Allocation %'!$A$1,MATCH(BC$4,'Allocation %'!$A:$A,0)-1,MATCH($D105,'Allocation %'!$5:$5,0)-1)*($F45-$G45)*'2020 Assumptions'!$B$20,0))</f>
        <v>0</v>
      </c>
      <c r="BD105" s="73">
        <f ca="1">IF(BD$5="Doyon Notional Allocation",0,IF($C105&lt;&gt;BD$3,OFFSET('Allocation %'!$A$1,MATCH(BD$4,'Allocation %'!$A:$A,0)-1,MATCH($D105,'Allocation %'!$5:$5,0)-1)*($F45-$G45)*'2020 Assumptions'!$B$20,0))</f>
        <v>0</v>
      </c>
      <c r="BE105" s="73">
        <f ca="1">IF(BE$5="Doyon Notional Allocation",0,IF($C105&lt;&gt;BE$3,OFFSET('Allocation %'!$A$1,MATCH(BE$4,'Allocation %'!$A:$A,0)-1,MATCH($D105,'Allocation %'!$5:$5,0)-1)*($F45-$G45)*'2020 Assumptions'!$B$20,0))</f>
        <v>0</v>
      </c>
      <c r="BG105" s="76">
        <f t="shared" ca="1" si="9"/>
        <v>0</v>
      </c>
      <c r="BH105" s="349">
        <f t="shared" ca="1" si="10"/>
        <v>0</v>
      </c>
    </row>
    <row r="106" spans="1:60" s="177" customFormat="1" x14ac:dyDescent="0.25">
      <c r="A106" s="139" t="s">
        <v>419</v>
      </c>
      <c r="B106" s="259" t="str">
        <f t="shared" si="19"/>
        <v>009030 - COM / ENG Mark up</v>
      </c>
      <c r="C106" s="69" t="str">
        <f t="shared" si="20"/>
        <v>USD</v>
      </c>
      <c r="D106" s="352" t="str">
        <f t="shared" ca="1" si="20"/>
        <v>RU - L48</v>
      </c>
      <c r="E106" s="73">
        <f ca="1">F106*'2020 Assumptions'!$B$4</f>
        <v>0</v>
      </c>
      <c r="F106" s="317">
        <f t="shared" ca="1" si="11"/>
        <v>0</v>
      </c>
      <c r="G106" s="73"/>
      <c r="I106" s="73">
        <f ca="1">IF(I$5="Doyon Notional Allocation",0,IF($C106&lt;&gt;I$3,OFFSET('Allocation %'!$A$1,MATCH(I$4,'Allocation %'!$A:$A,0)-1,MATCH($D106,'Allocation %'!$5:$5,0)-1)*($F46-$G46)*'2020 Assumptions'!$B$20,0))</f>
        <v>0</v>
      </c>
      <c r="J106" s="73">
        <f ca="1">IF(J$5="Doyon Notional Allocation",0,IF($C106&lt;&gt;J$3,OFFSET('Allocation %'!$A$1,MATCH(J$4,'Allocation %'!$A:$A,0)-1,MATCH($D106,'Allocation %'!$5:$5,0)-1)*($F46-$G46)*'2020 Assumptions'!$B$20,0))</f>
        <v>0</v>
      </c>
      <c r="K106" s="73">
        <f ca="1">IF(K$5="Doyon Notional Allocation",0,IF($C106&lt;&gt;K$3,OFFSET('Allocation %'!$A$1,MATCH(K$4,'Allocation %'!$A:$A,0)-1,MATCH($D106,'Allocation %'!$5:$5,0)-1)*($F46-$G46)*'2020 Assumptions'!$B$20,0))</f>
        <v>0</v>
      </c>
      <c r="L106" s="73">
        <f ca="1">IF(L$5="Doyon Notional Allocation",0,IF($C106&lt;&gt;L$3,OFFSET('Allocation %'!$A$1,MATCH(L$4,'Allocation %'!$A:$A,0)-1,MATCH($D106,'Allocation %'!$5:$5,0)-1)*($F46-$G46)*'2020 Assumptions'!$B$20,0))</f>
        <v>0</v>
      </c>
      <c r="M106" s="73">
        <f ca="1">IF(M$5="Doyon Notional Allocation",0,IF($C106&lt;&gt;M$3,OFFSET('Allocation %'!$A$1,MATCH(M$4,'Allocation %'!$A:$A,0)-1,MATCH($D106,'Allocation %'!$5:$5,0)-1)*($F46-$G46)*'2020 Assumptions'!$B$20,0))</f>
        <v>0</v>
      </c>
      <c r="N106" s="73">
        <f ca="1">IF(N$5="Doyon Notional Allocation",0,IF($C106&lt;&gt;N$3,OFFSET('Allocation %'!$A$1,MATCH(N$4,'Allocation %'!$A:$A,0)-1,MATCH($D106,'Allocation %'!$5:$5,0)-1)*($F46-$G46)*'2020 Assumptions'!$B$20,0))</f>
        <v>0</v>
      </c>
      <c r="O106" s="73">
        <f ca="1">IF(O$5="Doyon Notional Allocation",0,IF($C106&lt;&gt;O$3,OFFSET('Allocation %'!$A$1,MATCH(O$4,'Allocation %'!$A:$A,0)-1,MATCH($D106,'Allocation %'!$5:$5,0)-1)*($F46-$G46)*'2020 Assumptions'!$B$20,0))</f>
        <v>0</v>
      </c>
      <c r="P106" s="73">
        <f ca="1">IF(P$5="Doyon Notional Allocation",0,IF($C106&lt;&gt;P$3,OFFSET('Allocation %'!$A$1,MATCH(P$4,'Allocation %'!$A:$A,0)-1,MATCH($D106,'Allocation %'!$5:$5,0)-1)*($F46-$G46)*'2020 Assumptions'!$B$20,0))</f>
        <v>0</v>
      </c>
      <c r="Q106" s="73">
        <f ca="1">IF(Q$5="Doyon Notional Allocation",0,IF($C106&lt;&gt;Q$3,OFFSET('Allocation %'!$A$1,MATCH(Q$4,'Allocation %'!$A:$A,0)-1,MATCH($D106,'Allocation %'!$5:$5,0)-1)*($F46-$G46)*'2020 Assumptions'!$B$20,0))</f>
        <v>0</v>
      </c>
      <c r="R106" s="73">
        <f ca="1">IF(R$5="Doyon Notional Allocation",0,IF($C106&lt;&gt;R$3,OFFSET('Allocation %'!$A$1,MATCH(R$4,'Allocation %'!$A:$A,0)-1,MATCH($D106,'Allocation %'!$5:$5,0)-1)*($F46-$G46)*'2020 Assumptions'!$B$20,0))</f>
        <v>0</v>
      </c>
      <c r="S106" s="73">
        <f ca="1">IF(S$5="Doyon Notional Allocation",0,IF($C106&lt;&gt;S$3,OFFSET('Allocation %'!$A$1,MATCH(S$4,'Allocation %'!$A:$A,0)-1,MATCH($D106,'Allocation %'!$5:$5,0)-1)*($F46-$G46)*'2020 Assumptions'!$B$20,0))</f>
        <v>0</v>
      </c>
      <c r="T106" s="73">
        <f ca="1">IF(T$5="Doyon Notional Allocation",0,IF($C106&lt;&gt;T$3,OFFSET('Allocation %'!$A$1,MATCH(T$4,'Allocation %'!$A:$A,0)-1,MATCH($D106,'Allocation %'!$5:$5,0)-1)*($F46-$G46)*'2020 Assumptions'!$B$20,0))</f>
        <v>0</v>
      </c>
      <c r="U106" s="73">
        <f ca="1">IF(U$5="Doyon Notional Allocation",0,IF($C106&lt;&gt;U$3,OFFSET('Allocation %'!$A$1,MATCH(U$4,'Allocation %'!$A:$A,0)-1,MATCH($D106,'Allocation %'!$5:$5,0)-1)*($F46-$G46)*'2020 Assumptions'!$B$20,0))</f>
        <v>0</v>
      </c>
      <c r="V106" s="73">
        <f ca="1">IF(V$5="Doyon Notional Allocation",0,IF($C106&lt;&gt;V$3,OFFSET('Allocation %'!$A$1,MATCH(V$4,'Allocation %'!$A:$A,0)-1,MATCH($D106,'Allocation %'!$5:$5,0)-1)*($F46-$G46)*'2020 Assumptions'!$B$20,0))</f>
        <v>0</v>
      </c>
      <c r="W106" s="73">
        <f ca="1">IF(W$5="Doyon Notional Allocation",0,IF($C106&lt;&gt;W$3,OFFSET('Allocation %'!$A$1,MATCH(W$4,'Allocation %'!$A:$A,0)-1,MATCH($D106,'Allocation %'!$5:$5,0)-1)*($F46-$G46)*'2020 Assumptions'!$B$20,0))</f>
        <v>0</v>
      </c>
      <c r="X106" s="73">
        <f ca="1">IF(X$5="Doyon Notional Allocation",0,IF($C106&lt;&gt;X$3,OFFSET('Allocation %'!$A$1,MATCH(X$4,'Allocation %'!$A:$A,0)-1,MATCH($D106,'Allocation %'!$5:$5,0)-1)*($F46-$G46)*'2020 Assumptions'!$B$20,0))</f>
        <v>0</v>
      </c>
      <c r="Y106" s="73">
        <f ca="1">IF(Y$5="Doyon Notional Allocation",0,IF($C106&lt;&gt;Y$3,OFFSET('Allocation %'!$A$1,MATCH(Y$4,'Allocation %'!$A:$A,0)-1,MATCH($D106,'Allocation %'!$5:$5,0)-1)*($F46-$G46)*'2020 Assumptions'!$B$20,0))</f>
        <v>0</v>
      </c>
      <c r="Z106" s="73">
        <f ca="1">IF(Z$5="Doyon Notional Allocation",0,IF($C106&lt;&gt;Z$3,OFFSET('Allocation %'!$A$1,MATCH(Z$4,'Allocation %'!$A:$A,0)-1,MATCH($D106,'Allocation %'!$5:$5,0)-1)*($F46-$G46)*'2020 Assumptions'!$B$20,0))</f>
        <v>0</v>
      </c>
      <c r="AA106" s="73">
        <f ca="1">IF(AA$5="Doyon Notional Allocation",0,IF($C106&lt;&gt;AA$3,OFFSET('Allocation %'!$A$1,MATCH(AA$4,'Allocation %'!$A:$A,0)-1,MATCH($D106,'Allocation %'!$5:$5,0)-1)*($F46-$G46)*'2020 Assumptions'!$B$20,0))</f>
        <v>0</v>
      </c>
      <c r="AB106" s="73">
        <f ca="1">IF(AB$5="Doyon Notional Allocation",0,IF($C106&lt;&gt;AB$3,OFFSET('Allocation %'!$A$1,MATCH(AB$4,'Allocation %'!$A:$A,0)-1,MATCH($D106,'Allocation %'!$5:$5,0)-1)*($F46-$G46)*'2020 Assumptions'!$B$20,0))</f>
        <v>0</v>
      </c>
      <c r="AC106" s="73">
        <f ca="1">IF(AC$5="Doyon Notional Allocation",0,IF($C106&lt;&gt;AC$3,OFFSET('Allocation %'!$A$1,MATCH(AC$4,'Allocation %'!$A:$A,0)-1,MATCH($D106,'Allocation %'!$5:$5,0)-1)*($F46-$G46)*'2020 Assumptions'!$B$20,0))</f>
        <v>0</v>
      </c>
      <c r="AD106" s="73">
        <f ca="1">IF(AD$5="Doyon Notional Allocation",0,IF($C106&lt;&gt;AD$3,OFFSET('Allocation %'!$A$1,MATCH(AD$4,'Allocation %'!$A:$A,0)-1,MATCH($D106,'Allocation %'!$5:$5,0)-1)*($F46-$G46)*'2020 Assumptions'!$B$20,0))</f>
        <v>0</v>
      </c>
      <c r="AE106" s="73">
        <f ca="1">IF(AE$5="Doyon Notional Allocation",0,IF($C106&lt;&gt;AE$3,OFFSET('Allocation %'!$A$1,MATCH(AE$4,'Allocation %'!$A:$A,0)-1,MATCH($D106,'Allocation %'!$5:$5,0)-1)*($F46-$G46)*'2020 Assumptions'!$B$20,0))</f>
        <v>0</v>
      </c>
      <c r="AF106" s="73">
        <f ca="1">IF(AF$5="Doyon Notional Allocation",0,IF($C106&lt;&gt;AF$3,OFFSET('Allocation %'!$A$1,MATCH(AF$4,'Allocation %'!$A:$A,0)-1,MATCH($D106,'Allocation %'!$5:$5,0)-1)*($F46-$G46)*'2020 Assumptions'!$B$20,0))</f>
        <v>0</v>
      </c>
      <c r="AG106" s="73">
        <f ca="1">IF(AG$5="Doyon Notional Allocation",0,IF($C106&lt;&gt;AG$3,OFFSET('Allocation %'!$A$1,MATCH(AG$4,'Allocation %'!$A:$A,0)-1,MATCH($D106,'Allocation %'!$5:$5,0)-1)*($F46-$G46)*'2020 Assumptions'!$B$20,0))</f>
        <v>0</v>
      </c>
      <c r="AH106" s="73">
        <f ca="1">IF(AH$5="Doyon Notional Allocation",0,IF($C106&lt;&gt;AH$3,OFFSET('Allocation %'!$A$1,MATCH(AH$4,'Allocation %'!$A:$A,0)-1,MATCH($D106,'Allocation %'!$5:$5,0)-1)*($F46-$G46)*'2020 Assumptions'!$B$20,0))</f>
        <v>0</v>
      </c>
      <c r="AI106" s="73">
        <f ca="1">IF(AI$5="Doyon Notional Allocation",0,IF($C106&lt;&gt;AI$3,OFFSET('Allocation %'!$A$1,MATCH(AI$4,'Allocation %'!$A:$A,0)-1,MATCH($D106,'Allocation %'!$5:$5,0)-1)*($F46-$G46)*'2020 Assumptions'!$B$20,0))</f>
        <v>0</v>
      </c>
      <c r="AJ106" s="73">
        <f ca="1">IF(AJ$5="Doyon Notional Allocation",0,IF($C106&lt;&gt;AJ$3,OFFSET('Allocation %'!$A$1,MATCH(AJ$4,'Allocation %'!$A:$A,0)-1,MATCH($D106,'Allocation %'!$5:$5,0)-1)*($F46-$G46)*'2020 Assumptions'!$B$20,0))</f>
        <v>0</v>
      </c>
      <c r="AK106" s="73">
        <f ca="1">IF(AK$5="Doyon Notional Allocation",0,IF($C106&lt;&gt;AK$3,OFFSET('Allocation %'!$A$1,MATCH(AK$4,'Allocation %'!$A:$A,0)-1,MATCH($D106,'Allocation %'!$5:$5,0)-1)*($F46-$G46)*'2020 Assumptions'!$B$20,0))</f>
        <v>0</v>
      </c>
      <c r="AL106" s="73">
        <f ca="1">IF(AL$5="Doyon Notional Allocation",0,IF($C106&lt;&gt;AL$3,OFFSET('Allocation %'!$A$1,MATCH(AL$4,'Allocation %'!$A:$A,0)-1,MATCH($D106,'Allocation %'!$5:$5,0)-1)*($F46-$G46)*'2020 Assumptions'!$B$20,0))</f>
        <v>0</v>
      </c>
      <c r="AM106" s="73">
        <f ca="1">IF(AM$5="Doyon Notional Allocation",0,IF($C106&lt;&gt;AM$3,OFFSET('Allocation %'!$A$1,MATCH(AM$4,'Allocation %'!$A:$A,0)-1,MATCH($D106,'Allocation %'!$5:$5,0)-1)*($F46-$G46)*'2020 Assumptions'!$B$20,0))</f>
        <v>0</v>
      </c>
      <c r="AN106" s="73">
        <f ca="1">IF(AN$5="Doyon Notional Allocation",0,IF($C106&lt;&gt;AN$3,OFFSET('Allocation %'!$A$1,MATCH(AN$4,'Allocation %'!$A:$A,0)-1,MATCH($D106,'Allocation %'!$5:$5,0)-1)*($F46-$G46)*'2020 Assumptions'!$B$20,0))</f>
        <v>0</v>
      </c>
      <c r="AO106" s="73">
        <f ca="1">IF(AO$5="Doyon Notional Allocation",0,IF($C106&lt;&gt;AO$3,OFFSET('Allocation %'!$A$1,MATCH(AO$4,'Allocation %'!$A:$A,0)-1,MATCH($D106,'Allocation %'!$5:$5,0)-1)*($F46-$G46)*'2020 Assumptions'!$B$20,0))</f>
        <v>0</v>
      </c>
      <c r="AP106" s="73">
        <f ca="1">IF(AP$5="Doyon Notional Allocation",0,IF($C106&lt;&gt;AP$3,OFFSET('Allocation %'!$A$1,MATCH(AP$4,'Allocation %'!$A:$A,0)-1,MATCH($D106,'Allocation %'!$5:$5,0)-1)*($F46-$G46)*'2020 Assumptions'!$B$20,0))</f>
        <v>0</v>
      </c>
      <c r="AQ106" s="73">
        <f ca="1">IF(AQ$5="Doyon Notional Allocation",0,IF($C106&lt;&gt;AQ$3,OFFSET('Allocation %'!$A$1,MATCH(AQ$4,'Allocation %'!$A:$A,0)-1,MATCH($D106,'Allocation %'!$5:$5,0)-1)*($F46-$G46)*'2020 Assumptions'!$B$20,0))</f>
        <v>0</v>
      </c>
      <c r="AR106" s="73">
        <f ca="1">IF(AR$5="Doyon Notional Allocation",0,IF($C106&lt;&gt;AR$3,OFFSET('Allocation %'!$A$1,MATCH(AR$4,'Allocation %'!$A:$A,0)-1,MATCH($D106,'Allocation %'!$5:$5,0)-1)*($F46-$G46)*'2020 Assumptions'!$B$20,0))</f>
        <v>0</v>
      </c>
      <c r="AS106" s="73">
        <f ca="1">IF(AS$5="Doyon Notional Allocation",0,IF($C106&lt;&gt;AS$3,OFFSET('Allocation %'!$A$1,MATCH(AS$4,'Allocation %'!$A:$A,0)-1,MATCH($D106,'Allocation %'!$5:$5,0)-1)*($F46-$G46)*'2020 Assumptions'!$B$20,0))</f>
        <v>0</v>
      </c>
      <c r="AT106" s="73">
        <f ca="1">IF(AT$5="Doyon Notional Allocation",0,IF($C106&lt;&gt;AT$3,OFFSET('Allocation %'!$A$1,MATCH(AT$4,'Allocation %'!$A:$A,0)-1,MATCH($D106,'Allocation %'!$5:$5,0)-1)*($F46-$G46)*'2020 Assumptions'!$B$20,0))</f>
        <v>0</v>
      </c>
      <c r="AU106" s="73">
        <f ca="1">IF(AU$5="Doyon Notional Allocation",0,IF($C106&lt;&gt;AU$3,OFFSET('Allocation %'!$A$1,MATCH(AU$4,'Allocation %'!$A:$A,0)-1,MATCH($D106,'Allocation %'!$5:$5,0)-1)*($F46-$G46)*'2020 Assumptions'!$B$20,0))</f>
        <v>0</v>
      </c>
      <c r="AV106" s="73">
        <f ca="1">IF(AV$5="Doyon Notional Allocation",0,IF($C106&lt;&gt;AV$3,OFFSET('Allocation %'!$A$1,MATCH(AV$4,'Allocation %'!$A:$A,0)-1,MATCH($D106,'Allocation %'!$5:$5,0)-1)*($F46-$G46)*'2020 Assumptions'!$B$20,0))</f>
        <v>0</v>
      </c>
      <c r="AW106" s="73">
        <f ca="1">IF(AW$5="Doyon Notional Allocation",0,IF($C106&lt;&gt;AW$3,OFFSET('Allocation %'!$A$1,MATCH(AW$4,'Allocation %'!$A:$A,0)-1,MATCH($D106,'Allocation %'!$5:$5,0)-1)*($F46-$G46)*'2020 Assumptions'!$B$20,0))</f>
        <v>0</v>
      </c>
      <c r="AX106" s="73">
        <f ca="1">IF(AX$5="Doyon Notional Allocation",0,IF($C106&lt;&gt;AX$3,OFFSET('Allocation %'!$A$1,MATCH(AX$4,'Allocation %'!$A:$A,0)-1,MATCH($D106,'Allocation %'!$5:$5,0)-1)*($F46-$G46)*'2020 Assumptions'!$B$20,0))</f>
        <v>0</v>
      </c>
      <c r="AY106" s="73">
        <f ca="1">IF(AY$5="Doyon Notional Allocation",0,IF($C106&lt;&gt;AY$3,OFFSET('Allocation %'!$A$1,MATCH(AY$4,'Allocation %'!$A:$A,0)-1,MATCH($D106,'Allocation %'!$5:$5,0)-1)*($F46-$G46)*'2020 Assumptions'!$B$20,0))</f>
        <v>0</v>
      </c>
      <c r="AZ106" s="73">
        <f ca="1">IF(AZ$5="Doyon Notional Allocation",0,IF($C106&lt;&gt;AZ$3,OFFSET('Allocation %'!$A$1,MATCH(AZ$4,'Allocation %'!$A:$A,0)-1,MATCH($D106,'Allocation %'!$5:$5,0)-1)*($F46-$G46)*'2020 Assumptions'!$B$20,0))</f>
        <v>0</v>
      </c>
      <c r="BA106" s="73">
        <f ca="1">IF(BA$5="Doyon Notional Allocation",0,IF($C106&lt;&gt;BA$3,OFFSET('Allocation %'!$A$1,MATCH(BA$4,'Allocation %'!$A:$A,0)-1,MATCH($D106,'Allocation %'!$5:$5,0)-1)*($F46-$G46)*'2020 Assumptions'!$B$20,0))</f>
        <v>0</v>
      </c>
      <c r="BB106" s="73">
        <f ca="1">IF(BB$5="Doyon Notional Allocation",0,IF($C106&lt;&gt;BB$3,OFFSET('Allocation %'!$A$1,MATCH(BB$4,'Allocation %'!$A:$A,0)-1,MATCH($D106,'Allocation %'!$5:$5,0)-1)*($F46-$G46)*'2020 Assumptions'!$B$20,0))</f>
        <v>0</v>
      </c>
      <c r="BC106" s="73">
        <f ca="1">IF(BC$5="Doyon Notional Allocation",0,IF($C106&lt;&gt;BC$3,OFFSET('Allocation %'!$A$1,MATCH(BC$4,'Allocation %'!$A:$A,0)-1,MATCH($D106,'Allocation %'!$5:$5,0)-1)*($F46-$G46)*'2020 Assumptions'!$B$20,0))</f>
        <v>0</v>
      </c>
      <c r="BD106" s="73">
        <f ca="1">IF(BD$5="Doyon Notional Allocation",0,IF($C106&lt;&gt;BD$3,OFFSET('Allocation %'!$A$1,MATCH(BD$4,'Allocation %'!$A:$A,0)-1,MATCH($D106,'Allocation %'!$5:$5,0)-1)*($F46-$G46)*'2020 Assumptions'!$B$20,0))</f>
        <v>0</v>
      </c>
      <c r="BE106" s="73">
        <f ca="1">IF(BE$5="Doyon Notional Allocation",0,IF($C106&lt;&gt;BE$3,OFFSET('Allocation %'!$A$1,MATCH(BE$4,'Allocation %'!$A:$A,0)-1,MATCH($D106,'Allocation %'!$5:$5,0)-1)*($F46-$G46)*'2020 Assumptions'!$B$20,0))</f>
        <v>0</v>
      </c>
      <c r="BG106" s="76">
        <f t="shared" ca="1" si="9"/>
        <v>0</v>
      </c>
      <c r="BH106" s="349">
        <f t="shared" ca="1" si="10"/>
        <v>0</v>
      </c>
    </row>
    <row r="107" spans="1:60" s="177" customFormat="1" x14ac:dyDescent="0.25">
      <c r="A107" s="139" t="s">
        <v>419</v>
      </c>
      <c r="B107" s="259" t="str">
        <f t="shared" si="19"/>
        <v>009035 -  Business Betterment Cost Ctr Mark up</v>
      </c>
      <c r="C107" s="69" t="str">
        <f t="shared" si="20"/>
        <v>USD</v>
      </c>
      <c r="D107" s="352" t="str">
        <f t="shared" ca="1" si="20"/>
        <v>ALL</v>
      </c>
      <c r="E107" s="73">
        <f ca="1">F107*'2020 Assumptions'!$B$4</f>
        <v>144.77843827754995</v>
      </c>
      <c r="F107" s="317">
        <f t="shared" ca="1" si="11"/>
        <v>107.70602460761043</v>
      </c>
      <c r="G107" s="73"/>
      <c r="I107" s="73">
        <f ca="1">IF(I$5="Doyon Notional Allocation",0,IF($C107&lt;&gt;I$3,OFFSET('Allocation %'!$A$1,MATCH(I$4,'Allocation %'!$A:$A,0)-1,MATCH($D107,'Allocation %'!$5:$5,0)-1)*($F47-$G47)*'2020 Assumptions'!$B$20,0))</f>
        <v>0</v>
      </c>
      <c r="J107" s="73">
        <f ca="1">IF(J$5="Doyon Notional Allocation",0,IF($C107&lt;&gt;J$3,OFFSET('Allocation %'!$A$1,MATCH(J$4,'Allocation %'!$A:$A,0)-1,MATCH($D107,'Allocation %'!$5:$5,0)-1)*($F47-$G47)*'2020 Assumptions'!$B$20,0))</f>
        <v>2.4782784634176034</v>
      </c>
      <c r="K107" s="73">
        <f ca="1">IF(K$5="Doyon Notional Allocation",0,IF($C107&lt;&gt;K$3,OFFSET('Allocation %'!$A$1,MATCH(K$4,'Allocation %'!$A:$A,0)-1,MATCH($D107,'Allocation %'!$5:$5,0)-1)*($F47-$G47)*'2020 Assumptions'!$B$20,0))</f>
        <v>0.78021337751396436</v>
      </c>
      <c r="L107" s="73">
        <f ca="1">IF(L$5="Doyon Notional Allocation",0,IF($C107&lt;&gt;L$3,OFFSET('Allocation %'!$A$1,MATCH(L$4,'Allocation %'!$A:$A,0)-1,MATCH($D107,'Allocation %'!$5:$5,0)-1)*($F47-$G47)*'2020 Assumptions'!$B$20,0))</f>
        <v>0.8433246358644928</v>
      </c>
      <c r="M107" s="73">
        <f ca="1">IF(M$5="Doyon Notional Allocation",0,IF($C107&lt;&gt;M$3,OFFSET('Allocation %'!$A$1,MATCH(M$4,'Allocation %'!$A:$A,0)-1,MATCH($D107,'Allocation %'!$5:$5,0)-1)*($F47-$G47)*'2020 Assumptions'!$B$20,0))</f>
        <v>1.3728931154920825</v>
      </c>
      <c r="N107" s="73">
        <f ca="1">IF(N$5="Doyon Notional Allocation",0,IF($C107&lt;&gt;N$3,OFFSET('Allocation %'!$A$1,MATCH(N$4,'Allocation %'!$A:$A,0)-1,MATCH($D107,'Allocation %'!$5:$5,0)-1)*($F47-$G47)*'2020 Assumptions'!$B$20,0))</f>
        <v>1.2013902903347524</v>
      </c>
      <c r="O107" s="73">
        <f ca="1">IF(O$5="Doyon Notional Allocation",0,IF($C107&lt;&gt;O$3,OFFSET('Allocation %'!$A$1,MATCH(O$4,'Allocation %'!$A:$A,0)-1,MATCH($D107,'Allocation %'!$5:$5,0)-1)*($F47-$G47)*'2020 Assumptions'!$B$20,0))</f>
        <v>2.8088729121851235</v>
      </c>
      <c r="P107" s="73">
        <f ca="1">IF(P$5="Doyon Notional Allocation",0,IF($C107&lt;&gt;P$3,OFFSET('Allocation %'!$A$1,MATCH(P$4,'Allocation %'!$A:$A,0)-1,MATCH($D107,'Allocation %'!$5:$5,0)-1)*($F47-$G47)*'2020 Assumptions'!$B$20,0))</f>
        <v>0.40785767732900202</v>
      </c>
      <c r="Q107" s="73">
        <f ca="1">IF(Q$5="Doyon Notional Allocation",0,IF($C107&lt;&gt;Q$3,OFFSET('Allocation %'!$A$1,MATCH(Q$4,'Allocation %'!$A:$A,0)-1,MATCH($D107,'Allocation %'!$5:$5,0)-1)*($F47-$G47)*'2020 Assumptions'!$B$20,0))</f>
        <v>0.8900562309519785</v>
      </c>
      <c r="R107" s="73">
        <f ca="1">IF(R$5="Doyon Notional Allocation",0,IF($C107&lt;&gt;R$3,OFFSET('Allocation %'!$A$1,MATCH(R$4,'Allocation %'!$A:$A,0)-1,MATCH($D107,'Allocation %'!$5:$5,0)-1)*($F47-$G47)*'2020 Assumptions'!$B$20,0))</f>
        <v>0.82144066127441484</v>
      </c>
      <c r="S107" s="73">
        <f ca="1">IF(S$5="Doyon Notional Allocation",0,IF($C107&lt;&gt;S$3,OFFSET('Allocation %'!$A$1,MATCH(S$4,'Allocation %'!$A:$A,0)-1,MATCH($D107,'Allocation %'!$5:$5,0)-1)*($F47-$G47)*'2020 Assumptions'!$B$20,0))</f>
        <v>0.79008657396845594</v>
      </c>
      <c r="T107" s="73">
        <f ca="1">IF(T$5="Doyon Notional Allocation",0,IF($C107&lt;&gt;T$3,OFFSET('Allocation %'!$A$1,MATCH(T$4,'Allocation %'!$A:$A,0)-1,MATCH($D107,'Allocation %'!$5:$5,0)-1)*($F47-$G47)*'2020 Assumptions'!$B$20,0))</f>
        <v>2.8356976552635014</v>
      </c>
      <c r="U107" s="73">
        <f ca="1">IF(U$5="Doyon Notional Allocation",0,IF($C107&lt;&gt;U$3,OFFSET('Allocation %'!$A$1,MATCH(U$4,'Allocation %'!$A:$A,0)-1,MATCH($D107,'Allocation %'!$5:$5,0)-1)*($F47-$G47)*'2020 Assumptions'!$B$20,0))</f>
        <v>1.8138567450546603</v>
      </c>
      <c r="V107" s="73">
        <f ca="1">IF(V$5="Doyon Notional Allocation",0,IF($C107&lt;&gt;V$3,OFFSET('Allocation %'!$A$1,MATCH(V$4,'Allocation %'!$A:$A,0)-1,MATCH($D107,'Allocation %'!$5:$5,0)-1)*($F47-$G47)*'2020 Assumptions'!$B$20,0))</f>
        <v>1.9250054418769966</v>
      </c>
      <c r="W107" s="73">
        <f ca="1">IF(W$5="Doyon Notional Allocation",0,IF($C107&lt;&gt;W$3,OFFSET('Allocation %'!$A$1,MATCH(W$4,'Allocation %'!$A:$A,0)-1,MATCH($D107,'Allocation %'!$5:$5,0)-1)*($F47-$G47)*'2020 Assumptions'!$B$20,0))</f>
        <v>3.1174355521847432</v>
      </c>
      <c r="X107" s="73">
        <f ca="1">IF(X$5="Doyon Notional Allocation",0,IF($C107&lt;&gt;X$3,OFFSET('Allocation %'!$A$1,MATCH(X$4,'Allocation %'!$A:$A,0)-1,MATCH($D107,'Allocation %'!$5:$5,0)-1)*($F47-$G47)*'2020 Assumptions'!$B$20,0))</f>
        <v>7.2202011901225466E-2</v>
      </c>
      <c r="Y107" s="73">
        <f ca="1">IF(Y$5="Doyon Notional Allocation",0,IF($C107&lt;&gt;Y$3,OFFSET('Allocation %'!$A$1,MATCH(Y$4,'Allocation %'!$A:$A,0)-1,MATCH($D107,'Allocation %'!$5:$5,0)-1)*($F47-$G47)*'2020 Assumptions'!$B$20,0))</f>
        <v>5.6971759101860302E-2</v>
      </c>
      <c r="Z107" s="73">
        <f ca="1">IF(Z$5="Doyon Notional Allocation",0,IF($C107&lt;&gt;Z$3,OFFSET('Allocation %'!$A$1,MATCH(Z$4,'Allocation %'!$A:$A,0)-1,MATCH($D107,'Allocation %'!$5:$5,0)-1)*($F47-$G47)*'2020 Assumptions'!$B$20,0))</f>
        <v>0.16613881675915521</v>
      </c>
      <c r="AA107" s="73">
        <f ca="1">IF(AA$5="Doyon Notional Allocation",0,IF($C107&lt;&gt;AA$3,OFFSET('Allocation %'!$A$1,MATCH(AA$4,'Allocation %'!$A:$A,0)-1,MATCH($D107,'Allocation %'!$5:$5,0)-1)*($F47-$G47)*'2020 Assumptions'!$B$20,0))</f>
        <v>0.15158873487815935</v>
      </c>
      <c r="AB107" s="73">
        <f ca="1">IF(AB$5="Doyon Notional Allocation",0,IF($C107&lt;&gt;AB$3,OFFSET('Allocation %'!$A$1,MATCH(AB$4,'Allocation %'!$A:$A,0)-1,MATCH($D107,'Allocation %'!$5:$5,0)-1)*($F47-$G47)*'2020 Assumptions'!$B$20,0))</f>
        <v>0.14668159057142727</v>
      </c>
      <c r="AC107" s="73">
        <f ca="1">IF(AC$5="Doyon Notional Allocation",0,IF($C107&lt;&gt;AC$3,OFFSET('Allocation %'!$A$1,MATCH(AC$4,'Allocation %'!$A:$A,0)-1,MATCH($D107,'Allocation %'!$5:$5,0)-1)*($F47-$G47)*'2020 Assumptions'!$B$20,0))</f>
        <v>0.16593888353861203</v>
      </c>
      <c r="AD107" s="73">
        <f ca="1">IF(AD$5="Doyon Notional Allocation",0,IF($C107&lt;&gt;AD$3,OFFSET('Allocation %'!$A$1,MATCH(AD$4,'Allocation %'!$A:$A,0)-1,MATCH($D107,'Allocation %'!$5:$5,0)-1)*($F47-$G47)*'2020 Assumptions'!$B$20,0))</f>
        <v>0.366697465282951</v>
      </c>
      <c r="AE107" s="73">
        <f ca="1">IF(AE$5="Doyon Notional Allocation",0,IF($C107&lt;&gt;AE$3,OFFSET('Allocation %'!$A$1,MATCH(AE$4,'Allocation %'!$A:$A,0)-1,MATCH($D107,'Allocation %'!$5:$5,0)-1)*($F47-$G47)*'2020 Assumptions'!$B$20,0))</f>
        <v>0.35102520645739754</v>
      </c>
      <c r="AF107" s="73">
        <f ca="1">IF(AF$5="Doyon Notional Allocation",0,IF($C107&lt;&gt;AF$3,OFFSET('Allocation %'!$A$1,MATCH(AF$4,'Allocation %'!$A:$A,0)-1,MATCH($D107,'Allocation %'!$5:$5,0)-1)*($F47-$G47)*'2020 Assumptions'!$B$20,0))</f>
        <v>1.7305559566070949</v>
      </c>
      <c r="AG107" s="73">
        <f ca="1">IF(AG$5="Doyon Notional Allocation",0,IF($C107&lt;&gt;AG$3,OFFSET('Allocation %'!$A$1,MATCH(AG$4,'Allocation %'!$A:$A,0)-1,MATCH($D107,'Allocation %'!$5:$5,0)-1)*($F47-$G47)*'2020 Assumptions'!$B$20,0))</f>
        <v>2.7235204998450464</v>
      </c>
      <c r="AH107" s="73">
        <f ca="1">IF(AH$5="Doyon Notional Allocation",0,IF($C107&lt;&gt;AH$3,OFFSET('Allocation %'!$A$1,MATCH(AH$4,'Allocation %'!$A:$A,0)-1,MATCH($D107,'Allocation %'!$5:$5,0)-1)*($F47-$G47)*'2020 Assumptions'!$B$20,0))</f>
        <v>24.090225768269246</v>
      </c>
      <c r="AI107" s="73">
        <f ca="1">IF(AI$5="Doyon Notional Allocation",0,IF($C107&lt;&gt;AI$3,OFFSET('Allocation %'!$A$1,MATCH(AI$4,'Allocation %'!$A:$A,0)-1,MATCH($D107,'Allocation %'!$5:$5,0)-1)*($F47-$G47)*'2020 Assumptions'!$B$20,0))</f>
        <v>0.14307891493553923</v>
      </c>
      <c r="AJ107" s="73">
        <f ca="1">IF(AJ$5="Doyon Notional Allocation",0,IF($C107&lt;&gt;AJ$3,OFFSET('Allocation %'!$A$1,MATCH(AJ$4,'Allocation %'!$A:$A,0)-1,MATCH($D107,'Allocation %'!$5:$5,0)-1)*($F47-$G47)*'2020 Assumptions'!$B$20,0))</f>
        <v>3.3509475363647874</v>
      </c>
      <c r="AK107" s="73">
        <f ca="1">IF(AK$5="Doyon Notional Allocation",0,IF($C107&lt;&gt;AK$3,OFFSET('Allocation %'!$A$1,MATCH(AK$4,'Allocation %'!$A:$A,0)-1,MATCH($D107,'Allocation %'!$5:$5,0)-1)*($F47-$G47)*'2020 Assumptions'!$B$20,0))</f>
        <v>3.0157614439577571</v>
      </c>
      <c r="AL107" s="73">
        <f ca="1">IF(AL$5="Doyon Notional Allocation",0,IF($C107&lt;&gt;AL$3,OFFSET('Allocation %'!$A$1,MATCH(AL$4,'Allocation %'!$A:$A,0)-1,MATCH($D107,'Allocation %'!$5:$5,0)-1)*($F47-$G47)*'2020 Assumptions'!$B$20,0))</f>
        <v>0</v>
      </c>
      <c r="AM107" s="73">
        <f ca="1">IF(AM$5="Doyon Notional Allocation",0,IF($C107&lt;&gt;AM$3,OFFSET('Allocation %'!$A$1,MATCH(AM$4,'Allocation %'!$A:$A,0)-1,MATCH($D107,'Allocation %'!$5:$5,0)-1)*($F47-$G47)*'2020 Assumptions'!$B$20,0))</f>
        <v>0.39539343899442714</v>
      </c>
      <c r="AN107" s="73">
        <f ca="1">IF(AN$5="Doyon Notional Allocation",0,IF($C107&lt;&gt;AN$3,OFFSET('Allocation %'!$A$1,MATCH(AN$4,'Allocation %'!$A:$A,0)-1,MATCH($D107,'Allocation %'!$5:$5,0)-1)*($F47-$G47)*'2020 Assumptions'!$B$20,0))</f>
        <v>0</v>
      </c>
      <c r="AO107" s="73">
        <f ca="1">IF(AO$5="Doyon Notional Allocation",0,IF($C107&lt;&gt;AO$3,OFFSET('Allocation %'!$A$1,MATCH(AO$4,'Allocation %'!$A:$A,0)-1,MATCH($D107,'Allocation %'!$5:$5,0)-1)*($F47-$G47)*'2020 Assumptions'!$B$20,0))</f>
        <v>3.251305447318058</v>
      </c>
      <c r="AP107" s="73">
        <f ca="1">IF(AP$5="Doyon Notional Allocation",0,IF($C107&lt;&gt;AP$3,OFFSET('Allocation %'!$A$1,MATCH(AP$4,'Allocation %'!$A:$A,0)-1,MATCH($D107,'Allocation %'!$5:$5,0)-1)*($F47-$G47)*'2020 Assumptions'!$B$20,0))</f>
        <v>0.6756533335547884</v>
      </c>
      <c r="AQ107" s="73">
        <f ca="1">IF(AQ$5="Doyon Notional Allocation",0,IF($C107&lt;&gt;AQ$3,OFFSET('Allocation %'!$A$1,MATCH(AQ$4,'Allocation %'!$A:$A,0)-1,MATCH($D107,'Allocation %'!$5:$5,0)-1)*($F47-$G47)*'2020 Assumptions'!$B$20,0))</f>
        <v>2.9880072953157386</v>
      </c>
      <c r="AR107" s="73">
        <f ca="1">IF(AR$5="Doyon Notional Allocation",0,IF($C107&lt;&gt;AR$3,OFFSET('Allocation %'!$A$1,MATCH(AR$4,'Allocation %'!$A:$A,0)-1,MATCH($D107,'Allocation %'!$5:$5,0)-1)*($F47-$G47)*'2020 Assumptions'!$B$20,0))</f>
        <v>7.4979077067825944E-2</v>
      </c>
      <c r="AS107" s="73">
        <f ca="1">IF(AS$5="Doyon Notional Allocation",0,IF($C107&lt;&gt;AS$3,OFFSET('Allocation %'!$A$1,MATCH(AS$4,'Allocation %'!$A:$A,0)-1,MATCH($D107,'Allocation %'!$5:$5,0)-1)*($F47-$G47)*'2020 Assumptions'!$B$20,0))</f>
        <v>5.4921417608738654</v>
      </c>
      <c r="AT107" s="73">
        <f ca="1">IF(AT$5="Doyon Notional Allocation",0,IF($C107&lt;&gt;AT$3,OFFSET('Allocation %'!$A$1,MATCH(AT$4,'Allocation %'!$A:$A,0)-1,MATCH($D107,'Allocation %'!$5:$5,0)-1)*($F47-$G47)*'2020 Assumptions'!$B$20,0))</f>
        <v>3.2337939609221911</v>
      </c>
      <c r="AU107" s="73">
        <f ca="1">IF(AU$5="Doyon Notional Allocation",0,IF($C107&lt;&gt;AU$3,OFFSET('Allocation %'!$A$1,MATCH(AU$4,'Allocation %'!$A:$A,0)-1,MATCH($D107,'Allocation %'!$5:$5,0)-1)*($F47-$G47)*'2020 Assumptions'!$B$20,0))</f>
        <v>3.8653924635525665</v>
      </c>
      <c r="AV107" s="73">
        <f ca="1">IF(AV$5="Doyon Notional Allocation",0,IF($C107&lt;&gt;AV$3,OFFSET('Allocation %'!$A$1,MATCH(AV$4,'Allocation %'!$A:$A,0)-1,MATCH($D107,'Allocation %'!$5:$5,0)-1)*($F47-$G47)*'2020 Assumptions'!$B$20,0))</f>
        <v>5.9548796294643722</v>
      </c>
      <c r="AW107" s="73">
        <f ca="1">IF(AW$5="Doyon Notional Allocation",0,IF($C107&lt;&gt;AW$3,OFFSET('Allocation %'!$A$1,MATCH(AW$4,'Allocation %'!$A:$A,0)-1,MATCH($D107,'Allocation %'!$5:$5,0)-1)*($F47-$G47)*'2020 Assumptions'!$B$20,0))</f>
        <v>22.759714579616187</v>
      </c>
      <c r="AX107" s="73">
        <f ca="1">IF(AX$5="Doyon Notional Allocation",0,IF($C107&lt;&gt;AX$3,OFFSET('Allocation %'!$A$1,MATCH(AX$4,'Allocation %'!$A:$A,0)-1,MATCH($D107,'Allocation %'!$5:$5,0)-1)*($F47-$G47)*'2020 Assumptions'!$B$20,0))</f>
        <v>0.39701969974839996</v>
      </c>
      <c r="AY107" s="73">
        <f ca="1">IF(AY$5="Doyon Notional Allocation",0,IF($C107&lt;&gt;AY$3,OFFSET('Allocation %'!$A$1,MATCH(AY$4,'Allocation %'!$A:$A,0)-1,MATCH($D107,'Allocation %'!$5:$5,0)-1)*($F47-$G47)*'2020 Assumptions'!$B$20,0))</f>
        <v>0</v>
      </c>
      <c r="AZ107" s="73">
        <f ca="1">IF(AZ$5="Doyon Notional Allocation",0,IF($C107&lt;&gt;AZ$3,OFFSET('Allocation %'!$A$1,MATCH(AZ$4,'Allocation %'!$A:$A,0)-1,MATCH($D107,'Allocation %'!$5:$5,0)-1)*($F47-$G47)*'2020 Assumptions'!$B$20,0))</f>
        <v>0</v>
      </c>
      <c r="BA107" s="73">
        <f ca="1">IF(BA$5="Doyon Notional Allocation",0,IF($C107&lt;&gt;BA$3,OFFSET('Allocation %'!$A$1,MATCH(BA$4,'Allocation %'!$A:$A,0)-1,MATCH($D107,'Allocation %'!$5:$5,0)-1)*($F47-$G47)*'2020 Assumptions'!$B$20,0))</f>
        <v>0</v>
      </c>
      <c r="BB107" s="73">
        <f ca="1">IF(BB$5="Doyon Notional Allocation",0,IF($C107&lt;&gt;BB$3,OFFSET('Allocation %'!$A$1,MATCH(BB$4,'Allocation %'!$A:$A,0)-1,MATCH($D107,'Allocation %'!$5:$5,0)-1)*($F47-$G47)*'2020 Assumptions'!$B$20,0))</f>
        <v>0</v>
      </c>
      <c r="BC107" s="73">
        <f ca="1">IF(BC$5="Doyon Notional Allocation",0,IF($C107&lt;&gt;BC$3,OFFSET('Allocation %'!$A$1,MATCH(BC$4,'Allocation %'!$A:$A,0)-1,MATCH($D107,'Allocation %'!$5:$5,0)-1)*($F47-$G47)*'2020 Assumptions'!$B$20,0))</f>
        <v>0</v>
      </c>
      <c r="BD107" s="73">
        <f ca="1">IF(BD$5="Doyon Notional Allocation",0,IF($C107&lt;&gt;BD$3,OFFSET('Allocation %'!$A$1,MATCH(BD$4,'Allocation %'!$A:$A,0)-1,MATCH($D107,'Allocation %'!$5:$5,0)-1)*($F47-$G47)*'2020 Assumptions'!$B$20,0))</f>
        <v>0</v>
      </c>
      <c r="BE107" s="73">
        <f ca="1">IF(BE$5="Doyon Notional Allocation",0,IF($C107&lt;&gt;BE$3,OFFSET('Allocation %'!$A$1,MATCH(BE$4,'Allocation %'!$A:$A,0)-1,MATCH($D107,'Allocation %'!$5:$5,0)-1)*($F47-$G47)*'2020 Assumptions'!$B$20,0))</f>
        <v>0</v>
      </c>
      <c r="BG107" s="76">
        <f t="shared" ca="1" si="9"/>
        <v>107.70602460761043</v>
      </c>
      <c r="BH107" s="349">
        <f t="shared" ca="1" si="10"/>
        <v>0</v>
      </c>
    </row>
    <row r="108" spans="1:60" s="177" customFormat="1" x14ac:dyDescent="0.25">
      <c r="A108" s="139" t="s">
        <v>419</v>
      </c>
      <c r="B108" s="259" t="str">
        <f t="shared" si="19"/>
        <v>009040 - Human Resources Cost Ctr Mark up</v>
      </c>
      <c r="C108" s="69" t="str">
        <f t="shared" si="20"/>
        <v>USD</v>
      </c>
      <c r="D108" s="352" t="str">
        <f t="shared" ca="1" si="20"/>
        <v>RU - L48</v>
      </c>
      <c r="E108" s="73">
        <f ca="1">F108*'2020 Assumptions'!$B$4</f>
        <v>0</v>
      </c>
      <c r="F108" s="317">
        <f t="shared" ca="1" si="11"/>
        <v>0</v>
      </c>
      <c r="G108" s="73"/>
      <c r="I108" s="73">
        <f ca="1">IF(I$5="Doyon Notional Allocation",0,IF($C108&lt;&gt;I$3,OFFSET('Allocation %'!$A$1,MATCH(I$4,'Allocation %'!$A:$A,0)-1,MATCH($D108,'Allocation %'!$5:$5,0)-1)*($F48-$G48)*'2020 Assumptions'!$B$20,0))</f>
        <v>0</v>
      </c>
      <c r="J108" s="73">
        <f ca="1">IF(J$5="Doyon Notional Allocation",0,IF($C108&lt;&gt;J$3,OFFSET('Allocation %'!$A$1,MATCH(J$4,'Allocation %'!$A:$A,0)-1,MATCH($D108,'Allocation %'!$5:$5,0)-1)*($F48-$G48)*'2020 Assumptions'!$B$20,0))</f>
        <v>0</v>
      </c>
      <c r="K108" s="73">
        <f ca="1">IF(K$5="Doyon Notional Allocation",0,IF($C108&lt;&gt;K$3,OFFSET('Allocation %'!$A$1,MATCH(K$4,'Allocation %'!$A:$A,0)-1,MATCH($D108,'Allocation %'!$5:$5,0)-1)*($F48-$G48)*'2020 Assumptions'!$B$20,0))</f>
        <v>0</v>
      </c>
      <c r="L108" s="73">
        <f ca="1">IF(L$5="Doyon Notional Allocation",0,IF($C108&lt;&gt;L$3,OFFSET('Allocation %'!$A$1,MATCH(L$4,'Allocation %'!$A:$A,0)-1,MATCH($D108,'Allocation %'!$5:$5,0)-1)*($F48-$G48)*'2020 Assumptions'!$B$20,0))</f>
        <v>0</v>
      </c>
      <c r="M108" s="73">
        <f ca="1">IF(M$5="Doyon Notional Allocation",0,IF($C108&lt;&gt;M$3,OFFSET('Allocation %'!$A$1,MATCH(M$4,'Allocation %'!$A:$A,0)-1,MATCH($D108,'Allocation %'!$5:$5,0)-1)*($F48-$G48)*'2020 Assumptions'!$B$20,0))</f>
        <v>0</v>
      </c>
      <c r="N108" s="73">
        <f ca="1">IF(N$5="Doyon Notional Allocation",0,IF($C108&lt;&gt;N$3,OFFSET('Allocation %'!$A$1,MATCH(N$4,'Allocation %'!$A:$A,0)-1,MATCH($D108,'Allocation %'!$5:$5,0)-1)*($F48-$G48)*'2020 Assumptions'!$B$20,0))</f>
        <v>0</v>
      </c>
      <c r="O108" s="73">
        <f ca="1">IF(O$5="Doyon Notional Allocation",0,IF($C108&lt;&gt;O$3,OFFSET('Allocation %'!$A$1,MATCH(O$4,'Allocation %'!$A:$A,0)-1,MATCH($D108,'Allocation %'!$5:$5,0)-1)*($F48-$G48)*'2020 Assumptions'!$B$20,0))</f>
        <v>0</v>
      </c>
      <c r="P108" s="73">
        <f ca="1">IF(P$5="Doyon Notional Allocation",0,IF($C108&lt;&gt;P$3,OFFSET('Allocation %'!$A$1,MATCH(P$4,'Allocation %'!$A:$A,0)-1,MATCH($D108,'Allocation %'!$5:$5,0)-1)*($F48-$G48)*'2020 Assumptions'!$B$20,0))</f>
        <v>0</v>
      </c>
      <c r="Q108" s="73">
        <f ca="1">IF(Q$5="Doyon Notional Allocation",0,IF($C108&lt;&gt;Q$3,OFFSET('Allocation %'!$A$1,MATCH(Q$4,'Allocation %'!$A:$A,0)-1,MATCH($D108,'Allocation %'!$5:$5,0)-1)*($F48-$G48)*'2020 Assumptions'!$B$20,0))</f>
        <v>0</v>
      </c>
      <c r="R108" s="73">
        <f ca="1">IF(R$5="Doyon Notional Allocation",0,IF($C108&lt;&gt;R$3,OFFSET('Allocation %'!$A$1,MATCH(R$4,'Allocation %'!$A:$A,0)-1,MATCH($D108,'Allocation %'!$5:$5,0)-1)*($F48-$G48)*'2020 Assumptions'!$B$20,0))</f>
        <v>0</v>
      </c>
      <c r="S108" s="73">
        <f ca="1">IF(S$5="Doyon Notional Allocation",0,IF($C108&lt;&gt;S$3,OFFSET('Allocation %'!$A$1,MATCH(S$4,'Allocation %'!$A:$A,0)-1,MATCH($D108,'Allocation %'!$5:$5,0)-1)*($F48-$G48)*'2020 Assumptions'!$B$20,0))</f>
        <v>0</v>
      </c>
      <c r="T108" s="73">
        <f ca="1">IF(T$5="Doyon Notional Allocation",0,IF($C108&lt;&gt;T$3,OFFSET('Allocation %'!$A$1,MATCH(T$4,'Allocation %'!$A:$A,0)-1,MATCH($D108,'Allocation %'!$5:$5,0)-1)*($F48-$G48)*'2020 Assumptions'!$B$20,0))</f>
        <v>0</v>
      </c>
      <c r="U108" s="73">
        <f ca="1">IF(U$5="Doyon Notional Allocation",0,IF($C108&lt;&gt;U$3,OFFSET('Allocation %'!$A$1,MATCH(U$4,'Allocation %'!$A:$A,0)-1,MATCH($D108,'Allocation %'!$5:$5,0)-1)*($F48-$G48)*'2020 Assumptions'!$B$20,0))</f>
        <v>0</v>
      </c>
      <c r="V108" s="73">
        <f ca="1">IF(V$5="Doyon Notional Allocation",0,IF($C108&lt;&gt;V$3,OFFSET('Allocation %'!$A$1,MATCH(V$4,'Allocation %'!$A:$A,0)-1,MATCH($D108,'Allocation %'!$5:$5,0)-1)*($F48-$G48)*'2020 Assumptions'!$B$20,0))</f>
        <v>0</v>
      </c>
      <c r="W108" s="73">
        <f ca="1">IF(W$5="Doyon Notional Allocation",0,IF($C108&lt;&gt;W$3,OFFSET('Allocation %'!$A$1,MATCH(W$4,'Allocation %'!$A:$A,0)-1,MATCH($D108,'Allocation %'!$5:$5,0)-1)*($F48-$G48)*'2020 Assumptions'!$B$20,0))</f>
        <v>0</v>
      </c>
      <c r="X108" s="73">
        <f ca="1">IF(X$5="Doyon Notional Allocation",0,IF($C108&lt;&gt;X$3,OFFSET('Allocation %'!$A$1,MATCH(X$4,'Allocation %'!$A:$A,0)-1,MATCH($D108,'Allocation %'!$5:$5,0)-1)*($F48-$G48)*'2020 Assumptions'!$B$20,0))</f>
        <v>0</v>
      </c>
      <c r="Y108" s="73">
        <f ca="1">IF(Y$5="Doyon Notional Allocation",0,IF($C108&lt;&gt;Y$3,OFFSET('Allocation %'!$A$1,MATCH(Y$4,'Allocation %'!$A:$A,0)-1,MATCH($D108,'Allocation %'!$5:$5,0)-1)*($F48-$G48)*'2020 Assumptions'!$B$20,0))</f>
        <v>0</v>
      </c>
      <c r="Z108" s="73">
        <f ca="1">IF(Z$5="Doyon Notional Allocation",0,IF($C108&lt;&gt;Z$3,OFFSET('Allocation %'!$A$1,MATCH(Z$4,'Allocation %'!$A:$A,0)-1,MATCH($D108,'Allocation %'!$5:$5,0)-1)*($F48-$G48)*'2020 Assumptions'!$B$20,0))</f>
        <v>0</v>
      </c>
      <c r="AA108" s="73">
        <f ca="1">IF(AA$5="Doyon Notional Allocation",0,IF($C108&lt;&gt;AA$3,OFFSET('Allocation %'!$A$1,MATCH(AA$4,'Allocation %'!$A:$A,0)-1,MATCH($D108,'Allocation %'!$5:$5,0)-1)*($F48-$G48)*'2020 Assumptions'!$B$20,0))</f>
        <v>0</v>
      </c>
      <c r="AB108" s="73">
        <f ca="1">IF(AB$5="Doyon Notional Allocation",0,IF($C108&lt;&gt;AB$3,OFFSET('Allocation %'!$A$1,MATCH(AB$4,'Allocation %'!$A:$A,0)-1,MATCH($D108,'Allocation %'!$5:$5,0)-1)*($F48-$G48)*'2020 Assumptions'!$B$20,0))</f>
        <v>0</v>
      </c>
      <c r="AC108" s="73">
        <f ca="1">IF(AC$5="Doyon Notional Allocation",0,IF($C108&lt;&gt;AC$3,OFFSET('Allocation %'!$A$1,MATCH(AC$4,'Allocation %'!$A:$A,0)-1,MATCH($D108,'Allocation %'!$5:$5,0)-1)*($F48-$G48)*'2020 Assumptions'!$B$20,0))</f>
        <v>0</v>
      </c>
      <c r="AD108" s="73">
        <f ca="1">IF(AD$5="Doyon Notional Allocation",0,IF($C108&lt;&gt;AD$3,OFFSET('Allocation %'!$A$1,MATCH(AD$4,'Allocation %'!$A:$A,0)-1,MATCH($D108,'Allocation %'!$5:$5,0)-1)*($F48-$G48)*'2020 Assumptions'!$B$20,0))</f>
        <v>0</v>
      </c>
      <c r="AE108" s="73">
        <f ca="1">IF(AE$5="Doyon Notional Allocation",0,IF($C108&lt;&gt;AE$3,OFFSET('Allocation %'!$A$1,MATCH(AE$4,'Allocation %'!$A:$A,0)-1,MATCH($D108,'Allocation %'!$5:$5,0)-1)*($F48-$G48)*'2020 Assumptions'!$B$20,0))</f>
        <v>0</v>
      </c>
      <c r="AF108" s="73">
        <f ca="1">IF(AF$5="Doyon Notional Allocation",0,IF($C108&lt;&gt;AF$3,OFFSET('Allocation %'!$A$1,MATCH(AF$4,'Allocation %'!$A:$A,0)-1,MATCH($D108,'Allocation %'!$5:$5,0)-1)*($F48-$G48)*'2020 Assumptions'!$B$20,0))</f>
        <v>0</v>
      </c>
      <c r="AG108" s="73">
        <f ca="1">IF(AG$5="Doyon Notional Allocation",0,IF($C108&lt;&gt;AG$3,OFFSET('Allocation %'!$A$1,MATCH(AG$4,'Allocation %'!$A:$A,0)-1,MATCH($D108,'Allocation %'!$5:$5,0)-1)*($F48-$G48)*'2020 Assumptions'!$B$20,0))</f>
        <v>0</v>
      </c>
      <c r="AH108" s="73">
        <f ca="1">IF(AH$5="Doyon Notional Allocation",0,IF($C108&lt;&gt;AH$3,OFFSET('Allocation %'!$A$1,MATCH(AH$4,'Allocation %'!$A:$A,0)-1,MATCH($D108,'Allocation %'!$5:$5,0)-1)*($F48-$G48)*'2020 Assumptions'!$B$20,0))</f>
        <v>0</v>
      </c>
      <c r="AI108" s="73">
        <f ca="1">IF(AI$5="Doyon Notional Allocation",0,IF($C108&lt;&gt;AI$3,OFFSET('Allocation %'!$A$1,MATCH(AI$4,'Allocation %'!$A:$A,0)-1,MATCH($D108,'Allocation %'!$5:$5,0)-1)*($F48-$G48)*'2020 Assumptions'!$B$20,0))</f>
        <v>0</v>
      </c>
      <c r="AJ108" s="73">
        <f ca="1">IF(AJ$5="Doyon Notional Allocation",0,IF($C108&lt;&gt;AJ$3,OFFSET('Allocation %'!$A$1,MATCH(AJ$4,'Allocation %'!$A:$A,0)-1,MATCH($D108,'Allocation %'!$5:$5,0)-1)*($F48-$G48)*'2020 Assumptions'!$B$20,0))</f>
        <v>0</v>
      </c>
      <c r="AK108" s="73">
        <f ca="1">IF(AK$5="Doyon Notional Allocation",0,IF($C108&lt;&gt;AK$3,OFFSET('Allocation %'!$A$1,MATCH(AK$4,'Allocation %'!$A:$A,0)-1,MATCH($D108,'Allocation %'!$5:$5,0)-1)*($F48-$G48)*'2020 Assumptions'!$B$20,0))</f>
        <v>0</v>
      </c>
      <c r="AL108" s="73">
        <f ca="1">IF(AL$5="Doyon Notional Allocation",0,IF($C108&lt;&gt;AL$3,OFFSET('Allocation %'!$A$1,MATCH(AL$4,'Allocation %'!$A:$A,0)-1,MATCH($D108,'Allocation %'!$5:$5,0)-1)*($F48-$G48)*'2020 Assumptions'!$B$20,0))</f>
        <v>0</v>
      </c>
      <c r="AM108" s="73">
        <f ca="1">IF(AM$5="Doyon Notional Allocation",0,IF($C108&lt;&gt;AM$3,OFFSET('Allocation %'!$A$1,MATCH(AM$4,'Allocation %'!$A:$A,0)-1,MATCH($D108,'Allocation %'!$5:$5,0)-1)*($F48-$G48)*'2020 Assumptions'!$B$20,0))</f>
        <v>0</v>
      </c>
      <c r="AN108" s="73">
        <f ca="1">IF(AN$5="Doyon Notional Allocation",0,IF($C108&lt;&gt;AN$3,OFFSET('Allocation %'!$A$1,MATCH(AN$4,'Allocation %'!$A:$A,0)-1,MATCH($D108,'Allocation %'!$5:$5,0)-1)*($F48-$G48)*'2020 Assumptions'!$B$20,0))</f>
        <v>0</v>
      </c>
      <c r="AO108" s="73">
        <f ca="1">IF(AO$5="Doyon Notional Allocation",0,IF($C108&lt;&gt;AO$3,OFFSET('Allocation %'!$A$1,MATCH(AO$4,'Allocation %'!$A:$A,0)-1,MATCH($D108,'Allocation %'!$5:$5,0)-1)*($F48-$G48)*'2020 Assumptions'!$B$20,0))</f>
        <v>0</v>
      </c>
      <c r="AP108" s="73">
        <f ca="1">IF(AP$5="Doyon Notional Allocation",0,IF($C108&lt;&gt;AP$3,OFFSET('Allocation %'!$A$1,MATCH(AP$4,'Allocation %'!$A:$A,0)-1,MATCH($D108,'Allocation %'!$5:$5,0)-1)*($F48-$G48)*'2020 Assumptions'!$B$20,0))</f>
        <v>0</v>
      </c>
      <c r="AQ108" s="73">
        <f ca="1">IF(AQ$5="Doyon Notional Allocation",0,IF($C108&lt;&gt;AQ$3,OFFSET('Allocation %'!$A$1,MATCH(AQ$4,'Allocation %'!$A:$A,0)-1,MATCH($D108,'Allocation %'!$5:$5,0)-1)*($F48-$G48)*'2020 Assumptions'!$B$20,0))</f>
        <v>0</v>
      </c>
      <c r="AR108" s="73">
        <f ca="1">IF(AR$5="Doyon Notional Allocation",0,IF($C108&lt;&gt;AR$3,OFFSET('Allocation %'!$A$1,MATCH(AR$4,'Allocation %'!$A:$A,0)-1,MATCH($D108,'Allocation %'!$5:$5,0)-1)*($F48-$G48)*'2020 Assumptions'!$B$20,0))</f>
        <v>0</v>
      </c>
      <c r="AS108" s="73">
        <f ca="1">IF(AS$5="Doyon Notional Allocation",0,IF($C108&lt;&gt;AS$3,OFFSET('Allocation %'!$A$1,MATCH(AS$4,'Allocation %'!$A:$A,0)-1,MATCH($D108,'Allocation %'!$5:$5,0)-1)*($F48-$G48)*'2020 Assumptions'!$B$20,0))</f>
        <v>0</v>
      </c>
      <c r="AT108" s="73">
        <f ca="1">IF(AT$5="Doyon Notional Allocation",0,IF($C108&lt;&gt;AT$3,OFFSET('Allocation %'!$A$1,MATCH(AT$4,'Allocation %'!$A:$A,0)-1,MATCH($D108,'Allocation %'!$5:$5,0)-1)*($F48-$G48)*'2020 Assumptions'!$B$20,0))</f>
        <v>0</v>
      </c>
      <c r="AU108" s="73">
        <f ca="1">IF(AU$5="Doyon Notional Allocation",0,IF($C108&lt;&gt;AU$3,OFFSET('Allocation %'!$A$1,MATCH(AU$4,'Allocation %'!$A:$A,0)-1,MATCH($D108,'Allocation %'!$5:$5,0)-1)*($F48-$G48)*'2020 Assumptions'!$B$20,0))</f>
        <v>0</v>
      </c>
      <c r="AV108" s="73">
        <f ca="1">IF(AV$5="Doyon Notional Allocation",0,IF($C108&lt;&gt;AV$3,OFFSET('Allocation %'!$A$1,MATCH(AV$4,'Allocation %'!$A:$A,0)-1,MATCH($D108,'Allocation %'!$5:$5,0)-1)*($F48-$G48)*'2020 Assumptions'!$B$20,0))</f>
        <v>0</v>
      </c>
      <c r="AW108" s="73">
        <f ca="1">IF(AW$5="Doyon Notional Allocation",0,IF($C108&lt;&gt;AW$3,OFFSET('Allocation %'!$A$1,MATCH(AW$4,'Allocation %'!$A:$A,0)-1,MATCH($D108,'Allocation %'!$5:$5,0)-1)*($F48-$G48)*'2020 Assumptions'!$B$20,0))</f>
        <v>0</v>
      </c>
      <c r="AX108" s="73">
        <f ca="1">IF(AX$5="Doyon Notional Allocation",0,IF($C108&lt;&gt;AX$3,OFFSET('Allocation %'!$A$1,MATCH(AX$4,'Allocation %'!$A:$A,0)-1,MATCH($D108,'Allocation %'!$5:$5,0)-1)*($F48-$G48)*'2020 Assumptions'!$B$20,0))</f>
        <v>0</v>
      </c>
      <c r="AY108" s="73">
        <f ca="1">IF(AY$5="Doyon Notional Allocation",0,IF($C108&lt;&gt;AY$3,OFFSET('Allocation %'!$A$1,MATCH(AY$4,'Allocation %'!$A:$A,0)-1,MATCH($D108,'Allocation %'!$5:$5,0)-1)*($F48-$G48)*'2020 Assumptions'!$B$20,0))</f>
        <v>0</v>
      </c>
      <c r="AZ108" s="73">
        <f ca="1">IF(AZ$5="Doyon Notional Allocation",0,IF($C108&lt;&gt;AZ$3,OFFSET('Allocation %'!$A$1,MATCH(AZ$4,'Allocation %'!$A:$A,0)-1,MATCH($D108,'Allocation %'!$5:$5,0)-1)*($F48-$G48)*'2020 Assumptions'!$B$20,0))</f>
        <v>0</v>
      </c>
      <c r="BA108" s="73">
        <f ca="1">IF(BA$5="Doyon Notional Allocation",0,IF($C108&lt;&gt;BA$3,OFFSET('Allocation %'!$A$1,MATCH(BA$4,'Allocation %'!$A:$A,0)-1,MATCH($D108,'Allocation %'!$5:$5,0)-1)*($F48-$G48)*'2020 Assumptions'!$B$20,0))</f>
        <v>0</v>
      </c>
      <c r="BB108" s="73">
        <f ca="1">IF(BB$5="Doyon Notional Allocation",0,IF($C108&lt;&gt;BB$3,OFFSET('Allocation %'!$A$1,MATCH(BB$4,'Allocation %'!$A:$A,0)-1,MATCH($D108,'Allocation %'!$5:$5,0)-1)*($F48-$G48)*'2020 Assumptions'!$B$20,0))</f>
        <v>0</v>
      </c>
      <c r="BC108" s="73">
        <f ca="1">IF(BC$5="Doyon Notional Allocation",0,IF($C108&lt;&gt;BC$3,OFFSET('Allocation %'!$A$1,MATCH(BC$4,'Allocation %'!$A:$A,0)-1,MATCH($D108,'Allocation %'!$5:$5,0)-1)*($F48-$G48)*'2020 Assumptions'!$B$20,0))</f>
        <v>0</v>
      </c>
      <c r="BD108" s="73">
        <f ca="1">IF(BD$5="Doyon Notional Allocation",0,IF($C108&lt;&gt;BD$3,OFFSET('Allocation %'!$A$1,MATCH(BD$4,'Allocation %'!$A:$A,0)-1,MATCH($D108,'Allocation %'!$5:$5,0)-1)*($F48-$G48)*'2020 Assumptions'!$B$20,0))</f>
        <v>0</v>
      </c>
      <c r="BE108" s="73">
        <f ca="1">IF(BE$5="Doyon Notional Allocation",0,IF($C108&lt;&gt;BE$3,OFFSET('Allocation %'!$A$1,MATCH(BE$4,'Allocation %'!$A:$A,0)-1,MATCH($D108,'Allocation %'!$5:$5,0)-1)*($F48-$G48)*'2020 Assumptions'!$B$20,0))</f>
        <v>0</v>
      </c>
      <c r="BG108" s="76">
        <f t="shared" ca="1" si="9"/>
        <v>0</v>
      </c>
      <c r="BH108" s="349">
        <f t="shared" ca="1" si="10"/>
        <v>0</v>
      </c>
    </row>
    <row r="109" spans="1:60" s="177" customFormat="1" x14ac:dyDescent="0.25">
      <c r="A109" s="139" t="s">
        <v>419</v>
      </c>
      <c r="B109" s="259" t="str">
        <f t="shared" si="19"/>
        <v>009050 - IT Cost Ctr Mark up</v>
      </c>
      <c r="C109" s="69" t="str">
        <f t="shared" si="20"/>
        <v>USD</v>
      </c>
      <c r="D109" s="352" t="str">
        <f t="shared" ca="1" si="20"/>
        <v>RU - L48</v>
      </c>
      <c r="E109" s="73">
        <f ca="1">F109*'2020 Assumptions'!$B$4</f>
        <v>0</v>
      </c>
      <c r="F109" s="317">
        <f t="shared" ca="1" si="11"/>
        <v>0</v>
      </c>
      <c r="G109" s="73"/>
      <c r="I109" s="73">
        <f ca="1">IF(I$5="Doyon Notional Allocation",0,IF($C109&lt;&gt;I$3,OFFSET('Allocation %'!$A$1,MATCH(I$4,'Allocation %'!$A:$A,0)-1,MATCH($D109,'Allocation %'!$5:$5,0)-1)*($F49-$G49)*'2020 Assumptions'!$B$20,0))</f>
        <v>0</v>
      </c>
      <c r="J109" s="73">
        <f ca="1">IF(J$5="Doyon Notional Allocation",0,IF($C109&lt;&gt;J$3,OFFSET('Allocation %'!$A$1,MATCH(J$4,'Allocation %'!$A:$A,0)-1,MATCH($D109,'Allocation %'!$5:$5,0)-1)*($F49-$G49)*'2020 Assumptions'!$B$20,0))</f>
        <v>0</v>
      </c>
      <c r="K109" s="73">
        <f ca="1">IF(K$5="Doyon Notional Allocation",0,IF($C109&lt;&gt;K$3,OFFSET('Allocation %'!$A$1,MATCH(K$4,'Allocation %'!$A:$A,0)-1,MATCH($D109,'Allocation %'!$5:$5,0)-1)*($F49-$G49)*'2020 Assumptions'!$B$20,0))</f>
        <v>0</v>
      </c>
      <c r="L109" s="73">
        <f ca="1">IF(L$5="Doyon Notional Allocation",0,IF($C109&lt;&gt;L$3,OFFSET('Allocation %'!$A$1,MATCH(L$4,'Allocation %'!$A:$A,0)-1,MATCH($D109,'Allocation %'!$5:$5,0)-1)*($F49-$G49)*'2020 Assumptions'!$B$20,0))</f>
        <v>0</v>
      </c>
      <c r="M109" s="73">
        <f ca="1">IF(M$5="Doyon Notional Allocation",0,IF($C109&lt;&gt;M$3,OFFSET('Allocation %'!$A$1,MATCH(M$4,'Allocation %'!$A:$A,0)-1,MATCH($D109,'Allocation %'!$5:$5,0)-1)*($F49-$G49)*'2020 Assumptions'!$B$20,0))</f>
        <v>0</v>
      </c>
      <c r="N109" s="73">
        <f ca="1">IF(N$5="Doyon Notional Allocation",0,IF($C109&lt;&gt;N$3,OFFSET('Allocation %'!$A$1,MATCH(N$4,'Allocation %'!$A:$A,0)-1,MATCH($D109,'Allocation %'!$5:$5,0)-1)*($F49-$G49)*'2020 Assumptions'!$B$20,0))</f>
        <v>0</v>
      </c>
      <c r="O109" s="73">
        <f ca="1">IF(O$5="Doyon Notional Allocation",0,IF($C109&lt;&gt;O$3,OFFSET('Allocation %'!$A$1,MATCH(O$4,'Allocation %'!$A:$A,0)-1,MATCH($D109,'Allocation %'!$5:$5,0)-1)*($F49-$G49)*'2020 Assumptions'!$B$20,0))</f>
        <v>0</v>
      </c>
      <c r="P109" s="73">
        <f ca="1">IF(P$5="Doyon Notional Allocation",0,IF($C109&lt;&gt;P$3,OFFSET('Allocation %'!$A$1,MATCH(P$4,'Allocation %'!$A:$A,0)-1,MATCH($D109,'Allocation %'!$5:$5,0)-1)*($F49-$G49)*'2020 Assumptions'!$B$20,0))</f>
        <v>0</v>
      </c>
      <c r="Q109" s="73">
        <f ca="1">IF(Q$5="Doyon Notional Allocation",0,IF($C109&lt;&gt;Q$3,OFFSET('Allocation %'!$A$1,MATCH(Q$4,'Allocation %'!$A:$A,0)-1,MATCH($D109,'Allocation %'!$5:$5,0)-1)*($F49-$G49)*'2020 Assumptions'!$B$20,0))</f>
        <v>0</v>
      </c>
      <c r="R109" s="73">
        <f ca="1">IF(R$5="Doyon Notional Allocation",0,IF($C109&lt;&gt;R$3,OFFSET('Allocation %'!$A$1,MATCH(R$4,'Allocation %'!$A:$A,0)-1,MATCH($D109,'Allocation %'!$5:$5,0)-1)*($F49-$G49)*'2020 Assumptions'!$B$20,0))</f>
        <v>0</v>
      </c>
      <c r="S109" s="73">
        <f ca="1">IF(S$5="Doyon Notional Allocation",0,IF($C109&lt;&gt;S$3,OFFSET('Allocation %'!$A$1,MATCH(S$4,'Allocation %'!$A:$A,0)-1,MATCH($D109,'Allocation %'!$5:$5,0)-1)*($F49-$G49)*'2020 Assumptions'!$B$20,0))</f>
        <v>0</v>
      </c>
      <c r="T109" s="73">
        <f ca="1">IF(T$5="Doyon Notional Allocation",0,IF($C109&lt;&gt;T$3,OFFSET('Allocation %'!$A$1,MATCH(T$4,'Allocation %'!$A:$A,0)-1,MATCH($D109,'Allocation %'!$5:$5,0)-1)*($F49-$G49)*'2020 Assumptions'!$B$20,0))</f>
        <v>0</v>
      </c>
      <c r="U109" s="73">
        <f ca="1">IF(U$5="Doyon Notional Allocation",0,IF($C109&lt;&gt;U$3,OFFSET('Allocation %'!$A$1,MATCH(U$4,'Allocation %'!$A:$A,0)-1,MATCH($D109,'Allocation %'!$5:$5,0)-1)*($F49-$G49)*'2020 Assumptions'!$B$20,0))</f>
        <v>0</v>
      </c>
      <c r="V109" s="73">
        <f ca="1">IF(V$5="Doyon Notional Allocation",0,IF($C109&lt;&gt;V$3,OFFSET('Allocation %'!$A$1,MATCH(V$4,'Allocation %'!$A:$A,0)-1,MATCH($D109,'Allocation %'!$5:$5,0)-1)*($F49-$G49)*'2020 Assumptions'!$B$20,0))</f>
        <v>0</v>
      </c>
      <c r="W109" s="73">
        <f ca="1">IF(W$5="Doyon Notional Allocation",0,IF($C109&lt;&gt;W$3,OFFSET('Allocation %'!$A$1,MATCH(W$4,'Allocation %'!$A:$A,0)-1,MATCH($D109,'Allocation %'!$5:$5,0)-1)*($F49-$G49)*'2020 Assumptions'!$B$20,0))</f>
        <v>0</v>
      </c>
      <c r="X109" s="73">
        <f ca="1">IF(X$5="Doyon Notional Allocation",0,IF($C109&lt;&gt;X$3,OFFSET('Allocation %'!$A$1,MATCH(X$4,'Allocation %'!$A:$A,0)-1,MATCH($D109,'Allocation %'!$5:$5,0)-1)*($F49-$G49)*'2020 Assumptions'!$B$20,0))</f>
        <v>0</v>
      </c>
      <c r="Y109" s="73">
        <f ca="1">IF(Y$5="Doyon Notional Allocation",0,IF($C109&lt;&gt;Y$3,OFFSET('Allocation %'!$A$1,MATCH(Y$4,'Allocation %'!$A:$A,0)-1,MATCH($D109,'Allocation %'!$5:$5,0)-1)*($F49-$G49)*'2020 Assumptions'!$B$20,0))</f>
        <v>0</v>
      </c>
      <c r="Z109" s="73">
        <f ca="1">IF(Z$5="Doyon Notional Allocation",0,IF($C109&lt;&gt;Z$3,OFFSET('Allocation %'!$A$1,MATCH(Z$4,'Allocation %'!$A:$A,0)-1,MATCH($D109,'Allocation %'!$5:$5,0)-1)*($F49-$G49)*'2020 Assumptions'!$B$20,0))</f>
        <v>0</v>
      </c>
      <c r="AA109" s="73">
        <f ca="1">IF(AA$5="Doyon Notional Allocation",0,IF($C109&lt;&gt;AA$3,OFFSET('Allocation %'!$A$1,MATCH(AA$4,'Allocation %'!$A:$A,0)-1,MATCH($D109,'Allocation %'!$5:$5,0)-1)*($F49-$G49)*'2020 Assumptions'!$B$20,0))</f>
        <v>0</v>
      </c>
      <c r="AB109" s="73">
        <f ca="1">IF(AB$5="Doyon Notional Allocation",0,IF($C109&lt;&gt;AB$3,OFFSET('Allocation %'!$A$1,MATCH(AB$4,'Allocation %'!$A:$A,0)-1,MATCH($D109,'Allocation %'!$5:$5,0)-1)*($F49-$G49)*'2020 Assumptions'!$B$20,0))</f>
        <v>0</v>
      </c>
      <c r="AC109" s="73">
        <f ca="1">IF(AC$5="Doyon Notional Allocation",0,IF($C109&lt;&gt;AC$3,OFFSET('Allocation %'!$A$1,MATCH(AC$4,'Allocation %'!$A:$A,0)-1,MATCH($D109,'Allocation %'!$5:$5,0)-1)*($F49-$G49)*'2020 Assumptions'!$B$20,0))</f>
        <v>0</v>
      </c>
      <c r="AD109" s="73">
        <f ca="1">IF(AD$5="Doyon Notional Allocation",0,IF($C109&lt;&gt;AD$3,OFFSET('Allocation %'!$A$1,MATCH(AD$4,'Allocation %'!$A:$A,0)-1,MATCH($D109,'Allocation %'!$5:$5,0)-1)*($F49-$G49)*'2020 Assumptions'!$B$20,0))</f>
        <v>0</v>
      </c>
      <c r="AE109" s="73">
        <f ca="1">IF(AE$5="Doyon Notional Allocation",0,IF($C109&lt;&gt;AE$3,OFFSET('Allocation %'!$A$1,MATCH(AE$4,'Allocation %'!$A:$A,0)-1,MATCH($D109,'Allocation %'!$5:$5,0)-1)*($F49-$G49)*'2020 Assumptions'!$B$20,0))</f>
        <v>0</v>
      </c>
      <c r="AF109" s="73">
        <f ca="1">IF(AF$5="Doyon Notional Allocation",0,IF($C109&lt;&gt;AF$3,OFFSET('Allocation %'!$A$1,MATCH(AF$4,'Allocation %'!$A:$A,0)-1,MATCH($D109,'Allocation %'!$5:$5,0)-1)*($F49-$G49)*'2020 Assumptions'!$B$20,0))</f>
        <v>0</v>
      </c>
      <c r="AG109" s="73">
        <f ca="1">IF(AG$5="Doyon Notional Allocation",0,IF($C109&lt;&gt;AG$3,OFFSET('Allocation %'!$A$1,MATCH(AG$4,'Allocation %'!$A:$A,0)-1,MATCH($D109,'Allocation %'!$5:$5,0)-1)*($F49-$G49)*'2020 Assumptions'!$B$20,0))</f>
        <v>0</v>
      </c>
      <c r="AH109" s="73">
        <f ca="1">IF(AH$5="Doyon Notional Allocation",0,IF($C109&lt;&gt;AH$3,OFFSET('Allocation %'!$A$1,MATCH(AH$4,'Allocation %'!$A:$A,0)-1,MATCH($D109,'Allocation %'!$5:$5,0)-1)*($F49-$G49)*'2020 Assumptions'!$B$20,0))</f>
        <v>0</v>
      </c>
      <c r="AI109" s="73">
        <f ca="1">IF(AI$5="Doyon Notional Allocation",0,IF($C109&lt;&gt;AI$3,OFFSET('Allocation %'!$A$1,MATCH(AI$4,'Allocation %'!$A:$A,0)-1,MATCH($D109,'Allocation %'!$5:$5,0)-1)*($F49-$G49)*'2020 Assumptions'!$B$20,0))</f>
        <v>0</v>
      </c>
      <c r="AJ109" s="73">
        <f ca="1">IF(AJ$5="Doyon Notional Allocation",0,IF($C109&lt;&gt;AJ$3,OFFSET('Allocation %'!$A$1,MATCH(AJ$4,'Allocation %'!$A:$A,0)-1,MATCH($D109,'Allocation %'!$5:$5,0)-1)*($F49-$G49)*'2020 Assumptions'!$B$20,0))</f>
        <v>0</v>
      </c>
      <c r="AK109" s="73">
        <f ca="1">IF(AK$5="Doyon Notional Allocation",0,IF($C109&lt;&gt;AK$3,OFFSET('Allocation %'!$A$1,MATCH(AK$4,'Allocation %'!$A:$A,0)-1,MATCH($D109,'Allocation %'!$5:$5,0)-1)*($F49-$G49)*'2020 Assumptions'!$B$20,0))</f>
        <v>0</v>
      </c>
      <c r="AL109" s="73">
        <f ca="1">IF(AL$5="Doyon Notional Allocation",0,IF($C109&lt;&gt;AL$3,OFFSET('Allocation %'!$A$1,MATCH(AL$4,'Allocation %'!$A:$A,0)-1,MATCH($D109,'Allocation %'!$5:$5,0)-1)*($F49-$G49)*'2020 Assumptions'!$B$20,0))</f>
        <v>0</v>
      </c>
      <c r="AM109" s="73">
        <f ca="1">IF(AM$5="Doyon Notional Allocation",0,IF($C109&lt;&gt;AM$3,OFFSET('Allocation %'!$A$1,MATCH(AM$4,'Allocation %'!$A:$A,0)-1,MATCH($D109,'Allocation %'!$5:$5,0)-1)*($F49-$G49)*'2020 Assumptions'!$B$20,0))</f>
        <v>0</v>
      </c>
      <c r="AN109" s="73">
        <f ca="1">IF(AN$5="Doyon Notional Allocation",0,IF($C109&lt;&gt;AN$3,OFFSET('Allocation %'!$A$1,MATCH(AN$4,'Allocation %'!$A:$A,0)-1,MATCH($D109,'Allocation %'!$5:$5,0)-1)*($F49-$G49)*'2020 Assumptions'!$B$20,0))</f>
        <v>0</v>
      </c>
      <c r="AO109" s="73">
        <f ca="1">IF(AO$5="Doyon Notional Allocation",0,IF($C109&lt;&gt;AO$3,OFFSET('Allocation %'!$A$1,MATCH(AO$4,'Allocation %'!$A:$A,0)-1,MATCH($D109,'Allocation %'!$5:$5,0)-1)*($F49-$G49)*'2020 Assumptions'!$B$20,0))</f>
        <v>0</v>
      </c>
      <c r="AP109" s="73">
        <f ca="1">IF(AP$5="Doyon Notional Allocation",0,IF($C109&lt;&gt;AP$3,OFFSET('Allocation %'!$A$1,MATCH(AP$4,'Allocation %'!$A:$A,0)-1,MATCH($D109,'Allocation %'!$5:$5,0)-1)*($F49-$G49)*'2020 Assumptions'!$B$20,0))</f>
        <v>0</v>
      </c>
      <c r="AQ109" s="73">
        <f ca="1">IF(AQ$5="Doyon Notional Allocation",0,IF($C109&lt;&gt;AQ$3,OFFSET('Allocation %'!$A$1,MATCH(AQ$4,'Allocation %'!$A:$A,0)-1,MATCH($D109,'Allocation %'!$5:$5,0)-1)*($F49-$G49)*'2020 Assumptions'!$B$20,0))</f>
        <v>0</v>
      </c>
      <c r="AR109" s="73">
        <f ca="1">IF(AR$5="Doyon Notional Allocation",0,IF($C109&lt;&gt;AR$3,OFFSET('Allocation %'!$A$1,MATCH(AR$4,'Allocation %'!$A:$A,0)-1,MATCH($D109,'Allocation %'!$5:$5,0)-1)*($F49-$G49)*'2020 Assumptions'!$B$20,0))</f>
        <v>0</v>
      </c>
      <c r="AS109" s="73">
        <f ca="1">IF(AS$5="Doyon Notional Allocation",0,IF($C109&lt;&gt;AS$3,OFFSET('Allocation %'!$A$1,MATCH(AS$4,'Allocation %'!$A:$A,0)-1,MATCH($D109,'Allocation %'!$5:$5,0)-1)*($F49-$G49)*'2020 Assumptions'!$B$20,0))</f>
        <v>0</v>
      </c>
      <c r="AT109" s="73">
        <f ca="1">IF(AT$5="Doyon Notional Allocation",0,IF($C109&lt;&gt;AT$3,OFFSET('Allocation %'!$A$1,MATCH(AT$4,'Allocation %'!$A:$A,0)-1,MATCH($D109,'Allocation %'!$5:$5,0)-1)*($F49-$G49)*'2020 Assumptions'!$B$20,0))</f>
        <v>0</v>
      </c>
      <c r="AU109" s="73">
        <f ca="1">IF(AU$5="Doyon Notional Allocation",0,IF($C109&lt;&gt;AU$3,OFFSET('Allocation %'!$A$1,MATCH(AU$4,'Allocation %'!$A:$A,0)-1,MATCH($D109,'Allocation %'!$5:$5,0)-1)*($F49-$G49)*'2020 Assumptions'!$B$20,0))</f>
        <v>0</v>
      </c>
      <c r="AV109" s="73">
        <f ca="1">IF(AV$5="Doyon Notional Allocation",0,IF($C109&lt;&gt;AV$3,OFFSET('Allocation %'!$A$1,MATCH(AV$4,'Allocation %'!$A:$A,0)-1,MATCH($D109,'Allocation %'!$5:$5,0)-1)*($F49-$G49)*'2020 Assumptions'!$B$20,0))</f>
        <v>0</v>
      </c>
      <c r="AW109" s="73">
        <f ca="1">IF(AW$5="Doyon Notional Allocation",0,IF($C109&lt;&gt;AW$3,OFFSET('Allocation %'!$A$1,MATCH(AW$4,'Allocation %'!$A:$A,0)-1,MATCH($D109,'Allocation %'!$5:$5,0)-1)*($F49-$G49)*'2020 Assumptions'!$B$20,0))</f>
        <v>0</v>
      </c>
      <c r="AX109" s="73">
        <f ca="1">IF(AX$5="Doyon Notional Allocation",0,IF($C109&lt;&gt;AX$3,OFFSET('Allocation %'!$A$1,MATCH(AX$4,'Allocation %'!$A:$A,0)-1,MATCH($D109,'Allocation %'!$5:$5,0)-1)*($F49-$G49)*'2020 Assumptions'!$B$20,0))</f>
        <v>0</v>
      </c>
      <c r="AY109" s="73">
        <f ca="1">IF(AY$5="Doyon Notional Allocation",0,IF($C109&lt;&gt;AY$3,OFFSET('Allocation %'!$A$1,MATCH(AY$4,'Allocation %'!$A:$A,0)-1,MATCH($D109,'Allocation %'!$5:$5,0)-1)*($F49-$G49)*'2020 Assumptions'!$B$20,0))</f>
        <v>0</v>
      </c>
      <c r="AZ109" s="73">
        <f ca="1">IF(AZ$5="Doyon Notional Allocation",0,IF($C109&lt;&gt;AZ$3,OFFSET('Allocation %'!$A$1,MATCH(AZ$4,'Allocation %'!$A:$A,0)-1,MATCH($D109,'Allocation %'!$5:$5,0)-1)*($F49-$G49)*'2020 Assumptions'!$B$20,0))</f>
        <v>0</v>
      </c>
      <c r="BA109" s="73">
        <f ca="1">IF(BA$5="Doyon Notional Allocation",0,IF($C109&lt;&gt;BA$3,OFFSET('Allocation %'!$A$1,MATCH(BA$4,'Allocation %'!$A:$A,0)-1,MATCH($D109,'Allocation %'!$5:$5,0)-1)*($F49-$G49)*'2020 Assumptions'!$B$20,0))</f>
        <v>0</v>
      </c>
      <c r="BB109" s="73">
        <f ca="1">IF(BB$5="Doyon Notional Allocation",0,IF($C109&lt;&gt;BB$3,OFFSET('Allocation %'!$A$1,MATCH(BB$4,'Allocation %'!$A:$A,0)-1,MATCH($D109,'Allocation %'!$5:$5,0)-1)*($F49-$G49)*'2020 Assumptions'!$B$20,0))</f>
        <v>0</v>
      </c>
      <c r="BC109" s="73">
        <f ca="1">IF(BC$5="Doyon Notional Allocation",0,IF($C109&lt;&gt;BC$3,OFFSET('Allocation %'!$A$1,MATCH(BC$4,'Allocation %'!$A:$A,0)-1,MATCH($D109,'Allocation %'!$5:$5,0)-1)*($F49-$G49)*'2020 Assumptions'!$B$20,0))</f>
        <v>0</v>
      </c>
      <c r="BD109" s="73">
        <f ca="1">IF(BD$5="Doyon Notional Allocation",0,IF($C109&lt;&gt;BD$3,OFFSET('Allocation %'!$A$1,MATCH(BD$4,'Allocation %'!$A:$A,0)-1,MATCH($D109,'Allocation %'!$5:$5,0)-1)*($F49-$G49)*'2020 Assumptions'!$B$20,0))</f>
        <v>0</v>
      </c>
      <c r="BE109" s="73">
        <f ca="1">IF(BE$5="Doyon Notional Allocation",0,IF($C109&lt;&gt;BE$3,OFFSET('Allocation %'!$A$1,MATCH(BE$4,'Allocation %'!$A:$A,0)-1,MATCH($D109,'Allocation %'!$5:$5,0)-1)*($F49-$G49)*'2020 Assumptions'!$B$20,0))</f>
        <v>0</v>
      </c>
      <c r="BG109" s="76">
        <f t="shared" ca="1" si="9"/>
        <v>0</v>
      </c>
      <c r="BH109" s="349">
        <f t="shared" ca="1" si="10"/>
        <v>0</v>
      </c>
    </row>
    <row r="110" spans="1:60" s="177" customFormat="1" x14ac:dyDescent="0.25">
      <c r="A110" s="139" t="s">
        <v>419</v>
      </c>
      <c r="B110" s="259" t="str">
        <f t="shared" si="19"/>
        <v>009060 - Billing Mark up</v>
      </c>
      <c r="C110" s="69" t="str">
        <f t="shared" si="20"/>
        <v>USD</v>
      </c>
      <c r="D110" s="352" t="str">
        <f t="shared" ca="1" si="20"/>
        <v>RU - L48</v>
      </c>
      <c r="E110" s="73">
        <f ca="1">F110*'2020 Assumptions'!$B$4</f>
        <v>0</v>
      </c>
      <c r="F110" s="317">
        <f t="shared" ca="1" si="11"/>
        <v>0</v>
      </c>
      <c r="G110" s="73"/>
      <c r="I110" s="73">
        <f ca="1">IF(I$5="Doyon Notional Allocation",0,IF($C110&lt;&gt;I$3,OFFSET('Allocation %'!$A$1,MATCH(I$4,'Allocation %'!$A:$A,0)-1,MATCH($D110,'Allocation %'!$5:$5,0)-1)*($F50-$G50)*'2020 Assumptions'!$B$20,0))</f>
        <v>0</v>
      </c>
      <c r="J110" s="73">
        <f ca="1">IF(J$5="Doyon Notional Allocation",0,IF($C110&lt;&gt;J$3,OFFSET('Allocation %'!$A$1,MATCH(J$4,'Allocation %'!$A:$A,0)-1,MATCH($D110,'Allocation %'!$5:$5,0)-1)*($F50-$G50)*'2020 Assumptions'!$B$20,0))</f>
        <v>0</v>
      </c>
      <c r="K110" s="73">
        <f ca="1">IF(K$5="Doyon Notional Allocation",0,IF($C110&lt;&gt;K$3,OFFSET('Allocation %'!$A$1,MATCH(K$4,'Allocation %'!$A:$A,0)-1,MATCH($D110,'Allocation %'!$5:$5,0)-1)*($F50-$G50)*'2020 Assumptions'!$B$20,0))</f>
        <v>0</v>
      </c>
      <c r="L110" s="73">
        <f ca="1">IF(L$5="Doyon Notional Allocation",0,IF($C110&lt;&gt;L$3,OFFSET('Allocation %'!$A$1,MATCH(L$4,'Allocation %'!$A:$A,0)-1,MATCH($D110,'Allocation %'!$5:$5,0)-1)*($F50-$G50)*'2020 Assumptions'!$B$20,0))</f>
        <v>0</v>
      </c>
      <c r="M110" s="73">
        <f ca="1">IF(M$5="Doyon Notional Allocation",0,IF($C110&lt;&gt;M$3,OFFSET('Allocation %'!$A$1,MATCH(M$4,'Allocation %'!$A:$A,0)-1,MATCH($D110,'Allocation %'!$5:$5,0)-1)*($F50-$G50)*'2020 Assumptions'!$B$20,0))</f>
        <v>0</v>
      </c>
      <c r="N110" s="73">
        <f ca="1">IF(N$5="Doyon Notional Allocation",0,IF($C110&lt;&gt;N$3,OFFSET('Allocation %'!$A$1,MATCH(N$4,'Allocation %'!$A:$A,0)-1,MATCH($D110,'Allocation %'!$5:$5,0)-1)*($F50-$G50)*'2020 Assumptions'!$B$20,0))</f>
        <v>0</v>
      </c>
      <c r="O110" s="73">
        <f ca="1">IF(O$5="Doyon Notional Allocation",0,IF($C110&lt;&gt;O$3,OFFSET('Allocation %'!$A$1,MATCH(O$4,'Allocation %'!$A:$A,0)-1,MATCH($D110,'Allocation %'!$5:$5,0)-1)*($F50-$G50)*'2020 Assumptions'!$B$20,0))</f>
        <v>0</v>
      </c>
      <c r="P110" s="73">
        <f ca="1">IF(P$5="Doyon Notional Allocation",0,IF($C110&lt;&gt;P$3,OFFSET('Allocation %'!$A$1,MATCH(P$4,'Allocation %'!$A:$A,0)-1,MATCH($D110,'Allocation %'!$5:$5,0)-1)*($F50-$G50)*'2020 Assumptions'!$B$20,0))</f>
        <v>0</v>
      </c>
      <c r="Q110" s="73">
        <f ca="1">IF(Q$5="Doyon Notional Allocation",0,IF($C110&lt;&gt;Q$3,OFFSET('Allocation %'!$A$1,MATCH(Q$4,'Allocation %'!$A:$A,0)-1,MATCH($D110,'Allocation %'!$5:$5,0)-1)*($F50-$G50)*'2020 Assumptions'!$B$20,0))</f>
        <v>0</v>
      </c>
      <c r="R110" s="73">
        <f ca="1">IF(R$5="Doyon Notional Allocation",0,IF($C110&lt;&gt;R$3,OFFSET('Allocation %'!$A$1,MATCH(R$4,'Allocation %'!$A:$A,0)-1,MATCH($D110,'Allocation %'!$5:$5,0)-1)*($F50-$G50)*'2020 Assumptions'!$B$20,0))</f>
        <v>0</v>
      </c>
      <c r="S110" s="73">
        <f ca="1">IF(S$5="Doyon Notional Allocation",0,IF($C110&lt;&gt;S$3,OFFSET('Allocation %'!$A$1,MATCH(S$4,'Allocation %'!$A:$A,0)-1,MATCH($D110,'Allocation %'!$5:$5,0)-1)*($F50-$G50)*'2020 Assumptions'!$B$20,0))</f>
        <v>0</v>
      </c>
      <c r="T110" s="73">
        <f ca="1">IF(T$5="Doyon Notional Allocation",0,IF($C110&lt;&gt;T$3,OFFSET('Allocation %'!$A$1,MATCH(T$4,'Allocation %'!$A:$A,0)-1,MATCH($D110,'Allocation %'!$5:$5,0)-1)*($F50-$G50)*'2020 Assumptions'!$B$20,0))</f>
        <v>0</v>
      </c>
      <c r="U110" s="73">
        <f ca="1">IF(U$5="Doyon Notional Allocation",0,IF($C110&lt;&gt;U$3,OFFSET('Allocation %'!$A$1,MATCH(U$4,'Allocation %'!$A:$A,0)-1,MATCH($D110,'Allocation %'!$5:$5,0)-1)*($F50-$G50)*'2020 Assumptions'!$B$20,0))</f>
        <v>0</v>
      </c>
      <c r="V110" s="73">
        <f ca="1">IF(V$5="Doyon Notional Allocation",0,IF($C110&lt;&gt;V$3,OFFSET('Allocation %'!$A$1,MATCH(V$4,'Allocation %'!$A:$A,0)-1,MATCH($D110,'Allocation %'!$5:$5,0)-1)*($F50-$G50)*'2020 Assumptions'!$B$20,0))</f>
        <v>0</v>
      </c>
      <c r="W110" s="73">
        <f ca="1">IF(W$5="Doyon Notional Allocation",0,IF($C110&lt;&gt;W$3,OFFSET('Allocation %'!$A$1,MATCH(W$4,'Allocation %'!$A:$A,0)-1,MATCH($D110,'Allocation %'!$5:$5,0)-1)*($F50-$G50)*'2020 Assumptions'!$B$20,0))</f>
        <v>0</v>
      </c>
      <c r="X110" s="73">
        <f ca="1">IF(X$5="Doyon Notional Allocation",0,IF($C110&lt;&gt;X$3,OFFSET('Allocation %'!$A$1,MATCH(X$4,'Allocation %'!$A:$A,0)-1,MATCH($D110,'Allocation %'!$5:$5,0)-1)*($F50-$G50)*'2020 Assumptions'!$B$20,0))</f>
        <v>0</v>
      </c>
      <c r="Y110" s="73">
        <f ca="1">IF(Y$5="Doyon Notional Allocation",0,IF($C110&lt;&gt;Y$3,OFFSET('Allocation %'!$A$1,MATCH(Y$4,'Allocation %'!$A:$A,0)-1,MATCH($D110,'Allocation %'!$5:$5,0)-1)*($F50-$G50)*'2020 Assumptions'!$B$20,0))</f>
        <v>0</v>
      </c>
      <c r="Z110" s="73">
        <f ca="1">IF(Z$5="Doyon Notional Allocation",0,IF($C110&lt;&gt;Z$3,OFFSET('Allocation %'!$A$1,MATCH(Z$4,'Allocation %'!$A:$A,0)-1,MATCH($D110,'Allocation %'!$5:$5,0)-1)*($F50-$G50)*'2020 Assumptions'!$B$20,0))</f>
        <v>0</v>
      </c>
      <c r="AA110" s="73">
        <f ca="1">IF(AA$5="Doyon Notional Allocation",0,IF($C110&lt;&gt;AA$3,OFFSET('Allocation %'!$A$1,MATCH(AA$4,'Allocation %'!$A:$A,0)-1,MATCH($D110,'Allocation %'!$5:$5,0)-1)*($F50-$G50)*'2020 Assumptions'!$B$20,0))</f>
        <v>0</v>
      </c>
      <c r="AB110" s="73">
        <f ca="1">IF(AB$5="Doyon Notional Allocation",0,IF($C110&lt;&gt;AB$3,OFFSET('Allocation %'!$A$1,MATCH(AB$4,'Allocation %'!$A:$A,0)-1,MATCH($D110,'Allocation %'!$5:$5,0)-1)*($F50-$G50)*'2020 Assumptions'!$B$20,0))</f>
        <v>0</v>
      </c>
      <c r="AC110" s="73">
        <f ca="1">IF(AC$5="Doyon Notional Allocation",0,IF($C110&lt;&gt;AC$3,OFFSET('Allocation %'!$A$1,MATCH(AC$4,'Allocation %'!$A:$A,0)-1,MATCH($D110,'Allocation %'!$5:$5,0)-1)*($F50-$G50)*'2020 Assumptions'!$B$20,0))</f>
        <v>0</v>
      </c>
      <c r="AD110" s="73">
        <f ca="1">IF(AD$5="Doyon Notional Allocation",0,IF($C110&lt;&gt;AD$3,OFFSET('Allocation %'!$A$1,MATCH(AD$4,'Allocation %'!$A:$A,0)-1,MATCH($D110,'Allocation %'!$5:$5,0)-1)*($F50-$G50)*'2020 Assumptions'!$B$20,0))</f>
        <v>0</v>
      </c>
      <c r="AE110" s="73">
        <f ca="1">IF(AE$5="Doyon Notional Allocation",0,IF($C110&lt;&gt;AE$3,OFFSET('Allocation %'!$A$1,MATCH(AE$4,'Allocation %'!$A:$A,0)-1,MATCH($D110,'Allocation %'!$5:$5,0)-1)*($F50-$G50)*'2020 Assumptions'!$B$20,0))</f>
        <v>0</v>
      </c>
      <c r="AF110" s="73">
        <f ca="1">IF(AF$5="Doyon Notional Allocation",0,IF($C110&lt;&gt;AF$3,OFFSET('Allocation %'!$A$1,MATCH(AF$4,'Allocation %'!$A:$A,0)-1,MATCH($D110,'Allocation %'!$5:$5,0)-1)*($F50-$G50)*'2020 Assumptions'!$B$20,0))</f>
        <v>0</v>
      </c>
      <c r="AG110" s="73">
        <f ca="1">IF(AG$5="Doyon Notional Allocation",0,IF($C110&lt;&gt;AG$3,OFFSET('Allocation %'!$A$1,MATCH(AG$4,'Allocation %'!$A:$A,0)-1,MATCH($D110,'Allocation %'!$5:$5,0)-1)*($F50-$G50)*'2020 Assumptions'!$B$20,0))</f>
        <v>0</v>
      </c>
      <c r="AH110" s="73">
        <f ca="1">IF(AH$5="Doyon Notional Allocation",0,IF($C110&lt;&gt;AH$3,OFFSET('Allocation %'!$A$1,MATCH(AH$4,'Allocation %'!$A:$A,0)-1,MATCH($D110,'Allocation %'!$5:$5,0)-1)*($F50-$G50)*'2020 Assumptions'!$B$20,0))</f>
        <v>0</v>
      </c>
      <c r="AI110" s="73">
        <f ca="1">IF(AI$5="Doyon Notional Allocation",0,IF($C110&lt;&gt;AI$3,OFFSET('Allocation %'!$A$1,MATCH(AI$4,'Allocation %'!$A:$A,0)-1,MATCH($D110,'Allocation %'!$5:$5,0)-1)*($F50-$G50)*'2020 Assumptions'!$B$20,0))</f>
        <v>0</v>
      </c>
      <c r="AJ110" s="73">
        <f ca="1">IF(AJ$5="Doyon Notional Allocation",0,IF($C110&lt;&gt;AJ$3,OFFSET('Allocation %'!$A$1,MATCH(AJ$4,'Allocation %'!$A:$A,0)-1,MATCH($D110,'Allocation %'!$5:$5,0)-1)*($F50-$G50)*'2020 Assumptions'!$B$20,0))</f>
        <v>0</v>
      </c>
      <c r="AK110" s="73">
        <f ca="1">IF(AK$5="Doyon Notional Allocation",0,IF($C110&lt;&gt;AK$3,OFFSET('Allocation %'!$A$1,MATCH(AK$4,'Allocation %'!$A:$A,0)-1,MATCH($D110,'Allocation %'!$5:$5,0)-1)*($F50-$G50)*'2020 Assumptions'!$B$20,0))</f>
        <v>0</v>
      </c>
      <c r="AL110" s="73">
        <f ca="1">IF(AL$5="Doyon Notional Allocation",0,IF($C110&lt;&gt;AL$3,OFFSET('Allocation %'!$A$1,MATCH(AL$4,'Allocation %'!$A:$A,0)-1,MATCH($D110,'Allocation %'!$5:$5,0)-1)*($F50-$G50)*'2020 Assumptions'!$B$20,0))</f>
        <v>0</v>
      </c>
      <c r="AM110" s="73">
        <f ca="1">IF(AM$5="Doyon Notional Allocation",0,IF($C110&lt;&gt;AM$3,OFFSET('Allocation %'!$A$1,MATCH(AM$4,'Allocation %'!$A:$A,0)-1,MATCH($D110,'Allocation %'!$5:$5,0)-1)*($F50-$G50)*'2020 Assumptions'!$B$20,0))</f>
        <v>0</v>
      </c>
      <c r="AN110" s="73">
        <f ca="1">IF(AN$5="Doyon Notional Allocation",0,IF($C110&lt;&gt;AN$3,OFFSET('Allocation %'!$A$1,MATCH(AN$4,'Allocation %'!$A:$A,0)-1,MATCH($D110,'Allocation %'!$5:$5,0)-1)*($F50-$G50)*'2020 Assumptions'!$B$20,0))</f>
        <v>0</v>
      </c>
      <c r="AO110" s="73">
        <f ca="1">IF(AO$5="Doyon Notional Allocation",0,IF($C110&lt;&gt;AO$3,OFFSET('Allocation %'!$A$1,MATCH(AO$4,'Allocation %'!$A:$A,0)-1,MATCH($D110,'Allocation %'!$5:$5,0)-1)*($F50-$G50)*'2020 Assumptions'!$B$20,0))</f>
        <v>0</v>
      </c>
      <c r="AP110" s="73">
        <f ca="1">IF(AP$5="Doyon Notional Allocation",0,IF($C110&lt;&gt;AP$3,OFFSET('Allocation %'!$A$1,MATCH(AP$4,'Allocation %'!$A:$A,0)-1,MATCH($D110,'Allocation %'!$5:$5,0)-1)*($F50-$G50)*'2020 Assumptions'!$B$20,0))</f>
        <v>0</v>
      </c>
      <c r="AQ110" s="73">
        <f ca="1">IF(AQ$5="Doyon Notional Allocation",0,IF($C110&lt;&gt;AQ$3,OFFSET('Allocation %'!$A$1,MATCH(AQ$4,'Allocation %'!$A:$A,0)-1,MATCH($D110,'Allocation %'!$5:$5,0)-1)*($F50-$G50)*'2020 Assumptions'!$B$20,0))</f>
        <v>0</v>
      </c>
      <c r="AR110" s="73">
        <f ca="1">IF(AR$5="Doyon Notional Allocation",0,IF($C110&lt;&gt;AR$3,OFFSET('Allocation %'!$A$1,MATCH(AR$4,'Allocation %'!$A:$A,0)-1,MATCH($D110,'Allocation %'!$5:$5,0)-1)*($F50-$G50)*'2020 Assumptions'!$B$20,0))</f>
        <v>0</v>
      </c>
      <c r="AS110" s="73">
        <f ca="1">IF(AS$5="Doyon Notional Allocation",0,IF($C110&lt;&gt;AS$3,OFFSET('Allocation %'!$A$1,MATCH(AS$4,'Allocation %'!$A:$A,0)-1,MATCH($D110,'Allocation %'!$5:$5,0)-1)*($F50-$G50)*'2020 Assumptions'!$B$20,0))</f>
        <v>0</v>
      </c>
      <c r="AT110" s="73">
        <f ca="1">IF(AT$5="Doyon Notional Allocation",0,IF($C110&lt;&gt;AT$3,OFFSET('Allocation %'!$A$1,MATCH(AT$4,'Allocation %'!$A:$A,0)-1,MATCH($D110,'Allocation %'!$5:$5,0)-1)*($F50-$G50)*'2020 Assumptions'!$B$20,0))</f>
        <v>0</v>
      </c>
      <c r="AU110" s="73">
        <f ca="1">IF(AU$5="Doyon Notional Allocation",0,IF($C110&lt;&gt;AU$3,OFFSET('Allocation %'!$A$1,MATCH(AU$4,'Allocation %'!$A:$A,0)-1,MATCH($D110,'Allocation %'!$5:$5,0)-1)*($F50-$G50)*'2020 Assumptions'!$B$20,0))</f>
        <v>0</v>
      </c>
      <c r="AV110" s="73">
        <f ca="1">IF(AV$5="Doyon Notional Allocation",0,IF($C110&lt;&gt;AV$3,OFFSET('Allocation %'!$A$1,MATCH(AV$4,'Allocation %'!$A:$A,0)-1,MATCH($D110,'Allocation %'!$5:$5,0)-1)*($F50-$G50)*'2020 Assumptions'!$B$20,0))</f>
        <v>0</v>
      </c>
      <c r="AW110" s="73">
        <f ca="1">IF(AW$5="Doyon Notional Allocation",0,IF($C110&lt;&gt;AW$3,OFFSET('Allocation %'!$A$1,MATCH(AW$4,'Allocation %'!$A:$A,0)-1,MATCH($D110,'Allocation %'!$5:$5,0)-1)*($F50-$G50)*'2020 Assumptions'!$B$20,0))</f>
        <v>0</v>
      </c>
      <c r="AX110" s="73">
        <f ca="1">IF(AX$5="Doyon Notional Allocation",0,IF($C110&lt;&gt;AX$3,OFFSET('Allocation %'!$A$1,MATCH(AX$4,'Allocation %'!$A:$A,0)-1,MATCH($D110,'Allocation %'!$5:$5,0)-1)*($F50-$G50)*'2020 Assumptions'!$B$20,0))</f>
        <v>0</v>
      </c>
      <c r="AY110" s="73">
        <f ca="1">IF(AY$5="Doyon Notional Allocation",0,IF($C110&lt;&gt;AY$3,OFFSET('Allocation %'!$A$1,MATCH(AY$4,'Allocation %'!$A:$A,0)-1,MATCH($D110,'Allocation %'!$5:$5,0)-1)*($F50-$G50)*'2020 Assumptions'!$B$20,0))</f>
        <v>0</v>
      </c>
      <c r="AZ110" s="73">
        <f ca="1">IF(AZ$5="Doyon Notional Allocation",0,IF($C110&lt;&gt;AZ$3,OFFSET('Allocation %'!$A$1,MATCH(AZ$4,'Allocation %'!$A:$A,0)-1,MATCH($D110,'Allocation %'!$5:$5,0)-1)*($F50-$G50)*'2020 Assumptions'!$B$20,0))</f>
        <v>0</v>
      </c>
      <c r="BA110" s="73">
        <f ca="1">IF(BA$5="Doyon Notional Allocation",0,IF($C110&lt;&gt;BA$3,OFFSET('Allocation %'!$A$1,MATCH(BA$4,'Allocation %'!$A:$A,0)-1,MATCH($D110,'Allocation %'!$5:$5,0)-1)*($F50-$G50)*'2020 Assumptions'!$B$20,0))</f>
        <v>0</v>
      </c>
      <c r="BB110" s="73">
        <f ca="1">IF(BB$5="Doyon Notional Allocation",0,IF($C110&lt;&gt;BB$3,OFFSET('Allocation %'!$A$1,MATCH(BB$4,'Allocation %'!$A:$A,0)-1,MATCH($D110,'Allocation %'!$5:$5,0)-1)*($F50-$G50)*'2020 Assumptions'!$B$20,0))</f>
        <v>0</v>
      </c>
      <c r="BC110" s="73">
        <f ca="1">IF(BC$5="Doyon Notional Allocation",0,IF($C110&lt;&gt;BC$3,OFFSET('Allocation %'!$A$1,MATCH(BC$4,'Allocation %'!$A:$A,0)-1,MATCH($D110,'Allocation %'!$5:$5,0)-1)*($F50-$G50)*'2020 Assumptions'!$B$20,0))</f>
        <v>0</v>
      </c>
      <c r="BD110" s="73">
        <f ca="1">IF(BD$5="Doyon Notional Allocation",0,IF($C110&lt;&gt;BD$3,OFFSET('Allocation %'!$A$1,MATCH(BD$4,'Allocation %'!$A:$A,0)-1,MATCH($D110,'Allocation %'!$5:$5,0)-1)*($F50-$G50)*'2020 Assumptions'!$B$20,0))</f>
        <v>0</v>
      </c>
      <c r="BE110" s="73">
        <f ca="1">IF(BE$5="Doyon Notional Allocation",0,IF($C110&lt;&gt;BE$3,OFFSET('Allocation %'!$A$1,MATCH(BE$4,'Allocation %'!$A:$A,0)-1,MATCH($D110,'Allocation %'!$5:$5,0)-1)*($F50-$G50)*'2020 Assumptions'!$B$20,0))</f>
        <v>0</v>
      </c>
      <c r="BG110" s="76">
        <f t="shared" ca="1" si="9"/>
        <v>0</v>
      </c>
      <c r="BH110" s="349">
        <f t="shared" ca="1" si="10"/>
        <v>0</v>
      </c>
    </row>
    <row r="111" spans="1:60" s="177" customFormat="1" x14ac:dyDescent="0.25">
      <c r="A111" s="139" t="s">
        <v>419</v>
      </c>
      <c r="B111" s="259" t="str">
        <f t="shared" si="19"/>
        <v>009070 - Customer Service Mark up</v>
      </c>
      <c r="C111" s="69" t="str">
        <f t="shared" si="20"/>
        <v>USD</v>
      </c>
      <c r="D111" s="352" t="str">
        <f t="shared" ca="1" si="20"/>
        <v>RU - L48</v>
      </c>
      <c r="E111" s="73">
        <f ca="1">F111*'2020 Assumptions'!$B$4</f>
        <v>0</v>
      </c>
      <c r="F111" s="317">
        <f t="shared" ca="1" si="11"/>
        <v>0</v>
      </c>
      <c r="G111" s="73"/>
      <c r="I111" s="73">
        <f ca="1">IF(I$5="Doyon Notional Allocation",0,IF($C111&lt;&gt;I$3,OFFSET('Allocation %'!$A$1,MATCH(I$4,'Allocation %'!$A:$A,0)-1,MATCH($D111,'Allocation %'!$5:$5,0)-1)*($F51-$G51)*'2020 Assumptions'!$B$20,0))</f>
        <v>0</v>
      </c>
      <c r="J111" s="73">
        <f ca="1">IF(J$5="Doyon Notional Allocation",0,IF($C111&lt;&gt;J$3,OFFSET('Allocation %'!$A$1,MATCH(J$4,'Allocation %'!$A:$A,0)-1,MATCH($D111,'Allocation %'!$5:$5,0)-1)*($F51-$G51)*'2020 Assumptions'!$B$20,0))</f>
        <v>0</v>
      </c>
      <c r="K111" s="73">
        <f ca="1">IF(K$5="Doyon Notional Allocation",0,IF($C111&lt;&gt;K$3,OFFSET('Allocation %'!$A$1,MATCH(K$4,'Allocation %'!$A:$A,0)-1,MATCH($D111,'Allocation %'!$5:$5,0)-1)*($F51-$G51)*'2020 Assumptions'!$B$20,0))</f>
        <v>0</v>
      </c>
      <c r="L111" s="73">
        <f ca="1">IF(L$5="Doyon Notional Allocation",0,IF($C111&lt;&gt;L$3,OFFSET('Allocation %'!$A$1,MATCH(L$4,'Allocation %'!$A:$A,0)-1,MATCH($D111,'Allocation %'!$5:$5,0)-1)*($F51-$G51)*'2020 Assumptions'!$B$20,0))</f>
        <v>0</v>
      </c>
      <c r="M111" s="73">
        <f ca="1">IF(M$5="Doyon Notional Allocation",0,IF($C111&lt;&gt;M$3,OFFSET('Allocation %'!$A$1,MATCH(M$4,'Allocation %'!$A:$A,0)-1,MATCH($D111,'Allocation %'!$5:$5,0)-1)*($F51-$G51)*'2020 Assumptions'!$B$20,0))</f>
        <v>0</v>
      </c>
      <c r="N111" s="73">
        <f ca="1">IF(N$5="Doyon Notional Allocation",0,IF($C111&lt;&gt;N$3,OFFSET('Allocation %'!$A$1,MATCH(N$4,'Allocation %'!$A:$A,0)-1,MATCH($D111,'Allocation %'!$5:$5,0)-1)*($F51-$G51)*'2020 Assumptions'!$B$20,0))</f>
        <v>0</v>
      </c>
      <c r="O111" s="73">
        <f ca="1">IF(O$5="Doyon Notional Allocation",0,IF($C111&lt;&gt;O$3,OFFSET('Allocation %'!$A$1,MATCH(O$4,'Allocation %'!$A:$A,0)-1,MATCH($D111,'Allocation %'!$5:$5,0)-1)*($F51-$G51)*'2020 Assumptions'!$B$20,0))</f>
        <v>0</v>
      </c>
      <c r="P111" s="73">
        <f ca="1">IF(P$5="Doyon Notional Allocation",0,IF($C111&lt;&gt;P$3,OFFSET('Allocation %'!$A$1,MATCH(P$4,'Allocation %'!$A:$A,0)-1,MATCH($D111,'Allocation %'!$5:$5,0)-1)*($F51-$G51)*'2020 Assumptions'!$B$20,0))</f>
        <v>0</v>
      </c>
      <c r="Q111" s="73">
        <f ca="1">IF(Q$5="Doyon Notional Allocation",0,IF($C111&lt;&gt;Q$3,OFFSET('Allocation %'!$A$1,MATCH(Q$4,'Allocation %'!$A:$A,0)-1,MATCH($D111,'Allocation %'!$5:$5,0)-1)*($F51-$G51)*'2020 Assumptions'!$B$20,0))</f>
        <v>0</v>
      </c>
      <c r="R111" s="73">
        <f ca="1">IF(R$5="Doyon Notional Allocation",0,IF($C111&lt;&gt;R$3,OFFSET('Allocation %'!$A$1,MATCH(R$4,'Allocation %'!$A:$A,0)-1,MATCH($D111,'Allocation %'!$5:$5,0)-1)*($F51-$G51)*'2020 Assumptions'!$B$20,0))</f>
        <v>0</v>
      </c>
      <c r="S111" s="73">
        <f ca="1">IF(S$5="Doyon Notional Allocation",0,IF($C111&lt;&gt;S$3,OFFSET('Allocation %'!$A$1,MATCH(S$4,'Allocation %'!$A:$A,0)-1,MATCH($D111,'Allocation %'!$5:$5,0)-1)*($F51-$G51)*'2020 Assumptions'!$B$20,0))</f>
        <v>0</v>
      </c>
      <c r="T111" s="73">
        <f ca="1">IF(T$5="Doyon Notional Allocation",0,IF($C111&lt;&gt;T$3,OFFSET('Allocation %'!$A$1,MATCH(T$4,'Allocation %'!$A:$A,0)-1,MATCH($D111,'Allocation %'!$5:$5,0)-1)*($F51-$G51)*'2020 Assumptions'!$B$20,0))</f>
        <v>0</v>
      </c>
      <c r="U111" s="73">
        <f ca="1">IF(U$5="Doyon Notional Allocation",0,IF($C111&lt;&gt;U$3,OFFSET('Allocation %'!$A$1,MATCH(U$4,'Allocation %'!$A:$A,0)-1,MATCH($D111,'Allocation %'!$5:$5,0)-1)*($F51-$G51)*'2020 Assumptions'!$B$20,0))</f>
        <v>0</v>
      </c>
      <c r="V111" s="73">
        <f ca="1">IF(V$5="Doyon Notional Allocation",0,IF($C111&lt;&gt;V$3,OFFSET('Allocation %'!$A$1,MATCH(V$4,'Allocation %'!$A:$A,0)-1,MATCH($D111,'Allocation %'!$5:$5,0)-1)*($F51-$G51)*'2020 Assumptions'!$B$20,0))</f>
        <v>0</v>
      </c>
      <c r="W111" s="73">
        <f ca="1">IF(W$5="Doyon Notional Allocation",0,IF($C111&lt;&gt;W$3,OFFSET('Allocation %'!$A$1,MATCH(W$4,'Allocation %'!$A:$A,0)-1,MATCH($D111,'Allocation %'!$5:$5,0)-1)*($F51-$G51)*'2020 Assumptions'!$B$20,0))</f>
        <v>0</v>
      </c>
      <c r="X111" s="73">
        <f ca="1">IF(X$5="Doyon Notional Allocation",0,IF($C111&lt;&gt;X$3,OFFSET('Allocation %'!$A$1,MATCH(X$4,'Allocation %'!$A:$A,0)-1,MATCH($D111,'Allocation %'!$5:$5,0)-1)*($F51-$G51)*'2020 Assumptions'!$B$20,0))</f>
        <v>0</v>
      </c>
      <c r="Y111" s="73">
        <f ca="1">IF(Y$5="Doyon Notional Allocation",0,IF($C111&lt;&gt;Y$3,OFFSET('Allocation %'!$A$1,MATCH(Y$4,'Allocation %'!$A:$A,0)-1,MATCH($D111,'Allocation %'!$5:$5,0)-1)*($F51-$G51)*'2020 Assumptions'!$B$20,0))</f>
        <v>0</v>
      </c>
      <c r="Z111" s="73">
        <f ca="1">IF(Z$5="Doyon Notional Allocation",0,IF($C111&lt;&gt;Z$3,OFFSET('Allocation %'!$A$1,MATCH(Z$4,'Allocation %'!$A:$A,0)-1,MATCH($D111,'Allocation %'!$5:$5,0)-1)*($F51-$G51)*'2020 Assumptions'!$B$20,0))</f>
        <v>0</v>
      </c>
      <c r="AA111" s="73">
        <f ca="1">IF(AA$5="Doyon Notional Allocation",0,IF($C111&lt;&gt;AA$3,OFFSET('Allocation %'!$A$1,MATCH(AA$4,'Allocation %'!$A:$A,0)-1,MATCH($D111,'Allocation %'!$5:$5,0)-1)*($F51-$G51)*'2020 Assumptions'!$B$20,0))</f>
        <v>0</v>
      </c>
      <c r="AB111" s="73">
        <f ca="1">IF(AB$5="Doyon Notional Allocation",0,IF($C111&lt;&gt;AB$3,OFFSET('Allocation %'!$A$1,MATCH(AB$4,'Allocation %'!$A:$A,0)-1,MATCH($D111,'Allocation %'!$5:$5,0)-1)*($F51-$G51)*'2020 Assumptions'!$B$20,0))</f>
        <v>0</v>
      </c>
      <c r="AC111" s="73">
        <f ca="1">IF(AC$5="Doyon Notional Allocation",0,IF($C111&lt;&gt;AC$3,OFFSET('Allocation %'!$A$1,MATCH(AC$4,'Allocation %'!$A:$A,0)-1,MATCH($D111,'Allocation %'!$5:$5,0)-1)*($F51-$G51)*'2020 Assumptions'!$B$20,0))</f>
        <v>0</v>
      </c>
      <c r="AD111" s="73">
        <f ca="1">IF(AD$5="Doyon Notional Allocation",0,IF($C111&lt;&gt;AD$3,OFFSET('Allocation %'!$A$1,MATCH(AD$4,'Allocation %'!$A:$A,0)-1,MATCH($D111,'Allocation %'!$5:$5,0)-1)*($F51-$G51)*'2020 Assumptions'!$B$20,0))</f>
        <v>0</v>
      </c>
      <c r="AE111" s="73">
        <f ca="1">IF(AE$5="Doyon Notional Allocation",0,IF($C111&lt;&gt;AE$3,OFFSET('Allocation %'!$A$1,MATCH(AE$4,'Allocation %'!$A:$A,0)-1,MATCH($D111,'Allocation %'!$5:$5,0)-1)*($F51-$G51)*'2020 Assumptions'!$B$20,0))</f>
        <v>0</v>
      </c>
      <c r="AF111" s="73">
        <f ca="1">IF(AF$5="Doyon Notional Allocation",0,IF($C111&lt;&gt;AF$3,OFFSET('Allocation %'!$A$1,MATCH(AF$4,'Allocation %'!$A:$A,0)-1,MATCH($D111,'Allocation %'!$5:$5,0)-1)*($F51-$G51)*'2020 Assumptions'!$B$20,0))</f>
        <v>0</v>
      </c>
      <c r="AG111" s="73">
        <f ca="1">IF(AG$5="Doyon Notional Allocation",0,IF($C111&lt;&gt;AG$3,OFFSET('Allocation %'!$A$1,MATCH(AG$4,'Allocation %'!$A:$A,0)-1,MATCH($D111,'Allocation %'!$5:$5,0)-1)*($F51-$G51)*'2020 Assumptions'!$B$20,0))</f>
        <v>0</v>
      </c>
      <c r="AH111" s="73">
        <f ca="1">IF(AH$5="Doyon Notional Allocation",0,IF($C111&lt;&gt;AH$3,OFFSET('Allocation %'!$A$1,MATCH(AH$4,'Allocation %'!$A:$A,0)-1,MATCH($D111,'Allocation %'!$5:$5,0)-1)*($F51-$G51)*'2020 Assumptions'!$B$20,0))</f>
        <v>0</v>
      </c>
      <c r="AI111" s="73">
        <f ca="1">IF(AI$5="Doyon Notional Allocation",0,IF($C111&lt;&gt;AI$3,OFFSET('Allocation %'!$A$1,MATCH(AI$4,'Allocation %'!$A:$A,0)-1,MATCH($D111,'Allocation %'!$5:$5,0)-1)*($F51-$G51)*'2020 Assumptions'!$B$20,0))</f>
        <v>0</v>
      </c>
      <c r="AJ111" s="73">
        <f ca="1">IF(AJ$5="Doyon Notional Allocation",0,IF($C111&lt;&gt;AJ$3,OFFSET('Allocation %'!$A$1,MATCH(AJ$4,'Allocation %'!$A:$A,0)-1,MATCH($D111,'Allocation %'!$5:$5,0)-1)*($F51-$G51)*'2020 Assumptions'!$B$20,0))</f>
        <v>0</v>
      </c>
      <c r="AK111" s="73">
        <f ca="1">IF(AK$5="Doyon Notional Allocation",0,IF($C111&lt;&gt;AK$3,OFFSET('Allocation %'!$A$1,MATCH(AK$4,'Allocation %'!$A:$A,0)-1,MATCH($D111,'Allocation %'!$5:$5,0)-1)*($F51-$G51)*'2020 Assumptions'!$B$20,0))</f>
        <v>0</v>
      </c>
      <c r="AL111" s="73">
        <f ca="1">IF(AL$5="Doyon Notional Allocation",0,IF($C111&lt;&gt;AL$3,OFFSET('Allocation %'!$A$1,MATCH(AL$4,'Allocation %'!$A:$A,0)-1,MATCH($D111,'Allocation %'!$5:$5,0)-1)*($F51-$G51)*'2020 Assumptions'!$B$20,0))</f>
        <v>0</v>
      </c>
      <c r="AM111" s="73">
        <f ca="1">IF(AM$5="Doyon Notional Allocation",0,IF($C111&lt;&gt;AM$3,OFFSET('Allocation %'!$A$1,MATCH(AM$4,'Allocation %'!$A:$A,0)-1,MATCH($D111,'Allocation %'!$5:$5,0)-1)*($F51-$G51)*'2020 Assumptions'!$B$20,0))</f>
        <v>0</v>
      </c>
      <c r="AN111" s="73">
        <f ca="1">IF(AN$5="Doyon Notional Allocation",0,IF($C111&lt;&gt;AN$3,OFFSET('Allocation %'!$A$1,MATCH(AN$4,'Allocation %'!$A:$A,0)-1,MATCH($D111,'Allocation %'!$5:$5,0)-1)*($F51-$G51)*'2020 Assumptions'!$B$20,0))</f>
        <v>0</v>
      </c>
      <c r="AO111" s="73">
        <f ca="1">IF(AO$5="Doyon Notional Allocation",0,IF($C111&lt;&gt;AO$3,OFFSET('Allocation %'!$A$1,MATCH(AO$4,'Allocation %'!$A:$A,0)-1,MATCH($D111,'Allocation %'!$5:$5,0)-1)*($F51-$G51)*'2020 Assumptions'!$B$20,0))</f>
        <v>0</v>
      </c>
      <c r="AP111" s="73">
        <f ca="1">IF(AP$5="Doyon Notional Allocation",0,IF($C111&lt;&gt;AP$3,OFFSET('Allocation %'!$A$1,MATCH(AP$4,'Allocation %'!$A:$A,0)-1,MATCH($D111,'Allocation %'!$5:$5,0)-1)*($F51-$G51)*'2020 Assumptions'!$B$20,0))</f>
        <v>0</v>
      </c>
      <c r="AQ111" s="73">
        <f ca="1">IF(AQ$5="Doyon Notional Allocation",0,IF($C111&lt;&gt;AQ$3,OFFSET('Allocation %'!$A$1,MATCH(AQ$4,'Allocation %'!$A:$A,0)-1,MATCH($D111,'Allocation %'!$5:$5,0)-1)*($F51-$G51)*'2020 Assumptions'!$B$20,0))</f>
        <v>0</v>
      </c>
      <c r="AR111" s="73">
        <f ca="1">IF(AR$5="Doyon Notional Allocation",0,IF($C111&lt;&gt;AR$3,OFFSET('Allocation %'!$A$1,MATCH(AR$4,'Allocation %'!$A:$A,0)-1,MATCH($D111,'Allocation %'!$5:$5,0)-1)*($F51-$G51)*'2020 Assumptions'!$B$20,0))</f>
        <v>0</v>
      </c>
      <c r="AS111" s="73">
        <f ca="1">IF(AS$5="Doyon Notional Allocation",0,IF($C111&lt;&gt;AS$3,OFFSET('Allocation %'!$A$1,MATCH(AS$4,'Allocation %'!$A:$A,0)-1,MATCH($D111,'Allocation %'!$5:$5,0)-1)*($F51-$G51)*'2020 Assumptions'!$B$20,0))</f>
        <v>0</v>
      </c>
      <c r="AT111" s="73">
        <f ca="1">IF(AT$5="Doyon Notional Allocation",0,IF($C111&lt;&gt;AT$3,OFFSET('Allocation %'!$A$1,MATCH(AT$4,'Allocation %'!$A:$A,0)-1,MATCH($D111,'Allocation %'!$5:$5,0)-1)*($F51-$G51)*'2020 Assumptions'!$B$20,0))</f>
        <v>0</v>
      </c>
      <c r="AU111" s="73">
        <f ca="1">IF(AU$5="Doyon Notional Allocation",0,IF($C111&lt;&gt;AU$3,OFFSET('Allocation %'!$A$1,MATCH(AU$4,'Allocation %'!$A:$A,0)-1,MATCH($D111,'Allocation %'!$5:$5,0)-1)*($F51-$G51)*'2020 Assumptions'!$B$20,0))</f>
        <v>0</v>
      </c>
      <c r="AV111" s="73">
        <f ca="1">IF(AV$5="Doyon Notional Allocation",0,IF($C111&lt;&gt;AV$3,OFFSET('Allocation %'!$A$1,MATCH(AV$4,'Allocation %'!$A:$A,0)-1,MATCH($D111,'Allocation %'!$5:$5,0)-1)*($F51-$G51)*'2020 Assumptions'!$B$20,0))</f>
        <v>0</v>
      </c>
      <c r="AW111" s="73">
        <f ca="1">IF(AW$5="Doyon Notional Allocation",0,IF($C111&lt;&gt;AW$3,OFFSET('Allocation %'!$A$1,MATCH(AW$4,'Allocation %'!$A:$A,0)-1,MATCH($D111,'Allocation %'!$5:$5,0)-1)*($F51-$G51)*'2020 Assumptions'!$B$20,0))</f>
        <v>0</v>
      </c>
      <c r="AX111" s="73">
        <f ca="1">IF(AX$5="Doyon Notional Allocation",0,IF($C111&lt;&gt;AX$3,OFFSET('Allocation %'!$A$1,MATCH(AX$4,'Allocation %'!$A:$A,0)-1,MATCH($D111,'Allocation %'!$5:$5,0)-1)*($F51-$G51)*'2020 Assumptions'!$B$20,0))</f>
        <v>0</v>
      </c>
      <c r="AY111" s="73">
        <f ca="1">IF(AY$5="Doyon Notional Allocation",0,IF($C111&lt;&gt;AY$3,OFFSET('Allocation %'!$A$1,MATCH(AY$4,'Allocation %'!$A:$A,0)-1,MATCH($D111,'Allocation %'!$5:$5,0)-1)*($F51-$G51)*'2020 Assumptions'!$B$20,0))</f>
        <v>0</v>
      </c>
      <c r="AZ111" s="73">
        <f ca="1">IF(AZ$5="Doyon Notional Allocation",0,IF($C111&lt;&gt;AZ$3,OFFSET('Allocation %'!$A$1,MATCH(AZ$4,'Allocation %'!$A:$A,0)-1,MATCH($D111,'Allocation %'!$5:$5,0)-1)*($F51-$G51)*'2020 Assumptions'!$B$20,0))</f>
        <v>0</v>
      </c>
      <c r="BA111" s="73">
        <f ca="1">IF(BA$5="Doyon Notional Allocation",0,IF($C111&lt;&gt;BA$3,OFFSET('Allocation %'!$A$1,MATCH(BA$4,'Allocation %'!$A:$A,0)-1,MATCH($D111,'Allocation %'!$5:$5,0)-1)*($F51-$G51)*'2020 Assumptions'!$B$20,0))</f>
        <v>0</v>
      </c>
      <c r="BB111" s="73">
        <f ca="1">IF(BB$5="Doyon Notional Allocation",0,IF($C111&lt;&gt;BB$3,OFFSET('Allocation %'!$A$1,MATCH(BB$4,'Allocation %'!$A:$A,0)-1,MATCH($D111,'Allocation %'!$5:$5,0)-1)*($F51-$G51)*'2020 Assumptions'!$B$20,0))</f>
        <v>0</v>
      </c>
      <c r="BC111" s="73">
        <f ca="1">IF(BC$5="Doyon Notional Allocation",0,IF($C111&lt;&gt;BC$3,OFFSET('Allocation %'!$A$1,MATCH(BC$4,'Allocation %'!$A:$A,0)-1,MATCH($D111,'Allocation %'!$5:$5,0)-1)*($F51-$G51)*'2020 Assumptions'!$B$20,0))</f>
        <v>0</v>
      </c>
      <c r="BD111" s="73">
        <f ca="1">IF(BD$5="Doyon Notional Allocation",0,IF($C111&lt;&gt;BD$3,OFFSET('Allocation %'!$A$1,MATCH(BD$4,'Allocation %'!$A:$A,0)-1,MATCH($D111,'Allocation %'!$5:$5,0)-1)*($F51-$G51)*'2020 Assumptions'!$B$20,0))</f>
        <v>0</v>
      </c>
      <c r="BE111" s="73">
        <f ca="1">IF(BE$5="Doyon Notional Allocation",0,IF($C111&lt;&gt;BE$3,OFFSET('Allocation %'!$A$1,MATCH(BE$4,'Allocation %'!$A:$A,0)-1,MATCH($D111,'Allocation %'!$5:$5,0)-1)*($F51-$G51)*'2020 Assumptions'!$B$20,0))</f>
        <v>0</v>
      </c>
      <c r="BG111" s="76">
        <f t="shared" ca="1" si="9"/>
        <v>0</v>
      </c>
      <c r="BH111" s="349">
        <f t="shared" ca="1" si="10"/>
        <v>0</v>
      </c>
    </row>
    <row r="112" spans="1:60" s="177" customFormat="1" x14ac:dyDescent="0.25">
      <c r="A112" s="139" t="s">
        <v>419</v>
      </c>
      <c r="B112" s="259" t="str">
        <f t="shared" si="19"/>
        <v>009075 - COO Regulated Utility Cost Ctr Mark up</v>
      </c>
      <c r="C112" s="69" t="str">
        <f t="shared" si="20"/>
        <v>USD</v>
      </c>
      <c r="D112" s="352" t="str">
        <f t="shared" ca="1" si="20"/>
        <v>RU Only</v>
      </c>
      <c r="E112" s="73">
        <f ca="1">F112*'2020 Assumptions'!$B$4</f>
        <v>1556.8214946246569</v>
      </c>
      <c r="F112" s="317">
        <f t="shared" ca="1" si="11"/>
        <v>1158.17697859296</v>
      </c>
      <c r="G112" s="73"/>
      <c r="I112" s="73">
        <f ca="1">IF(I$5="Doyon Notional Allocation",0,IF($C112&lt;&gt;I$3,OFFSET('Allocation %'!$A$1,MATCH(I$4,'Allocation %'!$A:$A,0)-1,MATCH($D112,'Allocation %'!$5:$5,0)-1)*($F52-$G52)*'2020 Assumptions'!$B$20,0))</f>
        <v>0</v>
      </c>
      <c r="J112" s="73">
        <f ca="1">IF(J$5="Doyon Notional Allocation",0,IF($C112&lt;&gt;J$3,OFFSET('Allocation %'!$A$1,MATCH(J$4,'Allocation %'!$A:$A,0)-1,MATCH($D112,'Allocation %'!$5:$5,0)-1)*($F52-$G52)*'2020 Assumptions'!$B$20,0))</f>
        <v>39.699893920925298</v>
      </c>
      <c r="K112" s="73">
        <f ca="1">IF(K$5="Doyon Notional Allocation",0,IF($C112&lt;&gt;K$3,OFFSET('Allocation %'!$A$1,MATCH(K$4,'Allocation %'!$A:$A,0)-1,MATCH($D112,'Allocation %'!$5:$5,0)-1)*($F52-$G52)*'2020 Assumptions'!$B$20,0))</f>
        <v>12.526861801664351</v>
      </c>
      <c r="L112" s="73">
        <f ca="1">IF(L$5="Doyon Notional Allocation",0,IF($C112&lt;&gt;L$3,OFFSET('Allocation %'!$A$1,MATCH(L$4,'Allocation %'!$A:$A,0)-1,MATCH($D112,'Allocation %'!$5:$5,0)-1)*($F52-$G52)*'2020 Assumptions'!$B$20,0))</f>
        <v>13.555687279984836</v>
      </c>
      <c r="M112" s="73">
        <f ca="1">IF(M$5="Doyon Notional Allocation",0,IF($C112&lt;&gt;M$3,OFFSET('Allocation %'!$A$1,MATCH(M$4,'Allocation %'!$A:$A,0)-1,MATCH($D112,'Allocation %'!$5:$5,0)-1)*($F52-$G52)*'2020 Assumptions'!$B$20,0))</f>
        <v>21.923191567818975</v>
      </c>
      <c r="N112" s="73">
        <f ca="1">IF(N$5="Doyon Notional Allocation",0,IF($C112&lt;&gt;N$3,OFFSET('Allocation %'!$A$1,MATCH(N$4,'Allocation %'!$A:$A,0)-1,MATCH($D112,'Allocation %'!$5:$5,0)-1)*($F52-$G52)*'2020 Assumptions'!$B$20,0))</f>
        <v>19.271598318752968</v>
      </c>
      <c r="O112" s="73">
        <f ca="1">IF(O$5="Doyon Notional Allocation",0,IF($C112&lt;&gt;O$3,OFFSET('Allocation %'!$A$1,MATCH(O$4,'Allocation %'!$A:$A,0)-1,MATCH($D112,'Allocation %'!$5:$5,0)-1)*($F52-$G52)*'2020 Assumptions'!$B$20,0))</f>
        <v>45.132804469634479</v>
      </c>
      <c r="P112" s="73">
        <f ca="1">IF(P$5="Doyon Notional Allocation",0,IF($C112&lt;&gt;P$3,OFFSET('Allocation %'!$A$1,MATCH(P$4,'Allocation %'!$A:$A,0)-1,MATCH($D112,'Allocation %'!$5:$5,0)-1)*($F52-$G52)*'2020 Assumptions'!$B$20,0))</f>
        <v>6.5532303963253691</v>
      </c>
      <c r="Q112" s="73">
        <f ca="1">IF(Q$5="Doyon Notional Allocation",0,IF($C112&lt;&gt;Q$3,OFFSET('Allocation %'!$A$1,MATCH(Q$4,'Allocation %'!$A:$A,0)-1,MATCH($D112,'Allocation %'!$5:$5,0)-1)*($F52-$G52)*'2020 Assumptions'!$B$20,0))</f>
        <v>14.300933515470835</v>
      </c>
      <c r="R112" s="73">
        <f ca="1">IF(R$5="Doyon Notional Allocation",0,IF($C112&lt;&gt;R$3,OFFSET('Allocation %'!$A$1,MATCH(R$4,'Allocation %'!$A:$A,0)-1,MATCH($D112,'Allocation %'!$5:$5,0)-1)*($F52-$G52)*'2020 Assumptions'!$B$20,0))</f>
        <v>13.198249582153922</v>
      </c>
      <c r="S112" s="73">
        <f ca="1">IF(S$5="Doyon Notional Allocation",0,IF($C112&lt;&gt;S$3,OFFSET('Allocation %'!$A$1,MATCH(S$4,'Allocation %'!$A:$A,0)-1,MATCH($D112,'Allocation %'!$5:$5,0)-1)*($F52-$G52)*'2020 Assumptions'!$B$20,0))</f>
        <v>12.69464366790765</v>
      </c>
      <c r="T112" s="73">
        <f ca="1">IF(T$5="Doyon Notional Allocation",0,IF($C112&lt;&gt;T$3,OFFSET('Allocation %'!$A$1,MATCH(T$4,'Allocation %'!$A:$A,0)-1,MATCH($D112,'Allocation %'!$5:$5,0)-1)*($F52-$G52)*'2020 Assumptions'!$B$20,0))</f>
        <v>45.561902475316884</v>
      </c>
      <c r="U112" s="73">
        <f ca="1">IF(U$5="Doyon Notional Allocation",0,IF($C112&lt;&gt;U$3,OFFSET('Allocation %'!$A$1,MATCH(U$4,'Allocation %'!$A:$A,0)-1,MATCH($D112,'Allocation %'!$5:$5,0)-1)*($F52-$G52)*'2020 Assumptions'!$B$20,0))</f>
        <v>29.144220110870659</v>
      </c>
      <c r="V112" s="73">
        <f ca="1">IF(V$5="Doyon Notional Allocation",0,IF($C112&lt;&gt;V$3,OFFSET('Allocation %'!$A$1,MATCH(V$4,'Allocation %'!$A:$A,0)-1,MATCH($D112,'Allocation %'!$5:$5,0)-1)*($F52-$G52)*'2020 Assumptions'!$B$20,0))</f>
        <v>30.374176069250588</v>
      </c>
      <c r="W112" s="73">
        <f ca="1">IF(W$5="Doyon Notional Allocation",0,IF($C112&lt;&gt;W$3,OFFSET('Allocation %'!$A$1,MATCH(W$4,'Allocation %'!$A:$A,0)-1,MATCH($D112,'Allocation %'!$5:$5,0)-1)*($F52-$G52)*'2020 Assumptions'!$B$20,0))</f>
        <v>49.145481406225294</v>
      </c>
      <c r="X112" s="73">
        <f ca="1">IF(X$5="Doyon Notional Allocation",0,IF($C112&lt;&gt;X$3,OFFSET('Allocation %'!$A$1,MATCH(X$4,'Allocation %'!$A:$A,0)-1,MATCH($D112,'Allocation %'!$5:$5,0)-1)*($F52-$G52)*'2020 Assumptions'!$B$20,0))</f>
        <v>1.1700239221095703</v>
      </c>
      <c r="Y112" s="73">
        <f ca="1">IF(Y$5="Doyon Notional Allocation",0,IF($C112&lt;&gt;Y$3,OFFSET('Allocation %'!$A$1,MATCH(Y$4,'Allocation %'!$A:$A,0)-1,MATCH($D112,'Allocation %'!$5:$5,0)-1)*($F52-$G52)*'2020 Assumptions'!$B$20,0))</f>
        <v>0.9235898943394899</v>
      </c>
      <c r="Z112" s="73">
        <f ca="1">IF(Z$5="Doyon Notional Allocation",0,IF($C112&lt;&gt;Z$3,OFFSET('Allocation %'!$A$1,MATCH(Z$4,'Allocation %'!$A:$A,0)-1,MATCH($D112,'Allocation %'!$5:$5,0)-1)*($F52-$G52)*'2020 Assumptions'!$B$20,0))</f>
        <v>2.6936236209013229</v>
      </c>
      <c r="AA112" s="73">
        <f ca="1">IF(AA$5="Doyon Notional Allocation",0,IF($C112&lt;&gt;AA$3,OFFSET('Allocation %'!$A$1,MATCH(AA$4,'Allocation %'!$A:$A,0)-1,MATCH($D112,'Allocation %'!$5:$5,0)-1)*($F52-$G52)*'2020 Assumptions'!$B$20,0))</f>
        <v>2.4580838772282596</v>
      </c>
      <c r="AB112" s="73">
        <f ca="1">IF(AB$5="Doyon Notional Allocation",0,IF($C112&lt;&gt;AB$3,OFFSET('Allocation %'!$A$1,MATCH(AB$4,'Allocation %'!$A:$A,0)-1,MATCH($D112,'Allocation %'!$5:$5,0)-1)*($F52-$G52)*'2020 Assumptions'!$B$20,0))</f>
        <v>2.3796558714580285</v>
      </c>
      <c r="AC112" s="73">
        <f ca="1">IF(AC$5="Doyon Notional Allocation",0,IF($C112&lt;&gt;AC$3,OFFSET('Allocation %'!$A$1,MATCH(AC$4,'Allocation %'!$A:$A,0)-1,MATCH($D112,'Allocation %'!$5:$5,0)-1)*($F52-$G52)*'2020 Assumptions'!$B$20,0))</f>
        <v>2.690121274337379</v>
      </c>
      <c r="AD112" s="73">
        <f ca="1">IF(AD$5="Doyon Notional Allocation",0,IF($C112&lt;&gt;AD$3,OFFSET('Allocation %'!$A$1,MATCH(AD$4,'Allocation %'!$A:$A,0)-1,MATCH($D112,'Allocation %'!$5:$5,0)-1)*($F52-$G52)*'2020 Assumptions'!$B$20,0))</f>
        <v>5.9491016868557383</v>
      </c>
      <c r="AE112" s="73">
        <f ca="1">IF(AE$5="Doyon Notional Allocation",0,IF($C112&lt;&gt;AE$3,OFFSET('Allocation %'!$A$1,MATCH(AE$4,'Allocation %'!$A:$A,0)-1,MATCH($D112,'Allocation %'!$5:$5,0)-1)*($F52-$G52)*'2020 Assumptions'!$B$20,0))</f>
        <v>5.6890100315265322</v>
      </c>
      <c r="AF112" s="73">
        <f ca="1">IF(AF$5="Doyon Notional Allocation",0,IF($C112&lt;&gt;AF$3,OFFSET('Allocation %'!$A$1,MATCH(AF$4,'Allocation %'!$A:$A,0)-1,MATCH($D112,'Allocation %'!$5:$5,0)-1)*($F52-$G52)*'2020 Assumptions'!$B$20,0))</f>
        <v>0</v>
      </c>
      <c r="AG112" s="73">
        <f ca="1">IF(AG$5="Doyon Notional Allocation",0,IF($C112&lt;&gt;AG$3,OFFSET('Allocation %'!$A$1,MATCH(AG$4,'Allocation %'!$A:$A,0)-1,MATCH($D112,'Allocation %'!$5:$5,0)-1)*($F52-$G52)*'2020 Assumptions'!$B$20,0))</f>
        <v>41.970726974728954</v>
      </c>
      <c r="AH112" s="73">
        <f ca="1">IF(AH$5="Doyon Notional Allocation",0,IF($C112&lt;&gt;AH$3,OFFSET('Allocation %'!$A$1,MATCH(AH$4,'Allocation %'!$A:$A,0)-1,MATCH($D112,'Allocation %'!$5:$5,0)-1)*($F52-$G52)*'2020 Assumptions'!$B$20,0))</f>
        <v>388.12753616726309</v>
      </c>
      <c r="AI112" s="73">
        <f ca="1">IF(AI$5="Doyon Notional Allocation",0,IF($C112&lt;&gt;AI$3,OFFSET('Allocation %'!$A$1,MATCH(AI$4,'Allocation %'!$A:$A,0)-1,MATCH($D112,'Allocation %'!$5:$5,0)-1)*($F52-$G52)*'2020 Assumptions'!$B$20,0))</f>
        <v>2.3174719480206969</v>
      </c>
      <c r="AJ112" s="73">
        <f ca="1">IF(AJ$5="Doyon Notional Allocation",0,IF($C112&lt;&gt;AJ$3,OFFSET('Allocation %'!$A$1,MATCH(AJ$4,'Allocation %'!$A:$A,0)-1,MATCH($D112,'Allocation %'!$5:$5,0)-1)*($F52-$G52)*'2020 Assumptions'!$B$20,0))</f>
        <v>0</v>
      </c>
      <c r="AK112" s="73">
        <f ca="1">IF(AK$5="Doyon Notional Allocation",0,IF($C112&lt;&gt;AK$3,OFFSET('Allocation %'!$A$1,MATCH(AK$4,'Allocation %'!$A:$A,0)-1,MATCH($D112,'Allocation %'!$5:$5,0)-1)*($F52-$G52)*'2020 Assumptions'!$B$20,0))</f>
        <v>0</v>
      </c>
      <c r="AL112" s="73">
        <f ca="1">IF(AL$5="Doyon Notional Allocation",0,IF($C112&lt;&gt;AL$3,OFFSET('Allocation %'!$A$1,MATCH(AL$4,'Allocation %'!$A:$A,0)-1,MATCH($D112,'Allocation %'!$5:$5,0)-1)*($F52-$G52)*'2020 Assumptions'!$B$20,0))</f>
        <v>0</v>
      </c>
      <c r="AM112" s="73">
        <f ca="1">IF(AM$5="Doyon Notional Allocation",0,IF($C112&lt;&gt;AM$3,OFFSET('Allocation %'!$A$1,MATCH(AM$4,'Allocation %'!$A:$A,0)-1,MATCH($D112,'Allocation %'!$5:$5,0)-1)*($F52-$G52)*'2020 Assumptions'!$B$20,0))</f>
        <v>6.4101844873077543</v>
      </c>
      <c r="AN112" s="73">
        <f ca="1">IF(AN$5="Doyon Notional Allocation",0,IF($C112&lt;&gt;AN$3,OFFSET('Allocation %'!$A$1,MATCH(AN$4,'Allocation %'!$A:$A,0)-1,MATCH($D112,'Allocation %'!$5:$5,0)-1)*($F52-$G52)*'2020 Assumptions'!$B$20,0))</f>
        <v>0</v>
      </c>
      <c r="AO112" s="73">
        <f ca="1">IF(AO$5="Doyon Notional Allocation",0,IF($C112&lt;&gt;AO$3,OFFSET('Allocation %'!$A$1,MATCH(AO$4,'Allocation %'!$A:$A,0)-1,MATCH($D112,'Allocation %'!$5:$5,0)-1)*($F52-$G52)*'2020 Assumptions'!$B$20,0))</f>
        <v>0</v>
      </c>
      <c r="AP112" s="73">
        <f ca="1">IF(AP$5="Doyon Notional Allocation",0,IF($C112&lt;&gt;AP$3,OFFSET('Allocation %'!$A$1,MATCH(AP$4,'Allocation %'!$A:$A,0)-1,MATCH($D112,'Allocation %'!$5:$5,0)-1)*($F52-$G52)*'2020 Assumptions'!$B$20,0))</f>
        <v>0</v>
      </c>
      <c r="AQ112" s="73">
        <f ca="1">IF(AQ$5="Doyon Notional Allocation",0,IF($C112&lt;&gt;AQ$3,OFFSET('Allocation %'!$A$1,MATCH(AQ$4,'Allocation %'!$A:$A,0)-1,MATCH($D112,'Allocation %'!$5:$5,0)-1)*($F52-$G52)*'2020 Assumptions'!$B$20,0))</f>
        <v>46.363418603190034</v>
      </c>
      <c r="AR112" s="73">
        <f ca="1">IF(AR$5="Doyon Notional Allocation",0,IF($C112&lt;&gt;AR$3,OFFSET('Allocation %'!$A$1,MATCH(AR$4,'Allocation %'!$A:$A,0)-1,MATCH($D112,'Allocation %'!$5:$5,0)-1)*($F52-$G52)*'2020 Assumptions'!$B$20,0))</f>
        <v>1.2159519401164747</v>
      </c>
      <c r="AS112" s="73">
        <f ca="1">IF(AS$5="Doyon Notional Allocation",0,IF($C112&lt;&gt;AS$3,OFFSET('Allocation %'!$A$1,MATCH(AS$4,'Allocation %'!$A:$A,0)-1,MATCH($D112,'Allocation %'!$5:$5,0)-1)*($F52-$G52)*'2020 Assumptions'!$B$20,0))</f>
        <v>85.004680033598206</v>
      </c>
      <c r="AT112" s="73">
        <f ca="1">IF(AT$5="Doyon Notional Allocation",0,IF($C112&lt;&gt;AT$3,OFFSET('Allocation %'!$A$1,MATCH(AT$4,'Allocation %'!$A:$A,0)-1,MATCH($D112,'Allocation %'!$5:$5,0)-1)*($F52-$G52)*'2020 Assumptions'!$B$20,0))</f>
        <v>49.929217996403516</v>
      </c>
      <c r="AU112" s="73">
        <f ca="1">IF(AU$5="Doyon Notional Allocation",0,IF($C112&lt;&gt;AU$3,OFFSET('Allocation %'!$A$1,MATCH(AU$4,'Allocation %'!$A:$A,0)-1,MATCH($D112,'Allocation %'!$5:$5,0)-1)*($F52-$G52)*'2020 Assumptions'!$B$20,0))</f>
        <v>60.300718096061509</v>
      </c>
      <c r="AV112" s="73">
        <f ca="1">IF(AV$5="Doyon Notional Allocation",0,IF($C112&lt;&gt;AV$3,OFFSET('Allocation %'!$A$1,MATCH(AV$4,'Allocation %'!$A:$A,0)-1,MATCH($D112,'Allocation %'!$5:$5,0)-1)*($F52-$G52)*'2020 Assumptions'!$B$20,0))</f>
        <v>93.059954338183701</v>
      </c>
      <c r="AW112" s="73">
        <f ca="1">IF(AW$5="Doyon Notional Allocation",0,IF($C112&lt;&gt;AW$3,OFFSET('Allocation %'!$A$1,MATCH(AW$4,'Allocation %'!$A:$A,0)-1,MATCH($D112,'Allocation %'!$5:$5,0)-1)*($F52-$G52)*'2020 Assumptions'!$B$20,0))</f>
        <v>0</v>
      </c>
      <c r="AX112" s="73">
        <f ca="1">IF(AX$5="Doyon Notional Allocation",0,IF($C112&lt;&gt;AX$3,OFFSET('Allocation %'!$A$1,MATCH(AX$4,'Allocation %'!$A:$A,0)-1,MATCH($D112,'Allocation %'!$5:$5,0)-1)*($F52-$G52)*'2020 Assumptions'!$B$20,0))</f>
        <v>6.4410332470274057</v>
      </c>
      <c r="AY112" s="73">
        <f ca="1">IF(AY$5="Doyon Notional Allocation",0,IF($C112&lt;&gt;AY$3,OFFSET('Allocation %'!$A$1,MATCH(AY$4,'Allocation %'!$A:$A,0)-1,MATCH($D112,'Allocation %'!$5:$5,0)-1)*($F52-$G52)*'2020 Assumptions'!$B$20,0))</f>
        <v>0</v>
      </c>
      <c r="AZ112" s="73">
        <f ca="1">IF(AZ$5="Doyon Notional Allocation",0,IF($C112&lt;&gt;AZ$3,OFFSET('Allocation %'!$A$1,MATCH(AZ$4,'Allocation %'!$A:$A,0)-1,MATCH($D112,'Allocation %'!$5:$5,0)-1)*($F52-$G52)*'2020 Assumptions'!$B$20,0))</f>
        <v>0</v>
      </c>
      <c r="BA112" s="73">
        <f ca="1">IF(BA$5="Doyon Notional Allocation",0,IF($C112&lt;&gt;BA$3,OFFSET('Allocation %'!$A$1,MATCH(BA$4,'Allocation %'!$A:$A,0)-1,MATCH($D112,'Allocation %'!$5:$5,0)-1)*($F52-$G52)*'2020 Assumptions'!$B$20,0))</f>
        <v>0</v>
      </c>
      <c r="BB112" s="73">
        <f ca="1">IF(BB$5="Doyon Notional Allocation",0,IF($C112&lt;&gt;BB$3,OFFSET('Allocation %'!$A$1,MATCH(BB$4,'Allocation %'!$A:$A,0)-1,MATCH($D112,'Allocation %'!$5:$5,0)-1)*($F52-$G52)*'2020 Assumptions'!$B$20,0))</f>
        <v>0</v>
      </c>
      <c r="BC112" s="73">
        <f ca="1">IF(BC$5="Doyon Notional Allocation",0,IF($C112&lt;&gt;BC$3,OFFSET('Allocation %'!$A$1,MATCH(BC$4,'Allocation %'!$A:$A,0)-1,MATCH($D112,'Allocation %'!$5:$5,0)-1)*($F52-$G52)*'2020 Assumptions'!$B$20,0))</f>
        <v>0</v>
      </c>
      <c r="BD112" s="73">
        <f ca="1">IF(BD$5="Doyon Notional Allocation",0,IF($C112&lt;&gt;BD$3,OFFSET('Allocation %'!$A$1,MATCH(BD$4,'Allocation %'!$A:$A,0)-1,MATCH($D112,'Allocation %'!$5:$5,0)-1)*($F52-$G52)*'2020 Assumptions'!$B$20,0))</f>
        <v>0</v>
      </c>
      <c r="BE112" s="73">
        <f ca="1">IF(BE$5="Doyon Notional Allocation",0,IF($C112&lt;&gt;BE$3,OFFSET('Allocation %'!$A$1,MATCH(BE$4,'Allocation %'!$A:$A,0)-1,MATCH($D112,'Allocation %'!$5:$5,0)-1)*($F52-$G52)*'2020 Assumptions'!$B$20,0))</f>
        <v>0</v>
      </c>
      <c r="BG112" s="76">
        <f t="shared" ca="1" si="9"/>
        <v>1158.17697859296</v>
      </c>
      <c r="BH112" s="349">
        <f t="shared" ca="1" si="10"/>
        <v>0</v>
      </c>
    </row>
    <row r="113" spans="1:62" s="177" customFormat="1" x14ac:dyDescent="0.25">
      <c r="A113" s="139" t="s">
        <v>419</v>
      </c>
      <c r="B113" s="259" t="str">
        <f t="shared" si="19"/>
        <v>009080 - CSSO Cost Ctr Mark up</v>
      </c>
      <c r="C113" s="69" t="str">
        <f t="shared" si="20"/>
        <v>USD</v>
      </c>
      <c r="D113" s="352" t="str">
        <f t="shared" ca="1" si="20"/>
        <v>RU - L48</v>
      </c>
      <c r="E113" s="73">
        <f ca="1">F113*'2020 Assumptions'!$B$4</f>
        <v>0</v>
      </c>
      <c r="F113" s="317">
        <f t="shared" ca="1" si="11"/>
        <v>0</v>
      </c>
      <c r="G113" s="73"/>
      <c r="I113" s="73">
        <f ca="1">IF(I$5="Doyon Notional Allocation",0,IF($C113&lt;&gt;I$3,OFFSET('Allocation %'!$A$1,MATCH(I$4,'Allocation %'!$A:$A,0)-1,MATCH($D113,'Allocation %'!$5:$5,0)-1)*($F53-$G53)*'2020 Assumptions'!$B$20,0))</f>
        <v>0</v>
      </c>
      <c r="J113" s="73">
        <f ca="1">IF(J$5="Doyon Notional Allocation",0,IF($C113&lt;&gt;J$3,OFFSET('Allocation %'!$A$1,MATCH(J$4,'Allocation %'!$A:$A,0)-1,MATCH($D113,'Allocation %'!$5:$5,0)-1)*($F53-$G53)*'2020 Assumptions'!$B$20,0))</f>
        <v>0</v>
      </c>
      <c r="K113" s="73">
        <f ca="1">IF(K$5="Doyon Notional Allocation",0,IF($C113&lt;&gt;K$3,OFFSET('Allocation %'!$A$1,MATCH(K$4,'Allocation %'!$A:$A,0)-1,MATCH($D113,'Allocation %'!$5:$5,0)-1)*($F53-$G53)*'2020 Assumptions'!$B$20,0))</f>
        <v>0</v>
      </c>
      <c r="L113" s="73">
        <f ca="1">IF(L$5="Doyon Notional Allocation",0,IF($C113&lt;&gt;L$3,OFFSET('Allocation %'!$A$1,MATCH(L$4,'Allocation %'!$A:$A,0)-1,MATCH($D113,'Allocation %'!$5:$5,0)-1)*($F53-$G53)*'2020 Assumptions'!$B$20,0))</f>
        <v>0</v>
      </c>
      <c r="M113" s="73">
        <f ca="1">IF(M$5="Doyon Notional Allocation",0,IF($C113&lt;&gt;M$3,OFFSET('Allocation %'!$A$1,MATCH(M$4,'Allocation %'!$A:$A,0)-1,MATCH($D113,'Allocation %'!$5:$5,0)-1)*($F53-$G53)*'2020 Assumptions'!$B$20,0))</f>
        <v>0</v>
      </c>
      <c r="N113" s="73">
        <f ca="1">IF(N$5="Doyon Notional Allocation",0,IF($C113&lt;&gt;N$3,OFFSET('Allocation %'!$A$1,MATCH(N$4,'Allocation %'!$A:$A,0)-1,MATCH($D113,'Allocation %'!$5:$5,0)-1)*($F53-$G53)*'2020 Assumptions'!$B$20,0))</f>
        <v>0</v>
      </c>
      <c r="O113" s="73">
        <f ca="1">IF(O$5="Doyon Notional Allocation",0,IF($C113&lt;&gt;O$3,OFFSET('Allocation %'!$A$1,MATCH(O$4,'Allocation %'!$A:$A,0)-1,MATCH($D113,'Allocation %'!$5:$5,0)-1)*($F53-$G53)*'2020 Assumptions'!$B$20,0))</f>
        <v>0</v>
      </c>
      <c r="P113" s="73">
        <f ca="1">IF(P$5="Doyon Notional Allocation",0,IF($C113&lt;&gt;P$3,OFFSET('Allocation %'!$A$1,MATCH(P$4,'Allocation %'!$A:$A,0)-1,MATCH($D113,'Allocation %'!$5:$5,0)-1)*($F53-$G53)*'2020 Assumptions'!$B$20,0))</f>
        <v>0</v>
      </c>
      <c r="Q113" s="73">
        <f ca="1">IF(Q$5="Doyon Notional Allocation",0,IF($C113&lt;&gt;Q$3,OFFSET('Allocation %'!$A$1,MATCH(Q$4,'Allocation %'!$A:$A,0)-1,MATCH($D113,'Allocation %'!$5:$5,0)-1)*($F53-$G53)*'2020 Assumptions'!$B$20,0))</f>
        <v>0</v>
      </c>
      <c r="R113" s="73">
        <f ca="1">IF(R$5="Doyon Notional Allocation",0,IF($C113&lt;&gt;R$3,OFFSET('Allocation %'!$A$1,MATCH(R$4,'Allocation %'!$A:$A,0)-1,MATCH($D113,'Allocation %'!$5:$5,0)-1)*($F53-$G53)*'2020 Assumptions'!$B$20,0))</f>
        <v>0</v>
      </c>
      <c r="S113" s="73">
        <f ca="1">IF(S$5="Doyon Notional Allocation",0,IF($C113&lt;&gt;S$3,OFFSET('Allocation %'!$A$1,MATCH(S$4,'Allocation %'!$A:$A,0)-1,MATCH($D113,'Allocation %'!$5:$5,0)-1)*($F53-$G53)*'2020 Assumptions'!$B$20,0))</f>
        <v>0</v>
      </c>
      <c r="T113" s="73">
        <f ca="1">IF(T$5="Doyon Notional Allocation",0,IF($C113&lt;&gt;T$3,OFFSET('Allocation %'!$A$1,MATCH(T$4,'Allocation %'!$A:$A,0)-1,MATCH($D113,'Allocation %'!$5:$5,0)-1)*($F53-$G53)*'2020 Assumptions'!$B$20,0))</f>
        <v>0</v>
      </c>
      <c r="U113" s="73">
        <f ca="1">IF(U$5="Doyon Notional Allocation",0,IF($C113&lt;&gt;U$3,OFFSET('Allocation %'!$A$1,MATCH(U$4,'Allocation %'!$A:$A,0)-1,MATCH($D113,'Allocation %'!$5:$5,0)-1)*($F53-$G53)*'2020 Assumptions'!$B$20,0))</f>
        <v>0</v>
      </c>
      <c r="V113" s="73">
        <f ca="1">IF(V$5="Doyon Notional Allocation",0,IF($C113&lt;&gt;V$3,OFFSET('Allocation %'!$A$1,MATCH(V$4,'Allocation %'!$A:$A,0)-1,MATCH($D113,'Allocation %'!$5:$5,0)-1)*($F53-$G53)*'2020 Assumptions'!$B$20,0))</f>
        <v>0</v>
      </c>
      <c r="W113" s="73">
        <f ca="1">IF(W$5="Doyon Notional Allocation",0,IF($C113&lt;&gt;W$3,OFFSET('Allocation %'!$A$1,MATCH(W$4,'Allocation %'!$A:$A,0)-1,MATCH($D113,'Allocation %'!$5:$5,0)-1)*($F53-$G53)*'2020 Assumptions'!$B$20,0))</f>
        <v>0</v>
      </c>
      <c r="X113" s="73">
        <f ca="1">IF(X$5="Doyon Notional Allocation",0,IF($C113&lt;&gt;X$3,OFFSET('Allocation %'!$A$1,MATCH(X$4,'Allocation %'!$A:$A,0)-1,MATCH($D113,'Allocation %'!$5:$5,0)-1)*($F53-$G53)*'2020 Assumptions'!$B$20,0))</f>
        <v>0</v>
      </c>
      <c r="Y113" s="73">
        <f ca="1">IF(Y$5="Doyon Notional Allocation",0,IF($C113&lt;&gt;Y$3,OFFSET('Allocation %'!$A$1,MATCH(Y$4,'Allocation %'!$A:$A,0)-1,MATCH($D113,'Allocation %'!$5:$5,0)-1)*($F53-$G53)*'2020 Assumptions'!$B$20,0))</f>
        <v>0</v>
      </c>
      <c r="Z113" s="73">
        <f ca="1">IF(Z$5="Doyon Notional Allocation",0,IF($C113&lt;&gt;Z$3,OFFSET('Allocation %'!$A$1,MATCH(Z$4,'Allocation %'!$A:$A,0)-1,MATCH($D113,'Allocation %'!$5:$5,0)-1)*($F53-$G53)*'2020 Assumptions'!$B$20,0))</f>
        <v>0</v>
      </c>
      <c r="AA113" s="73">
        <f ca="1">IF(AA$5="Doyon Notional Allocation",0,IF($C113&lt;&gt;AA$3,OFFSET('Allocation %'!$A$1,MATCH(AA$4,'Allocation %'!$A:$A,0)-1,MATCH($D113,'Allocation %'!$5:$5,0)-1)*($F53-$G53)*'2020 Assumptions'!$B$20,0))</f>
        <v>0</v>
      </c>
      <c r="AB113" s="73">
        <f ca="1">IF(AB$5="Doyon Notional Allocation",0,IF($C113&lt;&gt;AB$3,OFFSET('Allocation %'!$A$1,MATCH(AB$4,'Allocation %'!$A:$A,0)-1,MATCH($D113,'Allocation %'!$5:$5,0)-1)*($F53-$G53)*'2020 Assumptions'!$B$20,0))</f>
        <v>0</v>
      </c>
      <c r="AC113" s="73">
        <f ca="1">IF(AC$5="Doyon Notional Allocation",0,IF($C113&lt;&gt;AC$3,OFFSET('Allocation %'!$A$1,MATCH(AC$4,'Allocation %'!$A:$A,0)-1,MATCH($D113,'Allocation %'!$5:$5,0)-1)*($F53-$G53)*'2020 Assumptions'!$B$20,0))</f>
        <v>0</v>
      </c>
      <c r="AD113" s="73">
        <f ca="1">IF(AD$5="Doyon Notional Allocation",0,IF($C113&lt;&gt;AD$3,OFFSET('Allocation %'!$A$1,MATCH(AD$4,'Allocation %'!$A:$A,0)-1,MATCH($D113,'Allocation %'!$5:$5,0)-1)*($F53-$G53)*'2020 Assumptions'!$B$20,0))</f>
        <v>0</v>
      </c>
      <c r="AE113" s="73">
        <f ca="1">IF(AE$5="Doyon Notional Allocation",0,IF($C113&lt;&gt;AE$3,OFFSET('Allocation %'!$A$1,MATCH(AE$4,'Allocation %'!$A:$A,0)-1,MATCH($D113,'Allocation %'!$5:$5,0)-1)*($F53-$G53)*'2020 Assumptions'!$B$20,0))</f>
        <v>0</v>
      </c>
      <c r="AF113" s="73">
        <f ca="1">IF(AF$5="Doyon Notional Allocation",0,IF($C113&lt;&gt;AF$3,OFFSET('Allocation %'!$A$1,MATCH(AF$4,'Allocation %'!$A:$A,0)-1,MATCH($D113,'Allocation %'!$5:$5,0)-1)*($F53-$G53)*'2020 Assumptions'!$B$20,0))</f>
        <v>0</v>
      </c>
      <c r="AG113" s="73">
        <f ca="1">IF(AG$5="Doyon Notional Allocation",0,IF($C113&lt;&gt;AG$3,OFFSET('Allocation %'!$A$1,MATCH(AG$4,'Allocation %'!$A:$A,0)-1,MATCH($D113,'Allocation %'!$5:$5,0)-1)*($F53-$G53)*'2020 Assumptions'!$B$20,0))</f>
        <v>0</v>
      </c>
      <c r="AH113" s="73">
        <f ca="1">IF(AH$5="Doyon Notional Allocation",0,IF($C113&lt;&gt;AH$3,OFFSET('Allocation %'!$A$1,MATCH(AH$4,'Allocation %'!$A:$A,0)-1,MATCH($D113,'Allocation %'!$5:$5,0)-1)*($F53-$G53)*'2020 Assumptions'!$B$20,0))</f>
        <v>0</v>
      </c>
      <c r="AI113" s="73">
        <f ca="1">IF(AI$5="Doyon Notional Allocation",0,IF($C113&lt;&gt;AI$3,OFFSET('Allocation %'!$A$1,MATCH(AI$4,'Allocation %'!$A:$A,0)-1,MATCH($D113,'Allocation %'!$5:$5,0)-1)*($F53-$G53)*'2020 Assumptions'!$B$20,0))</f>
        <v>0</v>
      </c>
      <c r="AJ113" s="73">
        <f ca="1">IF(AJ$5="Doyon Notional Allocation",0,IF($C113&lt;&gt;AJ$3,OFFSET('Allocation %'!$A$1,MATCH(AJ$4,'Allocation %'!$A:$A,0)-1,MATCH($D113,'Allocation %'!$5:$5,0)-1)*($F53-$G53)*'2020 Assumptions'!$B$20,0))</f>
        <v>0</v>
      </c>
      <c r="AK113" s="73">
        <f ca="1">IF(AK$5="Doyon Notional Allocation",0,IF($C113&lt;&gt;AK$3,OFFSET('Allocation %'!$A$1,MATCH(AK$4,'Allocation %'!$A:$A,0)-1,MATCH($D113,'Allocation %'!$5:$5,0)-1)*($F53-$G53)*'2020 Assumptions'!$B$20,0))</f>
        <v>0</v>
      </c>
      <c r="AL113" s="73">
        <f ca="1">IF(AL$5="Doyon Notional Allocation",0,IF($C113&lt;&gt;AL$3,OFFSET('Allocation %'!$A$1,MATCH(AL$4,'Allocation %'!$A:$A,0)-1,MATCH($D113,'Allocation %'!$5:$5,0)-1)*($F53-$G53)*'2020 Assumptions'!$B$20,0))</f>
        <v>0</v>
      </c>
      <c r="AM113" s="73">
        <f ca="1">IF(AM$5="Doyon Notional Allocation",0,IF($C113&lt;&gt;AM$3,OFFSET('Allocation %'!$A$1,MATCH(AM$4,'Allocation %'!$A:$A,0)-1,MATCH($D113,'Allocation %'!$5:$5,0)-1)*($F53-$G53)*'2020 Assumptions'!$B$20,0))</f>
        <v>0</v>
      </c>
      <c r="AN113" s="73">
        <f ca="1">IF(AN$5="Doyon Notional Allocation",0,IF($C113&lt;&gt;AN$3,OFFSET('Allocation %'!$A$1,MATCH(AN$4,'Allocation %'!$A:$A,0)-1,MATCH($D113,'Allocation %'!$5:$5,0)-1)*($F53-$G53)*'2020 Assumptions'!$B$20,0))</f>
        <v>0</v>
      </c>
      <c r="AO113" s="73">
        <f ca="1">IF(AO$5="Doyon Notional Allocation",0,IF($C113&lt;&gt;AO$3,OFFSET('Allocation %'!$A$1,MATCH(AO$4,'Allocation %'!$A:$A,0)-1,MATCH($D113,'Allocation %'!$5:$5,0)-1)*($F53-$G53)*'2020 Assumptions'!$B$20,0))</f>
        <v>0</v>
      </c>
      <c r="AP113" s="73">
        <f ca="1">IF(AP$5="Doyon Notional Allocation",0,IF($C113&lt;&gt;AP$3,OFFSET('Allocation %'!$A$1,MATCH(AP$4,'Allocation %'!$A:$A,0)-1,MATCH($D113,'Allocation %'!$5:$5,0)-1)*($F53-$G53)*'2020 Assumptions'!$B$20,0))</f>
        <v>0</v>
      </c>
      <c r="AQ113" s="73">
        <f ca="1">IF(AQ$5="Doyon Notional Allocation",0,IF($C113&lt;&gt;AQ$3,OFFSET('Allocation %'!$A$1,MATCH(AQ$4,'Allocation %'!$A:$A,0)-1,MATCH($D113,'Allocation %'!$5:$5,0)-1)*($F53-$G53)*'2020 Assumptions'!$B$20,0))</f>
        <v>0</v>
      </c>
      <c r="AR113" s="73">
        <f ca="1">IF(AR$5="Doyon Notional Allocation",0,IF($C113&lt;&gt;AR$3,OFFSET('Allocation %'!$A$1,MATCH(AR$4,'Allocation %'!$A:$A,0)-1,MATCH($D113,'Allocation %'!$5:$5,0)-1)*($F53-$G53)*'2020 Assumptions'!$B$20,0))</f>
        <v>0</v>
      </c>
      <c r="AS113" s="73">
        <f ca="1">IF(AS$5="Doyon Notional Allocation",0,IF($C113&lt;&gt;AS$3,OFFSET('Allocation %'!$A$1,MATCH(AS$4,'Allocation %'!$A:$A,0)-1,MATCH($D113,'Allocation %'!$5:$5,0)-1)*($F53-$G53)*'2020 Assumptions'!$B$20,0))</f>
        <v>0</v>
      </c>
      <c r="AT113" s="73">
        <f ca="1">IF(AT$5="Doyon Notional Allocation",0,IF($C113&lt;&gt;AT$3,OFFSET('Allocation %'!$A$1,MATCH(AT$4,'Allocation %'!$A:$A,0)-1,MATCH($D113,'Allocation %'!$5:$5,0)-1)*($F53-$G53)*'2020 Assumptions'!$B$20,0))</f>
        <v>0</v>
      </c>
      <c r="AU113" s="73">
        <f ca="1">IF(AU$5="Doyon Notional Allocation",0,IF($C113&lt;&gt;AU$3,OFFSET('Allocation %'!$A$1,MATCH(AU$4,'Allocation %'!$A:$A,0)-1,MATCH($D113,'Allocation %'!$5:$5,0)-1)*($F53-$G53)*'2020 Assumptions'!$B$20,0))</f>
        <v>0</v>
      </c>
      <c r="AV113" s="73">
        <f ca="1">IF(AV$5="Doyon Notional Allocation",0,IF($C113&lt;&gt;AV$3,OFFSET('Allocation %'!$A$1,MATCH(AV$4,'Allocation %'!$A:$A,0)-1,MATCH($D113,'Allocation %'!$5:$5,0)-1)*($F53-$G53)*'2020 Assumptions'!$B$20,0))</f>
        <v>0</v>
      </c>
      <c r="AW113" s="73">
        <f ca="1">IF(AW$5="Doyon Notional Allocation",0,IF($C113&lt;&gt;AW$3,OFFSET('Allocation %'!$A$1,MATCH(AW$4,'Allocation %'!$A:$A,0)-1,MATCH($D113,'Allocation %'!$5:$5,0)-1)*($F53-$G53)*'2020 Assumptions'!$B$20,0))</f>
        <v>0</v>
      </c>
      <c r="AX113" s="73">
        <f ca="1">IF(AX$5="Doyon Notional Allocation",0,IF($C113&lt;&gt;AX$3,OFFSET('Allocation %'!$A$1,MATCH(AX$4,'Allocation %'!$A:$A,0)-1,MATCH($D113,'Allocation %'!$5:$5,0)-1)*($F53-$G53)*'2020 Assumptions'!$B$20,0))</f>
        <v>0</v>
      </c>
      <c r="AY113" s="73">
        <f ca="1">IF(AY$5="Doyon Notional Allocation",0,IF($C113&lt;&gt;AY$3,OFFSET('Allocation %'!$A$1,MATCH(AY$4,'Allocation %'!$A:$A,0)-1,MATCH($D113,'Allocation %'!$5:$5,0)-1)*($F53-$G53)*'2020 Assumptions'!$B$20,0))</f>
        <v>0</v>
      </c>
      <c r="AZ113" s="73">
        <f ca="1">IF(AZ$5="Doyon Notional Allocation",0,IF($C113&lt;&gt;AZ$3,OFFSET('Allocation %'!$A$1,MATCH(AZ$4,'Allocation %'!$A:$A,0)-1,MATCH($D113,'Allocation %'!$5:$5,0)-1)*($F53-$G53)*'2020 Assumptions'!$B$20,0))</f>
        <v>0</v>
      </c>
      <c r="BA113" s="73">
        <f ca="1">IF(BA$5="Doyon Notional Allocation",0,IF($C113&lt;&gt;BA$3,OFFSET('Allocation %'!$A$1,MATCH(BA$4,'Allocation %'!$A:$A,0)-1,MATCH($D113,'Allocation %'!$5:$5,0)-1)*($F53-$G53)*'2020 Assumptions'!$B$20,0))</f>
        <v>0</v>
      </c>
      <c r="BB113" s="73">
        <f ca="1">IF(BB$5="Doyon Notional Allocation",0,IF($C113&lt;&gt;BB$3,OFFSET('Allocation %'!$A$1,MATCH(BB$4,'Allocation %'!$A:$A,0)-1,MATCH($D113,'Allocation %'!$5:$5,0)-1)*($F53-$G53)*'2020 Assumptions'!$B$20,0))</f>
        <v>0</v>
      </c>
      <c r="BC113" s="73">
        <f ca="1">IF(BC$5="Doyon Notional Allocation",0,IF($C113&lt;&gt;BC$3,OFFSET('Allocation %'!$A$1,MATCH(BC$4,'Allocation %'!$A:$A,0)-1,MATCH($D113,'Allocation %'!$5:$5,0)-1)*($F53-$G53)*'2020 Assumptions'!$B$20,0))</f>
        <v>0</v>
      </c>
      <c r="BD113" s="73">
        <f ca="1">IF(BD$5="Doyon Notional Allocation",0,IF($C113&lt;&gt;BD$3,OFFSET('Allocation %'!$A$1,MATCH(BD$4,'Allocation %'!$A:$A,0)-1,MATCH($D113,'Allocation %'!$5:$5,0)-1)*($F53-$G53)*'2020 Assumptions'!$B$20,0))</f>
        <v>0</v>
      </c>
      <c r="BE113" s="73">
        <f ca="1">IF(BE$5="Doyon Notional Allocation",0,IF($C113&lt;&gt;BE$3,OFFSET('Allocation %'!$A$1,MATCH(BE$4,'Allocation %'!$A:$A,0)-1,MATCH($D113,'Allocation %'!$5:$5,0)-1)*($F53-$G53)*'2020 Assumptions'!$B$20,0))</f>
        <v>0</v>
      </c>
      <c r="BG113" s="76">
        <f t="shared" ca="1" si="9"/>
        <v>0</v>
      </c>
      <c r="BH113" s="349">
        <f t="shared" ca="1" si="10"/>
        <v>0</v>
      </c>
    </row>
    <row r="114" spans="1:62" s="177" customFormat="1" x14ac:dyDescent="0.25">
      <c r="A114" s="139" t="s">
        <v>419</v>
      </c>
      <c r="B114" s="259" t="str">
        <f t="shared" si="19"/>
        <v>009084 - CRO Cost Center Mark up</v>
      </c>
      <c r="C114" s="69" t="str">
        <f t="shared" si="20"/>
        <v>USD</v>
      </c>
      <c r="D114" s="352" t="str">
        <f t="shared" ca="1" si="20"/>
        <v>ALL</v>
      </c>
      <c r="E114" s="73">
        <f ca="1">F114*'2020 Assumptions'!$B$4</f>
        <v>536.98597417926169</v>
      </c>
      <c r="F114" s="317">
        <f t="shared" ca="1" si="11"/>
        <v>399.48368857257975</v>
      </c>
      <c r="G114" s="73"/>
      <c r="I114" s="73">
        <f ca="1">IF(I$5="Doyon Notional Allocation",0,IF($C114&lt;&gt;I$3,OFFSET('Allocation %'!$A$1,MATCH(I$4,'Allocation %'!$A:$A,0)-1,MATCH($D114,'Allocation %'!$5:$5,0)-1)*($F54-$G54)*'2020 Assumptions'!$B$20,0))</f>
        <v>0</v>
      </c>
      <c r="J114" s="73">
        <f ca="1">IF(J$5="Doyon Notional Allocation",0,IF($C114&lt;&gt;J$3,OFFSET('Allocation %'!$A$1,MATCH(J$4,'Allocation %'!$A:$A,0)-1,MATCH($D114,'Allocation %'!$5:$5,0)-1)*($F54-$G54)*'2020 Assumptions'!$B$20,0))</f>
        <v>9.1919818365118093</v>
      </c>
      <c r="K114" s="73">
        <f ca="1">IF(K$5="Doyon Notional Allocation",0,IF($C114&lt;&gt;K$3,OFFSET('Allocation %'!$A$1,MATCH(K$4,'Allocation %'!$A:$A,0)-1,MATCH($D114,'Allocation %'!$5:$5,0)-1)*($F54-$G54)*'2020 Assumptions'!$B$20,0))</f>
        <v>2.8938262187139139</v>
      </c>
      <c r="L114" s="73">
        <f ca="1">IF(L$5="Doyon Notional Allocation",0,IF($C114&lt;&gt;L$3,OFFSET('Allocation %'!$A$1,MATCH(L$4,'Allocation %'!$A:$A,0)-1,MATCH($D114,'Allocation %'!$5:$5,0)-1)*($F54-$G54)*'2020 Assumptions'!$B$20,0))</f>
        <v>3.127907073226714</v>
      </c>
      <c r="M114" s="73">
        <f ca="1">IF(M$5="Doyon Notional Allocation",0,IF($C114&lt;&gt;M$3,OFFSET('Allocation %'!$A$1,MATCH(M$4,'Allocation %'!$A:$A,0)-1,MATCH($D114,'Allocation %'!$5:$5,0)-1)*($F54-$G54)*'2020 Assumptions'!$B$20,0))</f>
        <v>5.0920866106678737</v>
      </c>
      <c r="N114" s="73">
        <f ca="1">IF(N$5="Doyon Notional Allocation",0,IF($C114&lt;&gt;N$3,OFFSET('Allocation %'!$A$1,MATCH(N$4,'Allocation %'!$A:$A,0)-1,MATCH($D114,'Allocation %'!$5:$5,0)-1)*($F54-$G54)*'2020 Assumptions'!$B$20,0))</f>
        <v>4.4559793785601975</v>
      </c>
      <c r="O114" s="73">
        <f ca="1">IF(O$5="Doyon Notional Allocation",0,IF($C114&lt;&gt;O$3,OFFSET('Allocation %'!$A$1,MATCH(O$4,'Allocation %'!$A:$A,0)-1,MATCH($D114,'Allocation %'!$5:$5,0)-1)*($F54-$G54)*'2020 Assumptions'!$B$20,0))</f>
        <v>10.418162918734538</v>
      </c>
      <c r="P114" s="73">
        <f ca="1">IF(P$5="Doyon Notional Allocation",0,IF($C114&lt;&gt;P$3,OFFSET('Allocation %'!$A$1,MATCH(P$4,'Allocation %'!$A:$A,0)-1,MATCH($D114,'Allocation %'!$5:$5,0)-1)*($F54-$G54)*'2020 Assumptions'!$B$20,0))</f>
        <v>1.5127518627265537</v>
      </c>
      <c r="Q114" s="73">
        <f ca="1">IF(Q$5="Doyon Notional Allocation",0,IF($C114&lt;&gt;Q$3,OFFSET('Allocation %'!$A$1,MATCH(Q$4,'Allocation %'!$A:$A,0)-1,MATCH($D114,'Allocation %'!$5:$5,0)-1)*($F54-$G54)*'2020 Assumptions'!$B$20,0))</f>
        <v>3.3012354459564777</v>
      </c>
      <c r="R114" s="73">
        <f ca="1">IF(R$5="Doyon Notional Allocation",0,IF($C114&lt;&gt;R$3,OFFSET('Allocation %'!$A$1,MATCH(R$4,'Allocation %'!$A:$A,0)-1,MATCH($D114,'Allocation %'!$5:$5,0)-1)*($F54-$G54)*'2020 Assumptions'!$B$20,0))</f>
        <v>3.046738996308803</v>
      </c>
      <c r="S114" s="73">
        <f ca="1">IF(S$5="Doyon Notional Allocation",0,IF($C114&lt;&gt;S$3,OFFSET('Allocation %'!$A$1,MATCH(S$4,'Allocation %'!$A:$A,0)-1,MATCH($D114,'Allocation %'!$5:$5,0)-1)*($F54-$G54)*'2020 Assumptions'!$B$20,0))</f>
        <v>2.9304460916691295</v>
      </c>
      <c r="T114" s="73">
        <f ca="1">IF(T$5="Doyon Notional Allocation",0,IF($C114&lt;&gt;T$3,OFFSET('Allocation %'!$A$1,MATCH(T$4,'Allocation %'!$A:$A,0)-1,MATCH($D114,'Allocation %'!$5:$5,0)-1)*($F54-$G54)*'2020 Assumptions'!$B$20,0))</f>
        <v>10.517656399707421</v>
      </c>
      <c r="U114" s="73">
        <f ca="1">IF(U$5="Doyon Notional Allocation",0,IF($C114&lt;&gt;U$3,OFFSET('Allocation %'!$A$1,MATCH(U$4,'Allocation %'!$A:$A,0)-1,MATCH($D114,'Allocation %'!$5:$5,0)-1)*($F54-$G54)*'2020 Assumptions'!$B$20,0))</f>
        <v>6.7276290782854566</v>
      </c>
      <c r="V114" s="73">
        <f ca="1">IF(V$5="Doyon Notional Allocation",0,IF($C114&lt;&gt;V$3,OFFSET('Allocation %'!$A$1,MATCH(V$4,'Allocation %'!$A:$A,0)-1,MATCH($D114,'Allocation %'!$5:$5,0)-1)*($F54-$G54)*'2020 Assumptions'!$B$20,0))</f>
        <v>7.1398817034137707</v>
      </c>
      <c r="W114" s="73">
        <f ca="1">IF(W$5="Doyon Notional Allocation",0,IF($C114&lt;&gt;W$3,OFFSET('Allocation %'!$A$1,MATCH(W$4,'Allocation %'!$A:$A,0)-1,MATCH($D114,'Allocation %'!$5:$5,0)-1)*($F54-$G54)*'2020 Assumptions'!$B$20,0))</f>
        <v>11.562627604269235</v>
      </c>
      <c r="X114" s="73">
        <f ca="1">IF(X$5="Doyon Notional Allocation",0,IF($C114&lt;&gt;X$3,OFFSET('Allocation %'!$A$1,MATCH(X$4,'Allocation %'!$A:$A,0)-1,MATCH($D114,'Allocation %'!$5:$5,0)-1)*($F54-$G54)*'2020 Assumptions'!$B$20,0))</f>
        <v>0.26779863189403041</v>
      </c>
      <c r="Y114" s="73">
        <f ca="1">IF(Y$5="Doyon Notional Allocation",0,IF($C114&lt;&gt;Y$3,OFFSET('Allocation %'!$A$1,MATCH(Y$4,'Allocation %'!$A:$A,0)-1,MATCH($D114,'Allocation %'!$5:$5,0)-1)*($F54-$G54)*'2020 Assumptions'!$B$20,0))</f>
        <v>0.21130933532636795</v>
      </c>
      <c r="Z114" s="73">
        <f ca="1">IF(Z$5="Doyon Notional Allocation",0,IF($C114&lt;&gt;Z$3,OFFSET('Allocation %'!$A$1,MATCH(Z$4,'Allocation %'!$A:$A,0)-1,MATCH($D114,'Allocation %'!$5:$5,0)-1)*($F54-$G54)*'2020 Assumptions'!$B$20,0))</f>
        <v>0.61621202319764745</v>
      </c>
      <c r="AA114" s="73">
        <f ca="1">IF(AA$5="Doyon Notional Allocation",0,IF($C114&lt;&gt;AA$3,OFFSET('Allocation %'!$A$1,MATCH(AA$4,'Allocation %'!$A:$A,0)-1,MATCH($D114,'Allocation %'!$5:$5,0)-1)*($F54-$G54)*'2020 Assumptions'!$B$20,0))</f>
        <v>0.56224549346981489</v>
      </c>
      <c r="AB114" s="73">
        <f ca="1">IF(AB$5="Doyon Notional Allocation",0,IF($C114&lt;&gt;AB$3,OFFSET('Allocation %'!$A$1,MATCH(AB$4,'Allocation %'!$A:$A,0)-1,MATCH($D114,'Allocation %'!$5:$5,0)-1)*($F54-$G54)*'2020 Assumptions'!$B$20,0))</f>
        <v>0.544044802142166</v>
      </c>
      <c r="AC114" s="73">
        <f ca="1">IF(AC$5="Doyon Notional Allocation",0,IF($C114&lt;&gt;AC$3,OFFSET('Allocation %'!$A$1,MATCH(AC$4,'Allocation %'!$A:$A,0)-1,MATCH($D114,'Allocation %'!$5:$5,0)-1)*($F54-$G54)*'2020 Assumptions'!$B$20,0))</f>
        <v>0.61547046708969755</v>
      </c>
      <c r="AD114" s="73">
        <f ca="1">IF(AD$5="Doyon Notional Allocation",0,IF($C114&lt;&gt;AD$3,OFFSET('Allocation %'!$A$1,MATCH(AD$4,'Allocation %'!$A:$A,0)-1,MATCH($D114,'Allocation %'!$5:$5,0)-1)*($F54-$G54)*'2020 Assumptions'!$B$20,0))</f>
        <v>1.3600878553927975</v>
      </c>
      <c r="AE114" s="73">
        <f ca="1">IF(AE$5="Doyon Notional Allocation",0,IF($C114&lt;&gt;AE$3,OFFSET('Allocation %'!$A$1,MATCH(AE$4,'Allocation %'!$A:$A,0)-1,MATCH($D114,'Allocation %'!$5:$5,0)-1)*($F54-$G54)*'2020 Assumptions'!$B$20,0))</f>
        <v>1.3019591500886571</v>
      </c>
      <c r="AF114" s="73">
        <f ca="1">IF(AF$5="Doyon Notional Allocation",0,IF($C114&lt;&gt;AF$3,OFFSET('Allocation %'!$A$1,MATCH(AF$4,'Allocation %'!$A:$A,0)-1,MATCH($D114,'Allocation %'!$5:$5,0)-1)*($F54-$G54)*'2020 Assumptions'!$B$20,0))</f>
        <v>6.4186648736249294</v>
      </c>
      <c r="AG114" s="73">
        <f ca="1">IF(AG$5="Doyon Notional Allocation",0,IF($C114&lt;&gt;AG$3,OFFSET('Allocation %'!$A$1,MATCH(AG$4,'Allocation %'!$A:$A,0)-1,MATCH($D114,'Allocation %'!$5:$5,0)-1)*($F54-$G54)*'2020 Assumptions'!$B$20,0))</f>
        <v>10.101589202135099</v>
      </c>
      <c r="AH114" s="73">
        <f ca="1">IF(AH$5="Doyon Notional Allocation",0,IF($C114&lt;&gt;AH$3,OFFSET('Allocation %'!$A$1,MATCH(AH$4,'Allocation %'!$A:$A,0)-1,MATCH($D114,'Allocation %'!$5:$5,0)-1)*($F54-$G54)*'2020 Assumptions'!$B$20,0))</f>
        <v>89.351104392858673</v>
      </c>
      <c r="AI114" s="73">
        <f ca="1">IF(AI$5="Doyon Notional Allocation",0,IF($C114&lt;&gt;AI$3,OFFSET('Allocation %'!$A$1,MATCH(AI$4,'Allocation %'!$A:$A,0)-1,MATCH($D114,'Allocation %'!$5:$5,0)-1)*($F54-$G54)*'2020 Assumptions'!$B$20,0))</f>
        <v>0.53068240986189774</v>
      </c>
      <c r="AJ114" s="73">
        <f ca="1">IF(AJ$5="Doyon Notional Allocation",0,IF($C114&lt;&gt;AJ$3,OFFSET('Allocation %'!$A$1,MATCH(AJ$4,'Allocation %'!$A:$A,0)-1,MATCH($D114,'Allocation %'!$5:$5,0)-1)*($F54-$G54)*'2020 Assumptions'!$B$20,0))</f>
        <v>12.428727983574799</v>
      </c>
      <c r="AK114" s="73">
        <f ca="1">IF(AK$5="Doyon Notional Allocation",0,IF($C114&lt;&gt;AK$3,OFFSET('Allocation %'!$A$1,MATCH(AK$4,'Allocation %'!$A:$A,0)-1,MATCH($D114,'Allocation %'!$5:$5,0)-1)*($F54-$G54)*'2020 Assumptions'!$B$20,0))</f>
        <v>11.185516407984545</v>
      </c>
      <c r="AL114" s="73">
        <f ca="1">IF(AL$5="Doyon Notional Allocation",0,IF($C114&lt;&gt;AL$3,OFFSET('Allocation %'!$A$1,MATCH(AL$4,'Allocation %'!$A:$A,0)-1,MATCH($D114,'Allocation %'!$5:$5,0)-1)*($F54-$G54)*'2020 Assumptions'!$B$20,0))</f>
        <v>0</v>
      </c>
      <c r="AM114" s="73">
        <f ca="1">IF(AM$5="Doyon Notional Allocation",0,IF($C114&lt;&gt;AM$3,OFFSET('Allocation %'!$A$1,MATCH(AM$4,'Allocation %'!$A:$A,0)-1,MATCH($D114,'Allocation %'!$5:$5,0)-1)*($F54-$G54)*'2020 Assumptions'!$B$20,0))</f>
        <v>1.466521766283166</v>
      </c>
      <c r="AN114" s="73">
        <f ca="1">IF(AN$5="Doyon Notional Allocation",0,IF($C114&lt;&gt;AN$3,OFFSET('Allocation %'!$A$1,MATCH(AN$4,'Allocation %'!$A:$A,0)-1,MATCH($D114,'Allocation %'!$5:$5,0)-1)*($F54-$G54)*'2020 Assumptions'!$B$20,0))</f>
        <v>0</v>
      </c>
      <c r="AO114" s="73">
        <f ca="1">IF(AO$5="Doyon Notional Allocation",0,IF($C114&lt;&gt;AO$3,OFFSET('Allocation %'!$A$1,MATCH(AO$4,'Allocation %'!$A:$A,0)-1,MATCH($D114,'Allocation %'!$5:$5,0)-1)*($F54-$G54)*'2020 Assumptions'!$B$20,0))</f>
        <v>12.059153584979343</v>
      </c>
      <c r="AP114" s="73">
        <f ca="1">IF(AP$5="Doyon Notional Allocation",0,IF($C114&lt;&gt;AP$3,OFFSET('Allocation %'!$A$1,MATCH(AP$4,'Allocation %'!$A:$A,0)-1,MATCH($D114,'Allocation %'!$5:$5,0)-1)*($F54-$G54)*'2020 Assumptions'!$B$20,0))</f>
        <v>2.5060110320491256</v>
      </c>
      <c r="AQ114" s="73">
        <f ca="1">IF(AQ$5="Doyon Notional Allocation",0,IF($C114&lt;&gt;AQ$3,OFFSET('Allocation %'!$A$1,MATCH(AQ$4,'Allocation %'!$A:$A,0)-1,MATCH($D114,'Allocation %'!$5:$5,0)-1)*($F54-$G54)*'2020 Assumptions'!$B$20,0))</f>
        <v>11.082575744144261</v>
      </c>
      <c r="AR114" s="73">
        <f ca="1">IF(AR$5="Doyon Notional Allocation",0,IF($C114&lt;&gt;AR$3,OFFSET('Allocation %'!$A$1,MATCH(AR$4,'Allocation %'!$A:$A,0)-1,MATCH($D114,'Allocation %'!$5:$5,0)-1)*($F54-$G54)*'2020 Assumptions'!$B$20,0))</f>
        <v>0.27809881928096319</v>
      </c>
      <c r="AS114" s="73">
        <f ca="1">IF(AS$5="Doyon Notional Allocation",0,IF($C114&lt;&gt;AS$3,OFFSET('Allocation %'!$A$1,MATCH(AS$4,'Allocation %'!$A:$A,0)-1,MATCH($D114,'Allocation %'!$5:$5,0)-1)*($F54-$G54)*'2020 Assumptions'!$B$20,0))</f>
        <v>20.37045798311236</v>
      </c>
      <c r="AT114" s="73">
        <f ca="1">IF(AT$5="Doyon Notional Allocation",0,IF($C114&lt;&gt;AT$3,OFFSET('Allocation %'!$A$1,MATCH(AT$4,'Allocation %'!$A:$A,0)-1,MATCH($D114,'Allocation %'!$5:$5,0)-1)*($F54-$G54)*'2020 Assumptions'!$B$20,0))</f>
        <v>11.994203149724722</v>
      </c>
      <c r="AU114" s="73">
        <f ca="1">IF(AU$5="Doyon Notional Allocation",0,IF($C114&lt;&gt;AU$3,OFFSET('Allocation %'!$A$1,MATCH(AU$4,'Allocation %'!$A:$A,0)-1,MATCH($D114,'Allocation %'!$5:$5,0)-1)*($F54-$G54)*'2020 Assumptions'!$B$20,0))</f>
        <v>14.336813978106109</v>
      </c>
      <c r="AV114" s="73">
        <f ca="1">IF(AV$5="Doyon Notional Allocation",0,IF($C114&lt;&gt;AV$3,OFFSET('Allocation %'!$A$1,MATCH(AV$4,'Allocation %'!$A:$A,0)-1,MATCH($D114,'Allocation %'!$5:$5,0)-1)*($F54-$G54)*'2020 Assumptions'!$B$20,0))</f>
        <v>22.086761516366039</v>
      </c>
      <c r="AW114" s="73">
        <f ca="1">IF(AW$5="Doyon Notional Allocation",0,IF($C114&lt;&gt;AW$3,OFFSET('Allocation %'!$A$1,MATCH(AW$4,'Allocation %'!$A:$A,0)-1,MATCH($D114,'Allocation %'!$5:$5,0)-1)*($F54-$G54)*'2020 Assumptions'!$B$20,0))</f>
        <v>84.416213152868977</v>
      </c>
      <c r="AX114" s="73">
        <f ca="1">IF(AX$5="Doyon Notional Allocation",0,IF($C114&lt;&gt;AX$3,OFFSET('Allocation %'!$A$1,MATCH(AX$4,'Allocation %'!$A:$A,0)-1,MATCH($D114,'Allocation %'!$5:$5,0)-1)*($F54-$G54)*'2020 Assumptions'!$B$20,0))</f>
        <v>1.4725535982716247</v>
      </c>
      <c r="AY114" s="73">
        <f ca="1">IF(AY$5="Doyon Notional Allocation",0,IF($C114&lt;&gt;AY$3,OFFSET('Allocation %'!$A$1,MATCH(AY$4,'Allocation %'!$A:$A,0)-1,MATCH($D114,'Allocation %'!$5:$5,0)-1)*($F54-$G54)*'2020 Assumptions'!$B$20,0))</f>
        <v>0</v>
      </c>
      <c r="AZ114" s="73">
        <f ca="1">IF(AZ$5="Doyon Notional Allocation",0,IF($C114&lt;&gt;AZ$3,OFFSET('Allocation %'!$A$1,MATCH(AZ$4,'Allocation %'!$A:$A,0)-1,MATCH($D114,'Allocation %'!$5:$5,0)-1)*($F54-$G54)*'2020 Assumptions'!$B$20,0))</f>
        <v>0</v>
      </c>
      <c r="BA114" s="73">
        <f ca="1">IF(BA$5="Doyon Notional Allocation",0,IF($C114&lt;&gt;BA$3,OFFSET('Allocation %'!$A$1,MATCH(BA$4,'Allocation %'!$A:$A,0)-1,MATCH($D114,'Allocation %'!$5:$5,0)-1)*($F54-$G54)*'2020 Assumptions'!$B$20,0))</f>
        <v>0</v>
      </c>
      <c r="BB114" s="73">
        <f ca="1">IF(BB$5="Doyon Notional Allocation",0,IF($C114&lt;&gt;BB$3,OFFSET('Allocation %'!$A$1,MATCH(BB$4,'Allocation %'!$A:$A,0)-1,MATCH($D114,'Allocation %'!$5:$5,0)-1)*($F54-$G54)*'2020 Assumptions'!$B$20,0))</f>
        <v>0</v>
      </c>
      <c r="BC114" s="73">
        <f ca="1">IF(BC$5="Doyon Notional Allocation",0,IF($C114&lt;&gt;BC$3,OFFSET('Allocation %'!$A$1,MATCH(BC$4,'Allocation %'!$A:$A,0)-1,MATCH($D114,'Allocation %'!$5:$5,0)-1)*($F54-$G54)*'2020 Assumptions'!$B$20,0))</f>
        <v>0</v>
      </c>
      <c r="BD114" s="73">
        <f ca="1">IF(BD$5="Doyon Notional Allocation",0,IF($C114&lt;&gt;BD$3,OFFSET('Allocation %'!$A$1,MATCH(BD$4,'Allocation %'!$A:$A,0)-1,MATCH($D114,'Allocation %'!$5:$5,0)-1)*($F54-$G54)*'2020 Assumptions'!$B$20,0))</f>
        <v>0</v>
      </c>
      <c r="BE114" s="73">
        <f ca="1">IF(BE$5="Doyon Notional Allocation",0,IF($C114&lt;&gt;BE$3,OFFSET('Allocation %'!$A$1,MATCH(BE$4,'Allocation %'!$A:$A,0)-1,MATCH($D114,'Allocation %'!$5:$5,0)-1)*($F54-$G54)*'2020 Assumptions'!$B$20,0))</f>
        <v>0</v>
      </c>
      <c r="BG114" s="76">
        <f t="shared" ca="1" si="9"/>
        <v>399.48368857257975</v>
      </c>
      <c r="BH114" s="349">
        <f t="shared" ca="1" si="10"/>
        <v>0</v>
      </c>
    </row>
    <row r="115" spans="1:62" s="177" customFormat="1" x14ac:dyDescent="0.25">
      <c r="A115" s="139" t="s">
        <v>419</v>
      </c>
      <c r="B115" s="259" t="str">
        <f t="shared" si="19"/>
        <v>009085 - Legal Costs Center Mark up</v>
      </c>
      <c r="C115" s="69" t="str">
        <f t="shared" si="20"/>
        <v>USD</v>
      </c>
      <c r="D115" s="352" t="str">
        <f t="shared" ca="1" si="20"/>
        <v>RU - L48</v>
      </c>
      <c r="E115" s="73">
        <f ca="1">F115*'2020 Assumptions'!$B$4</f>
        <v>0</v>
      </c>
      <c r="F115" s="317">
        <f t="shared" ca="1" si="11"/>
        <v>0</v>
      </c>
      <c r="G115" s="73"/>
      <c r="I115" s="73">
        <f ca="1">IF(I$5="Doyon Notional Allocation",0,IF($C115&lt;&gt;I$3,OFFSET('Allocation %'!$A$1,MATCH(I$4,'Allocation %'!$A:$A,0)-1,MATCH($D115,'Allocation %'!$5:$5,0)-1)*($F55-$G55)*'2020 Assumptions'!$B$20,0))</f>
        <v>0</v>
      </c>
      <c r="J115" s="73">
        <f ca="1">IF(J$5="Doyon Notional Allocation",0,IF($C115&lt;&gt;J$3,OFFSET('Allocation %'!$A$1,MATCH(J$4,'Allocation %'!$A:$A,0)-1,MATCH($D115,'Allocation %'!$5:$5,0)-1)*($F55-$G55)*'2020 Assumptions'!$B$20,0))</f>
        <v>0</v>
      </c>
      <c r="K115" s="73">
        <f ca="1">IF(K$5="Doyon Notional Allocation",0,IF($C115&lt;&gt;K$3,OFFSET('Allocation %'!$A$1,MATCH(K$4,'Allocation %'!$A:$A,0)-1,MATCH($D115,'Allocation %'!$5:$5,0)-1)*($F55-$G55)*'2020 Assumptions'!$B$20,0))</f>
        <v>0</v>
      </c>
      <c r="L115" s="73">
        <f ca="1">IF(L$5="Doyon Notional Allocation",0,IF($C115&lt;&gt;L$3,OFFSET('Allocation %'!$A$1,MATCH(L$4,'Allocation %'!$A:$A,0)-1,MATCH($D115,'Allocation %'!$5:$5,0)-1)*($F55-$G55)*'2020 Assumptions'!$B$20,0))</f>
        <v>0</v>
      </c>
      <c r="M115" s="73">
        <f ca="1">IF(M$5="Doyon Notional Allocation",0,IF($C115&lt;&gt;M$3,OFFSET('Allocation %'!$A$1,MATCH(M$4,'Allocation %'!$A:$A,0)-1,MATCH($D115,'Allocation %'!$5:$5,0)-1)*($F55-$G55)*'2020 Assumptions'!$B$20,0))</f>
        <v>0</v>
      </c>
      <c r="N115" s="73">
        <f ca="1">IF(N$5="Doyon Notional Allocation",0,IF($C115&lt;&gt;N$3,OFFSET('Allocation %'!$A$1,MATCH(N$4,'Allocation %'!$A:$A,0)-1,MATCH($D115,'Allocation %'!$5:$5,0)-1)*($F55-$G55)*'2020 Assumptions'!$B$20,0))</f>
        <v>0</v>
      </c>
      <c r="O115" s="73">
        <f ca="1">IF(O$5="Doyon Notional Allocation",0,IF($C115&lt;&gt;O$3,OFFSET('Allocation %'!$A$1,MATCH(O$4,'Allocation %'!$A:$A,0)-1,MATCH($D115,'Allocation %'!$5:$5,0)-1)*($F55-$G55)*'2020 Assumptions'!$B$20,0))</f>
        <v>0</v>
      </c>
      <c r="P115" s="73">
        <f ca="1">IF(P$5="Doyon Notional Allocation",0,IF($C115&lt;&gt;P$3,OFFSET('Allocation %'!$A$1,MATCH(P$4,'Allocation %'!$A:$A,0)-1,MATCH($D115,'Allocation %'!$5:$5,0)-1)*($F55-$G55)*'2020 Assumptions'!$B$20,0))</f>
        <v>0</v>
      </c>
      <c r="Q115" s="73">
        <f ca="1">IF(Q$5="Doyon Notional Allocation",0,IF($C115&lt;&gt;Q$3,OFFSET('Allocation %'!$A$1,MATCH(Q$4,'Allocation %'!$A:$A,0)-1,MATCH($D115,'Allocation %'!$5:$5,0)-1)*($F55-$G55)*'2020 Assumptions'!$B$20,0))</f>
        <v>0</v>
      </c>
      <c r="R115" s="73">
        <f ca="1">IF(R$5="Doyon Notional Allocation",0,IF($C115&lt;&gt;R$3,OFFSET('Allocation %'!$A$1,MATCH(R$4,'Allocation %'!$A:$A,0)-1,MATCH($D115,'Allocation %'!$5:$5,0)-1)*($F55-$G55)*'2020 Assumptions'!$B$20,0))</f>
        <v>0</v>
      </c>
      <c r="S115" s="73">
        <f ca="1">IF(S$5="Doyon Notional Allocation",0,IF($C115&lt;&gt;S$3,OFFSET('Allocation %'!$A$1,MATCH(S$4,'Allocation %'!$A:$A,0)-1,MATCH($D115,'Allocation %'!$5:$5,0)-1)*($F55-$G55)*'2020 Assumptions'!$B$20,0))</f>
        <v>0</v>
      </c>
      <c r="T115" s="73">
        <f ca="1">IF(T$5="Doyon Notional Allocation",0,IF($C115&lt;&gt;T$3,OFFSET('Allocation %'!$A$1,MATCH(T$4,'Allocation %'!$A:$A,0)-1,MATCH($D115,'Allocation %'!$5:$5,0)-1)*($F55-$G55)*'2020 Assumptions'!$B$20,0))</f>
        <v>0</v>
      </c>
      <c r="U115" s="73">
        <f ca="1">IF(U$5="Doyon Notional Allocation",0,IF($C115&lt;&gt;U$3,OFFSET('Allocation %'!$A$1,MATCH(U$4,'Allocation %'!$A:$A,0)-1,MATCH($D115,'Allocation %'!$5:$5,0)-1)*($F55-$G55)*'2020 Assumptions'!$B$20,0))</f>
        <v>0</v>
      </c>
      <c r="V115" s="73">
        <f ca="1">IF(V$5="Doyon Notional Allocation",0,IF($C115&lt;&gt;V$3,OFFSET('Allocation %'!$A$1,MATCH(V$4,'Allocation %'!$A:$A,0)-1,MATCH($D115,'Allocation %'!$5:$5,0)-1)*($F55-$G55)*'2020 Assumptions'!$B$20,0))</f>
        <v>0</v>
      </c>
      <c r="W115" s="73">
        <f ca="1">IF(W$5="Doyon Notional Allocation",0,IF($C115&lt;&gt;W$3,OFFSET('Allocation %'!$A$1,MATCH(W$4,'Allocation %'!$A:$A,0)-1,MATCH($D115,'Allocation %'!$5:$5,0)-1)*($F55-$G55)*'2020 Assumptions'!$B$20,0))</f>
        <v>0</v>
      </c>
      <c r="X115" s="73">
        <f ca="1">IF(X$5="Doyon Notional Allocation",0,IF($C115&lt;&gt;X$3,OFFSET('Allocation %'!$A$1,MATCH(X$4,'Allocation %'!$A:$A,0)-1,MATCH($D115,'Allocation %'!$5:$5,0)-1)*($F55-$G55)*'2020 Assumptions'!$B$20,0))</f>
        <v>0</v>
      </c>
      <c r="Y115" s="73">
        <f ca="1">IF(Y$5="Doyon Notional Allocation",0,IF($C115&lt;&gt;Y$3,OFFSET('Allocation %'!$A$1,MATCH(Y$4,'Allocation %'!$A:$A,0)-1,MATCH($D115,'Allocation %'!$5:$5,0)-1)*($F55-$G55)*'2020 Assumptions'!$B$20,0))</f>
        <v>0</v>
      </c>
      <c r="Z115" s="73">
        <f ca="1">IF(Z$5="Doyon Notional Allocation",0,IF($C115&lt;&gt;Z$3,OFFSET('Allocation %'!$A$1,MATCH(Z$4,'Allocation %'!$A:$A,0)-1,MATCH($D115,'Allocation %'!$5:$5,0)-1)*($F55-$G55)*'2020 Assumptions'!$B$20,0))</f>
        <v>0</v>
      </c>
      <c r="AA115" s="73">
        <f ca="1">IF(AA$5="Doyon Notional Allocation",0,IF($C115&lt;&gt;AA$3,OFFSET('Allocation %'!$A$1,MATCH(AA$4,'Allocation %'!$A:$A,0)-1,MATCH($D115,'Allocation %'!$5:$5,0)-1)*($F55-$G55)*'2020 Assumptions'!$B$20,0))</f>
        <v>0</v>
      </c>
      <c r="AB115" s="73">
        <f ca="1">IF(AB$5="Doyon Notional Allocation",0,IF($C115&lt;&gt;AB$3,OFFSET('Allocation %'!$A$1,MATCH(AB$4,'Allocation %'!$A:$A,0)-1,MATCH($D115,'Allocation %'!$5:$5,0)-1)*($F55-$G55)*'2020 Assumptions'!$B$20,0))</f>
        <v>0</v>
      </c>
      <c r="AC115" s="73">
        <f ca="1">IF(AC$5="Doyon Notional Allocation",0,IF($C115&lt;&gt;AC$3,OFFSET('Allocation %'!$A$1,MATCH(AC$4,'Allocation %'!$A:$A,0)-1,MATCH($D115,'Allocation %'!$5:$5,0)-1)*($F55-$G55)*'2020 Assumptions'!$B$20,0))</f>
        <v>0</v>
      </c>
      <c r="AD115" s="73">
        <f ca="1">IF(AD$5="Doyon Notional Allocation",0,IF($C115&lt;&gt;AD$3,OFFSET('Allocation %'!$A$1,MATCH(AD$4,'Allocation %'!$A:$A,0)-1,MATCH($D115,'Allocation %'!$5:$5,0)-1)*($F55-$G55)*'2020 Assumptions'!$B$20,0))</f>
        <v>0</v>
      </c>
      <c r="AE115" s="73">
        <f ca="1">IF(AE$5="Doyon Notional Allocation",0,IF($C115&lt;&gt;AE$3,OFFSET('Allocation %'!$A$1,MATCH(AE$4,'Allocation %'!$A:$A,0)-1,MATCH($D115,'Allocation %'!$5:$5,0)-1)*($F55-$G55)*'2020 Assumptions'!$B$20,0))</f>
        <v>0</v>
      </c>
      <c r="AF115" s="73">
        <f ca="1">IF(AF$5="Doyon Notional Allocation",0,IF($C115&lt;&gt;AF$3,OFFSET('Allocation %'!$A$1,MATCH(AF$4,'Allocation %'!$A:$A,0)-1,MATCH($D115,'Allocation %'!$5:$5,0)-1)*($F55-$G55)*'2020 Assumptions'!$B$20,0))</f>
        <v>0</v>
      </c>
      <c r="AG115" s="73">
        <f ca="1">IF(AG$5="Doyon Notional Allocation",0,IF($C115&lt;&gt;AG$3,OFFSET('Allocation %'!$A$1,MATCH(AG$4,'Allocation %'!$A:$A,0)-1,MATCH($D115,'Allocation %'!$5:$5,0)-1)*($F55-$G55)*'2020 Assumptions'!$B$20,0))</f>
        <v>0</v>
      </c>
      <c r="AH115" s="73">
        <f ca="1">IF(AH$5="Doyon Notional Allocation",0,IF($C115&lt;&gt;AH$3,OFFSET('Allocation %'!$A$1,MATCH(AH$4,'Allocation %'!$A:$A,0)-1,MATCH($D115,'Allocation %'!$5:$5,0)-1)*($F55-$G55)*'2020 Assumptions'!$B$20,0))</f>
        <v>0</v>
      </c>
      <c r="AI115" s="73">
        <f ca="1">IF(AI$5="Doyon Notional Allocation",0,IF($C115&lt;&gt;AI$3,OFFSET('Allocation %'!$A$1,MATCH(AI$4,'Allocation %'!$A:$A,0)-1,MATCH($D115,'Allocation %'!$5:$5,0)-1)*($F55-$G55)*'2020 Assumptions'!$B$20,0))</f>
        <v>0</v>
      </c>
      <c r="AJ115" s="73">
        <f ca="1">IF(AJ$5="Doyon Notional Allocation",0,IF($C115&lt;&gt;AJ$3,OFFSET('Allocation %'!$A$1,MATCH(AJ$4,'Allocation %'!$A:$A,0)-1,MATCH($D115,'Allocation %'!$5:$5,0)-1)*($F55-$G55)*'2020 Assumptions'!$B$20,0))</f>
        <v>0</v>
      </c>
      <c r="AK115" s="73">
        <f ca="1">IF(AK$5="Doyon Notional Allocation",0,IF($C115&lt;&gt;AK$3,OFFSET('Allocation %'!$A$1,MATCH(AK$4,'Allocation %'!$A:$A,0)-1,MATCH($D115,'Allocation %'!$5:$5,0)-1)*($F55-$G55)*'2020 Assumptions'!$B$20,0))</f>
        <v>0</v>
      </c>
      <c r="AL115" s="73">
        <f ca="1">IF(AL$5="Doyon Notional Allocation",0,IF($C115&lt;&gt;AL$3,OFFSET('Allocation %'!$A$1,MATCH(AL$4,'Allocation %'!$A:$A,0)-1,MATCH($D115,'Allocation %'!$5:$5,0)-1)*($F55-$G55)*'2020 Assumptions'!$B$20,0))</f>
        <v>0</v>
      </c>
      <c r="AM115" s="73">
        <f ca="1">IF(AM$5="Doyon Notional Allocation",0,IF($C115&lt;&gt;AM$3,OFFSET('Allocation %'!$A$1,MATCH(AM$4,'Allocation %'!$A:$A,0)-1,MATCH($D115,'Allocation %'!$5:$5,0)-1)*($F55-$G55)*'2020 Assumptions'!$B$20,0))</f>
        <v>0</v>
      </c>
      <c r="AN115" s="73">
        <f ca="1">IF(AN$5="Doyon Notional Allocation",0,IF($C115&lt;&gt;AN$3,OFFSET('Allocation %'!$A$1,MATCH(AN$4,'Allocation %'!$A:$A,0)-1,MATCH($D115,'Allocation %'!$5:$5,0)-1)*($F55-$G55)*'2020 Assumptions'!$B$20,0))</f>
        <v>0</v>
      </c>
      <c r="AO115" s="73">
        <f ca="1">IF(AO$5="Doyon Notional Allocation",0,IF($C115&lt;&gt;AO$3,OFFSET('Allocation %'!$A$1,MATCH(AO$4,'Allocation %'!$A:$A,0)-1,MATCH($D115,'Allocation %'!$5:$5,0)-1)*($F55-$G55)*'2020 Assumptions'!$B$20,0))</f>
        <v>0</v>
      </c>
      <c r="AP115" s="73">
        <f ca="1">IF(AP$5="Doyon Notional Allocation",0,IF($C115&lt;&gt;AP$3,OFFSET('Allocation %'!$A$1,MATCH(AP$4,'Allocation %'!$A:$A,0)-1,MATCH($D115,'Allocation %'!$5:$5,0)-1)*($F55-$G55)*'2020 Assumptions'!$B$20,0))</f>
        <v>0</v>
      </c>
      <c r="AQ115" s="73">
        <f ca="1">IF(AQ$5="Doyon Notional Allocation",0,IF($C115&lt;&gt;AQ$3,OFFSET('Allocation %'!$A$1,MATCH(AQ$4,'Allocation %'!$A:$A,0)-1,MATCH($D115,'Allocation %'!$5:$5,0)-1)*($F55-$G55)*'2020 Assumptions'!$B$20,0))</f>
        <v>0</v>
      </c>
      <c r="AR115" s="73">
        <f ca="1">IF(AR$5="Doyon Notional Allocation",0,IF($C115&lt;&gt;AR$3,OFFSET('Allocation %'!$A$1,MATCH(AR$4,'Allocation %'!$A:$A,0)-1,MATCH($D115,'Allocation %'!$5:$5,0)-1)*($F55-$G55)*'2020 Assumptions'!$B$20,0))</f>
        <v>0</v>
      </c>
      <c r="AS115" s="73">
        <f ca="1">IF(AS$5="Doyon Notional Allocation",0,IF($C115&lt;&gt;AS$3,OFFSET('Allocation %'!$A$1,MATCH(AS$4,'Allocation %'!$A:$A,0)-1,MATCH($D115,'Allocation %'!$5:$5,0)-1)*($F55-$G55)*'2020 Assumptions'!$B$20,0))</f>
        <v>0</v>
      </c>
      <c r="AT115" s="73">
        <f ca="1">IF(AT$5="Doyon Notional Allocation",0,IF($C115&lt;&gt;AT$3,OFFSET('Allocation %'!$A$1,MATCH(AT$4,'Allocation %'!$A:$A,0)-1,MATCH($D115,'Allocation %'!$5:$5,0)-1)*($F55-$G55)*'2020 Assumptions'!$B$20,0))</f>
        <v>0</v>
      </c>
      <c r="AU115" s="73">
        <f ca="1">IF(AU$5="Doyon Notional Allocation",0,IF($C115&lt;&gt;AU$3,OFFSET('Allocation %'!$A$1,MATCH(AU$4,'Allocation %'!$A:$A,0)-1,MATCH($D115,'Allocation %'!$5:$5,0)-1)*($F55-$G55)*'2020 Assumptions'!$B$20,0))</f>
        <v>0</v>
      </c>
      <c r="AV115" s="73">
        <f ca="1">IF(AV$5="Doyon Notional Allocation",0,IF($C115&lt;&gt;AV$3,OFFSET('Allocation %'!$A$1,MATCH(AV$4,'Allocation %'!$A:$A,0)-1,MATCH($D115,'Allocation %'!$5:$5,0)-1)*($F55-$G55)*'2020 Assumptions'!$B$20,0))</f>
        <v>0</v>
      </c>
      <c r="AW115" s="73">
        <f ca="1">IF(AW$5="Doyon Notional Allocation",0,IF($C115&lt;&gt;AW$3,OFFSET('Allocation %'!$A$1,MATCH(AW$4,'Allocation %'!$A:$A,0)-1,MATCH($D115,'Allocation %'!$5:$5,0)-1)*($F55-$G55)*'2020 Assumptions'!$B$20,0))</f>
        <v>0</v>
      </c>
      <c r="AX115" s="73">
        <f ca="1">IF(AX$5="Doyon Notional Allocation",0,IF($C115&lt;&gt;AX$3,OFFSET('Allocation %'!$A$1,MATCH(AX$4,'Allocation %'!$A:$A,0)-1,MATCH($D115,'Allocation %'!$5:$5,0)-1)*($F55-$G55)*'2020 Assumptions'!$B$20,0))</f>
        <v>0</v>
      </c>
      <c r="AY115" s="73">
        <f ca="1">IF(AY$5="Doyon Notional Allocation",0,IF($C115&lt;&gt;AY$3,OFFSET('Allocation %'!$A$1,MATCH(AY$4,'Allocation %'!$A:$A,0)-1,MATCH($D115,'Allocation %'!$5:$5,0)-1)*($F55-$G55)*'2020 Assumptions'!$B$20,0))</f>
        <v>0</v>
      </c>
      <c r="AZ115" s="73">
        <f ca="1">IF(AZ$5="Doyon Notional Allocation",0,IF($C115&lt;&gt;AZ$3,OFFSET('Allocation %'!$A$1,MATCH(AZ$4,'Allocation %'!$A:$A,0)-1,MATCH($D115,'Allocation %'!$5:$5,0)-1)*($F55-$G55)*'2020 Assumptions'!$B$20,0))</f>
        <v>0</v>
      </c>
      <c r="BA115" s="73">
        <f ca="1">IF(BA$5="Doyon Notional Allocation",0,IF($C115&lt;&gt;BA$3,OFFSET('Allocation %'!$A$1,MATCH(BA$4,'Allocation %'!$A:$A,0)-1,MATCH($D115,'Allocation %'!$5:$5,0)-1)*($F55-$G55)*'2020 Assumptions'!$B$20,0))</f>
        <v>0</v>
      </c>
      <c r="BB115" s="73">
        <f ca="1">IF(BB$5="Doyon Notional Allocation",0,IF($C115&lt;&gt;BB$3,OFFSET('Allocation %'!$A$1,MATCH(BB$4,'Allocation %'!$A:$A,0)-1,MATCH($D115,'Allocation %'!$5:$5,0)-1)*($F55-$G55)*'2020 Assumptions'!$B$20,0))</f>
        <v>0</v>
      </c>
      <c r="BC115" s="73">
        <f ca="1">IF(BC$5="Doyon Notional Allocation",0,IF($C115&lt;&gt;BC$3,OFFSET('Allocation %'!$A$1,MATCH(BC$4,'Allocation %'!$A:$A,0)-1,MATCH($D115,'Allocation %'!$5:$5,0)-1)*($F55-$G55)*'2020 Assumptions'!$B$20,0))</f>
        <v>0</v>
      </c>
      <c r="BD115" s="73">
        <f ca="1">IF(BD$5="Doyon Notional Allocation",0,IF($C115&lt;&gt;BD$3,OFFSET('Allocation %'!$A$1,MATCH(BD$4,'Allocation %'!$A:$A,0)-1,MATCH($D115,'Allocation %'!$5:$5,0)-1)*($F55-$G55)*'2020 Assumptions'!$B$20,0))</f>
        <v>0</v>
      </c>
      <c r="BE115" s="73">
        <f ca="1">IF(BE$5="Doyon Notional Allocation",0,IF($C115&lt;&gt;BE$3,OFFSET('Allocation %'!$A$1,MATCH(BE$4,'Allocation %'!$A:$A,0)-1,MATCH($D115,'Allocation %'!$5:$5,0)-1)*($F55-$G55)*'2020 Assumptions'!$B$20,0))</f>
        <v>0</v>
      </c>
      <c r="BG115" s="76">
        <f t="shared" ca="1" si="9"/>
        <v>0</v>
      </c>
      <c r="BH115" s="349">
        <f t="shared" ca="1" si="10"/>
        <v>0</v>
      </c>
    </row>
    <row r="116" spans="1:62" s="177" customFormat="1" x14ac:dyDescent="0.25">
      <c r="A116" s="139" t="s">
        <v>419</v>
      </c>
      <c r="B116" s="259" t="str">
        <f t="shared" si="19"/>
        <v>009090 - Chicago Admin Cost Ctr Mark up</v>
      </c>
      <c r="C116" s="69" t="str">
        <f t="shared" si="20"/>
        <v>USD</v>
      </c>
      <c r="D116" s="352" t="str">
        <f t="shared" ca="1" si="20"/>
        <v>RU - L48</v>
      </c>
      <c r="E116" s="73">
        <f ca="1">F116*'2020 Assumptions'!$B$4</f>
        <v>0</v>
      </c>
      <c r="F116" s="317">
        <f t="shared" ca="1" si="11"/>
        <v>0</v>
      </c>
      <c r="G116" s="73"/>
      <c r="I116" s="73">
        <f ca="1">IF(I$5="Doyon Notional Allocation",0,IF($C116&lt;&gt;I$3,OFFSET('Allocation %'!$A$1,MATCH(I$4,'Allocation %'!$A:$A,0)-1,MATCH($D116,'Allocation %'!$5:$5,0)-1)*($F56-$G56)*'2020 Assumptions'!$B$20,0))</f>
        <v>0</v>
      </c>
      <c r="J116" s="73">
        <f ca="1">IF(J$5="Doyon Notional Allocation",0,IF($C116&lt;&gt;J$3,OFFSET('Allocation %'!$A$1,MATCH(J$4,'Allocation %'!$A:$A,0)-1,MATCH($D116,'Allocation %'!$5:$5,0)-1)*($F56-$G56)*'2020 Assumptions'!$B$20,0))</f>
        <v>0</v>
      </c>
      <c r="K116" s="73">
        <f ca="1">IF(K$5="Doyon Notional Allocation",0,IF($C116&lt;&gt;K$3,OFFSET('Allocation %'!$A$1,MATCH(K$4,'Allocation %'!$A:$A,0)-1,MATCH($D116,'Allocation %'!$5:$5,0)-1)*($F56-$G56)*'2020 Assumptions'!$B$20,0))</f>
        <v>0</v>
      </c>
      <c r="L116" s="73">
        <f ca="1">IF(L$5="Doyon Notional Allocation",0,IF($C116&lt;&gt;L$3,OFFSET('Allocation %'!$A$1,MATCH(L$4,'Allocation %'!$A:$A,0)-1,MATCH($D116,'Allocation %'!$5:$5,0)-1)*($F56-$G56)*'2020 Assumptions'!$B$20,0))</f>
        <v>0</v>
      </c>
      <c r="M116" s="73">
        <f ca="1">IF(M$5="Doyon Notional Allocation",0,IF($C116&lt;&gt;M$3,OFFSET('Allocation %'!$A$1,MATCH(M$4,'Allocation %'!$A:$A,0)-1,MATCH($D116,'Allocation %'!$5:$5,0)-1)*($F56-$G56)*'2020 Assumptions'!$B$20,0))</f>
        <v>0</v>
      </c>
      <c r="N116" s="73">
        <f ca="1">IF(N$5="Doyon Notional Allocation",0,IF($C116&lt;&gt;N$3,OFFSET('Allocation %'!$A$1,MATCH(N$4,'Allocation %'!$A:$A,0)-1,MATCH($D116,'Allocation %'!$5:$5,0)-1)*($F56-$G56)*'2020 Assumptions'!$B$20,0))</f>
        <v>0</v>
      </c>
      <c r="O116" s="73">
        <f ca="1">IF(O$5="Doyon Notional Allocation",0,IF($C116&lt;&gt;O$3,OFFSET('Allocation %'!$A$1,MATCH(O$4,'Allocation %'!$A:$A,0)-1,MATCH($D116,'Allocation %'!$5:$5,0)-1)*($F56-$G56)*'2020 Assumptions'!$B$20,0))</f>
        <v>0</v>
      </c>
      <c r="P116" s="73">
        <f ca="1">IF(P$5="Doyon Notional Allocation",0,IF($C116&lt;&gt;P$3,OFFSET('Allocation %'!$A$1,MATCH(P$4,'Allocation %'!$A:$A,0)-1,MATCH($D116,'Allocation %'!$5:$5,0)-1)*($F56-$G56)*'2020 Assumptions'!$B$20,0))</f>
        <v>0</v>
      </c>
      <c r="Q116" s="73">
        <f ca="1">IF(Q$5="Doyon Notional Allocation",0,IF($C116&lt;&gt;Q$3,OFFSET('Allocation %'!$A$1,MATCH(Q$4,'Allocation %'!$A:$A,0)-1,MATCH($D116,'Allocation %'!$5:$5,0)-1)*($F56-$G56)*'2020 Assumptions'!$B$20,0))</f>
        <v>0</v>
      </c>
      <c r="R116" s="73">
        <f ca="1">IF(R$5="Doyon Notional Allocation",0,IF($C116&lt;&gt;R$3,OFFSET('Allocation %'!$A$1,MATCH(R$4,'Allocation %'!$A:$A,0)-1,MATCH($D116,'Allocation %'!$5:$5,0)-1)*($F56-$G56)*'2020 Assumptions'!$B$20,0))</f>
        <v>0</v>
      </c>
      <c r="S116" s="73">
        <f ca="1">IF(S$5="Doyon Notional Allocation",0,IF($C116&lt;&gt;S$3,OFFSET('Allocation %'!$A$1,MATCH(S$4,'Allocation %'!$A:$A,0)-1,MATCH($D116,'Allocation %'!$5:$5,0)-1)*($F56-$G56)*'2020 Assumptions'!$B$20,0))</f>
        <v>0</v>
      </c>
      <c r="T116" s="73">
        <f ca="1">IF(T$5="Doyon Notional Allocation",0,IF($C116&lt;&gt;T$3,OFFSET('Allocation %'!$A$1,MATCH(T$4,'Allocation %'!$A:$A,0)-1,MATCH($D116,'Allocation %'!$5:$5,0)-1)*($F56-$G56)*'2020 Assumptions'!$B$20,0))</f>
        <v>0</v>
      </c>
      <c r="U116" s="73">
        <f ca="1">IF(U$5="Doyon Notional Allocation",0,IF($C116&lt;&gt;U$3,OFFSET('Allocation %'!$A$1,MATCH(U$4,'Allocation %'!$A:$A,0)-1,MATCH($D116,'Allocation %'!$5:$5,0)-1)*($F56-$G56)*'2020 Assumptions'!$B$20,0))</f>
        <v>0</v>
      </c>
      <c r="V116" s="73">
        <f ca="1">IF(V$5="Doyon Notional Allocation",0,IF($C116&lt;&gt;V$3,OFFSET('Allocation %'!$A$1,MATCH(V$4,'Allocation %'!$A:$A,0)-1,MATCH($D116,'Allocation %'!$5:$5,0)-1)*($F56-$G56)*'2020 Assumptions'!$B$20,0))</f>
        <v>0</v>
      </c>
      <c r="W116" s="73">
        <f ca="1">IF(W$5="Doyon Notional Allocation",0,IF($C116&lt;&gt;W$3,OFFSET('Allocation %'!$A$1,MATCH(W$4,'Allocation %'!$A:$A,0)-1,MATCH($D116,'Allocation %'!$5:$5,0)-1)*($F56-$G56)*'2020 Assumptions'!$B$20,0))</f>
        <v>0</v>
      </c>
      <c r="X116" s="73">
        <f ca="1">IF(X$5="Doyon Notional Allocation",0,IF($C116&lt;&gt;X$3,OFFSET('Allocation %'!$A$1,MATCH(X$4,'Allocation %'!$A:$A,0)-1,MATCH($D116,'Allocation %'!$5:$5,0)-1)*($F56-$G56)*'2020 Assumptions'!$B$20,0))</f>
        <v>0</v>
      </c>
      <c r="Y116" s="73">
        <f ca="1">IF(Y$5="Doyon Notional Allocation",0,IF($C116&lt;&gt;Y$3,OFFSET('Allocation %'!$A$1,MATCH(Y$4,'Allocation %'!$A:$A,0)-1,MATCH($D116,'Allocation %'!$5:$5,0)-1)*($F56-$G56)*'2020 Assumptions'!$B$20,0))</f>
        <v>0</v>
      </c>
      <c r="Z116" s="73">
        <f ca="1">IF(Z$5="Doyon Notional Allocation",0,IF($C116&lt;&gt;Z$3,OFFSET('Allocation %'!$A$1,MATCH(Z$4,'Allocation %'!$A:$A,0)-1,MATCH($D116,'Allocation %'!$5:$5,0)-1)*($F56-$G56)*'2020 Assumptions'!$B$20,0))</f>
        <v>0</v>
      </c>
      <c r="AA116" s="73">
        <f ca="1">IF(AA$5="Doyon Notional Allocation",0,IF($C116&lt;&gt;AA$3,OFFSET('Allocation %'!$A$1,MATCH(AA$4,'Allocation %'!$A:$A,0)-1,MATCH($D116,'Allocation %'!$5:$5,0)-1)*($F56-$G56)*'2020 Assumptions'!$B$20,0))</f>
        <v>0</v>
      </c>
      <c r="AB116" s="73">
        <f ca="1">IF(AB$5="Doyon Notional Allocation",0,IF($C116&lt;&gt;AB$3,OFFSET('Allocation %'!$A$1,MATCH(AB$4,'Allocation %'!$A:$A,0)-1,MATCH($D116,'Allocation %'!$5:$5,0)-1)*($F56-$G56)*'2020 Assumptions'!$B$20,0))</f>
        <v>0</v>
      </c>
      <c r="AC116" s="73">
        <f ca="1">IF(AC$5="Doyon Notional Allocation",0,IF($C116&lt;&gt;AC$3,OFFSET('Allocation %'!$A$1,MATCH(AC$4,'Allocation %'!$A:$A,0)-1,MATCH($D116,'Allocation %'!$5:$5,0)-1)*($F56-$G56)*'2020 Assumptions'!$B$20,0))</f>
        <v>0</v>
      </c>
      <c r="AD116" s="73">
        <f ca="1">IF(AD$5="Doyon Notional Allocation",0,IF($C116&lt;&gt;AD$3,OFFSET('Allocation %'!$A$1,MATCH(AD$4,'Allocation %'!$A:$A,0)-1,MATCH($D116,'Allocation %'!$5:$5,0)-1)*($F56-$G56)*'2020 Assumptions'!$B$20,0))</f>
        <v>0</v>
      </c>
      <c r="AE116" s="73">
        <f ca="1">IF(AE$5="Doyon Notional Allocation",0,IF($C116&lt;&gt;AE$3,OFFSET('Allocation %'!$A$1,MATCH(AE$4,'Allocation %'!$A:$A,0)-1,MATCH($D116,'Allocation %'!$5:$5,0)-1)*($F56-$G56)*'2020 Assumptions'!$B$20,0))</f>
        <v>0</v>
      </c>
      <c r="AF116" s="73">
        <f ca="1">IF(AF$5="Doyon Notional Allocation",0,IF($C116&lt;&gt;AF$3,OFFSET('Allocation %'!$A$1,MATCH(AF$4,'Allocation %'!$A:$A,0)-1,MATCH($D116,'Allocation %'!$5:$5,0)-1)*($F56-$G56)*'2020 Assumptions'!$B$20,0))</f>
        <v>0</v>
      </c>
      <c r="AG116" s="73">
        <f ca="1">IF(AG$5="Doyon Notional Allocation",0,IF($C116&lt;&gt;AG$3,OFFSET('Allocation %'!$A$1,MATCH(AG$4,'Allocation %'!$A:$A,0)-1,MATCH($D116,'Allocation %'!$5:$5,0)-1)*($F56-$G56)*'2020 Assumptions'!$B$20,0))</f>
        <v>0</v>
      </c>
      <c r="AH116" s="73">
        <f ca="1">IF(AH$5="Doyon Notional Allocation",0,IF($C116&lt;&gt;AH$3,OFFSET('Allocation %'!$A$1,MATCH(AH$4,'Allocation %'!$A:$A,0)-1,MATCH($D116,'Allocation %'!$5:$5,0)-1)*($F56-$G56)*'2020 Assumptions'!$B$20,0))</f>
        <v>0</v>
      </c>
      <c r="AI116" s="73">
        <f ca="1">IF(AI$5="Doyon Notional Allocation",0,IF($C116&lt;&gt;AI$3,OFFSET('Allocation %'!$A$1,MATCH(AI$4,'Allocation %'!$A:$A,0)-1,MATCH($D116,'Allocation %'!$5:$5,0)-1)*($F56-$G56)*'2020 Assumptions'!$B$20,0))</f>
        <v>0</v>
      </c>
      <c r="AJ116" s="73">
        <f ca="1">IF(AJ$5="Doyon Notional Allocation",0,IF($C116&lt;&gt;AJ$3,OFFSET('Allocation %'!$A$1,MATCH(AJ$4,'Allocation %'!$A:$A,0)-1,MATCH($D116,'Allocation %'!$5:$5,0)-1)*($F56-$G56)*'2020 Assumptions'!$B$20,0))</f>
        <v>0</v>
      </c>
      <c r="AK116" s="73">
        <f ca="1">IF(AK$5="Doyon Notional Allocation",0,IF($C116&lt;&gt;AK$3,OFFSET('Allocation %'!$A$1,MATCH(AK$4,'Allocation %'!$A:$A,0)-1,MATCH($D116,'Allocation %'!$5:$5,0)-1)*($F56-$G56)*'2020 Assumptions'!$B$20,0))</f>
        <v>0</v>
      </c>
      <c r="AL116" s="73">
        <f ca="1">IF(AL$5="Doyon Notional Allocation",0,IF($C116&lt;&gt;AL$3,OFFSET('Allocation %'!$A$1,MATCH(AL$4,'Allocation %'!$A:$A,0)-1,MATCH($D116,'Allocation %'!$5:$5,0)-1)*($F56-$G56)*'2020 Assumptions'!$B$20,0))</f>
        <v>0</v>
      </c>
      <c r="AM116" s="73">
        <f ca="1">IF(AM$5="Doyon Notional Allocation",0,IF($C116&lt;&gt;AM$3,OFFSET('Allocation %'!$A$1,MATCH(AM$4,'Allocation %'!$A:$A,0)-1,MATCH($D116,'Allocation %'!$5:$5,0)-1)*($F56-$G56)*'2020 Assumptions'!$B$20,0))</f>
        <v>0</v>
      </c>
      <c r="AN116" s="73">
        <f ca="1">IF(AN$5="Doyon Notional Allocation",0,IF($C116&lt;&gt;AN$3,OFFSET('Allocation %'!$A$1,MATCH(AN$4,'Allocation %'!$A:$A,0)-1,MATCH($D116,'Allocation %'!$5:$5,0)-1)*($F56-$G56)*'2020 Assumptions'!$B$20,0))</f>
        <v>0</v>
      </c>
      <c r="AO116" s="73">
        <f ca="1">IF(AO$5="Doyon Notional Allocation",0,IF($C116&lt;&gt;AO$3,OFFSET('Allocation %'!$A$1,MATCH(AO$4,'Allocation %'!$A:$A,0)-1,MATCH($D116,'Allocation %'!$5:$5,0)-1)*($F56-$G56)*'2020 Assumptions'!$B$20,0))</f>
        <v>0</v>
      </c>
      <c r="AP116" s="73">
        <f ca="1">IF(AP$5="Doyon Notional Allocation",0,IF($C116&lt;&gt;AP$3,OFFSET('Allocation %'!$A$1,MATCH(AP$4,'Allocation %'!$A:$A,0)-1,MATCH($D116,'Allocation %'!$5:$5,0)-1)*($F56-$G56)*'2020 Assumptions'!$B$20,0))</f>
        <v>0</v>
      </c>
      <c r="AQ116" s="73">
        <f ca="1">IF(AQ$5="Doyon Notional Allocation",0,IF($C116&lt;&gt;AQ$3,OFFSET('Allocation %'!$A$1,MATCH(AQ$4,'Allocation %'!$A:$A,0)-1,MATCH($D116,'Allocation %'!$5:$5,0)-1)*($F56-$G56)*'2020 Assumptions'!$B$20,0))</f>
        <v>0</v>
      </c>
      <c r="AR116" s="73">
        <f ca="1">IF(AR$5="Doyon Notional Allocation",0,IF($C116&lt;&gt;AR$3,OFFSET('Allocation %'!$A$1,MATCH(AR$4,'Allocation %'!$A:$A,0)-1,MATCH($D116,'Allocation %'!$5:$5,0)-1)*($F56-$G56)*'2020 Assumptions'!$B$20,0))</f>
        <v>0</v>
      </c>
      <c r="AS116" s="73">
        <f ca="1">IF(AS$5="Doyon Notional Allocation",0,IF($C116&lt;&gt;AS$3,OFFSET('Allocation %'!$A$1,MATCH(AS$4,'Allocation %'!$A:$A,0)-1,MATCH($D116,'Allocation %'!$5:$5,0)-1)*($F56-$G56)*'2020 Assumptions'!$B$20,0))</f>
        <v>0</v>
      </c>
      <c r="AT116" s="73">
        <f ca="1">IF(AT$5="Doyon Notional Allocation",0,IF($C116&lt;&gt;AT$3,OFFSET('Allocation %'!$A$1,MATCH(AT$4,'Allocation %'!$A:$A,0)-1,MATCH($D116,'Allocation %'!$5:$5,0)-1)*($F56-$G56)*'2020 Assumptions'!$B$20,0))</f>
        <v>0</v>
      </c>
      <c r="AU116" s="73">
        <f ca="1">IF(AU$5="Doyon Notional Allocation",0,IF($C116&lt;&gt;AU$3,OFFSET('Allocation %'!$A$1,MATCH(AU$4,'Allocation %'!$A:$A,0)-1,MATCH($D116,'Allocation %'!$5:$5,0)-1)*($F56-$G56)*'2020 Assumptions'!$B$20,0))</f>
        <v>0</v>
      </c>
      <c r="AV116" s="73">
        <f ca="1">IF(AV$5="Doyon Notional Allocation",0,IF($C116&lt;&gt;AV$3,OFFSET('Allocation %'!$A$1,MATCH(AV$4,'Allocation %'!$A:$A,0)-1,MATCH($D116,'Allocation %'!$5:$5,0)-1)*($F56-$G56)*'2020 Assumptions'!$B$20,0))</f>
        <v>0</v>
      </c>
      <c r="AW116" s="73">
        <f ca="1">IF(AW$5="Doyon Notional Allocation",0,IF($C116&lt;&gt;AW$3,OFFSET('Allocation %'!$A$1,MATCH(AW$4,'Allocation %'!$A:$A,0)-1,MATCH($D116,'Allocation %'!$5:$5,0)-1)*($F56-$G56)*'2020 Assumptions'!$B$20,0))</f>
        <v>0</v>
      </c>
      <c r="AX116" s="73">
        <f ca="1">IF(AX$5="Doyon Notional Allocation",0,IF($C116&lt;&gt;AX$3,OFFSET('Allocation %'!$A$1,MATCH(AX$4,'Allocation %'!$A:$A,0)-1,MATCH($D116,'Allocation %'!$5:$5,0)-1)*($F56-$G56)*'2020 Assumptions'!$B$20,0))</f>
        <v>0</v>
      </c>
      <c r="AY116" s="73">
        <f ca="1">IF(AY$5="Doyon Notional Allocation",0,IF($C116&lt;&gt;AY$3,OFFSET('Allocation %'!$A$1,MATCH(AY$4,'Allocation %'!$A:$A,0)-1,MATCH($D116,'Allocation %'!$5:$5,0)-1)*($F56-$G56)*'2020 Assumptions'!$B$20,0))</f>
        <v>0</v>
      </c>
      <c r="AZ116" s="73">
        <f ca="1">IF(AZ$5="Doyon Notional Allocation",0,IF($C116&lt;&gt;AZ$3,OFFSET('Allocation %'!$A$1,MATCH(AZ$4,'Allocation %'!$A:$A,0)-1,MATCH($D116,'Allocation %'!$5:$5,0)-1)*($F56-$G56)*'2020 Assumptions'!$B$20,0))</f>
        <v>0</v>
      </c>
      <c r="BA116" s="73">
        <f ca="1">IF(BA$5="Doyon Notional Allocation",0,IF($C116&lt;&gt;BA$3,OFFSET('Allocation %'!$A$1,MATCH(BA$4,'Allocation %'!$A:$A,0)-1,MATCH($D116,'Allocation %'!$5:$5,0)-1)*($F56-$G56)*'2020 Assumptions'!$B$20,0))</f>
        <v>0</v>
      </c>
      <c r="BB116" s="73">
        <f ca="1">IF(BB$5="Doyon Notional Allocation",0,IF($C116&lt;&gt;BB$3,OFFSET('Allocation %'!$A$1,MATCH(BB$4,'Allocation %'!$A:$A,0)-1,MATCH($D116,'Allocation %'!$5:$5,0)-1)*($F56-$G56)*'2020 Assumptions'!$B$20,0))</f>
        <v>0</v>
      </c>
      <c r="BC116" s="73">
        <f ca="1">IF(BC$5="Doyon Notional Allocation",0,IF($C116&lt;&gt;BC$3,OFFSET('Allocation %'!$A$1,MATCH(BC$4,'Allocation %'!$A:$A,0)-1,MATCH($D116,'Allocation %'!$5:$5,0)-1)*($F56-$G56)*'2020 Assumptions'!$B$20,0))</f>
        <v>0</v>
      </c>
      <c r="BD116" s="73">
        <f ca="1">IF(BD$5="Doyon Notional Allocation",0,IF($C116&lt;&gt;BD$3,OFFSET('Allocation %'!$A$1,MATCH(BD$4,'Allocation %'!$A:$A,0)-1,MATCH($D116,'Allocation %'!$5:$5,0)-1)*($F56-$G56)*'2020 Assumptions'!$B$20,0))</f>
        <v>0</v>
      </c>
      <c r="BE116" s="73">
        <f ca="1">IF(BE$5="Doyon Notional Allocation",0,IF($C116&lt;&gt;BE$3,OFFSET('Allocation %'!$A$1,MATCH(BE$4,'Allocation %'!$A:$A,0)-1,MATCH($D116,'Allocation %'!$5:$5,0)-1)*($F56-$G56)*'2020 Assumptions'!$B$20,0))</f>
        <v>0</v>
      </c>
      <c r="BG116" s="76">
        <f t="shared" ca="1" si="9"/>
        <v>0</v>
      </c>
      <c r="BH116" s="349">
        <f t="shared" ca="1" si="10"/>
        <v>0</v>
      </c>
    </row>
    <row r="117" spans="1:62" s="177" customFormat="1" x14ac:dyDescent="0.25">
      <c r="A117" s="139" t="s">
        <v>419</v>
      </c>
      <c r="B117" s="259" t="str">
        <f t="shared" si="19"/>
        <v>009100 - HSE Support Mark up</v>
      </c>
      <c r="C117" s="69" t="str">
        <f t="shared" si="20"/>
        <v>USD</v>
      </c>
      <c r="D117" s="352" t="str">
        <f t="shared" ca="1" si="20"/>
        <v>RU - L48</v>
      </c>
      <c r="E117" s="73">
        <f ca="1">F117*'2020 Assumptions'!$B$4</f>
        <v>0</v>
      </c>
      <c r="F117" s="317">
        <f t="shared" ca="1" si="11"/>
        <v>0</v>
      </c>
      <c r="G117" s="73"/>
      <c r="I117" s="73">
        <f ca="1">IF(I$5="Doyon Notional Allocation",0,IF($C117&lt;&gt;I$3,OFFSET('Allocation %'!$A$1,MATCH(I$4,'Allocation %'!$A:$A,0)-1,MATCH($D117,'Allocation %'!$5:$5,0)-1)*($F57-$G57)*'2020 Assumptions'!$B$20,0))</f>
        <v>0</v>
      </c>
      <c r="J117" s="73">
        <f ca="1">IF(J$5="Doyon Notional Allocation",0,IF($C117&lt;&gt;J$3,OFFSET('Allocation %'!$A$1,MATCH(J$4,'Allocation %'!$A:$A,0)-1,MATCH($D117,'Allocation %'!$5:$5,0)-1)*($F57-$G57)*'2020 Assumptions'!$B$20,0))</f>
        <v>0</v>
      </c>
      <c r="K117" s="73">
        <f ca="1">IF(K$5="Doyon Notional Allocation",0,IF($C117&lt;&gt;K$3,OFFSET('Allocation %'!$A$1,MATCH(K$4,'Allocation %'!$A:$A,0)-1,MATCH($D117,'Allocation %'!$5:$5,0)-1)*($F57-$G57)*'2020 Assumptions'!$B$20,0))</f>
        <v>0</v>
      </c>
      <c r="L117" s="73">
        <f ca="1">IF(L$5="Doyon Notional Allocation",0,IF($C117&lt;&gt;L$3,OFFSET('Allocation %'!$A$1,MATCH(L$4,'Allocation %'!$A:$A,0)-1,MATCH($D117,'Allocation %'!$5:$5,0)-1)*($F57-$G57)*'2020 Assumptions'!$B$20,0))</f>
        <v>0</v>
      </c>
      <c r="M117" s="73">
        <f ca="1">IF(M$5="Doyon Notional Allocation",0,IF($C117&lt;&gt;M$3,OFFSET('Allocation %'!$A$1,MATCH(M$4,'Allocation %'!$A:$A,0)-1,MATCH($D117,'Allocation %'!$5:$5,0)-1)*($F57-$G57)*'2020 Assumptions'!$B$20,0))</f>
        <v>0</v>
      </c>
      <c r="N117" s="73">
        <f ca="1">IF(N$5="Doyon Notional Allocation",0,IF($C117&lt;&gt;N$3,OFFSET('Allocation %'!$A$1,MATCH(N$4,'Allocation %'!$A:$A,0)-1,MATCH($D117,'Allocation %'!$5:$5,0)-1)*($F57-$G57)*'2020 Assumptions'!$B$20,0))</f>
        <v>0</v>
      </c>
      <c r="O117" s="73">
        <f ca="1">IF(O$5="Doyon Notional Allocation",0,IF($C117&lt;&gt;O$3,OFFSET('Allocation %'!$A$1,MATCH(O$4,'Allocation %'!$A:$A,0)-1,MATCH($D117,'Allocation %'!$5:$5,0)-1)*($F57-$G57)*'2020 Assumptions'!$B$20,0))</f>
        <v>0</v>
      </c>
      <c r="P117" s="73">
        <f ca="1">IF(P$5="Doyon Notional Allocation",0,IF($C117&lt;&gt;P$3,OFFSET('Allocation %'!$A$1,MATCH(P$4,'Allocation %'!$A:$A,0)-1,MATCH($D117,'Allocation %'!$5:$5,0)-1)*($F57-$G57)*'2020 Assumptions'!$B$20,0))</f>
        <v>0</v>
      </c>
      <c r="Q117" s="73">
        <f ca="1">IF(Q$5="Doyon Notional Allocation",0,IF($C117&lt;&gt;Q$3,OFFSET('Allocation %'!$A$1,MATCH(Q$4,'Allocation %'!$A:$A,0)-1,MATCH($D117,'Allocation %'!$5:$5,0)-1)*($F57-$G57)*'2020 Assumptions'!$B$20,0))</f>
        <v>0</v>
      </c>
      <c r="R117" s="73">
        <f ca="1">IF(R$5="Doyon Notional Allocation",0,IF($C117&lt;&gt;R$3,OFFSET('Allocation %'!$A$1,MATCH(R$4,'Allocation %'!$A:$A,0)-1,MATCH($D117,'Allocation %'!$5:$5,0)-1)*($F57-$G57)*'2020 Assumptions'!$B$20,0))</f>
        <v>0</v>
      </c>
      <c r="S117" s="73">
        <f ca="1">IF(S$5="Doyon Notional Allocation",0,IF($C117&lt;&gt;S$3,OFFSET('Allocation %'!$A$1,MATCH(S$4,'Allocation %'!$A:$A,0)-1,MATCH($D117,'Allocation %'!$5:$5,0)-1)*($F57-$G57)*'2020 Assumptions'!$B$20,0))</f>
        <v>0</v>
      </c>
      <c r="T117" s="73">
        <f ca="1">IF(T$5="Doyon Notional Allocation",0,IF($C117&lt;&gt;T$3,OFFSET('Allocation %'!$A$1,MATCH(T$4,'Allocation %'!$A:$A,0)-1,MATCH($D117,'Allocation %'!$5:$5,0)-1)*($F57-$G57)*'2020 Assumptions'!$B$20,0))</f>
        <v>0</v>
      </c>
      <c r="U117" s="73">
        <f ca="1">IF(U$5="Doyon Notional Allocation",0,IF($C117&lt;&gt;U$3,OFFSET('Allocation %'!$A$1,MATCH(U$4,'Allocation %'!$A:$A,0)-1,MATCH($D117,'Allocation %'!$5:$5,0)-1)*($F57-$G57)*'2020 Assumptions'!$B$20,0))</f>
        <v>0</v>
      </c>
      <c r="V117" s="73">
        <f ca="1">IF(V$5="Doyon Notional Allocation",0,IF($C117&lt;&gt;V$3,OFFSET('Allocation %'!$A$1,MATCH(V$4,'Allocation %'!$A:$A,0)-1,MATCH($D117,'Allocation %'!$5:$5,0)-1)*($F57-$G57)*'2020 Assumptions'!$B$20,0))</f>
        <v>0</v>
      </c>
      <c r="W117" s="73">
        <f ca="1">IF(W$5="Doyon Notional Allocation",0,IF($C117&lt;&gt;W$3,OFFSET('Allocation %'!$A$1,MATCH(W$4,'Allocation %'!$A:$A,0)-1,MATCH($D117,'Allocation %'!$5:$5,0)-1)*($F57-$G57)*'2020 Assumptions'!$B$20,0))</f>
        <v>0</v>
      </c>
      <c r="X117" s="73">
        <f ca="1">IF(X$5="Doyon Notional Allocation",0,IF($C117&lt;&gt;X$3,OFFSET('Allocation %'!$A$1,MATCH(X$4,'Allocation %'!$A:$A,0)-1,MATCH($D117,'Allocation %'!$5:$5,0)-1)*($F57-$G57)*'2020 Assumptions'!$B$20,0))</f>
        <v>0</v>
      </c>
      <c r="Y117" s="73">
        <f ca="1">IF(Y$5="Doyon Notional Allocation",0,IF($C117&lt;&gt;Y$3,OFFSET('Allocation %'!$A$1,MATCH(Y$4,'Allocation %'!$A:$A,0)-1,MATCH($D117,'Allocation %'!$5:$5,0)-1)*($F57-$G57)*'2020 Assumptions'!$B$20,0))</f>
        <v>0</v>
      </c>
      <c r="Z117" s="73">
        <f ca="1">IF(Z$5="Doyon Notional Allocation",0,IF($C117&lt;&gt;Z$3,OFFSET('Allocation %'!$A$1,MATCH(Z$4,'Allocation %'!$A:$A,0)-1,MATCH($D117,'Allocation %'!$5:$5,0)-1)*($F57-$G57)*'2020 Assumptions'!$B$20,0))</f>
        <v>0</v>
      </c>
      <c r="AA117" s="73">
        <f ca="1">IF(AA$5="Doyon Notional Allocation",0,IF($C117&lt;&gt;AA$3,OFFSET('Allocation %'!$A$1,MATCH(AA$4,'Allocation %'!$A:$A,0)-1,MATCH($D117,'Allocation %'!$5:$5,0)-1)*($F57-$G57)*'2020 Assumptions'!$B$20,0))</f>
        <v>0</v>
      </c>
      <c r="AB117" s="73">
        <f ca="1">IF(AB$5="Doyon Notional Allocation",0,IF($C117&lt;&gt;AB$3,OFFSET('Allocation %'!$A$1,MATCH(AB$4,'Allocation %'!$A:$A,0)-1,MATCH($D117,'Allocation %'!$5:$5,0)-1)*($F57-$G57)*'2020 Assumptions'!$B$20,0))</f>
        <v>0</v>
      </c>
      <c r="AC117" s="73">
        <f ca="1">IF(AC$5="Doyon Notional Allocation",0,IF($C117&lt;&gt;AC$3,OFFSET('Allocation %'!$A$1,MATCH(AC$4,'Allocation %'!$A:$A,0)-1,MATCH($D117,'Allocation %'!$5:$5,0)-1)*($F57-$G57)*'2020 Assumptions'!$B$20,0))</f>
        <v>0</v>
      </c>
      <c r="AD117" s="73">
        <f ca="1">IF(AD$5="Doyon Notional Allocation",0,IF($C117&lt;&gt;AD$3,OFFSET('Allocation %'!$A$1,MATCH(AD$4,'Allocation %'!$A:$A,0)-1,MATCH($D117,'Allocation %'!$5:$5,0)-1)*($F57-$G57)*'2020 Assumptions'!$B$20,0))</f>
        <v>0</v>
      </c>
      <c r="AE117" s="73">
        <f ca="1">IF(AE$5="Doyon Notional Allocation",0,IF($C117&lt;&gt;AE$3,OFFSET('Allocation %'!$A$1,MATCH(AE$4,'Allocation %'!$A:$A,0)-1,MATCH($D117,'Allocation %'!$5:$5,0)-1)*($F57-$G57)*'2020 Assumptions'!$B$20,0))</f>
        <v>0</v>
      </c>
      <c r="AF117" s="73">
        <f ca="1">IF(AF$5="Doyon Notional Allocation",0,IF($C117&lt;&gt;AF$3,OFFSET('Allocation %'!$A$1,MATCH(AF$4,'Allocation %'!$A:$A,0)-1,MATCH($D117,'Allocation %'!$5:$5,0)-1)*($F57-$G57)*'2020 Assumptions'!$B$20,0))</f>
        <v>0</v>
      </c>
      <c r="AG117" s="73">
        <f ca="1">IF(AG$5="Doyon Notional Allocation",0,IF($C117&lt;&gt;AG$3,OFFSET('Allocation %'!$A$1,MATCH(AG$4,'Allocation %'!$A:$A,0)-1,MATCH($D117,'Allocation %'!$5:$5,0)-1)*($F57-$G57)*'2020 Assumptions'!$B$20,0))</f>
        <v>0</v>
      </c>
      <c r="AH117" s="73">
        <f ca="1">IF(AH$5="Doyon Notional Allocation",0,IF($C117&lt;&gt;AH$3,OFFSET('Allocation %'!$A$1,MATCH(AH$4,'Allocation %'!$A:$A,0)-1,MATCH($D117,'Allocation %'!$5:$5,0)-1)*($F57-$G57)*'2020 Assumptions'!$B$20,0))</f>
        <v>0</v>
      </c>
      <c r="AI117" s="73">
        <f ca="1">IF(AI$5="Doyon Notional Allocation",0,IF($C117&lt;&gt;AI$3,OFFSET('Allocation %'!$A$1,MATCH(AI$4,'Allocation %'!$A:$A,0)-1,MATCH($D117,'Allocation %'!$5:$5,0)-1)*($F57-$G57)*'2020 Assumptions'!$B$20,0))</f>
        <v>0</v>
      </c>
      <c r="AJ117" s="73">
        <f ca="1">IF(AJ$5="Doyon Notional Allocation",0,IF($C117&lt;&gt;AJ$3,OFFSET('Allocation %'!$A$1,MATCH(AJ$4,'Allocation %'!$A:$A,0)-1,MATCH($D117,'Allocation %'!$5:$5,0)-1)*($F57-$G57)*'2020 Assumptions'!$B$20,0))</f>
        <v>0</v>
      </c>
      <c r="AK117" s="73">
        <f ca="1">IF(AK$5="Doyon Notional Allocation",0,IF($C117&lt;&gt;AK$3,OFFSET('Allocation %'!$A$1,MATCH(AK$4,'Allocation %'!$A:$A,0)-1,MATCH($D117,'Allocation %'!$5:$5,0)-1)*($F57-$G57)*'2020 Assumptions'!$B$20,0))</f>
        <v>0</v>
      </c>
      <c r="AL117" s="73">
        <f ca="1">IF(AL$5="Doyon Notional Allocation",0,IF($C117&lt;&gt;AL$3,OFFSET('Allocation %'!$A$1,MATCH(AL$4,'Allocation %'!$A:$A,0)-1,MATCH($D117,'Allocation %'!$5:$5,0)-1)*($F57-$G57)*'2020 Assumptions'!$B$20,0))</f>
        <v>0</v>
      </c>
      <c r="AM117" s="73">
        <f ca="1">IF(AM$5="Doyon Notional Allocation",0,IF($C117&lt;&gt;AM$3,OFFSET('Allocation %'!$A$1,MATCH(AM$4,'Allocation %'!$A:$A,0)-1,MATCH($D117,'Allocation %'!$5:$5,0)-1)*($F57-$G57)*'2020 Assumptions'!$B$20,0))</f>
        <v>0</v>
      </c>
      <c r="AN117" s="73">
        <f ca="1">IF(AN$5="Doyon Notional Allocation",0,IF($C117&lt;&gt;AN$3,OFFSET('Allocation %'!$A$1,MATCH(AN$4,'Allocation %'!$A:$A,0)-1,MATCH($D117,'Allocation %'!$5:$5,0)-1)*($F57-$G57)*'2020 Assumptions'!$B$20,0))</f>
        <v>0</v>
      </c>
      <c r="AO117" s="73">
        <f ca="1">IF(AO$5="Doyon Notional Allocation",0,IF($C117&lt;&gt;AO$3,OFFSET('Allocation %'!$A$1,MATCH(AO$4,'Allocation %'!$A:$A,0)-1,MATCH($D117,'Allocation %'!$5:$5,0)-1)*($F57-$G57)*'2020 Assumptions'!$B$20,0))</f>
        <v>0</v>
      </c>
      <c r="AP117" s="73">
        <f ca="1">IF(AP$5="Doyon Notional Allocation",0,IF($C117&lt;&gt;AP$3,OFFSET('Allocation %'!$A$1,MATCH(AP$4,'Allocation %'!$A:$A,0)-1,MATCH($D117,'Allocation %'!$5:$5,0)-1)*($F57-$G57)*'2020 Assumptions'!$B$20,0))</f>
        <v>0</v>
      </c>
      <c r="AQ117" s="73">
        <f ca="1">IF(AQ$5="Doyon Notional Allocation",0,IF($C117&lt;&gt;AQ$3,OFFSET('Allocation %'!$A$1,MATCH(AQ$4,'Allocation %'!$A:$A,0)-1,MATCH($D117,'Allocation %'!$5:$5,0)-1)*($F57-$G57)*'2020 Assumptions'!$B$20,0))</f>
        <v>0</v>
      </c>
      <c r="AR117" s="73">
        <f ca="1">IF(AR$5="Doyon Notional Allocation",0,IF($C117&lt;&gt;AR$3,OFFSET('Allocation %'!$A$1,MATCH(AR$4,'Allocation %'!$A:$A,0)-1,MATCH($D117,'Allocation %'!$5:$5,0)-1)*($F57-$G57)*'2020 Assumptions'!$B$20,0))</f>
        <v>0</v>
      </c>
      <c r="AS117" s="73">
        <f ca="1">IF(AS$5="Doyon Notional Allocation",0,IF($C117&lt;&gt;AS$3,OFFSET('Allocation %'!$A$1,MATCH(AS$4,'Allocation %'!$A:$A,0)-1,MATCH($D117,'Allocation %'!$5:$5,0)-1)*($F57-$G57)*'2020 Assumptions'!$B$20,0))</f>
        <v>0</v>
      </c>
      <c r="AT117" s="73">
        <f ca="1">IF(AT$5="Doyon Notional Allocation",0,IF($C117&lt;&gt;AT$3,OFFSET('Allocation %'!$A$1,MATCH(AT$4,'Allocation %'!$A:$A,0)-1,MATCH($D117,'Allocation %'!$5:$5,0)-1)*($F57-$G57)*'2020 Assumptions'!$B$20,0))</f>
        <v>0</v>
      </c>
      <c r="AU117" s="73">
        <f ca="1">IF(AU$5="Doyon Notional Allocation",0,IF($C117&lt;&gt;AU$3,OFFSET('Allocation %'!$A$1,MATCH(AU$4,'Allocation %'!$A:$A,0)-1,MATCH($D117,'Allocation %'!$5:$5,0)-1)*($F57-$G57)*'2020 Assumptions'!$B$20,0))</f>
        <v>0</v>
      </c>
      <c r="AV117" s="73">
        <f ca="1">IF(AV$5="Doyon Notional Allocation",0,IF($C117&lt;&gt;AV$3,OFFSET('Allocation %'!$A$1,MATCH(AV$4,'Allocation %'!$A:$A,0)-1,MATCH($D117,'Allocation %'!$5:$5,0)-1)*($F57-$G57)*'2020 Assumptions'!$B$20,0))</f>
        <v>0</v>
      </c>
      <c r="AW117" s="73">
        <f ca="1">IF(AW$5="Doyon Notional Allocation",0,IF($C117&lt;&gt;AW$3,OFFSET('Allocation %'!$A$1,MATCH(AW$4,'Allocation %'!$A:$A,0)-1,MATCH($D117,'Allocation %'!$5:$5,0)-1)*($F57-$G57)*'2020 Assumptions'!$B$20,0))</f>
        <v>0</v>
      </c>
      <c r="AX117" s="73">
        <f ca="1">IF(AX$5="Doyon Notional Allocation",0,IF($C117&lt;&gt;AX$3,OFFSET('Allocation %'!$A$1,MATCH(AX$4,'Allocation %'!$A:$A,0)-1,MATCH($D117,'Allocation %'!$5:$5,0)-1)*($F57-$G57)*'2020 Assumptions'!$B$20,0))</f>
        <v>0</v>
      </c>
      <c r="AY117" s="73">
        <f ca="1">IF(AY$5="Doyon Notional Allocation",0,IF($C117&lt;&gt;AY$3,OFFSET('Allocation %'!$A$1,MATCH(AY$4,'Allocation %'!$A:$A,0)-1,MATCH($D117,'Allocation %'!$5:$5,0)-1)*($F57-$G57)*'2020 Assumptions'!$B$20,0))</f>
        <v>0</v>
      </c>
      <c r="AZ117" s="73">
        <f ca="1">IF(AZ$5="Doyon Notional Allocation",0,IF($C117&lt;&gt;AZ$3,OFFSET('Allocation %'!$A$1,MATCH(AZ$4,'Allocation %'!$A:$A,0)-1,MATCH($D117,'Allocation %'!$5:$5,0)-1)*($F57-$G57)*'2020 Assumptions'!$B$20,0))</f>
        <v>0</v>
      </c>
      <c r="BA117" s="73">
        <f ca="1">IF(BA$5="Doyon Notional Allocation",0,IF($C117&lt;&gt;BA$3,OFFSET('Allocation %'!$A$1,MATCH(BA$4,'Allocation %'!$A:$A,0)-1,MATCH($D117,'Allocation %'!$5:$5,0)-1)*($F57-$G57)*'2020 Assumptions'!$B$20,0))</f>
        <v>0</v>
      </c>
      <c r="BB117" s="73">
        <f ca="1">IF(BB$5="Doyon Notional Allocation",0,IF($C117&lt;&gt;BB$3,OFFSET('Allocation %'!$A$1,MATCH(BB$4,'Allocation %'!$A:$A,0)-1,MATCH($D117,'Allocation %'!$5:$5,0)-1)*($F57-$G57)*'2020 Assumptions'!$B$20,0))</f>
        <v>0</v>
      </c>
      <c r="BC117" s="73">
        <f ca="1">IF(BC$5="Doyon Notional Allocation",0,IF($C117&lt;&gt;BC$3,OFFSET('Allocation %'!$A$1,MATCH(BC$4,'Allocation %'!$A:$A,0)-1,MATCH($D117,'Allocation %'!$5:$5,0)-1)*($F57-$G57)*'2020 Assumptions'!$B$20,0))</f>
        <v>0</v>
      </c>
      <c r="BD117" s="73">
        <f ca="1">IF(BD$5="Doyon Notional Allocation",0,IF($C117&lt;&gt;BD$3,OFFSET('Allocation %'!$A$1,MATCH(BD$4,'Allocation %'!$A:$A,0)-1,MATCH($D117,'Allocation %'!$5:$5,0)-1)*($F57-$G57)*'2020 Assumptions'!$B$20,0))</f>
        <v>0</v>
      </c>
      <c r="BE117" s="73">
        <f ca="1">IF(BE$5="Doyon Notional Allocation",0,IF($C117&lt;&gt;BE$3,OFFSET('Allocation %'!$A$1,MATCH(BE$4,'Allocation %'!$A:$A,0)-1,MATCH($D117,'Allocation %'!$5:$5,0)-1)*($F57-$G57)*'2020 Assumptions'!$B$20,0))</f>
        <v>0</v>
      </c>
      <c r="BG117" s="76">
        <f t="shared" ca="1" si="9"/>
        <v>0</v>
      </c>
      <c r="BH117" s="349">
        <f t="shared" ca="1" si="10"/>
        <v>0</v>
      </c>
    </row>
    <row r="118" spans="1:62" s="177" customFormat="1" x14ac:dyDescent="0.25">
      <c r="A118" s="139" t="s">
        <v>419</v>
      </c>
      <c r="B118" s="259" t="str">
        <f t="shared" si="19"/>
        <v>009105 - Computer System Cost Ctr Mark up</v>
      </c>
      <c r="C118" s="69" t="str">
        <f t="shared" si="20"/>
        <v>USD</v>
      </c>
      <c r="D118" s="352" t="str">
        <f t="shared" ca="1" si="20"/>
        <v>ALL - Except Doyon</v>
      </c>
      <c r="E118" s="73">
        <f ca="1">F118*'2020 Assumptions'!$B$4</f>
        <v>0</v>
      </c>
      <c r="F118" s="317">
        <f t="shared" ca="1" si="11"/>
        <v>0</v>
      </c>
      <c r="G118" s="73"/>
      <c r="I118" s="73">
        <f ca="1">IF(I$5="Doyon Notional Allocation",0,IF($C118&lt;&gt;I$3,OFFSET('Allocation %'!$A$1,MATCH(I$4,'Allocation %'!$A:$A,0)-1,MATCH($D118,'Allocation %'!$5:$5,0)-1)*($F58-$G58)*'2020 Assumptions'!$B$20,0))</f>
        <v>0</v>
      </c>
      <c r="J118" s="73">
        <f ca="1">IF(J$5="Doyon Notional Allocation",0,IF($C118&lt;&gt;J$3,OFFSET('Allocation %'!$A$1,MATCH(J$4,'Allocation %'!$A:$A,0)-1,MATCH($D118,'Allocation %'!$5:$5,0)-1)*($F58-$G58)*'2020 Assumptions'!$B$20,0))</f>
        <v>0</v>
      </c>
      <c r="K118" s="73">
        <f ca="1">IF(K$5="Doyon Notional Allocation",0,IF($C118&lt;&gt;K$3,OFFSET('Allocation %'!$A$1,MATCH(K$4,'Allocation %'!$A:$A,0)-1,MATCH($D118,'Allocation %'!$5:$5,0)-1)*($F58-$G58)*'2020 Assumptions'!$B$20,0))</f>
        <v>0</v>
      </c>
      <c r="L118" s="73">
        <f ca="1">IF(L$5="Doyon Notional Allocation",0,IF($C118&lt;&gt;L$3,OFFSET('Allocation %'!$A$1,MATCH(L$4,'Allocation %'!$A:$A,0)-1,MATCH($D118,'Allocation %'!$5:$5,0)-1)*($F58-$G58)*'2020 Assumptions'!$B$20,0))</f>
        <v>0</v>
      </c>
      <c r="M118" s="73">
        <f ca="1">IF(M$5="Doyon Notional Allocation",0,IF($C118&lt;&gt;M$3,OFFSET('Allocation %'!$A$1,MATCH(M$4,'Allocation %'!$A:$A,0)-1,MATCH($D118,'Allocation %'!$5:$5,0)-1)*($F58-$G58)*'2020 Assumptions'!$B$20,0))</f>
        <v>0</v>
      </c>
      <c r="N118" s="73">
        <f ca="1">IF(N$5="Doyon Notional Allocation",0,IF($C118&lt;&gt;N$3,OFFSET('Allocation %'!$A$1,MATCH(N$4,'Allocation %'!$A:$A,0)-1,MATCH($D118,'Allocation %'!$5:$5,0)-1)*($F58-$G58)*'2020 Assumptions'!$B$20,0))</f>
        <v>0</v>
      </c>
      <c r="O118" s="73">
        <f ca="1">IF(O$5="Doyon Notional Allocation",0,IF($C118&lt;&gt;O$3,OFFSET('Allocation %'!$A$1,MATCH(O$4,'Allocation %'!$A:$A,0)-1,MATCH($D118,'Allocation %'!$5:$5,0)-1)*($F58-$G58)*'2020 Assumptions'!$B$20,0))</f>
        <v>0</v>
      </c>
      <c r="P118" s="73">
        <f ca="1">IF(P$5="Doyon Notional Allocation",0,IF($C118&lt;&gt;P$3,OFFSET('Allocation %'!$A$1,MATCH(P$4,'Allocation %'!$A:$A,0)-1,MATCH($D118,'Allocation %'!$5:$5,0)-1)*($F58-$G58)*'2020 Assumptions'!$B$20,0))</f>
        <v>0</v>
      </c>
      <c r="Q118" s="73">
        <f ca="1">IF(Q$5="Doyon Notional Allocation",0,IF($C118&lt;&gt;Q$3,OFFSET('Allocation %'!$A$1,MATCH(Q$4,'Allocation %'!$A:$A,0)-1,MATCH($D118,'Allocation %'!$5:$5,0)-1)*($F58-$G58)*'2020 Assumptions'!$B$20,0))</f>
        <v>0</v>
      </c>
      <c r="R118" s="73">
        <f ca="1">IF(R$5="Doyon Notional Allocation",0,IF($C118&lt;&gt;R$3,OFFSET('Allocation %'!$A$1,MATCH(R$4,'Allocation %'!$A:$A,0)-1,MATCH($D118,'Allocation %'!$5:$5,0)-1)*($F58-$G58)*'2020 Assumptions'!$B$20,0))</f>
        <v>0</v>
      </c>
      <c r="S118" s="73">
        <f ca="1">IF(S$5="Doyon Notional Allocation",0,IF($C118&lt;&gt;S$3,OFFSET('Allocation %'!$A$1,MATCH(S$4,'Allocation %'!$A:$A,0)-1,MATCH($D118,'Allocation %'!$5:$5,0)-1)*($F58-$G58)*'2020 Assumptions'!$B$20,0))</f>
        <v>0</v>
      </c>
      <c r="T118" s="73">
        <f ca="1">IF(T$5="Doyon Notional Allocation",0,IF($C118&lt;&gt;T$3,OFFSET('Allocation %'!$A$1,MATCH(T$4,'Allocation %'!$A:$A,0)-1,MATCH($D118,'Allocation %'!$5:$5,0)-1)*($F58-$G58)*'2020 Assumptions'!$B$20,0))</f>
        <v>0</v>
      </c>
      <c r="U118" s="73">
        <f ca="1">IF(U$5="Doyon Notional Allocation",0,IF($C118&lt;&gt;U$3,OFFSET('Allocation %'!$A$1,MATCH(U$4,'Allocation %'!$A:$A,0)-1,MATCH($D118,'Allocation %'!$5:$5,0)-1)*($F58-$G58)*'2020 Assumptions'!$B$20,0))</f>
        <v>0</v>
      </c>
      <c r="V118" s="73">
        <f ca="1">IF(V$5="Doyon Notional Allocation",0,IF($C118&lt;&gt;V$3,OFFSET('Allocation %'!$A$1,MATCH(V$4,'Allocation %'!$A:$A,0)-1,MATCH($D118,'Allocation %'!$5:$5,0)-1)*($F58-$G58)*'2020 Assumptions'!$B$20,0))</f>
        <v>0</v>
      </c>
      <c r="W118" s="73">
        <f ca="1">IF(W$5="Doyon Notional Allocation",0,IF($C118&lt;&gt;W$3,OFFSET('Allocation %'!$A$1,MATCH(W$4,'Allocation %'!$A:$A,0)-1,MATCH($D118,'Allocation %'!$5:$5,0)-1)*($F58-$G58)*'2020 Assumptions'!$B$20,0))</f>
        <v>0</v>
      </c>
      <c r="X118" s="73">
        <f ca="1">IF(X$5="Doyon Notional Allocation",0,IF($C118&lt;&gt;X$3,OFFSET('Allocation %'!$A$1,MATCH(X$4,'Allocation %'!$A:$A,0)-1,MATCH($D118,'Allocation %'!$5:$5,0)-1)*($F58-$G58)*'2020 Assumptions'!$B$20,0))</f>
        <v>0</v>
      </c>
      <c r="Y118" s="73">
        <f ca="1">IF(Y$5="Doyon Notional Allocation",0,IF($C118&lt;&gt;Y$3,OFFSET('Allocation %'!$A$1,MATCH(Y$4,'Allocation %'!$A:$A,0)-1,MATCH($D118,'Allocation %'!$5:$5,0)-1)*($F58-$G58)*'2020 Assumptions'!$B$20,0))</f>
        <v>0</v>
      </c>
      <c r="Z118" s="73">
        <f ca="1">IF(Z$5="Doyon Notional Allocation",0,IF($C118&lt;&gt;Z$3,OFFSET('Allocation %'!$A$1,MATCH(Z$4,'Allocation %'!$A:$A,0)-1,MATCH($D118,'Allocation %'!$5:$5,0)-1)*($F58-$G58)*'2020 Assumptions'!$B$20,0))</f>
        <v>0</v>
      </c>
      <c r="AA118" s="73">
        <f ca="1">IF(AA$5="Doyon Notional Allocation",0,IF($C118&lt;&gt;AA$3,OFFSET('Allocation %'!$A$1,MATCH(AA$4,'Allocation %'!$A:$A,0)-1,MATCH($D118,'Allocation %'!$5:$5,0)-1)*($F58-$G58)*'2020 Assumptions'!$B$20,0))</f>
        <v>0</v>
      </c>
      <c r="AB118" s="73">
        <f ca="1">IF(AB$5="Doyon Notional Allocation",0,IF($C118&lt;&gt;AB$3,OFFSET('Allocation %'!$A$1,MATCH(AB$4,'Allocation %'!$A:$A,0)-1,MATCH($D118,'Allocation %'!$5:$5,0)-1)*($F58-$G58)*'2020 Assumptions'!$B$20,0))</f>
        <v>0</v>
      </c>
      <c r="AC118" s="73">
        <f ca="1">IF(AC$5="Doyon Notional Allocation",0,IF($C118&lt;&gt;AC$3,OFFSET('Allocation %'!$A$1,MATCH(AC$4,'Allocation %'!$A:$A,0)-1,MATCH($D118,'Allocation %'!$5:$5,0)-1)*($F58-$G58)*'2020 Assumptions'!$B$20,0))</f>
        <v>0</v>
      </c>
      <c r="AD118" s="73">
        <f ca="1">IF(AD$5="Doyon Notional Allocation",0,IF($C118&lt;&gt;AD$3,OFFSET('Allocation %'!$A$1,MATCH(AD$4,'Allocation %'!$A:$A,0)-1,MATCH($D118,'Allocation %'!$5:$5,0)-1)*($F58-$G58)*'2020 Assumptions'!$B$20,0))</f>
        <v>0</v>
      </c>
      <c r="AE118" s="73">
        <f ca="1">IF(AE$5="Doyon Notional Allocation",0,IF($C118&lt;&gt;AE$3,OFFSET('Allocation %'!$A$1,MATCH(AE$4,'Allocation %'!$A:$A,0)-1,MATCH($D118,'Allocation %'!$5:$5,0)-1)*($F58-$G58)*'2020 Assumptions'!$B$20,0))</f>
        <v>0</v>
      </c>
      <c r="AF118" s="73">
        <f ca="1">IF(AF$5="Doyon Notional Allocation",0,IF($C118&lt;&gt;AF$3,OFFSET('Allocation %'!$A$1,MATCH(AF$4,'Allocation %'!$A:$A,0)-1,MATCH($D118,'Allocation %'!$5:$5,0)-1)*($F58-$G58)*'2020 Assumptions'!$B$20,0))</f>
        <v>0</v>
      </c>
      <c r="AG118" s="73">
        <f ca="1">IF(AG$5="Doyon Notional Allocation",0,IF($C118&lt;&gt;AG$3,OFFSET('Allocation %'!$A$1,MATCH(AG$4,'Allocation %'!$A:$A,0)-1,MATCH($D118,'Allocation %'!$5:$5,0)-1)*($F58-$G58)*'2020 Assumptions'!$B$20,0))</f>
        <v>0</v>
      </c>
      <c r="AH118" s="73">
        <f ca="1">IF(AH$5="Doyon Notional Allocation",0,IF($C118&lt;&gt;AH$3,OFFSET('Allocation %'!$A$1,MATCH(AH$4,'Allocation %'!$A:$A,0)-1,MATCH($D118,'Allocation %'!$5:$5,0)-1)*($F58-$G58)*'2020 Assumptions'!$B$20,0))</f>
        <v>0</v>
      </c>
      <c r="AI118" s="73">
        <f ca="1">IF(AI$5="Doyon Notional Allocation",0,IF($C118&lt;&gt;AI$3,OFFSET('Allocation %'!$A$1,MATCH(AI$4,'Allocation %'!$A:$A,0)-1,MATCH($D118,'Allocation %'!$5:$5,0)-1)*($F58-$G58)*'2020 Assumptions'!$B$20,0))</f>
        <v>0</v>
      </c>
      <c r="AJ118" s="73">
        <f ca="1">IF(AJ$5="Doyon Notional Allocation",0,IF($C118&lt;&gt;AJ$3,OFFSET('Allocation %'!$A$1,MATCH(AJ$4,'Allocation %'!$A:$A,0)-1,MATCH($D118,'Allocation %'!$5:$5,0)-1)*($F58-$G58)*'2020 Assumptions'!$B$20,0))</f>
        <v>0</v>
      </c>
      <c r="AK118" s="73">
        <f ca="1">IF(AK$5="Doyon Notional Allocation",0,IF($C118&lt;&gt;AK$3,OFFSET('Allocation %'!$A$1,MATCH(AK$4,'Allocation %'!$A:$A,0)-1,MATCH($D118,'Allocation %'!$5:$5,0)-1)*($F58-$G58)*'2020 Assumptions'!$B$20,0))</f>
        <v>0</v>
      </c>
      <c r="AL118" s="73">
        <f ca="1">IF(AL$5="Doyon Notional Allocation",0,IF($C118&lt;&gt;AL$3,OFFSET('Allocation %'!$A$1,MATCH(AL$4,'Allocation %'!$A:$A,0)-1,MATCH($D118,'Allocation %'!$5:$5,0)-1)*($F58-$G58)*'2020 Assumptions'!$B$20,0))</f>
        <v>0</v>
      </c>
      <c r="AM118" s="73">
        <f ca="1">IF(AM$5="Doyon Notional Allocation",0,IF($C118&lt;&gt;AM$3,OFFSET('Allocation %'!$A$1,MATCH(AM$4,'Allocation %'!$A:$A,0)-1,MATCH($D118,'Allocation %'!$5:$5,0)-1)*($F58-$G58)*'2020 Assumptions'!$B$20,0))</f>
        <v>0</v>
      </c>
      <c r="AN118" s="73">
        <f ca="1">IF(AN$5="Doyon Notional Allocation",0,IF($C118&lt;&gt;AN$3,OFFSET('Allocation %'!$A$1,MATCH(AN$4,'Allocation %'!$A:$A,0)-1,MATCH($D118,'Allocation %'!$5:$5,0)-1)*($F58-$G58)*'2020 Assumptions'!$B$20,0))</f>
        <v>0</v>
      </c>
      <c r="AO118" s="73">
        <f ca="1">IF(AO$5="Doyon Notional Allocation",0,IF($C118&lt;&gt;AO$3,OFFSET('Allocation %'!$A$1,MATCH(AO$4,'Allocation %'!$A:$A,0)-1,MATCH($D118,'Allocation %'!$5:$5,0)-1)*($F58-$G58)*'2020 Assumptions'!$B$20,0))</f>
        <v>0</v>
      </c>
      <c r="AP118" s="73">
        <f ca="1">IF(AP$5="Doyon Notional Allocation",0,IF($C118&lt;&gt;AP$3,OFFSET('Allocation %'!$A$1,MATCH(AP$4,'Allocation %'!$A:$A,0)-1,MATCH($D118,'Allocation %'!$5:$5,0)-1)*($F58-$G58)*'2020 Assumptions'!$B$20,0))</f>
        <v>0</v>
      </c>
      <c r="AQ118" s="73">
        <f ca="1">IF(AQ$5="Doyon Notional Allocation",0,IF($C118&lt;&gt;AQ$3,OFFSET('Allocation %'!$A$1,MATCH(AQ$4,'Allocation %'!$A:$A,0)-1,MATCH($D118,'Allocation %'!$5:$5,0)-1)*($F58-$G58)*'2020 Assumptions'!$B$20,0))</f>
        <v>0</v>
      </c>
      <c r="AR118" s="73">
        <f ca="1">IF(AR$5="Doyon Notional Allocation",0,IF($C118&lt;&gt;AR$3,OFFSET('Allocation %'!$A$1,MATCH(AR$4,'Allocation %'!$A:$A,0)-1,MATCH($D118,'Allocation %'!$5:$5,0)-1)*($F58-$G58)*'2020 Assumptions'!$B$20,0))</f>
        <v>0</v>
      </c>
      <c r="AS118" s="73">
        <f ca="1">IF(AS$5="Doyon Notional Allocation",0,IF($C118&lt;&gt;AS$3,OFFSET('Allocation %'!$A$1,MATCH(AS$4,'Allocation %'!$A:$A,0)-1,MATCH($D118,'Allocation %'!$5:$5,0)-1)*($F58-$G58)*'2020 Assumptions'!$B$20,0))</f>
        <v>0</v>
      </c>
      <c r="AT118" s="73">
        <f ca="1">IF(AT$5="Doyon Notional Allocation",0,IF($C118&lt;&gt;AT$3,OFFSET('Allocation %'!$A$1,MATCH(AT$4,'Allocation %'!$A:$A,0)-1,MATCH($D118,'Allocation %'!$5:$5,0)-1)*($F58-$G58)*'2020 Assumptions'!$B$20,0))</f>
        <v>0</v>
      </c>
      <c r="AU118" s="73">
        <f ca="1">IF(AU$5="Doyon Notional Allocation",0,IF($C118&lt;&gt;AU$3,OFFSET('Allocation %'!$A$1,MATCH(AU$4,'Allocation %'!$A:$A,0)-1,MATCH($D118,'Allocation %'!$5:$5,0)-1)*($F58-$G58)*'2020 Assumptions'!$B$20,0))</f>
        <v>0</v>
      </c>
      <c r="AV118" s="73">
        <f ca="1">IF(AV$5="Doyon Notional Allocation",0,IF($C118&lt;&gt;AV$3,OFFSET('Allocation %'!$A$1,MATCH(AV$4,'Allocation %'!$A:$A,0)-1,MATCH($D118,'Allocation %'!$5:$5,0)-1)*($F58-$G58)*'2020 Assumptions'!$B$20,0))</f>
        <v>0</v>
      </c>
      <c r="AW118" s="73">
        <f ca="1">IF(AW$5="Doyon Notional Allocation",0,IF($C118&lt;&gt;AW$3,OFFSET('Allocation %'!$A$1,MATCH(AW$4,'Allocation %'!$A:$A,0)-1,MATCH($D118,'Allocation %'!$5:$5,0)-1)*($F58-$G58)*'2020 Assumptions'!$B$20,0))</f>
        <v>0</v>
      </c>
      <c r="AX118" s="73">
        <f ca="1">IF(AX$5="Doyon Notional Allocation",0,IF($C118&lt;&gt;AX$3,OFFSET('Allocation %'!$A$1,MATCH(AX$4,'Allocation %'!$A:$A,0)-1,MATCH($D118,'Allocation %'!$5:$5,0)-1)*($F58-$G58)*'2020 Assumptions'!$B$20,0))</f>
        <v>0</v>
      </c>
      <c r="AY118" s="73">
        <f ca="1">IF(AY$5="Doyon Notional Allocation",0,IF($C118&lt;&gt;AY$3,OFFSET('Allocation %'!$A$1,MATCH(AY$4,'Allocation %'!$A:$A,0)-1,MATCH($D118,'Allocation %'!$5:$5,0)-1)*($F58-$G58)*'2020 Assumptions'!$B$20,0))</f>
        <v>0</v>
      </c>
      <c r="AZ118" s="73">
        <f ca="1">IF(AZ$5="Doyon Notional Allocation",0,IF($C118&lt;&gt;AZ$3,OFFSET('Allocation %'!$A$1,MATCH(AZ$4,'Allocation %'!$A:$A,0)-1,MATCH($D118,'Allocation %'!$5:$5,0)-1)*($F58-$G58)*'2020 Assumptions'!$B$20,0))</f>
        <v>0</v>
      </c>
      <c r="BA118" s="73">
        <f ca="1">IF(BA$5="Doyon Notional Allocation",0,IF($C118&lt;&gt;BA$3,OFFSET('Allocation %'!$A$1,MATCH(BA$4,'Allocation %'!$A:$A,0)-1,MATCH($D118,'Allocation %'!$5:$5,0)-1)*($F58-$G58)*'2020 Assumptions'!$B$20,0))</f>
        <v>0</v>
      </c>
      <c r="BB118" s="73">
        <f ca="1">IF(BB$5="Doyon Notional Allocation",0,IF($C118&lt;&gt;BB$3,OFFSET('Allocation %'!$A$1,MATCH(BB$4,'Allocation %'!$A:$A,0)-1,MATCH($D118,'Allocation %'!$5:$5,0)-1)*($F58-$G58)*'2020 Assumptions'!$B$20,0))</f>
        <v>0</v>
      </c>
      <c r="BC118" s="73">
        <f ca="1">IF(BC$5="Doyon Notional Allocation",0,IF($C118&lt;&gt;BC$3,OFFSET('Allocation %'!$A$1,MATCH(BC$4,'Allocation %'!$A:$A,0)-1,MATCH($D118,'Allocation %'!$5:$5,0)-1)*($F58-$G58)*'2020 Assumptions'!$B$20,0))</f>
        <v>0</v>
      </c>
      <c r="BD118" s="73">
        <f ca="1">IF(BD$5="Doyon Notional Allocation",0,IF($C118&lt;&gt;BD$3,OFFSET('Allocation %'!$A$1,MATCH(BD$4,'Allocation %'!$A:$A,0)-1,MATCH($D118,'Allocation %'!$5:$5,0)-1)*($F58-$G58)*'2020 Assumptions'!$B$20,0))</f>
        <v>0</v>
      </c>
      <c r="BE118" s="73">
        <f ca="1">IF(BE$5="Doyon Notional Allocation",0,IF($C118&lt;&gt;BE$3,OFFSET('Allocation %'!$A$1,MATCH(BE$4,'Allocation %'!$A:$A,0)-1,MATCH($D118,'Allocation %'!$5:$5,0)-1)*($F58-$G58)*'2020 Assumptions'!$B$20,0))</f>
        <v>0</v>
      </c>
      <c r="BG118" s="76">
        <f t="shared" ca="1" si="9"/>
        <v>0</v>
      </c>
      <c r="BH118" s="349">
        <f t="shared" ca="1" si="10"/>
        <v>0</v>
      </c>
    </row>
    <row r="119" spans="1:62" s="177" customFormat="1" x14ac:dyDescent="0.25">
      <c r="A119" s="139" t="s">
        <v>419</v>
      </c>
      <c r="B119" s="259" t="str">
        <f t="shared" si="19"/>
        <v>009150 - Restructuring Adjustment Mark up</v>
      </c>
      <c r="C119" s="69" t="str">
        <f t="shared" si="20"/>
        <v>USD</v>
      </c>
      <c r="D119" s="352" t="str">
        <f t="shared" ca="1" si="20"/>
        <v>ALL</v>
      </c>
      <c r="E119" s="73">
        <f ca="1">F119*'2020 Assumptions'!$B$4</f>
        <v>0</v>
      </c>
      <c r="F119" s="317">
        <f t="shared" ca="1" si="11"/>
        <v>0</v>
      </c>
      <c r="G119" s="73"/>
      <c r="I119" s="73">
        <f ca="1">IF(I$5="Doyon Notional Allocation",0,IF($C119&lt;&gt;I$3,OFFSET('Allocation %'!$A$1,MATCH(I$4,'Allocation %'!$A:$A,0)-1,MATCH($D119,'Allocation %'!$5:$5,0)-1)*($F59-$G59)*'2020 Assumptions'!$B$20,0))</f>
        <v>0</v>
      </c>
      <c r="J119" s="73">
        <f ca="1">IF(J$5="Doyon Notional Allocation",0,IF($C119&lt;&gt;J$3,OFFSET('Allocation %'!$A$1,MATCH(J$4,'Allocation %'!$A:$A,0)-1,MATCH($D119,'Allocation %'!$5:$5,0)-1)*($F59-$G59)*'2020 Assumptions'!$B$20,0))</f>
        <v>0</v>
      </c>
      <c r="K119" s="73">
        <f ca="1">IF(K$5="Doyon Notional Allocation",0,IF($C119&lt;&gt;K$3,OFFSET('Allocation %'!$A$1,MATCH(K$4,'Allocation %'!$A:$A,0)-1,MATCH($D119,'Allocation %'!$5:$5,0)-1)*($F59-$G59)*'2020 Assumptions'!$B$20,0))</f>
        <v>0</v>
      </c>
      <c r="L119" s="73">
        <f ca="1">IF(L$5="Doyon Notional Allocation",0,IF($C119&lt;&gt;L$3,OFFSET('Allocation %'!$A$1,MATCH(L$4,'Allocation %'!$A:$A,0)-1,MATCH($D119,'Allocation %'!$5:$5,0)-1)*($F59-$G59)*'2020 Assumptions'!$B$20,0))</f>
        <v>0</v>
      </c>
      <c r="M119" s="73">
        <f ca="1">IF(M$5="Doyon Notional Allocation",0,IF($C119&lt;&gt;M$3,OFFSET('Allocation %'!$A$1,MATCH(M$4,'Allocation %'!$A:$A,0)-1,MATCH($D119,'Allocation %'!$5:$5,0)-1)*($F59-$G59)*'2020 Assumptions'!$B$20,0))</f>
        <v>0</v>
      </c>
      <c r="N119" s="73">
        <f ca="1">IF(N$5="Doyon Notional Allocation",0,IF($C119&lt;&gt;N$3,OFFSET('Allocation %'!$A$1,MATCH(N$4,'Allocation %'!$A:$A,0)-1,MATCH($D119,'Allocation %'!$5:$5,0)-1)*($F59-$G59)*'2020 Assumptions'!$B$20,0))</f>
        <v>0</v>
      </c>
      <c r="O119" s="73">
        <f ca="1">IF(O$5="Doyon Notional Allocation",0,IF($C119&lt;&gt;O$3,OFFSET('Allocation %'!$A$1,MATCH(O$4,'Allocation %'!$A:$A,0)-1,MATCH($D119,'Allocation %'!$5:$5,0)-1)*($F59-$G59)*'2020 Assumptions'!$B$20,0))</f>
        <v>0</v>
      </c>
      <c r="P119" s="73">
        <f ca="1">IF(P$5="Doyon Notional Allocation",0,IF($C119&lt;&gt;P$3,OFFSET('Allocation %'!$A$1,MATCH(P$4,'Allocation %'!$A:$A,0)-1,MATCH($D119,'Allocation %'!$5:$5,0)-1)*($F59-$G59)*'2020 Assumptions'!$B$20,0))</f>
        <v>0</v>
      </c>
      <c r="Q119" s="73">
        <f ca="1">IF(Q$5="Doyon Notional Allocation",0,IF($C119&lt;&gt;Q$3,OFFSET('Allocation %'!$A$1,MATCH(Q$4,'Allocation %'!$A:$A,0)-1,MATCH($D119,'Allocation %'!$5:$5,0)-1)*($F59-$G59)*'2020 Assumptions'!$B$20,0))</f>
        <v>0</v>
      </c>
      <c r="R119" s="73">
        <f ca="1">IF(R$5="Doyon Notional Allocation",0,IF($C119&lt;&gt;R$3,OFFSET('Allocation %'!$A$1,MATCH(R$4,'Allocation %'!$A:$A,0)-1,MATCH($D119,'Allocation %'!$5:$5,0)-1)*($F59-$G59)*'2020 Assumptions'!$B$20,0))</f>
        <v>0</v>
      </c>
      <c r="S119" s="73">
        <f ca="1">IF(S$5="Doyon Notional Allocation",0,IF($C119&lt;&gt;S$3,OFFSET('Allocation %'!$A$1,MATCH(S$4,'Allocation %'!$A:$A,0)-1,MATCH($D119,'Allocation %'!$5:$5,0)-1)*($F59-$G59)*'2020 Assumptions'!$B$20,0))</f>
        <v>0</v>
      </c>
      <c r="T119" s="73">
        <f ca="1">IF(T$5="Doyon Notional Allocation",0,IF($C119&lt;&gt;T$3,OFFSET('Allocation %'!$A$1,MATCH(T$4,'Allocation %'!$A:$A,0)-1,MATCH($D119,'Allocation %'!$5:$5,0)-1)*($F59-$G59)*'2020 Assumptions'!$B$20,0))</f>
        <v>0</v>
      </c>
      <c r="U119" s="73">
        <f ca="1">IF(U$5="Doyon Notional Allocation",0,IF($C119&lt;&gt;U$3,OFFSET('Allocation %'!$A$1,MATCH(U$4,'Allocation %'!$A:$A,0)-1,MATCH($D119,'Allocation %'!$5:$5,0)-1)*($F59-$G59)*'2020 Assumptions'!$B$20,0))</f>
        <v>0</v>
      </c>
      <c r="V119" s="73">
        <f ca="1">IF(V$5="Doyon Notional Allocation",0,IF($C119&lt;&gt;V$3,OFFSET('Allocation %'!$A$1,MATCH(V$4,'Allocation %'!$A:$A,0)-1,MATCH($D119,'Allocation %'!$5:$5,0)-1)*($F59-$G59)*'2020 Assumptions'!$B$20,0))</f>
        <v>0</v>
      </c>
      <c r="W119" s="73">
        <f ca="1">IF(W$5="Doyon Notional Allocation",0,IF($C119&lt;&gt;W$3,OFFSET('Allocation %'!$A$1,MATCH(W$4,'Allocation %'!$A:$A,0)-1,MATCH($D119,'Allocation %'!$5:$5,0)-1)*($F59-$G59)*'2020 Assumptions'!$B$20,0))</f>
        <v>0</v>
      </c>
      <c r="X119" s="73">
        <f ca="1">IF(X$5="Doyon Notional Allocation",0,IF($C119&lt;&gt;X$3,OFFSET('Allocation %'!$A$1,MATCH(X$4,'Allocation %'!$A:$A,0)-1,MATCH($D119,'Allocation %'!$5:$5,0)-1)*($F59-$G59)*'2020 Assumptions'!$B$20,0))</f>
        <v>0</v>
      </c>
      <c r="Y119" s="73">
        <f ca="1">IF(Y$5="Doyon Notional Allocation",0,IF($C119&lt;&gt;Y$3,OFFSET('Allocation %'!$A$1,MATCH(Y$4,'Allocation %'!$A:$A,0)-1,MATCH($D119,'Allocation %'!$5:$5,0)-1)*($F59-$G59)*'2020 Assumptions'!$B$20,0))</f>
        <v>0</v>
      </c>
      <c r="Z119" s="73">
        <f ca="1">IF(Z$5="Doyon Notional Allocation",0,IF($C119&lt;&gt;Z$3,OFFSET('Allocation %'!$A$1,MATCH(Z$4,'Allocation %'!$A:$A,0)-1,MATCH($D119,'Allocation %'!$5:$5,0)-1)*($F59-$G59)*'2020 Assumptions'!$B$20,0))</f>
        <v>0</v>
      </c>
      <c r="AA119" s="73">
        <f ca="1">IF(AA$5="Doyon Notional Allocation",0,IF($C119&lt;&gt;AA$3,OFFSET('Allocation %'!$A$1,MATCH(AA$4,'Allocation %'!$A:$A,0)-1,MATCH($D119,'Allocation %'!$5:$5,0)-1)*($F59-$G59)*'2020 Assumptions'!$B$20,0))</f>
        <v>0</v>
      </c>
      <c r="AB119" s="73">
        <f ca="1">IF(AB$5="Doyon Notional Allocation",0,IF($C119&lt;&gt;AB$3,OFFSET('Allocation %'!$A$1,MATCH(AB$4,'Allocation %'!$A:$A,0)-1,MATCH($D119,'Allocation %'!$5:$5,0)-1)*($F59-$G59)*'2020 Assumptions'!$B$20,0))</f>
        <v>0</v>
      </c>
      <c r="AC119" s="73">
        <f ca="1">IF(AC$5="Doyon Notional Allocation",0,IF($C119&lt;&gt;AC$3,OFFSET('Allocation %'!$A$1,MATCH(AC$4,'Allocation %'!$A:$A,0)-1,MATCH($D119,'Allocation %'!$5:$5,0)-1)*($F59-$G59)*'2020 Assumptions'!$B$20,0))</f>
        <v>0</v>
      </c>
      <c r="AD119" s="73">
        <f ca="1">IF(AD$5="Doyon Notional Allocation",0,IF($C119&lt;&gt;AD$3,OFFSET('Allocation %'!$A$1,MATCH(AD$4,'Allocation %'!$A:$A,0)-1,MATCH($D119,'Allocation %'!$5:$5,0)-1)*($F59-$G59)*'2020 Assumptions'!$B$20,0))</f>
        <v>0</v>
      </c>
      <c r="AE119" s="73">
        <f ca="1">IF(AE$5="Doyon Notional Allocation",0,IF($C119&lt;&gt;AE$3,OFFSET('Allocation %'!$A$1,MATCH(AE$4,'Allocation %'!$A:$A,0)-1,MATCH($D119,'Allocation %'!$5:$5,0)-1)*($F59-$G59)*'2020 Assumptions'!$B$20,0))</f>
        <v>0</v>
      </c>
      <c r="AF119" s="73">
        <f ca="1">IF(AF$5="Doyon Notional Allocation",0,IF($C119&lt;&gt;AF$3,OFFSET('Allocation %'!$A$1,MATCH(AF$4,'Allocation %'!$A:$A,0)-1,MATCH($D119,'Allocation %'!$5:$5,0)-1)*($F59-$G59)*'2020 Assumptions'!$B$20,0))</f>
        <v>0</v>
      </c>
      <c r="AG119" s="73">
        <f ca="1">IF(AG$5="Doyon Notional Allocation",0,IF($C119&lt;&gt;AG$3,OFFSET('Allocation %'!$A$1,MATCH(AG$4,'Allocation %'!$A:$A,0)-1,MATCH($D119,'Allocation %'!$5:$5,0)-1)*($F59-$G59)*'2020 Assumptions'!$B$20,0))</f>
        <v>0</v>
      </c>
      <c r="AH119" s="73">
        <f ca="1">IF(AH$5="Doyon Notional Allocation",0,IF($C119&lt;&gt;AH$3,OFFSET('Allocation %'!$A$1,MATCH(AH$4,'Allocation %'!$A:$A,0)-1,MATCH($D119,'Allocation %'!$5:$5,0)-1)*($F59-$G59)*'2020 Assumptions'!$B$20,0))</f>
        <v>0</v>
      </c>
      <c r="AI119" s="73">
        <f ca="1">IF(AI$5="Doyon Notional Allocation",0,IF($C119&lt;&gt;AI$3,OFFSET('Allocation %'!$A$1,MATCH(AI$4,'Allocation %'!$A:$A,0)-1,MATCH($D119,'Allocation %'!$5:$5,0)-1)*($F59-$G59)*'2020 Assumptions'!$B$20,0))</f>
        <v>0</v>
      </c>
      <c r="AJ119" s="73">
        <f ca="1">IF(AJ$5="Doyon Notional Allocation",0,IF($C119&lt;&gt;AJ$3,OFFSET('Allocation %'!$A$1,MATCH(AJ$4,'Allocation %'!$A:$A,0)-1,MATCH($D119,'Allocation %'!$5:$5,0)-1)*($F59-$G59)*'2020 Assumptions'!$B$20,0))</f>
        <v>0</v>
      </c>
      <c r="AK119" s="73">
        <f ca="1">IF(AK$5="Doyon Notional Allocation",0,IF($C119&lt;&gt;AK$3,OFFSET('Allocation %'!$A$1,MATCH(AK$4,'Allocation %'!$A:$A,0)-1,MATCH($D119,'Allocation %'!$5:$5,0)-1)*($F59-$G59)*'2020 Assumptions'!$B$20,0))</f>
        <v>0</v>
      </c>
      <c r="AL119" s="73">
        <f ca="1">IF(AL$5="Doyon Notional Allocation",0,IF($C119&lt;&gt;AL$3,OFFSET('Allocation %'!$A$1,MATCH(AL$4,'Allocation %'!$A:$A,0)-1,MATCH($D119,'Allocation %'!$5:$5,0)-1)*($F59-$G59)*'2020 Assumptions'!$B$20,0))</f>
        <v>0</v>
      </c>
      <c r="AM119" s="73">
        <f ca="1">IF(AM$5="Doyon Notional Allocation",0,IF($C119&lt;&gt;AM$3,OFFSET('Allocation %'!$A$1,MATCH(AM$4,'Allocation %'!$A:$A,0)-1,MATCH($D119,'Allocation %'!$5:$5,0)-1)*($F59-$G59)*'2020 Assumptions'!$B$20,0))</f>
        <v>0</v>
      </c>
      <c r="AN119" s="73">
        <f ca="1">IF(AN$5="Doyon Notional Allocation",0,IF($C119&lt;&gt;AN$3,OFFSET('Allocation %'!$A$1,MATCH(AN$4,'Allocation %'!$A:$A,0)-1,MATCH($D119,'Allocation %'!$5:$5,0)-1)*($F59-$G59)*'2020 Assumptions'!$B$20,0))</f>
        <v>0</v>
      </c>
      <c r="AO119" s="73">
        <f ca="1">IF(AO$5="Doyon Notional Allocation",0,IF($C119&lt;&gt;AO$3,OFFSET('Allocation %'!$A$1,MATCH(AO$4,'Allocation %'!$A:$A,0)-1,MATCH($D119,'Allocation %'!$5:$5,0)-1)*($F59-$G59)*'2020 Assumptions'!$B$20,0))</f>
        <v>0</v>
      </c>
      <c r="AP119" s="73">
        <f ca="1">IF(AP$5="Doyon Notional Allocation",0,IF($C119&lt;&gt;AP$3,OFFSET('Allocation %'!$A$1,MATCH(AP$4,'Allocation %'!$A:$A,0)-1,MATCH($D119,'Allocation %'!$5:$5,0)-1)*($F59-$G59)*'2020 Assumptions'!$B$20,0))</f>
        <v>0</v>
      </c>
      <c r="AQ119" s="73">
        <f ca="1">IF(AQ$5="Doyon Notional Allocation",0,IF($C119&lt;&gt;AQ$3,OFFSET('Allocation %'!$A$1,MATCH(AQ$4,'Allocation %'!$A:$A,0)-1,MATCH($D119,'Allocation %'!$5:$5,0)-1)*($F59-$G59)*'2020 Assumptions'!$B$20,0))</f>
        <v>0</v>
      </c>
      <c r="AR119" s="73">
        <f ca="1">IF(AR$5="Doyon Notional Allocation",0,IF($C119&lt;&gt;AR$3,OFFSET('Allocation %'!$A$1,MATCH(AR$4,'Allocation %'!$A:$A,0)-1,MATCH($D119,'Allocation %'!$5:$5,0)-1)*($F59-$G59)*'2020 Assumptions'!$B$20,0))</f>
        <v>0</v>
      </c>
      <c r="AS119" s="73">
        <f ca="1">IF(AS$5="Doyon Notional Allocation",0,IF($C119&lt;&gt;AS$3,OFFSET('Allocation %'!$A$1,MATCH(AS$4,'Allocation %'!$A:$A,0)-1,MATCH($D119,'Allocation %'!$5:$5,0)-1)*($F59-$G59)*'2020 Assumptions'!$B$20,0))</f>
        <v>0</v>
      </c>
      <c r="AT119" s="73">
        <f ca="1">IF(AT$5="Doyon Notional Allocation",0,IF($C119&lt;&gt;AT$3,OFFSET('Allocation %'!$A$1,MATCH(AT$4,'Allocation %'!$A:$A,0)-1,MATCH($D119,'Allocation %'!$5:$5,0)-1)*($F59-$G59)*'2020 Assumptions'!$B$20,0))</f>
        <v>0</v>
      </c>
      <c r="AU119" s="73">
        <f ca="1">IF(AU$5="Doyon Notional Allocation",0,IF($C119&lt;&gt;AU$3,OFFSET('Allocation %'!$A$1,MATCH(AU$4,'Allocation %'!$A:$A,0)-1,MATCH($D119,'Allocation %'!$5:$5,0)-1)*($F59-$G59)*'2020 Assumptions'!$B$20,0))</f>
        <v>0</v>
      </c>
      <c r="AV119" s="73">
        <f ca="1">IF(AV$5="Doyon Notional Allocation",0,IF($C119&lt;&gt;AV$3,OFFSET('Allocation %'!$A$1,MATCH(AV$4,'Allocation %'!$A:$A,0)-1,MATCH($D119,'Allocation %'!$5:$5,0)-1)*($F59-$G59)*'2020 Assumptions'!$B$20,0))</f>
        <v>0</v>
      </c>
      <c r="AW119" s="73">
        <f ca="1">IF(AW$5="Doyon Notional Allocation",0,IF($C119&lt;&gt;AW$3,OFFSET('Allocation %'!$A$1,MATCH(AW$4,'Allocation %'!$A:$A,0)-1,MATCH($D119,'Allocation %'!$5:$5,0)-1)*($F59-$G59)*'2020 Assumptions'!$B$20,0))</f>
        <v>0</v>
      </c>
      <c r="AX119" s="73">
        <f ca="1">IF(AX$5="Doyon Notional Allocation",0,IF($C119&lt;&gt;AX$3,OFFSET('Allocation %'!$A$1,MATCH(AX$4,'Allocation %'!$A:$A,0)-1,MATCH($D119,'Allocation %'!$5:$5,0)-1)*($F59-$G59)*'2020 Assumptions'!$B$20,0))</f>
        <v>0</v>
      </c>
      <c r="AY119" s="73">
        <f ca="1">IF(AY$5="Doyon Notional Allocation",0,IF($C119&lt;&gt;AY$3,OFFSET('Allocation %'!$A$1,MATCH(AY$4,'Allocation %'!$A:$A,0)-1,MATCH($D119,'Allocation %'!$5:$5,0)-1)*($F59-$G59)*'2020 Assumptions'!$B$20,0))</f>
        <v>0</v>
      </c>
      <c r="AZ119" s="73">
        <f ca="1">IF(AZ$5="Doyon Notional Allocation",0,IF($C119&lt;&gt;AZ$3,OFFSET('Allocation %'!$A$1,MATCH(AZ$4,'Allocation %'!$A:$A,0)-1,MATCH($D119,'Allocation %'!$5:$5,0)-1)*($F59-$G59)*'2020 Assumptions'!$B$20,0))</f>
        <v>0</v>
      </c>
      <c r="BA119" s="73">
        <f ca="1">IF(BA$5="Doyon Notional Allocation",0,IF($C119&lt;&gt;BA$3,OFFSET('Allocation %'!$A$1,MATCH(BA$4,'Allocation %'!$A:$A,0)-1,MATCH($D119,'Allocation %'!$5:$5,0)-1)*($F59-$G59)*'2020 Assumptions'!$B$20,0))</f>
        <v>0</v>
      </c>
      <c r="BB119" s="73">
        <f ca="1">IF(BB$5="Doyon Notional Allocation",0,IF($C119&lt;&gt;BB$3,OFFSET('Allocation %'!$A$1,MATCH(BB$4,'Allocation %'!$A:$A,0)-1,MATCH($D119,'Allocation %'!$5:$5,0)-1)*($F59-$G59)*'2020 Assumptions'!$B$20,0))</f>
        <v>0</v>
      </c>
      <c r="BC119" s="73">
        <f ca="1">IF(BC$5="Doyon Notional Allocation",0,IF($C119&lt;&gt;BC$3,OFFSET('Allocation %'!$A$1,MATCH(BC$4,'Allocation %'!$A:$A,0)-1,MATCH($D119,'Allocation %'!$5:$5,0)-1)*($F59-$G59)*'2020 Assumptions'!$B$20,0))</f>
        <v>0</v>
      </c>
      <c r="BD119" s="73">
        <f ca="1">IF(BD$5="Doyon Notional Allocation",0,IF($C119&lt;&gt;BD$3,OFFSET('Allocation %'!$A$1,MATCH(BD$4,'Allocation %'!$A:$A,0)-1,MATCH($D119,'Allocation %'!$5:$5,0)-1)*($F59-$G59)*'2020 Assumptions'!$B$20,0))</f>
        <v>0</v>
      </c>
      <c r="BE119" s="73">
        <f ca="1">IF(BE$5="Doyon Notional Allocation",0,IF($C119&lt;&gt;BE$3,OFFSET('Allocation %'!$A$1,MATCH(BE$4,'Allocation %'!$A:$A,0)-1,MATCH($D119,'Allocation %'!$5:$5,0)-1)*($F59-$G59)*'2020 Assumptions'!$B$20,0))</f>
        <v>0</v>
      </c>
      <c r="BG119" s="76">
        <f t="shared" ca="1" si="9"/>
        <v>0</v>
      </c>
      <c r="BH119" s="349">
        <f t="shared" ca="1" si="10"/>
        <v>0</v>
      </c>
    </row>
    <row r="120" spans="1:62" s="177" customFormat="1" x14ac:dyDescent="0.25">
      <c r="A120" s="139" t="s">
        <v>419</v>
      </c>
      <c r="B120" s="259" t="str">
        <f t="shared" si="19"/>
        <v>009160 - Transformation Mark up</v>
      </c>
      <c r="C120" s="69" t="str">
        <f t="shared" si="20"/>
        <v>USD</v>
      </c>
      <c r="D120" s="352" t="str">
        <f t="shared" ca="1" si="20"/>
        <v>ALL</v>
      </c>
      <c r="E120" s="73">
        <f ca="1">F120*'2020 Assumptions'!$B$4</f>
        <v>128.01034020055604</v>
      </c>
      <c r="F120" s="317">
        <f t="shared" ca="1" si="11"/>
        <v>95.231617468052406</v>
      </c>
      <c r="G120" s="73"/>
      <c r="I120" s="73">
        <f ca="1">IF(I$5="Doyon Notional Allocation",0,IF($C120&lt;&gt;I$3,OFFSET('Allocation %'!$A$1,MATCH(I$4,'Allocation %'!$A:$A,0)-1,MATCH($D120,'Allocation %'!$5:$5,0)-1)*($F60-$G60)*'2020 Assumptions'!$B$20,0))</f>
        <v>0</v>
      </c>
      <c r="J120" s="73">
        <f ca="1">IF(J$5="Doyon Notional Allocation",0,IF($C120&lt;&gt;J$3,OFFSET('Allocation %'!$A$1,MATCH(J$4,'Allocation %'!$A:$A,0)-1,MATCH($D120,'Allocation %'!$5:$5,0)-1)*($F60-$G60)*'2020 Assumptions'!$B$20,0))</f>
        <v>2.1912466592961737</v>
      </c>
      <c r="K120" s="73">
        <f ca="1">IF(K$5="Doyon Notional Allocation",0,IF($C120&lt;&gt;K$3,OFFSET('Allocation %'!$A$1,MATCH(K$4,'Allocation %'!$A:$A,0)-1,MATCH($D120,'Allocation %'!$5:$5,0)-1)*($F60-$G60)*'2020 Assumptions'!$B$20,0))</f>
        <v>0.68984982206479972</v>
      </c>
      <c r="L120" s="73">
        <f ca="1">IF(L$5="Doyon Notional Allocation",0,IF($C120&lt;&gt;L$3,OFFSET('Allocation %'!$A$1,MATCH(L$4,'Allocation %'!$A:$A,0)-1,MATCH($D120,'Allocation %'!$5:$5,0)-1)*($F60-$G60)*'2020 Assumptions'!$B$20,0))</f>
        <v>0.74565159578229578</v>
      </c>
      <c r="M120" s="73">
        <f ca="1">IF(M$5="Doyon Notional Allocation",0,IF($C120&lt;&gt;M$3,OFFSET('Allocation %'!$A$1,MATCH(M$4,'Allocation %'!$A:$A,0)-1,MATCH($D120,'Allocation %'!$5:$5,0)-1)*($F60-$G60)*'2020 Assumptions'!$B$20,0))</f>
        <v>1.2138859685461501</v>
      </c>
      <c r="N120" s="73">
        <f ca="1">IF(N$5="Doyon Notional Allocation",0,IF($C120&lt;&gt;N$3,OFFSET('Allocation %'!$A$1,MATCH(N$4,'Allocation %'!$A:$A,0)-1,MATCH($D120,'Allocation %'!$5:$5,0)-1)*($F60-$G60)*'2020 Assumptions'!$B$20,0))</f>
        <v>1.062246433992954</v>
      </c>
      <c r="O120" s="73">
        <f ca="1">IF(O$5="Doyon Notional Allocation",0,IF($C120&lt;&gt;O$3,OFFSET('Allocation %'!$A$1,MATCH(O$4,'Allocation %'!$A:$A,0)-1,MATCH($D120,'Allocation %'!$5:$5,0)-1)*($F60-$G60)*'2020 Assumptions'!$B$20,0))</f>
        <v>2.4835519801618138</v>
      </c>
      <c r="P120" s="73">
        <f ca="1">IF(P$5="Doyon Notional Allocation",0,IF($C120&lt;&gt;P$3,OFFSET('Allocation %'!$A$1,MATCH(P$4,'Allocation %'!$A:$A,0)-1,MATCH($D120,'Allocation %'!$5:$5,0)-1)*($F60-$G60)*'2020 Assumptions'!$B$20,0))</f>
        <v>0.36061999735212014</v>
      </c>
      <c r="Q120" s="73">
        <f ca="1">IF(Q$5="Doyon Notional Allocation",0,IF($C120&lt;&gt;Q$3,OFFSET('Allocation %'!$A$1,MATCH(Q$4,'Allocation %'!$A:$A,0)-1,MATCH($D120,'Allocation %'!$5:$5,0)-1)*($F60-$G60)*'2020 Assumptions'!$B$20,0))</f>
        <v>0.78697078292393041</v>
      </c>
      <c r="R120" s="73">
        <f ca="1">IF(R$5="Doyon Notional Allocation",0,IF($C120&lt;&gt;R$3,OFFSET('Allocation %'!$A$1,MATCH(R$4,'Allocation %'!$A:$A,0)-1,MATCH($D120,'Allocation %'!$5:$5,0)-1)*($F60-$G60)*'2020 Assumptions'!$B$20,0))</f>
        <v>0.7263022018701597</v>
      </c>
      <c r="S120" s="73">
        <f ca="1">IF(S$5="Doyon Notional Allocation",0,IF($C120&lt;&gt;S$3,OFFSET('Allocation %'!$A$1,MATCH(S$4,'Allocation %'!$A:$A,0)-1,MATCH($D120,'Allocation %'!$5:$5,0)-1)*($F60-$G60)*'2020 Assumptions'!$B$20,0))</f>
        <v>0.6985795144972009</v>
      </c>
      <c r="T120" s="73">
        <f ca="1">IF(T$5="Doyon Notional Allocation",0,IF($C120&lt;&gt;T$3,OFFSET('Allocation %'!$A$1,MATCH(T$4,'Allocation %'!$A:$A,0)-1,MATCH($D120,'Allocation %'!$5:$5,0)-1)*($F60-$G60)*'2020 Assumptions'!$B$20,0))</f>
        <v>2.5072699075556204</v>
      </c>
      <c r="U120" s="73">
        <f ca="1">IF(U$5="Doyon Notional Allocation",0,IF($C120&lt;&gt;U$3,OFFSET('Allocation %'!$A$1,MATCH(U$4,'Allocation %'!$A:$A,0)-1,MATCH($D120,'Allocation %'!$5:$5,0)-1)*($F60-$G60)*'2020 Assumptions'!$B$20,0))</f>
        <v>1.6037776189047701</v>
      </c>
      <c r="V120" s="73">
        <f ca="1">IF(V$5="Doyon Notional Allocation",0,IF($C120&lt;&gt;V$3,OFFSET('Allocation %'!$A$1,MATCH(V$4,'Allocation %'!$A:$A,0)-1,MATCH($D120,'Allocation %'!$5:$5,0)-1)*($F60-$G60)*'2020 Assumptions'!$B$20,0))</f>
        <v>1.7020531816360056</v>
      </c>
      <c r="W120" s="73">
        <f ca="1">IF(W$5="Doyon Notional Allocation",0,IF($C120&lt;&gt;W$3,OFFSET('Allocation %'!$A$1,MATCH(W$4,'Allocation %'!$A:$A,0)-1,MATCH($D120,'Allocation %'!$5:$5,0)-1)*($F60-$G60)*'2020 Assumptions'!$B$20,0))</f>
        <v>2.756377194948358</v>
      </c>
      <c r="X120" s="73">
        <f ca="1">IF(X$5="Doyon Notional Allocation",0,IF($C120&lt;&gt;X$3,OFFSET('Allocation %'!$A$1,MATCH(X$4,'Allocation %'!$A:$A,0)-1,MATCH($D120,'Allocation %'!$5:$5,0)-1)*($F60-$G60)*'2020 Assumptions'!$B$20,0))</f>
        <v>6.3839645023119923E-2</v>
      </c>
      <c r="Y120" s="73">
        <f ca="1">IF(Y$5="Doyon Notional Allocation",0,IF($C120&lt;&gt;Y$3,OFFSET('Allocation %'!$A$1,MATCH(Y$4,'Allocation %'!$A:$A,0)-1,MATCH($D120,'Allocation %'!$5:$5,0)-1)*($F60-$G60)*'2020 Assumptions'!$B$20,0))</f>
        <v>5.037334530762199E-2</v>
      </c>
      <c r="Z120" s="73">
        <f ca="1">IF(Z$5="Doyon Notional Allocation",0,IF($C120&lt;&gt;Z$3,OFFSET('Allocation %'!$A$1,MATCH(Z$4,'Allocation %'!$A:$A,0)-1,MATCH($D120,'Allocation %'!$5:$5,0)-1)*($F60-$G60)*'2020 Assumptions'!$B$20,0))</f>
        <v>0.14689678039685786</v>
      </c>
      <c r="AA120" s="73">
        <f ca="1">IF(AA$5="Doyon Notional Allocation",0,IF($C120&lt;&gt;AA$3,OFFSET('Allocation %'!$A$1,MATCH(AA$4,'Allocation %'!$A:$A,0)-1,MATCH($D120,'Allocation %'!$5:$5,0)-1)*($F60-$G60)*'2020 Assumptions'!$B$20,0))</f>
        <v>0.13403187486471246</v>
      </c>
      <c r="AB120" s="73">
        <f ca="1">IF(AB$5="Doyon Notional Allocation",0,IF($C120&lt;&gt;AB$3,OFFSET('Allocation %'!$A$1,MATCH(AB$4,'Allocation %'!$A:$A,0)-1,MATCH($D120,'Allocation %'!$5:$5,0)-1)*($F60-$G60)*'2020 Assumptions'!$B$20,0))</f>
        <v>0.12969307124456453</v>
      </c>
      <c r="AC120" s="73">
        <f ca="1">IF(AC$5="Doyon Notional Allocation",0,IF($C120&lt;&gt;AC$3,OFFSET('Allocation %'!$A$1,MATCH(AC$4,'Allocation %'!$A:$A,0)-1,MATCH($D120,'Allocation %'!$5:$5,0)-1)*($F60-$G60)*'2020 Assumptions'!$B$20,0))</f>
        <v>0.14672000324769383</v>
      </c>
      <c r="AD120" s="73">
        <f ca="1">IF(AD$5="Doyon Notional Allocation",0,IF($C120&lt;&gt;AD$3,OFFSET('Allocation %'!$A$1,MATCH(AD$4,'Allocation %'!$A:$A,0)-1,MATCH($D120,'Allocation %'!$5:$5,0)-1)*($F60-$G60)*'2020 Assumptions'!$B$20,0))</f>
        <v>0.32422692108035434</v>
      </c>
      <c r="AE120" s="73">
        <f ca="1">IF(AE$5="Doyon Notional Allocation",0,IF($C120&lt;&gt;AE$3,OFFSET('Allocation %'!$A$1,MATCH(AE$4,'Allocation %'!$A:$A,0)-1,MATCH($D120,'Allocation %'!$5:$5,0)-1)*($F60-$G60)*'2020 Assumptions'!$B$20,0))</f>
        <v>0.31036980804723657</v>
      </c>
      <c r="AF120" s="73">
        <f ca="1">IF(AF$5="Doyon Notional Allocation",0,IF($C120&lt;&gt;AF$3,OFFSET('Allocation %'!$A$1,MATCH(AF$4,'Allocation %'!$A:$A,0)-1,MATCH($D120,'Allocation %'!$5:$5,0)-1)*($F60-$G60)*'2020 Assumptions'!$B$20,0))</f>
        <v>1.5301246468530545</v>
      </c>
      <c r="AG120" s="73">
        <f ca="1">IF(AG$5="Doyon Notional Allocation",0,IF($C120&lt;&gt;AG$3,OFFSET('Allocation %'!$A$1,MATCH(AG$4,'Allocation %'!$A:$A,0)-1,MATCH($D120,'Allocation %'!$5:$5,0)-1)*($F60-$G60)*'2020 Assumptions'!$B$20,0))</f>
        <v>2.4080850013037773</v>
      </c>
      <c r="AH120" s="73">
        <f ca="1">IF(AH$5="Doyon Notional Allocation",0,IF($C120&lt;&gt;AH$3,OFFSET('Allocation %'!$A$1,MATCH(AH$4,'Allocation %'!$A:$A,0)-1,MATCH($D120,'Allocation %'!$5:$5,0)-1)*($F60-$G60)*'2020 Assumptions'!$B$20,0))</f>
        <v>21.300119222121324</v>
      </c>
      <c r="AI120" s="73">
        <f ca="1">IF(AI$5="Doyon Notional Allocation",0,IF($C120&lt;&gt;AI$3,OFFSET('Allocation %'!$A$1,MATCH(AI$4,'Allocation %'!$A:$A,0)-1,MATCH($D120,'Allocation %'!$5:$5,0)-1)*($F60-$G60)*'2020 Assumptions'!$B$20,0))</f>
        <v>0.12650765400102326</v>
      </c>
      <c r="AJ120" s="73">
        <f ca="1">IF(AJ$5="Doyon Notional Allocation",0,IF($C120&lt;&gt;AJ$3,OFFSET('Allocation %'!$A$1,MATCH(AJ$4,'Allocation %'!$A:$A,0)-1,MATCH($D120,'Allocation %'!$5:$5,0)-1)*($F60-$G60)*'2020 Assumptions'!$B$20,0))</f>
        <v>2.9628440479647553</v>
      </c>
      <c r="AK120" s="73">
        <f ca="1">IF(AK$5="Doyon Notional Allocation",0,IF($C120&lt;&gt;AK$3,OFFSET('Allocation %'!$A$1,MATCH(AK$4,'Allocation %'!$A:$A,0)-1,MATCH($D120,'Allocation %'!$5:$5,0)-1)*($F60-$G60)*'2020 Assumptions'!$B$20,0))</f>
        <v>2.6664788831654023</v>
      </c>
      <c r="AL120" s="73">
        <f ca="1">IF(AL$5="Doyon Notional Allocation",0,IF($C120&lt;&gt;AL$3,OFFSET('Allocation %'!$A$1,MATCH(AL$4,'Allocation %'!$A:$A,0)-1,MATCH($D120,'Allocation %'!$5:$5,0)-1)*($F60-$G60)*'2020 Assumptions'!$B$20,0))</f>
        <v>0</v>
      </c>
      <c r="AM120" s="73">
        <f ca="1">IF(AM$5="Doyon Notional Allocation",0,IF($C120&lt;&gt;AM$3,OFFSET('Allocation %'!$A$1,MATCH(AM$4,'Allocation %'!$A:$A,0)-1,MATCH($D120,'Allocation %'!$5:$5,0)-1)*($F60-$G60)*'2020 Assumptions'!$B$20,0))</f>
        <v>0.34959935499313183</v>
      </c>
      <c r="AN120" s="73">
        <f ca="1">IF(AN$5="Doyon Notional Allocation",0,IF($C120&lt;&gt;AN$3,OFFSET('Allocation %'!$A$1,MATCH(AN$4,'Allocation %'!$A:$A,0)-1,MATCH($D120,'Allocation %'!$5:$5,0)-1)*($F60-$G60)*'2020 Assumptions'!$B$20,0))</f>
        <v>0</v>
      </c>
      <c r="AO120" s="73">
        <f ca="1">IF(AO$5="Doyon Notional Allocation",0,IF($C120&lt;&gt;AO$3,OFFSET('Allocation %'!$A$1,MATCH(AO$4,'Allocation %'!$A:$A,0)-1,MATCH($D120,'Allocation %'!$5:$5,0)-1)*($F60-$G60)*'2020 Assumptions'!$B$20,0))</f>
        <v>2.8747424088745932</v>
      </c>
      <c r="AP120" s="73">
        <f ca="1">IF(AP$5="Doyon Notional Allocation",0,IF($C120&lt;&gt;AP$3,OFFSET('Allocation %'!$A$1,MATCH(AP$4,'Allocation %'!$A:$A,0)-1,MATCH($D120,'Allocation %'!$5:$5,0)-1)*($F60-$G60)*'2020 Assumptions'!$B$20,0))</f>
        <v>0.59739982082262777</v>
      </c>
      <c r="AQ120" s="73">
        <f ca="1">IF(AQ$5="Doyon Notional Allocation",0,IF($C120&lt;&gt;AQ$3,OFFSET('Allocation %'!$A$1,MATCH(AQ$4,'Allocation %'!$A:$A,0)-1,MATCH($D120,'Allocation %'!$5:$5,0)-1)*($F60-$G60)*'2020 Assumptions'!$B$20,0))</f>
        <v>2.6419391930574694</v>
      </c>
      <c r="AR120" s="73">
        <f ca="1">IF(AR$5="Doyon Notional Allocation",0,IF($C120&lt;&gt;AR$3,OFFSET('Allocation %'!$A$1,MATCH(AR$4,'Allocation %'!$A:$A,0)-1,MATCH($D120,'Allocation %'!$5:$5,0)-1)*($F60-$G60)*'2020 Assumptions'!$B$20,0))</f>
        <v>6.6295073199891225E-2</v>
      </c>
      <c r="AS120" s="73">
        <f ca="1">IF(AS$5="Doyon Notional Allocation",0,IF($C120&lt;&gt;AS$3,OFFSET('Allocation %'!$A$1,MATCH(AS$4,'Allocation %'!$A:$A,0)-1,MATCH($D120,'Allocation %'!$5:$5,0)-1)*($F60-$G60)*'2020 Assumptions'!$B$20,0))</f>
        <v>4.8560472374439385</v>
      </c>
      <c r="AT120" s="73">
        <f ca="1">IF(AT$5="Doyon Notional Allocation",0,IF($C120&lt;&gt;AT$3,OFFSET('Allocation %'!$A$1,MATCH(AT$4,'Allocation %'!$A:$A,0)-1,MATCH($D120,'Allocation %'!$5:$5,0)-1)*($F60-$G60)*'2020 Assumptions'!$B$20,0))</f>
        <v>2.8592590858216473</v>
      </c>
      <c r="AU120" s="73">
        <f ca="1">IF(AU$5="Doyon Notional Allocation",0,IF($C120&lt;&gt;AU$3,OFFSET('Allocation %'!$A$1,MATCH(AU$4,'Allocation %'!$A:$A,0)-1,MATCH($D120,'Allocation %'!$5:$5,0)-1)*($F60-$G60)*'2020 Assumptions'!$B$20,0))</f>
        <v>3.4177064634406755</v>
      </c>
      <c r="AV120" s="73">
        <f ca="1">IF(AV$5="Doyon Notional Allocation",0,IF($C120&lt;&gt;AV$3,OFFSET('Allocation %'!$A$1,MATCH(AV$4,'Allocation %'!$A:$A,0)-1,MATCH($D120,'Allocation %'!$5:$5,0)-1)*($F60-$G60)*'2020 Assumptions'!$B$20,0))</f>
        <v>5.2651912556187526</v>
      </c>
      <c r="AW120" s="73">
        <f ca="1">IF(AW$5="Doyon Notional Allocation",0,IF($C120&lt;&gt;AW$3,OFFSET('Allocation %'!$A$1,MATCH(AW$4,'Allocation %'!$A:$A,0)-1,MATCH($D120,'Allocation %'!$5:$5,0)-1)*($F60-$G60)*'2020 Assumptions'!$B$20,0))</f>
        <v>20.123706546819417</v>
      </c>
      <c r="AX120" s="73">
        <f ca="1">IF(AX$5="Doyon Notional Allocation",0,IF($C120&lt;&gt;AX$3,OFFSET('Allocation %'!$A$1,MATCH(AX$4,'Allocation %'!$A:$A,0)-1,MATCH($D120,'Allocation %'!$5:$5,0)-1)*($F60-$G60)*'2020 Assumptions'!$B$20,0))</f>
        <v>0.35103726380640266</v>
      </c>
      <c r="AY120" s="73">
        <f ca="1">IF(AY$5="Doyon Notional Allocation",0,IF($C120&lt;&gt;AY$3,OFFSET('Allocation %'!$A$1,MATCH(AY$4,'Allocation %'!$A:$A,0)-1,MATCH($D120,'Allocation %'!$5:$5,0)-1)*($F60-$G60)*'2020 Assumptions'!$B$20,0))</f>
        <v>0</v>
      </c>
      <c r="AZ120" s="73">
        <f ca="1">IF(AZ$5="Doyon Notional Allocation",0,IF($C120&lt;&gt;AZ$3,OFFSET('Allocation %'!$A$1,MATCH(AZ$4,'Allocation %'!$A:$A,0)-1,MATCH($D120,'Allocation %'!$5:$5,0)-1)*($F60-$G60)*'2020 Assumptions'!$B$20,0))</f>
        <v>0</v>
      </c>
      <c r="BA120" s="73">
        <f ca="1">IF(BA$5="Doyon Notional Allocation",0,IF($C120&lt;&gt;BA$3,OFFSET('Allocation %'!$A$1,MATCH(BA$4,'Allocation %'!$A:$A,0)-1,MATCH($D120,'Allocation %'!$5:$5,0)-1)*($F60-$G60)*'2020 Assumptions'!$B$20,0))</f>
        <v>0</v>
      </c>
      <c r="BB120" s="73">
        <f ca="1">IF(BB$5="Doyon Notional Allocation",0,IF($C120&lt;&gt;BB$3,OFFSET('Allocation %'!$A$1,MATCH(BB$4,'Allocation %'!$A:$A,0)-1,MATCH($D120,'Allocation %'!$5:$5,0)-1)*($F60-$G60)*'2020 Assumptions'!$B$20,0))</f>
        <v>0</v>
      </c>
      <c r="BC120" s="73">
        <f ca="1">IF(BC$5="Doyon Notional Allocation",0,IF($C120&lt;&gt;BC$3,OFFSET('Allocation %'!$A$1,MATCH(BC$4,'Allocation %'!$A:$A,0)-1,MATCH($D120,'Allocation %'!$5:$5,0)-1)*($F60-$G60)*'2020 Assumptions'!$B$20,0))</f>
        <v>0</v>
      </c>
      <c r="BD120" s="73">
        <f ca="1">IF(BD$5="Doyon Notional Allocation",0,IF($C120&lt;&gt;BD$3,OFFSET('Allocation %'!$A$1,MATCH(BD$4,'Allocation %'!$A:$A,0)-1,MATCH($D120,'Allocation %'!$5:$5,0)-1)*($F60-$G60)*'2020 Assumptions'!$B$20,0))</f>
        <v>0</v>
      </c>
      <c r="BE120" s="73">
        <f ca="1">IF(BE$5="Doyon Notional Allocation",0,IF($C120&lt;&gt;BE$3,OFFSET('Allocation %'!$A$1,MATCH(BE$4,'Allocation %'!$A:$A,0)-1,MATCH($D120,'Allocation %'!$5:$5,0)-1)*($F60-$G60)*'2020 Assumptions'!$B$20,0))</f>
        <v>0</v>
      </c>
      <c r="BG120" s="76">
        <f t="shared" ca="1" si="9"/>
        <v>95.231617468052406</v>
      </c>
      <c r="BH120" s="349">
        <f t="shared" ca="1" si="10"/>
        <v>0</v>
      </c>
    </row>
    <row r="121" spans="1:62" s="177" customFormat="1" x14ac:dyDescent="0.25">
      <c r="B121" s="177" t="str">
        <f t="shared" si="19"/>
        <v>FSW Board Fees Mark up</v>
      </c>
      <c r="C121" s="69" t="str">
        <f t="shared" si="20"/>
        <v>USD</v>
      </c>
      <c r="D121" s="352" t="str">
        <f t="shared" ca="1" si="20"/>
        <v>Alaska</v>
      </c>
      <c r="E121" s="73">
        <f ca="1">F121*'2020 Assumptions'!$B$4</f>
        <v>0</v>
      </c>
      <c r="F121" s="73">
        <f t="shared" ca="1" si="11"/>
        <v>0</v>
      </c>
      <c r="G121" s="73"/>
      <c r="I121" s="73">
        <f ca="1">IF(I$5="Doyon Notional Allocation",0,IF($C121&lt;&gt;I$3,OFFSET('Allocation %'!$A$1,MATCH(I$4,'Allocation %'!$A:$A,0)-1,MATCH($D121,'Allocation %'!$5:$5,0)-1)*($F61-$G61)*'2020 Assumptions'!$B$20,0))</f>
        <v>0</v>
      </c>
      <c r="J121" s="73">
        <f ca="1">IF(J$5="Doyon Notional Allocation",0,IF($C121&lt;&gt;J$3,OFFSET('Allocation %'!$A$1,MATCH(J$4,'Allocation %'!$A:$A,0)-1,MATCH($D121,'Allocation %'!$5:$5,0)-1)*($F61-$G61)*'2020 Assumptions'!$B$20,0))</f>
        <v>0</v>
      </c>
      <c r="K121" s="73">
        <f ca="1">IF(K$5="Doyon Notional Allocation",0,IF($C121&lt;&gt;K$3,OFFSET('Allocation %'!$A$1,MATCH(K$4,'Allocation %'!$A:$A,0)-1,MATCH($D121,'Allocation %'!$5:$5,0)-1)*($F61-$G61)*'2020 Assumptions'!$B$20,0))</f>
        <v>0</v>
      </c>
      <c r="L121" s="73">
        <f ca="1">IF(L$5="Doyon Notional Allocation",0,IF($C121&lt;&gt;L$3,OFFSET('Allocation %'!$A$1,MATCH(L$4,'Allocation %'!$A:$A,0)-1,MATCH($D121,'Allocation %'!$5:$5,0)-1)*($F61-$G61)*'2020 Assumptions'!$B$20,0))</f>
        <v>0</v>
      </c>
      <c r="M121" s="73">
        <f ca="1">IF(M$5="Doyon Notional Allocation",0,IF($C121&lt;&gt;M$3,OFFSET('Allocation %'!$A$1,MATCH(M$4,'Allocation %'!$A:$A,0)-1,MATCH($D121,'Allocation %'!$5:$5,0)-1)*($F61-$G61)*'2020 Assumptions'!$B$20,0))</f>
        <v>0</v>
      </c>
      <c r="N121" s="73">
        <f ca="1">IF(N$5="Doyon Notional Allocation",0,IF($C121&lt;&gt;N$3,OFFSET('Allocation %'!$A$1,MATCH(N$4,'Allocation %'!$A:$A,0)-1,MATCH($D121,'Allocation %'!$5:$5,0)-1)*($F61-$G61)*'2020 Assumptions'!$B$20,0))</f>
        <v>0</v>
      </c>
      <c r="O121" s="73">
        <f ca="1">IF(O$5="Doyon Notional Allocation",0,IF($C121&lt;&gt;O$3,OFFSET('Allocation %'!$A$1,MATCH(O$4,'Allocation %'!$A:$A,0)-1,MATCH($D121,'Allocation %'!$5:$5,0)-1)*($F61-$G61)*'2020 Assumptions'!$B$20,0))</f>
        <v>0</v>
      </c>
      <c r="P121" s="73">
        <f ca="1">IF(P$5="Doyon Notional Allocation",0,IF($C121&lt;&gt;P$3,OFFSET('Allocation %'!$A$1,MATCH(P$4,'Allocation %'!$A:$A,0)-1,MATCH($D121,'Allocation %'!$5:$5,0)-1)*($F61-$G61)*'2020 Assumptions'!$B$20,0))</f>
        <v>0</v>
      </c>
      <c r="Q121" s="73">
        <f ca="1">IF(Q$5="Doyon Notional Allocation",0,IF($C121&lt;&gt;Q$3,OFFSET('Allocation %'!$A$1,MATCH(Q$4,'Allocation %'!$A:$A,0)-1,MATCH($D121,'Allocation %'!$5:$5,0)-1)*($F61-$G61)*'2020 Assumptions'!$B$20,0))</f>
        <v>0</v>
      </c>
      <c r="R121" s="73">
        <f ca="1">IF(R$5="Doyon Notional Allocation",0,IF($C121&lt;&gt;R$3,OFFSET('Allocation %'!$A$1,MATCH(R$4,'Allocation %'!$A:$A,0)-1,MATCH($D121,'Allocation %'!$5:$5,0)-1)*($F61-$G61)*'2020 Assumptions'!$B$20,0))</f>
        <v>0</v>
      </c>
      <c r="S121" s="73">
        <f ca="1">IF(S$5="Doyon Notional Allocation",0,IF($C121&lt;&gt;S$3,OFFSET('Allocation %'!$A$1,MATCH(S$4,'Allocation %'!$A:$A,0)-1,MATCH($D121,'Allocation %'!$5:$5,0)-1)*($F61-$G61)*'2020 Assumptions'!$B$20,0))</f>
        <v>0</v>
      </c>
      <c r="T121" s="73">
        <f ca="1">IF(T$5="Doyon Notional Allocation",0,IF($C121&lt;&gt;T$3,OFFSET('Allocation %'!$A$1,MATCH(T$4,'Allocation %'!$A:$A,0)-1,MATCH($D121,'Allocation %'!$5:$5,0)-1)*($F61-$G61)*'2020 Assumptions'!$B$20,0))</f>
        <v>0</v>
      </c>
      <c r="U121" s="73">
        <f ca="1">IF(U$5="Doyon Notional Allocation",0,IF($C121&lt;&gt;U$3,OFFSET('Allocation %'!$A$1,MATCH(U$4,'Allocation %'!$A:$A,0)-1,MATCH($D121,'Allocation %'!$5:$5,0)-1)*($F61-$G61)*'2020 Assumptions'!$B$20,0))</f>
        <v>0</v>
      </c>
      <c r="V121" s="73">
        <f ca="1">IF(V$5="Doyon Notional Allocation",0,IF($C121&lt;&gt;V$3,OFFSET('Allocation %'!$A$1,MATCH(V$4,'Allocation %'!$A:$A,0)-1,MATCH($D121,'Allocation %'!$5:$5,0)-1)*($F61-$G61)*'2020 Assumptions'!$B$20,0))</f>
        <v>0</v>
      </c>
      <c r="W121" s="73">
        <f ca="1">IF(W$5="Doyon Notional Allocation",0,IF($C121&lt;&gt;W$3,OFFSET('Allocation %'!$A$1,MATCH(W$4,'Allocation %'!$A:$A,0)-1,MATCH($D121,'Allocation %'!$5:$5,0)-1)*($F61-$G61)*'2020 Assumptions'!$B$20,0))</f>
        <v>0</v>
      </c>
      <c r="X121" s="73">
        <f ca="1">IF(X$5="Doyon Notional Allocation",0,IF($C121&lt;&gt;X$3,OFFSET('Allocation %'!$A$1,MATCH(X$4,'Allocation %'!$A:$A,0)-1,MATCH($D121,'Allocation %'!$5:$5,0)-1)*($F61-$G61)*'2020 Assumptions'!$B$20,0))</f>
        <v>0</v>
      </c>
      <c r="Y121" s="73">
        <f ca="1">IF(Y$5="Doyon Notional Allocation",0,IF($C121&lt;&gt;Y$3,OFFSET('Allocation %'!$A$1,MATCH(Y$4,'Allocation %'!$A:$A,0)-1,MATCH($D121,'Allocation %'!$5:$5,0)-1)*($F61-$G61)*'2020 Assumptions'!$B$20,0))</f>
        <v>0</v>
      </c>
      <c r="Z121" s="73">
        <f ca="1">IF(Z$5="Doyon Notional Allocation",0,IF($C121&lt;&gt;Z$3,OFFSET('Allocation %'!$A$1,MATCH(Z$4,'Allocation %'!$A:$A,0)-1,MATCH($D121,'Allocation %'!$5:$5,0)-1)*($F61-$G61)*'2020 Assumptions'!$B$20,0))</f>
        <v>0</v>
      </c>
      <c r="AA121" s="73">
        <f ca="1">IF(AA$5="Doyon Notional Allocation",0,IF($C121&lt;&gt;AA$3,OFFSET('Allocation %'!$A$1,MATCH(AA$4,'Allocation %'!$A:$A,0)-1,MATCH($D121,'Allocation %'!$5:$5,0)-1)*($F61-$G61)*'2020 Assumptions'!$B$20,0))</f>
        <v>0</v>
      </c>
      <c r="AB121" s="73">
        <f ca="1">IF(AB$5="Doyon Notional Allocation",0,IF($C121&lt;&gt;AB$3,OFFSET('Allocation %'!$A$1,MATCH(AB$4,'Allocation %'!$A:$A,0)-1,MATCH($D121,'Allocation %'!$5:$5,0)-1)*($F61-$G61)*'2020 Assumptions'!$B$20,0))</f>
        <v>0</v>
      </c>
      <c r="AC121" s="73">
        <f ca="1">IF(AC$5="Doyon Notional Allocation",0,IF($C121&lt;&gt;AC$3,OFFSET('Allocation %'!$A$1,MATCH(AC$4,'Allocation %'!$A:$A,0)-1,MATCH($D121,'Allocation %'!$5:$5,0)-1)*($F61-$G61)*'2020 Assumptions'!$B$20,0))</f>
        <v>0</v>
      </c>
      <c r="AD121" s="73">
        <f ca="1">IF(AD$5="Doyon Notional Allocation",0,IF($C121&lt;&gt;AD$3,OFFSET('Allocation %'!$A$1,MATCH(AD$4,'Allocation %'!$A:$A,0)-1,MATCH($D121,'Allocation %'!$5:$5,0)-1)*($F61-$G61)*'2020 Assumptions'!$B$20,0))</f>
        <v>0</v>
      </c>
      <c r="AE121" s="73">
        <f ca="1">IF(AE$5="Doyon Notional Allocation",0,IF($C121&lt;&gt;AE$3,OFFSET('Allocation %'!$A$1,MATCH(AE$4,'Allocation %'!$A:$A,0)-1,MATCH($D121,'Allocation %'!$5:$5,0)-1)*($F61-$G61)*'2020 Assumptions'!$B$20,0))</f>
        <v>0</v>
      </c>
      <c r="AF121" s="73">
        <f ca="1">IF(AF$5="Doyon Notional Allocation",0,IF($C121&lt;&gt;AF$3,OFFSET('Allocation %'!$A$1,MATCH(AF$4,'Allocation %'!$A:$A,0)-1,MATCH($D121,'Allocation %'!$5:$5,0)-1)*($F61-$G61)*'2020 Assumptions'!$B$20,0))</f>
        <v>0</v>
      </c>
      <c r="AG121" s="73">
        <f ca="1">IF(AG$5="Doyon Notional Allocation",0,IF($C121&lt;&gt;AG$3,OFFSET('Allocation %'!$A$1,MATCH(AG$4,'Allocation %'!$A:$A,0)-1,MATCH($D121,'Allocation %'!$5:$5,0)-1)*($F61-$G61)*'2020 Assumptions'!$B$20,0))</f>
        <v>0</v>
      </c>
      <c r="AH121" s="73">
        <f ca="1">IF(AH$5="Doyon Notional Allocation",0,IF($C121&lt;&gt;AH$3,OFFSET('Allocation %'!$A$1,MATCH(AH$4,'Allocation %'!$A:$A,0)-1,MATCH($D121,'Allocation %'!$5:$5,0)-1)*($F61-$G61)*'2020 Assumptions'!$B$20,0))</f>
        <v>0</v>
      </c>
      <c r="AI121" s="73">
        <f ca="1">IF(AI$5="Doyon Notional Allocation",0,IF($C121&lt;&gt;AI$3,OFFSET('Allocation %'!$A$1,MATCH(AI$4,'Allocation %'!$A:$A,0)-1,MATCH($D121,'Allocation %'!$5:$5,0)-1)*($F61-$G61)*'2020 Assumptions'!$B$20,0))</f>
        <v>0</v>
      </c>
      <c r="AJ121" s="73">
        <f ca="1">IF(AJ$5="Doyon Notional Allocation",0,IF($C121&lt;&gt;AJ$3,OFFSET('Allocation %'!$A$1,MATCH(AJ$4,'Allocation %'!$A:$A,0)-1,MATCH($D121,'Allocation %'!$5:$5,0)-1)*($F61-$G61)*'2020 Assumptions'!$B$20,0))</f>
        <v>0</v>
      </c>
      <c r="AK121" s="73">
        <f ca="1">IF(AK$5="Doyon Notional Allocation",0,IF($C121&lt;&gt;AK$3,OFFSET('Allocation %'!$A$1,MATCH(AK$4,'Allocation %'!$A:$A,0)-1,MATCH($D121,'Allocation %'!$5:$5,0)-1)*($F61-$G61)*'2020 Assumptions'!$B$20,0))</f>
        <v>0</v>
      </c>
      <c r="AL121" s="73">
        <f ca="1">IF(AL$5="Doyon Notional Allocation",0,IF($C121&lt;&gt;AL$3,OFFSET('Allocation %'!$A$1,MATCH(AL$4,'Allocation %'!$A:$A,0)-1,MATCH($D121,'Allocation %'!$5:$5,0)-1)*($F61-$G61)*'2020 Assumptions'!$B$20,0))</f>
        <v>0</v>
      </c>
      <c r="AM121" s="73">
        <f ca="1">IF(AM$5="Doyon Notional Allocation",0,IF($C121&lt;&gt;AM$3,OFFSET('Allocation %'!$A$1,MATCH(AM$4,'Allocation %'!$A:$A,0)-1,MATCH($D121,'Allocation %'!$5:$5,0)-1)*($F61-$G61)*'2020 Assumptions'!$B$20,0))</f>
        <v>0</v>
      </c>
      <c r="AN121" s="73">
        <f ca="1">IF(AN$5="Doyon Notional Allocation",0,IF($C121&lt;&gt;AN$3,OFFSET('Allocation %'!$A$1,MATCH(AN$4,'Allocation %'!$A:$A,0)-1,MATCH($D121,'Allocation %'!$5:$5,0)-1)*($F61-$G61)*'2020 Assumptions'!$B$20,0))</f>
        <v>0</v>
      </c>
      <c r="AO121" s="73">
        <f ca="1">IF(AO$5="Doyon Notional Allocation",0,IF($C121&lt;&gt;AO$3,OFFSET('Allocation %'!$A$1,MATCH(AO$4,'Allocation %'!$A:$A,0)-1,MATCH($D121,'Allocation %'!$5:$5,0)-1)*($F61-$G61)*'2020 Assumptions'!$B$20,0))</f>
        <v>0</v>
      </c>
      <c r="AP121" s="73">
        <f ca="1">IF(AP$5="Doyon Notional Allocation",0,IF($C121&lt;&gt;AP$3,OFFSET('Allocation %'!$A$1,MATCH(AP$4,'Allocation %'!$A:$A,0)-1,MATCH($D121,'Allocation %'!$5:$5,0)-1)*($F61-$G61)*'2020 Assumptions'!$B$20,0))</f>
        <v>0</v>
      </c>
      <c r="AQ121" s="73">
        <f ca="1">IF(AQ$5="Doyon Notional Allocation",0,IF($C121&lt;&gt;AQ$3,OFFSET('Allocation %'!$A$1,MATCH(AQ$4,'Allocation %'!$A:$A,0)-1,MATCH($D121,'Allocation %'!$5:$5,0)-1)*($F61-$G61)*'2020 Assumptions'!$B$20,0))</f>
        <v>0</v>
      </c>
      <c r="AR121" s="73">
        <f ca="1">IF(AR$5="Doyon Notional Allocation",0,IF($C121&lt;&gt;AR$3,OFFSET('Allocation %'!$A$1,MATCH(AR$4,'Allocation %'!$A:$A,0)-1,MATCH($D121,'Allocation %'!$5:$5,0)-1)*($F61-$G61)*'2020 Assumptions'!$B$20,0))</f>
        <v>0</v>
      </c>
      <c r="AS121" s="73">
        <f ca="1">IF(AS$5="Doyon Notional Allocation",0,IF($C121&lt;&gt;AS$3,OFFSET('Allocation %'!$A$1,MATCH(AS$4,'Allocation %'!$A:$A,0)-1,MATCH($D121,'Allocation %'!$5:$5,0)-1)*($F61-$G61)*'2020 Assumptions'!$B$20,0))</f>
        <v>0</v>
      </c>
      <c r="AT121" s="73">
        <f ca="1">IF(AT$5="Doyon Notional Allocation",0,IF($C121&lt;&gt;AT$3,OFFSET('Allocation %'!$A$1,MATCH(AT$4,'Allocation %'!$A:$A,0)-1,MATCH($D121,'Allocation %'!$5:$5,0)-1)*($F61-$G61)*'2020 Assumptions'!$B$20,0))</f>
        <v>0</v>
      </c>
      <c r="AU121" s="73">
        <f ca="1">IF(AU$5="Doyon Notional Allocation",0,IF($C121&lt;&gt;AU$3,OFFSET('Allocation %'!$A$1,MATCH(AU$4,'Allocation %'!$A:$A,0)-1,MATCH($D121,'Allocation %'!$5:$5,0)-1)*($F61-$G61)*'2020 Assumptions'!$B$20,0))</f>
        <v>0</v>
      </c>
      <c r="AV121" s="73">
        <f ca="1">IF(AV$5="Doyon Notional Allocation",0,IF($C121&lt;&gt;AV$3,OFFSET('Allocation %'!$A$1,MATCH(AV$4,'Allocation %'!$A:$A,0)-1,MATCH($D121,'Allocation %'!$5:$5,0)-1)*($F61-$G61)*'2020 Assumptions'!$B$20,0))</f>
        <v>0</v>
      </c>
      <c r="AW121" s="73">
        <f ca="1">IF(AW$5="Doyon Notional Allocation",0,IF($C121&lt;&gt;AW$3,OFFSET('Allocation %'!$A$1,MATCH(AW$4,'Allocation %'!$A:$A,0)-1,MATCH($D121,'Allocation %'!$5:$5,0)-1)*($F61-$G61)*'2020 Assumptions'!$B$20,0))</f>
        <v>0</v>
      </c>
      <c r="AX121" s="73">
        <f ca="1">IF(AX$5="Doyon Notional Allocation",0,IF($C121&lt;&gt;AX$3,OFFSET('Allocation %'!$A$1,MATCH(AX$4,'Allocation %'!$A:$A,0)-1,MATCH($D121,'Allocation %'!$5:$5,0)-1)*($F61-$G61)*'2020 Assumptions'!$B$20,0))</f>
        <v>0</v>
      </c>
      <c r="AY121" s="73">
        <f ca="1">IF(AY$5="Doyon Notional Allocation",0,IF($C121&lt;&gt;AY$3,OFFSET('Allocation %'!$A$1,MATCH(AY$4,'Allocation %'!$A:$A,0)-1,MATCH($D121,'Allocation %'!$5:$5,0)-1)*($F61-$G61)*'2020 Assumptions'!$B$20,0))</f>
        <v>0</v>
      </c>
      <c r="AZ121" s="73">
        <f ca="1">IF(AZ$5="Doyon Notional Allocation",0,IF($C121&lt;&gt;AZ$3,OFFSET('Allocation %'!$A$1,MATCH(AZ$4,'Allocation %'!$A:$A,0)-1,MATCH($D121,'Allocation %'!$5:$5,0)-1)*($F61-$G61)*'2020 Assumptions'!$B$20,0))</f>
        <v>0</v>
      </c>
      <c r="BA121" s="73">
        <f ca="1">IF(BA$5="Doyon Notional Allocation",0,IF($C121&lt;&gt;BA$3,OFFSET('Allocation %'!$A$1,MATCH(BA$4,'Allocation %'!$A:$A,0)-1,MATCH($D121,'Allocation %'!$5:$5,0)-1)*($F61-$G61)*'2020 Assumptions'!$B$20,0))</f>
        <v>0</v>
      </c>
      <c r="BB121" s="73">
        <f ca="1">IF(BB$5="Doyon Notional Allocation",0,IF($C121&lt;&gt;BB$3,OFFSET('Allocation %'!$A$1,MATCH(BB$4,'Allocation %'!$A:$A,0)-1,MATCH($D121,'Allocation %'!$5:$5,0)-1)*($F61-$G61)*'2020 Assumptions'!$B$20,0))</f>
        <v>0</v>
      </c>
      <c r="BC121" s="73">
        <f ca="1">IF(BC$5="Doyon Notional Allocation",0,IF($C121&lt;&gt;BC$3,OFFSET('Allocation %'!$A$1,MATCH(BC$4,'Allocation %'!$A:$A,0)-1,MATCH($D121,'Allocation %'!$5:$5,0)-1)*($F61-$G61)*'2020 Assumptions'!$B$20,0))</f>
        <v>0</v>
      </c>
      <c r="BD121" s="73">
        <f ca="1">IF(BD$5="Doyon Notional Allocation",0,IF($C121&lt;&gt;BD$3,OFFSET('Allocation %'!$A$1,MATCH(BD$4,'Allocation %'!$A:$A,0)-1,MATCH($D121,'Allocation %'!$5:$5,0)-1)*($F61-$G61)*'2020 Assumptions'!$B$20,0))</f>
        <v>0</v>
      </c>
      <c r="BE121" s="73">
        <f ca="1">IF(BE$5="Doyon Notional Allocation",0,IF($C121&lt;&gt;BE$3,OFFSET('Allocation %'!$A$1,MATCH(BE$4,'Allocation %'!$A:$A,0)-1,MATCH($D121,'Allocation %'!$5:$5,0)-1)*($F61-$G61)*'2020 Assumptions'!$B$20,0))</f>
        <v>0</v>
      </c>
      <c r="BG121" s="76">
        <f t="shared" ca="1" si="9"/>
        <v>0</v>
      </c>
      <c r="BH121" s="349">
        <f t="shared" ca="1" si="10"/>
        <v>0</v>
      </c>
    </row>
    <row r="122" spans="1:62" s="177" customFormat="1" x14ac:dyDescent="0.25">
      <c r="B122" s="177" t="s">
        <v>421</v>
      </c>
      <c r="C122" s="177" t="str">
        <f>INDEX(ACTUALS!$E:$E,MATCH($B122,ACTUALS!$A:$A,0))</f>
        <v>USD</v>
      </c>
      <c r="D122" s="328" t="s">
        <v>178</v>
      </c>
      <c r="E122" s="73">
        <f ca="1">F122*'2020 Assumptions'!$B$4</f>
        <v>0</v>
      </c>
      <c r="F122" s="73">
        <f t="shared" ref="F122" ca="1" si="21">SUM(I122:BE122)</f>
        <v>0</v>
      </c>
      <c r="G122" s="73"/>
      <c r="I122" s="73">
        <f ca="1">IF(I$5="Doyon Notional Allocation",0,IF($C122&lt;&gt;I$3,OFFSET('Allocation %'!$A$1,MATCH(I$4,'Allocation %'!$A:$A,0)-1,MATCH($D122,'Allocation %'!$5:$5,0)-1)*($F62-$G62)*'2020 Assumptions'!$B$20,0))</f>
        <v>0</v>
      </c>
      <c r="J122" s="73">
        <f ca="1">IF(J$5="Doyon Notional Allocation",0,IF($C122&lt;&gt;J$3,OFFSET('Allocation %'!$A$1,MATCH(J$4,'Allocation %'!$A:$A,0)-1,MATCH($D122,'Allocation %'!$5:$5,0)-1)*($F62-$G62)*'2020 Assumptions'!$B$20,0))</f>
        <v>0</v>
      </c>
      <c r="K122" s="73">
        <f ca="1">IF(K$5="Doyon Notional Allocation",0,IF($C122&lt;&gt;K$3,OFFSET('Allocation %'!$A$1,MATCH(K$4,'Allocation %'!$A:$A,0)-1,MATCH($D122,'Allocation %'!$5:$5,0)-1)*($F62-$G62)*'2020 Assumptions'!$B$20,0))</f>
        <v>0</v>
      </c>
      <c r="L122" s="73">
        <f ca="1">IF(L$5="Doyon Notional Allocation",0,IF($C122&lt;&gt;L$3,OFFSET('Allocation %'!$A$1,MATCH(L$4,'Allocation %'!$A:$A,0)-1,MATCH($D122,'Allocation %'!$5:$5,0)-1)*($F62-$G62)*'2020 Assumptions'!$B$20,0))</f>
        <v>0</v>
      </c>
      <c r="M122" s="73">
        <f ca="1">IF(M$5="Doyon Notional Allocation",0,IF($C122&lt;&gt;M$3,OFFSET('Allocation %'!$A$1,MATCH(M$4,'Allocation %'!$A:$A,0)-1,MATCH($D122,'Allocation %'!$5:$5,0)-1)*($F62-$G62)*'2020 Assumptions'!$B$20,0))</f>
        <v>0</v>
      </c>
      <c r="N122" s="73">
        <f ca="1">IF(N$5="Doyon Notional Allocation",0,IF($C122&lt;&gt;N$3,OFFSET('Allocation %'!$A$1,MATCH(N$4,'Allocation %'!$A:$A,0)-1,MATCH($D122,'Allocation %'!$5:$5,0)-1)*($F62-$G62)*'2020 Assumptions'!$B$20,0))</f>
        <v>0</v>
      </c>
      <c r="O122" s="73">
        <f ca="1">IF(O$5="Doyon Notional Allocation",0,IF($C122&lt;&gt;O$3,OFFSET('Allocation %'!$A$1,MATCH(O$4,'Allocation %'!$A:$A,0)-1,MATCH($D122,'Allocation %'!$5:$5,0)-1)*($F62-$G62)*'2020 Assumptions'!$B$20,0))</f>
        <v>0</v>
      </c>
      <c r="P122" s="73">
        <f ca="1">IF(P$5="Doyon Notional Allocation",0,IF($C122&lt;&gt;P$3,OFFSET('Allocation %'!$A$1,MATCH(P$4,'Allocation %'!$A:$A,0)-1,MATCH($D122,'Allocation %'!$5:$5,0)-1)*($F62-$G62)*'2020 Assumptions'!$B$20,0))</f>
        <v>0</v>
      </c>
      <c r="Q122" s="73">
        <f ca="1">IF(Q$5="Doyon Notional Allocation",0,IF($C122&lt;&gt;Q$3,OFFSET('Allocation %'!$A$1,MATCH(Q$4,'Allocation %'!$A:$A,0)-1,MATCH($D122,'Allocation %'!$5:$5,0)-1)*($F62-$G62)*'2020 Assumptions'!$B$20,0))</f>
        <v>0</v>
      </c>
      <c r="R122" s="73">
        <f ca="1">IF(R$5="Doyon Notional Allocation",0,IF($C122&lt;&gt;R$3,OFFSET('Allocation %'!$A$1,MATCH(R$4,'Allocation %'!$A:$A,0)-1,MATCH($D122,'Allocation %'!$5:$5,0)-1)*($F62-$G62)*'2020 Assumptions'!$B$20,0))</f>
        <v>0</v>
      </c>
      <c r="S122" s="73">
        <f ca="1">IF(S$5="Doyon Notional Allocation",0,IF($C122&lt;&gt;S$3,OFFSET('Allocation %'!$A$1,MATCH(S$4,'Allocation %'!$A:$A,0)-1,MATCH($D122,'Allocation %'!$5:$5,0)-1)*($F62-$G62)*'2020 Assumptions'!$B$20,0))</f>
        <v>0</v>
      </c>
      <c r="T122" s="73">
        <f ca="1">IF(T$5="Doyon Notional Allocation",0,IF($C122&lt;&gt;T$3,OFFSET('Allocation %'!$A$1,MATCH(T$4,'Allocation %'!$A:$A,0)-1,MATCH($D122,'Allocation %'!$5:$5,0)-1)*($F62-$G62)*'2020 Assumptions'!$B$20,0))</f>
        <v>0</v>
      </c>
      <c r="U122" s="73">
        <f ca="1">IF(U$5="Doyon Notional Allocation",0,IF($C122&lt;&gt;U$3,OFFSET('Allocation %'!$A$1,MATCH(U$4,'Allocation %'!$A:$A,0)-1,MATCH($D122,'Allocation %'!$5:$5,0)-1)*($F62-$G62)*'2020 Assumptions'!$B$20,0))</f>
        <v>0</v>
      </c>
      <c r="V122" s="73">
        <f ca="1">IF(V$5="Doyon Notional Allocation",0,IF($C122&lt;&gt;V$3,OFFSET('Allocation %'!$A$1,MATCH(V$4,'Allocation %'!$A:$A,0)-1,MATCH($D122,'Allocation %'!$5:$5,0)-1)*($F62-$G62)*'2020 Assumptions'!$B$20,0))</f>
        <v>0</v>
      </c>
      <c r="W122" s="73">
        <f ca="1">IF(W$5="Doyon Notional Allocation",0,IF($C122&lt;&gt;W$3,OFFSET('Allocation %'!$A$1,MATCH(W$4,'Allocation %'!$A:$A,0)-1,MATCH($D122,'Allocation %'!$5:$5,0)-1)*($F62-$G62)*'2020 Assumptions'!$B$20,0))</f>
        <v>0</v>
      </c>
      <c r="X122" s="73">
        <f ca="1">IF(X$5="Doyon Notional Allocation",0,IF($C122&lt;&gt;X$3,OFFSET('Allocation %'!$A$1,MATCH(X$4,'Allocation %'!$A:$A,0)-1,MATCH($D122,'Allocation %'!$5:$5,0)-1)*($F62-$G62)*'2020 Assumptions'!$B$20,0))</f>
        <v>0</v>
      </c>
      <c r="Y122" s="73">
        <f ca="1">IF(Y$5="Doyon Notional Allocation",0,IF($C122&lt;&gt;Y$3,OFFSET('Allocation %'!$A$1,MATCH(Y$4,'Allocation %'!$A:$A,0)-1,MATCH($D122,'Allocation %'!$5:$5,0)-1)*($F62-$G62)*'2020 Assumptions'!$B$20,0))</f>
        <v>0</v>
      </c>
      <c r="Z122" s="73">
        <f ca="1">IF(Z$5="Doyon Notional Allocation",0,IF($C122&lt;&gt;Z$3,OFFSET('Allocation %'!$A$1,MATCH(Z$4,'Allocation %'!$A:$A,0)-1,MATCH($D122,'Allocation %'!$5:$5,0)-1)*($F62-$G62)*'2020 Assumptions'!$B$20,0))</f>
        <v>0</v>
      </c>
      <c r="AA122" s="73">
        <f ca="1">IF(AA$5="Doyon Notional Allocation",0,IF($C122&lt;&gt;AA$3,OFFSET('Allocation %'!$A$1,MATCH(AA$4,'Allocation %'!$A:$A,0)-1,MATCH($D122,'Allocation %'!$5:$5,0)-1)*($F62-$G62)*'2020 Assumptions'!$B$20,0))</f>
        <v>0</v>
      </c>
      <c r="AB122" s="73">
        <f ca="1">IF(AB$5="Doyon Notional Allocation",0,IF($C122&lt;&gt;AB$3,OFFSET('Allocation %'!$A$1,MATCH(AB$4,'Allocation %'!$A:$A,0)-1,MATCH($D122,'Allocation %'!$5:$5,0)-1)*($F62-$G62)*'2020 Assumptions'!$B$20,0))</f>
        <v>0</v>
      </c>
      <c r="AC122" s="73">
        <f ca="1">IF(AC$5="Doyon Notional Allocation",0,IF($C122&lt;&gt;AC$3,OFFSET('Allocation %'!$A$1,MATCH(AC$4,'Allocation %'!$A:$A,0)-1,MATCH($D122,'Allocation %'!$5:$5,0)-1)*($F62-$G62)*'2020 Assumptions'!$B$20,0))</f>
        <v>0</v>
      </c>
      <c r="AD122" s="73">
        <f ca="1">IF(AD$5="Doyon Notional Allocation",0,IF($C122&lt;&gt;AD$3,OFFSET('Allocation %'!$A$1,MATCH(AD$4,'Allocation %'!$A:$A,0)-1,MATCH($D122,'Allocation %'!$5:$5,0)-1)*($F62-$G62)*'2020 Assumptions'!$B$20,0))</f>
        <v>0</v>
      </c>
      <c r="AE122" s="73">
        <f ca="1">IF(AE$5="Doyon Notional Allocation",0,IF($C122&lt;&gt;AE$3,OFFSET('Allocation %'!$A$1,MATCH(AE$4,'Allocation %'!$A:$A,0)-1,MATCH($D122,'Allocation %'!$5:$5,0)-1)*($F62-$G62)*'2020 Assumptions'!$B$20,0))</f>
        <v>0</v>
      </c>
      <c r="AF122" s="73">
        <f ca="1">IF(AF$5="Doyon Notional Allocation",0,IF($C122&lt;&gt;AF$3,OFFSET('Allocation %'!$A$1,MATCH(AF$4,'Allocation %'!$A:$A,0)-1,MATCH($D122,'Allocation %'!$5:$5,0)-1)*($F62-$G62)*'2020 Assumptions'!$B$20,0))</f>
        <v>0</v>
      </c>
      <c r="AG122" s="73">
        <f ca="1">IF(AG$5="Doyon Notional Allocation",0,IF($C122&lt;&gt;AG$3,OFFSET('Allocation %'!$A$1,MATCH(AG$4,'Allocation %'!$A:$A,0)-1,MATCH($D122,'Allocation %'!$5:$5,0)-1)*($F62-$G62)*'2020 Assumptions'!$B$20,0))</f>
        <v>0</v>
      </c>
      <c r="AH122" s="73">
        <f ca="1">IF(AH$5="Doyon Notional Allocation",0,IF($C122&lt;&gt;AH$3,OFFSET('Allocation %'!$A$1,MATCH(AH$4,'Allocation %'!$A:$A,0)-1,MATCH($D122,'Allocation %'!$5:$5,0)-1)*($F62-$G62)*'2020 Assumptions'!$B$20,0))</f>
        <v>0</v>
      </c>
      <c r="AI122" s="73">
        <f ca="1">IF(AI$5="Doyon Notional Allocation",0,IF($C122&lt;&gt;AI$3,OFFSET('Allocation %'!$A$1,MATCH(AI$4,'Allocation %'!$A:$A,0)-1,MATCH($D122,'Allocation %'!$5:$5,0)-1)*($F62-$G62)*'2020 Assumptions'!$B$20,0))</f>
        <v>0</v>
      </c>
      <c r="AJ122" s="73">
        <f ca="1">IF(AJ$5="Doyon Notional Allocation",0,IF($C122&lt;&gt;AJ$3,OFFSET('Allocation %'!$A$1,MATCH(AJ$4,'Allocation %'!$A:$A,0)-1,MATCH($D122,'Allocation %'!$5:$5,0)-1)*($F62-$G62)*'2020 Assumptions'!$B$20,0))</f>
        <v>0</v>
      </c>
      <c r="AK122" s="73">
        <f ca="1">IF(AK$5="Doyon Notional Allocation",0,IF($C122&lt;&gt;AK$3,OFFSET('Allocation %'!$A$1,MATCH(AK$4,'Allocation %'!$A:$A,0)-1,MATCH($D122,'Allocation %'!$5:$5,0)-1)*($F62-$G62)*'2020 Assumptions'!$B$20,0))</f>
        <v>0</v>
      </c>
      <c r="AL122" s="73">
        <f ca="1">IF(AL$5="Doyon Notional Allocation",0,IF($C122&lt;&gt;AL$3,OFFSET('Allocation %'!$A$1,MATCH(AL$4,'Allocation %'!$A:$A,0)-1,MATCH($D122,'Allocation %'!$5:$5,0)-1)*($F62-$G62)*'2020 Assumptions'!$B$20,0))</f>
        <v>0</v>
      </c>
      <c r="AM122" s="73">
        <f ca="1">IF(AM$5="Doyon Notional Allocation",0,IF($C122&lt;&gt;AM$3,OFFSET('Allocation %'!$A$1,MATCH(AM$4,'Allocation %'!$A:$A,0)-1,MATCH($D122,'Allocation %'!$5:$5,0)-1)*($F62-$G62)*'2020 Assumptions'!$B$20,0))</f>
        <v>0</v>
      </c>
      <c r="AN122" s="73">
        <f ca="1">IF(AN$5="Doyon Notional Allocation",0,IF($C122&lt;&gt;AN$3,OFFSET('Allocation %'!$A$1,MATCH(AN$4,'Allocation %'!$A:$A,0)-1,MATCH($D122,'Allocation %'!$5:$5,0)-1)*($F62-$G62)*'2020 Assumptions'!$B$20,0))</f>
        <v>0</v>
      </c>
      <c r="AO122" s="73">
        <f ca="1">IF(AO$5="Doyon Notional Allocation",0,IF($C122&lt;&gt;AO$3,OFFSET('Allocation %'!$A$1,MATCH(AO$4,'Allocation %'!$A:$A,0)-1,MATCH($D122,'Allocation %'!$5:$5,0)-1)*($F62-$G62)*'2020 Assumptions'!$B$20,0))</f>
        <v>0</v>
      </c>
      <c r="AP122" s="73">
        <f ca="1">IF(AP$5="Doyon Notional Allocation",0,IF($C122&lt;&gt;AP$3,OFFSET('Allocation %'!$A$1,MATCH(AP$4,'Allocation %'!$A:$A,0)-1,MATCH($D122,'Allocation %'!$5:$5,0)-1)*($F62-$G62)*'2020 Assumptions'!$B$20,0))</f>
        <v>0</v>
      </c>
      <c r="AQ122" s="73">
        <f ca="1">IF(AQ$5="Doyon Notional Allocation",0,IF($C122&lt;&gt;AQ$3,OFFSET('Allocation %'!$A$1,MATCH(AQ$4,'Allocation %'!$A:$A,0)-1,MATCH($D122,'Allocation %'!$5:$5,0)-1)*($F62-$G62)*'2020 Assumptions'!$B$20,0))</f>
        <v>0</v>
      </c>
      <c r="AR122" s="73">
        <f ca="1">IF(AR$5="Doyon Notional Allocation",0,IF($C122&lt;&gt;AR$3,OFFSET('Allocation %'!$A$1,MATCH(AR$4,'Allocation %'!$A:$A,0)-1,MATCH($D122,'Allocation %'!$5:$5,0)-1)*($F62-$G62)*'2020 Assumptions'!$B$20,0))</f>
        <v>0</v>
      </c>
      <c r="AS122" s="73">
        <f ca="1">IF(AS$5="Doyon Notional Allocation",0,IF($C122&lt;&gt;AS$3,OFFSET('Allocation %'!$A$1,MATCH(AS$4,'Allocation %'!$A:$A,0)-1,MATCH($D122,'Allocation %'!$5:$5,0)-1)*($F62-$G62)*'2020 Assumptions'!$B$20,0))</f>
        <v>0</v>
      </c>
      <c r="AT122" s="73">
        <f ca="1">IF(AT$5="Doyon Notional Allocation",0,IF($C122&lt;&gt;AT$3,OFFSET('Allocation %'!$A$1,MATCH(AT$4,'Allocation %'!$A:$A,0)-1,MATCH($D122,'Allocation %'!$5:$5,0)-1)*($F62-$G62)*'2020 Assumptions'!$B$20,0))</f>
        <v>0</v>
      </c>
      <c r="AU122" s="73">
        <f ca="1">IF(AU$5="Doyon Notional Allocation",0,IF($C122&lt;&gt;AU$3,OFFSET('Allocation %'!$A$1,MATCH(AU$4,'Allocation %'!$A:$A,0)-1,MATCH($D122,'Allocation %'!$5:$5,0)-1)*($F62-$G62)*'2020 Assumptions'!$B$20,0))</f>
        <v>0</v>
      </c>
      <c r="AV122" s="73">
        <f ca="1">IF(AV$5="Doyon Notional Allocation",0,IF($C122&lt;&gt;AV$3,OFFSET('Allocation %'!$A$1,MATCH(AV$4,'Allocation %'!$A:$A,0)-1,MATCH($D122,'Allocation %'!$5:$5,0)-1)*($F62-$G62)*'2020 Assumptions'!$B$20,0))</f>
        <v>0</v>
      </c>
      <c r="AW122" s="73">
        <f ca="1">IF(AW$5="Doyon Notional Allocation",0,IF($C122&lt;&gt;AW$3,OFFSET('Allocation %'!$A$1,MATCH(AW$4,'Allocation %'!$A:$A,0)-1,MATCH($D122,'Allocation %'!$5:$5,0)-1)*($F62-$G62)*'2020 Assumptions'!$B$20,0))</f>
        <v>0</v>
      </c>
      <c r="AX122" s="73">
        <f ca="1">IF(AX$5="Doyon Notional Allocation",0,IF($C122&lt;&gt;AX$3,OFFSET('Allocation %'!$A$1,MATCH(AX$4,'Allocation %'!$A:$A,0)-1,MATCH($D122,'Allocation %'!$5:$5,0)-1)*($F62-$G62)*'2020 Assumptions'!$B$20,0))</f>
        <v>0</v>
      </c>
      <c r="AY122" s="73">
        <f ca="1">IF(AY$5="Doyon Notional Allocation",0,IF($C122&lt;&gt;AY$3,OFFSET('Allocation %'!$A$1,MATCH(AY$4,'Allocation %'!$A:$A,0)-1,MATCH($D122,'Allocation %'!$5:$5,0)-1)*($F62-$G62)*'2020 Assumptions'!$B$20,0))</f>
        <v>0</v>
      </c>
      <c r="AZ122" s="73">
        <f ca="1">IF(AZ$5="Doyon Notional Allocation",0,IF($C122&lt;&gt;AZ$3,OFFSET('Allocation %'!$A$1,MATCH(AZ$4,'Allocation %'!$A:$A,0)-1,MATCH($D122,'Allocation %'!$5:$5,0)-1)*($F62-$G62)*'2020 Assumptions'!$B$20,0))</f>
        <v>0</v>
      </c>
      <c r="BA122" s="73">
        <f ca="1">IF(BA$5="Doyon Notional Allocation",0,IF($C122&lt;&gt;BA$3,OFFSET('Allocation %'!$A$1,MATCH(BA$4,'Allocation %'!$A:$A,0)-1,MATCH($D122,'Allocation %'!$5:$5,0)-1)*($F62-$G62)*'2020 Assumptions'!$B$20,0))</f>
        <v>0</v>
      </c>
      <c r="BB122" s="73">
        <f ca="1">IF(BB$5="Doyon Notional Allocation",0,IF($C122&lt;&gt;BB$3,OFFSET('Allocation %'!$A$1,MATCH(BB$4,'Allocation %'!$A:$A,0)-1,MATCH($D122,'Allocation %'!$5:$5,0)-1)*($F62-$G62)*'2020 Assumptions'!$B$20,0))</f>
        <v>0</v>
      </c>
      <c r="BC122" s="73">
        <f ca="1">IF(BC$5="Doyon Notional Allocation",0,IF($C122&lt;&gt;BC$3,OFFSET('Allocation %'!$A$1,MATCH(BC$4,'Allocation %'!$A:$A,0)-1,MATCH($D122,'Allocation %'!$5:$5,0)-1)*($F62-$G62)*'2020 Assumptions'!$B$20,0))</f>
        <v>0</v>
      </c>
      <c r="BD122" s="73">
        <f ca="1">IF(BD$5="Doyon Notional Allocation",0,IF($C122&lt;&gt;BD$3,OFFSET('Allocation %'!$A$1,MATCH(BD$4,'Allocation %'!$A:$A,0)-1,MATCH($D122,'Allocation %'!$5:$5,0)-1)*($F62-$G62)*'2020 Assumptions'!$B$20,0))</f>
        <v>0</v>
      </c>
      <c r="BE122" s="73">
        <f ca="1">IF(BE$5="Doyon Notional Allocation",0,IF($C122&lt;&gt;BE$3,OFFSET('Allocation %'!$A$1,MATCH(BE$4,'Allocation %'!$A:$A,0)-1,MATCH($D122,'Allocation %'!$5:$5,0)-1)*($F62-$G62)*'2020 Assumptions'!$B$20,0))</f>
        <v>0</v>
      </c>
      <c r="BG122" s="76">
        <f t="shared" ca="1" si="9"/>
        <v>0</v>
      </c>
      <c r="BH122" s="349">
        <f t="shared" ca="1" si="10"/>
        <v>0</v>
      </c>
    </row>
    <row r="123" spans="1:62" s="177" customFormat="1" ht="15.75" thickBot="1" x14ac:dyDescent="0.3">
      <c r="B123" s="153" t="s">
        <v>306</v>
      </c>
      <c r="C123" s="153"/>
      <c r="D123" s="153"/>
      <c r="E123" s="160">
        <f t="shared" ref="E123:F123" ca="1" si="22">SUM(E66:E122)</f>
        <v>126736.78760911663</v>
      </c>
      <c r="F123" s="160">
        <f t="shared" ca="1" si="22"/>
        <v>94284.174683169622</v>
      </c>
      <c r="G123" s="153"/>
      <c r="H123" s="153"/>
      <c r="I123" s="160">
        <f t="shared" ref="I123:AN123" ca="1" si="23">SUM(I66:I122)</f>
        <v>1166.2065287903588</v>
      </c>
      <c r="J123" s="160">
        <f t="shared" ca="1" si="23"/>
        <v>175.97539767509903</v>
      </c>
      <c r="K123" s="160">
        <f t="shared" ca="1" si="23"/>
        <v>55.235319889657596</v>
      </c>
      <c r="L123" s="160">
        <f t="shared" ca="1" si="23"/>
        <v>59.613209977667644</v>
      </c>
      <c r="M123" s="160">
        <f t="shared" ca="1" si="23"/>
        <v>97.887574497805232</v>
      </c>
      <c r="N123" s="160">
        <f t="shared" ca="1" si="23"/>
        <v>85.154382147362256</v>
      </c>
      <c r="O123" s="160">
        <f t="shared" ca="1" si="23"/>
        <v>200.69979239879481</v>
      </c>
      <c r="P123" s="160">
        <f t="shared" ca="1" si="23"/>
        <v>29.264360016521813</v>
      </c>
      <c r="Q123" s="160">
        <f t="shared" ca="1" si="23"/>
        <v>63.859858507871635</v>
      </c>
      <c r="R123" s="160">
        <f t="shared" ca="1" si="23"/>
        <v>59.061313090797832</v>
      </c>
      <c r="S123" s="160">
        <f t="shared" ca="1" si="23"/>
        <v>56.706756057670077</v>
      </c>
      <c r="T123" s="160">
        <f t="shared" ca="1" si="23"/>
        <v>203.77290286523322</v>
      </c>
      <c r="U123" s="160">
        <f t="shared" ca="1" si="23"/>
        <v>130.03932830641793</v>
      </c>
      <c r="V123" s="160">
        <f t="shared" ca="1" si="23"/>
        <v>134.65446826011879</v>
      </c>
      <c r="W123" s="160">
        <f t="shared" ca="1" si="23"/>
        <v>218.20840079690981</v>
      </c>
      <c r="X123" s="160">
        <f t="shared" ca="1" si="23"/>
        <v>5.2034631515333576</v>
      </c>
      <c r="Y123" s="160">
        <f t="shared" ca="1" si="23"/>
        <v>4.0867572667463383</v>
      </c>
      <c r="Z123" s="160">
        <f t="shared" ca="1" si="23"/>
        <v>11.902847434071685</v>
      </c>
      <c r="AA123" s="160">
        <f t="shared" ca="1" si="23"/>
        <v>10.841750617181653</v>
      </c>
      <c r="AB123" s="160">
        <f t="shared" ca="1" si="23"/>
        <v>10.431807042726081</v>
      </c>
      <c r="AC123" s="160">
        <f t="shared" ca="1" si="23"/>
        <v>11.901973599246627</v>
      </c>
      <c r="AD123" s="160">
        <f t="shared" ca="1" si="23"/>
        <v>26.075566293913688</v>
      </c>
      <c r="AE123" s="160">
        <f t="shared" ca="1" si="23"/>
        <v>25.26195551646401</v>
      </c>
      <c r="AF123" s="160">
        <f t="shared" ca="1" si="23"/>
        <v>125.46423248343295</v>
      </c>
      <c r="AG123" s="160">
        <f t="shared" ca="1" si="23"/>
        <v>186.32601778750848</v>
      </c>
      <c r="AH123" s="160">
        <f t="shared" ca="1" si="23"/>
        <v>1717.7402660847263</v>
      </c>
      <c r="AI123" s="160">
        <f t="shared" ca="1" si="23"/>
        <v>10.368294255909099</v>
      </c>
      <c r="AJ123" s="160">
        <f t="shared" ca="1" si="23"/>
        <v>242.75473287431512</v>
      </c>
      <c r="AK123" s="160">
        <f t="shared" ca="1" si="23"/>
        <v>218.34879605879451</v>
      </c>
      <c r="AL123" s="160">
        <f t="shared" ca="1" si="23"/>
        <v>0</v>
      </c>
      <c r="AM123" s="160">
        <f t="shared" ca="1" si="23"/>
        <v>28.346386214897812</v>
      </c>
      <c r="AN123" s="160">
        <f t="shared" ca="1" si="23"/>
        <v>0</v>
      </c>
      <c r="AO123" s="160">
        <f t="shared" ref="AO123:BE123" ca="1" si="24">SUM(AO66:AO122)</f>
        <v>235.23120284189545</v>
      </c>
      <c r="AP123" s="160">
        <f t="shared" ca="1" si="24"/>
        <v>48.933573981414355</v>
      </c>
      <c r="AQ123" s="160">
        <f t="shared" ca="1" si="24"/>
        <v>205.46415184987356</v>
      </c>
      <c r="AR123" s="160">
        <f t="shared" ca="1" si="24"/>
        <v>5.3558441396809826</v>
      </c>
      <c r="AS123" s="160">
        <f t="shared" ca="1" si="24"/>
        <v>376.8797384833598</v>
      </c>
      <c r="AT123" s="160">
        <f t="shared" ca="1" si="24"/>
        <v>221.50005692791331</v>
      </c>
      <c r="AU123" s="160">
        <f t="shared" ca="1" si="24"/>
        <v>266.94517028716177</v>
      </c>
      <c r="AV123" s="160">
        <f t="shared" ca="1" si="24"/>
        <v>411.656104605461</v>
      </c>
      <c r="AW123" s="160">
        <f t="shared" ca="1" si="24"/>
        <v>1708.1347594498802</v>
      </c>
      <c r="AX123" s="160">
        <f t="shared" ca="1" si="24"/>
        <v>28.231756368402777</v>
      </c>
      <c r="AY123" s="160">
        <f t="shared" ca="1" si="24"/>
        <v>0</v>
      </c>
      <c r="AZ123" s="160">
        <f t="shared" ca="1" si="24"/>
        <v>51926.221321331934</v>
      </c>
      <c r="BA123" s="160">
        <f t="shared" ca="1" si="24"/>
        <v>10278.370355895029</v>
      </c>
      <c r="BB123" s="160">
        <f t="shared" ca="1" si="24"/>
        <v>14375.160226288919</v>
      </c>
      <c r="BC123" s="160">
        <f t="shared" ca="1" si="24"/>
        <v>439.28734366215326</v>
      </c>
      <c r="BD123" s="160">
        <f t="shared" ca="1" si="24"/>
        <v>8385.4086370967925</v>
      </c>
      <c r="BE123" s="160">
        <f t="shared" ca="1" si="24"/>
        <v>0</v>
      </c>
      <c r="BG123" s="76">
        <f t="shared" ca="1" si="9"/>
        <v>94284.174683169636</v>
      </c>
      <c r="BH123" s="349">
        <f t="shared" ca="1" si="10"/>
        <v>0</v>
      </c>
      <c r="BJ123" s="76"/>
    </row>
    <row r="124" spans="1:62" ht="15.75" thickTop="1" x14ac:dyDescent="0.25">
      <c r="BJ124" s="44"/>
    </row>
    <row r="125" spans="1:62" ht="15.75" thickBot="1" x14ac:dyDescent="0.3">
      <c r="A125" s="177"/>
      <c r="B125" s="153" t="s">
        <v>305</v>
      </c>
      <c r="C125" s="153"/>
      <c r="D125" s="153"/>
      <c r="E125" s="160">
        <f t="shared" ref="E125:F125" ca="1" si="25">E63+E123</f>
        <v>11774600.446013115</v>
      </c>
      <c r="F125" s="160">
        <f t="shared" ca="1" si="25"/>
        <v>8759559.9211524446</v>
      </c>
      <c r="G125" s="153"/>
      <c r="H125" s="153"/>
      <c r="I125" s="160">
        <f t="shared" ref="I125:AN125" ca="1" si="26">I63+I123</f>
        <v>28016.389388483862</v>
      </c>
      <c r="J125" s="160">
        <f t="shared" ca="1" si="26"/>
        <v>24866.790714692655</v>
      </c>
      <c r="K125" s="160">
        <f t="shared" ca="1" si="26"/>
        <v>7357.3321361984181</v>
      </c>
      <c r="L125" s="160">
        <f t="shared" ca="1" si="26"/>
        <v>7695.779732972338</v>
      </c>
      <c r="M125" s="160">
        <f t="shared" ca="1" si="26"/>
        <v>14922.104031466342</v>
      </c>
      <c r="N125" s="160">
        <f t="shared" ca="1" si="26"/>
        <v>11619.013259673849</v>
      </c>
      <c r="O125" s="160">
        <f t="shared" ca="1" si="26"/>
        <v>29668.391548349704</v>
      </c>
      <c r="P125" s="160">
        <f t="shared" ca="1" si="26"/>
        <v>4533.0206222935713</v>
      </c>
      <c r="Q125" s="160">
        <f t="shared" ca="1" si="26"/>
        <v>9886.8923104012829</v>
      </c>
      <c r="R125" s="160">
        <f t="shared" ca="1" si="26"/>
        <v>9354.2120324863317</v>
      </c>
      <c r="S125" s="160">
        <f t="shared" ca="1" si="26"/>
        <v>8812.4220719053137</v>
      </c>
      <c r="T125" s="160">
        <f t="shared" ca="1" si="26"/>
        <v>32083.699466544698</v>
      </c>
      <c r="U125" s="160">
        <f t="shared" ca="1" si="26"/>
        <v>19961.539065089251</v>
      </c>
      <c r="V125" s="160">
        <f t="shared" ca="1" si="26"/>
        <v>18310.413784461169</v>
      </c>
      <c r="W125" s="160">
        <f t="shared" ca="1" si="26"/>
        <v>30173.06322811998</v>
      </c>
      <c r="X125" s="160">
        <f t="shared" ca="1" si="26"/>
        <v>785.95101236163896</v>
      </c>
      <c r="Y125" s="160">
        <f t="shared" ca="1" si="26"/>
        <v>582.97442743504087</v>
      </c>
      <c r="Z125" s="160">
        <f t="shared" ca="1" si="26"/>
        <v>1671.2272572222457</v>
      </c>
      <c r="AA125" s="160">
        <f t="shared" ca="1" si="26"/>
        <v>1488.4930540552118</v>
      </c>
      <c r="AB125" s="160">
        <f t="shared" ca="1" si="26"/>
        <v>1325.4118690263936</v>
      </c>
      <c r="AC125" s="160">
        <f t="shared" ca="1" si="26"/>
        <v>1695.4175670649458</v>
      </c>
      <c r="AD125" s="160">
        <f t="shared" ca="1" si="26"/>
        <v>3306.6755910901447</v>
      </c>
      <c r="AE125" s="160">
        <f t="shared" ca="1" si="26"/>
        <v>3751.382811375739</v>
      </c>
      <c r="AF125" s="160">
        <f t="shared" ca="1" si="26"/>
        <v>19442.367059902583</v>
      </c>
      <c r="AG125" s="160">
        <f t="shared" ca="1" si="26"/>
        <v>24140.762387837876</v>
      </c>
      <c r="AH125" s="160">
        <f t="shared" ca="1" si="26"/>
        <v>241759.35914051364</v>
      </c>
      <c r="AI125" s="160">
        <f t="shared" ca="1" si="26"/>
        <v>1668.2549631540044</v>
      </c>
      <c r="AJ125" s="160">
        <f t="shared" ca="1" si="26"/>
        <v>36216.526037159914</v>
      </c>
      <c r="AK125" s="160">
        <f t="shared" ca="1" si="26"/>
        <v>31645.874853040164</v>
      </c>
      <c r="AL125" s="160">
        <f t="shared" ca="1" si="26"/>
        <v>0</v>
      </c>
      <c r="AM125" s="160">
        <f t="shared" ca="1" si="26"/>
        <v>4014.018998491712</v>
      </c>
      <c r="AN125" s="160">
        <f t="shared" ca="1" si="26"/>
        <v>0</v>
      </c>
      <c r="AO125" s="160">
        <f t="shared" ref="AO125:BE125" ca="1" si="27">AO63+AO123</f>
        <v>32804.173165627966</v>
      </c>
      <c r="AP125" s="160">
        <f t="shared" ca="1" si="27"/>
        <v>7201.3771706416492</v>
      </c>
      <c r="AQ125" s="160">
        <f t="shared" ca="1" si="27"/>
        <v>26532.451371302039</v>
      </c>
      <c r="AR125" s="160">
        <f t="shared" ca="1" si="27"/>
        <v>723.14831335258714</v>
      </c>
      <c r="AS125" s="160">
        <f t="shared" ca="1" si="27"/>
        <v>48606.714592681274</v>
      </c>
      <c r="AT125" s="160">
        <f t="shared" ca="1" si="27"/>
        <v>28589.222209957672</v>
      </c>
      <c r="AU125" s="160">
        <f t="shared" ca="1" si="27"/>
        <v>34526.25501827008</v>
      </c>
      <c r="AV125" s="160">
        <f t="shared" ca="1" si="27"/>
        <v>52982.554504698674</v>
      </c>
      <c r="AW125" s="160">
        <f t="shared" ca="1" si="27"/>
        <v>203532.78529930284</v>
      </c>
      <c r="AX125" s="160">
        <f t="shared" ca="1" si="27"/>
        <v>3580.104785635695</v>
      </c>
      <c r="AY125" s="160">
        <f t="shared" ca="1" si="27"/>
        <v>0</v>
      </c>
      <c r="AZ125" s="160">
        <f t="shared" ca="1" si="27"/>
        <v>5783901.5426687747</v>
      </c>
      <c r="BA125" s="160">
        <f t="shared" ca="1" si="27"/>
        <v>341871.61879022932</v>
      </c>
      <c r="BB125" s="160">
        <f t="shared" ca="1" si="27"/>
        <v>429209.31322248286</v>
      </c>
      <c r="BC125" s="160">
        <f t="shared" ca="1" si="27"/>
        <v>13497.098302632963</v>
      </c>
      <c r="BD125" s="160">
        <f t="shared" ca="1" si="27"/>
        <v>252532.93860425608</v>
      </c>
      <c r="BE125" s="160">
        <f t="shared" ca="1" si="27"/>
        <v>868712.86270972912</v>
      </c>
      <c r="BF125" s="177"/>
      <c r="BG125" s="76">
        <f ca="1">SUM(I125:BF125)</f>
        <v>8759559.9211524446</v>
      </c>
      <c r="BH125" s="349">
        <f ca="1">BG125-BG123-BG63</f>
        <v>0</v>
      </c>
      <c r="BJ125" s="76"/>
    </row>
    <row r="126" spans="1:62" ht="15.75" thickTop="1" x14ac:dyDescent="0.25"/>
    <row r="127" spans="1:62" s="71" customFormat="1" x14ac:dyDescent="0.25">
      <c r="M127" s="350"/>
      <c r="N127" s="350"/>
      <c r="O127" s="350"/>
      <c r="P127" s="350"/>
      <c r="Q127" s="350"/>
      <c r="R127" s="350"/>
      <c r="S127" s="350"/>
      <c r="T127" s="350"/>
      <c r="U127" s="350"/>
      <c r="V127" s="350"/>
      <c r="W127" s="350"/>
      <c r="X127" s="350"/>
      <c r="Y127" s="350"/>
      <c r="Z127" s="350"/>
      <c r="AA127" s="350"/>
      <c r="AB127" s="350"/>
      <c r="AC127" s="350"/>
      <c r="AD127" s="350"/>
      <c r="AE127" s="350"/>
      <c r="AF127" s="350"/>
      <c r="AG127" s="350"/>
      <c r="AH127" s="350"/>
      <c r="AI127" s="350"/>
      <c r="AJ127" s="350"/>
      <c r="AK127" s="350"/>
      <c r="AL127" s="350"/>
      <c r="AM127" s="350"/>
      <c r="AN127" s="350"/>
      <c r="AO127" s="350"/>
      <c r="AP127" s="350"/>
      <c r="AQ127" s="350"/>
      <c r="AR127" s="350"/>
      <c r="AS127" s="350"/>
      <c r="AT127" s="350"/>
      <c r="AU127" s="350"/>
      <c r="AV127" s="350"/>
      <c r="AW127" s="350"/>
      <c r="AX127" s="350"/>
      <c r="AY127" s="350"/>
      <c r="AZ127" s="350"/>
      <c r="BA127" s="350"/>
      <c r="BB127" s="350"/>
      <c r="BC127" s="350"/>
      <c r="BD127" s="350"/>
      <c r="BE127" s="350"/>
      <c r="BF127" s="350"/>
      <c r="BG127" s="350"/>
      <c r="BH127" s="350"/>
      <c r="BI127" s="350"/>
    </row>
    <row r="128" spans="1:62" x14ac:dyDescent="0.25">
      <c r="B128" s="69" t="s">
        <v>221</v>
      </c>
      <c r="E128" s="81">
        <f ca="1">F128*'2020 Assumptions'!$B$4</f>
        <v>260823.67999999999</v>
      </c>
      <c r="F128" s="351">
        <f t="shared" ref="F128:F129" ca="1" si="28">SUM(I128:BE128)</f>
        <v>194036.36363636362</v>
      </c>
      <c r="I128" s="76">
        <f ca="1">I10</f>
        <v>0</v>
      </c>
      <c r="J128" s="76">
        <f t="shared" ref="J128:BE128" ca="1" si="29">J10</f>
        <v>469.78498735343936</v>
      </c>
      <c r="K128" s="76">
        <f t="shared" ca="1" si="29"/>
        <v>147.89804176522</v>
      </c>
      <c r="L128" s="76">
        <f t="shared" ca="1" si="29"/>
        <v>159.86147611842679</v>
      </c>
      <c r="M128" s="76">
        <f t="shared" ca="1" si="29"/>
        <v>260.24701599095158</v>
      </c>
      <c r="N128" s="76">
        <f t="shared" ca="1" si="29"/>
        <v>227.73676593757045</v>
      </c>
      <c r="O128" s="76">
        <f t="shared" ca="1" si="29"/>
        <v>532.45280746562844</v>
      </c>
      <c r="P128" s="76">
        <f t="shared" ca="1" si="29"/>
        <v>77.31391633923981</v>
      </c>
      <c r="Q128" s="76">
        <f t="shared" ca="1" si="29"/>
        <v>168.71996483599636</v>
      </c>
      <c r="R128" s="76">
        <f t="shared" ca="1" si="29"/>
        <v>155.71312762660096</v>
      </c>
      <c r="S128" s="76">
        <f t="shared" ca="1" si="29"/>
        <v>149.76961493182657</v>
      </c>
      <c r="T128" s="76">
        <f t="shared" ca="1" si="29"/>
        <v>537.53773305968639</v>
      </c>
      <c r="U128" s="76">
        <f t="shared" ca="1" si="29"/>
        <v>343.83653032329443</v>
      </c>
      <c r="V128" s="76">
        <f t="shared" ca="1" si="29"/>
        <v>364.90599039479315</v>
      </c>
      <c r="W128" s="76">
        <f t="shared" ca="1" si="29"/>
        <v>590.94425548881168</v>
      </c>
      <c r="X128" s="76">
        <f t="shared" ca="1" si="29"/>
        <v>13.68668684677767</v>
      </c>
      <c r="Y128" s="76">
        <f t="shared" ca="1" si="29"/>
        <v>10.799624628243672</v>
      </c>
      <c r="Z128" s="76">
        <f t="shared" ca="1" si="29"/>
        <v>31.493443163155689</v>
      </c>
      <c r="AA128" s="76">
        <f t="shared" ca="1" si="29"/>
        <v>28.735314836030998</v>
      </c>
      <c r="AB128" s="76">
        <f t="shared" ca="1" si="29"/>
        <v>27.805111567871791</v>
      </c>
      <c r="AC128" s="76">
        <f t="shared" ca="1" si="29"/>
        <v>31.455543618422979</v>
      </c>
      <c r="AD128" s="76">
        <f t="shared" ca="1" si="29"/>
        <v>69.511544660290724</v>
      </c>
      <c r="AE128" s="76">
        <f t="shared" ca="1" si="29"/>
        <v>66.5406953296593</v>
      </c>
      <c r="AF128" s="76">
        <f t="shared" ca="1" si="29"/>
        <v>328.04594810058285</v>
      </c>
      <c r="AG128" s="76">
        <f t="shared" ca="1" si="29"/>
        <v>516.27331733017627</v>
      </c>
      <c r="AH128" s="76">
        <f t="shared" ca="1" si="29"/>
        <v>4566.5677101842502</v>
      </c>
      <c r="AI128" s="76">
        <f t="shared" ca="1" si="29"/>
        <v>27.122184708349216</v>
      </c>
      <c r="AJ128" s="76">
        <f t="shared" ca="1" si="29"/>
        <v>635.20902482535314</v>
      </c>
      <c r="AK128" s="76">
        <f t="shared" ca="1" si="29"/>
        <v>571.67080807252819</v>
      </c>
      <c r="AL128" s="76">
        <f t="shared" ca="1" si="29"/>
        <v>0</v>
      </c>
      <c r="AM128" s="76">
        <f t="shared" ca="1" si="29"/>
        <v>74.9511826372717</v>
      </c>
      <c r="AN128" s="76">
        <f t="shared" ca="1" si="29"/>
        <v>0</v>
      </c>
      <c r="AO128" s="76">
        <f t="shared" ca="1" si="29"/>
        <v>616.32076903260599</v>
      </c>
      <c r="AP128" s="76">
        <f t="shared" ca="1" si="29"/>
        <v>128.07753343489384</v>
      </c>
      <c r="AQ128" s="76">
        <f t="shared" ca="1" si="29"/>
        <v>566.40970341408888</v>
      </c>
      <c r="AR128" s="76">
        <f t="shared" ca="1" si="29"/>
        <v>14.213110145623585</v>
      </c>
      <c r="AS128" s="76">
        <f t="shared" ca="1" si="29"/>
        <v>1041.0959808436426</v>
      </c>
      <c r="AT128" s="76">
        <f t="shared" ca="1" si="29"/>
        <v>613.00127385219855</v>
      </c>
      <c r="AU128" s="76">
        <f t="shared" ca="1" si="29"/>
        <v>732.72772870807648</v>
      </c>
      <c r="AV128" s="76">
        <f t="shared" ca="1" si="29"/>
        <v>1128.8130420829864</v>
      </c>
      <c r="AW128" s="76">
        <f t="shared" ca="1" si="29"/>
        <v>4314.3546553715869</v>
      </c>
      <c r="AX128" s="76">
        <f t="shared" ca="1" si="29"/>
        <v>75.259458280632998</v>
      </c>
      <c r="AY128" s="76">
        <f t="shared" ca="1" si="29"/>
        <v>0</v>
      </c>
      <c r="AZ128" s="76">
        <f t="shared" ca="1" si="29"/>
        <v>102702.96065276771</v>
      </c>
      <c r="BA128" s="76">
        <f t="shared" ca="1" si="29"/>
        <v>20329.210163467065</v>
      </c>
      <c r="BB128" s="76">
        <f t="shared" ca="1" si="29"/>
        <v>13253.305604946097</v>
      </c>
      <c r="BC128" s="76">
        <f t="shared" ca="1" si="29"/>
        <v>410.95674084585283</v>
      </c>
      <c r="BD128" s="76">
        <f t="shared" ca="1" si="29"/>
        <v>7909.3705449649724</v>
      </c>
      <c r="BE128" s="76">
        <f t="shared" ca="1" si="29"/>
        <v>29013.696306065151</v>
      </c>
      <c r="BG128" s="76">
        <f t="shared" ref="BG128:BG129" ca="1" si="30">SUM(I128:BF128)</f>
        <v>194036.36363636362</v>
      </c>
      <c r="BH128" s="349">
        <f t="shared" ref="BH128:BH129" ca="1" si="31">BG128-F128</f>
        <v>0</v>
      </c>
    </row>
    <row r="129" spans="2:60" s="177" customFormat="1" x14ac:dyDescent="0.25">
      <c r="B129" s="69" t="s">
        <v>237</v>
      </c>
      <c r="E129" s="81">
        <f ca="1">F129*'2020 Assumptions'!$B$4</f>
        <v>839.76543580426164</v>
      </c>
      <c r="F129" s="351">
        <f t="shared" ca="1" si="28"/>
        <v>624.73250692178362</v>
      </c>
      <c r="I129" s="76">
        <f ca="1">I91</f>
        <v>0</v>
      </c>
      <c r="J129" s="76">
        <f t="shared" ref="J129:BE129" ca="1" si="32">J91</f>
        <v>14.374879427048739</v>
      </c>
      <c r="K129" s="76">
        <f t="shared" ca="1" si="32"/>
        <v>4.5255097014672439</v>
      </c>
      <c r="L129" s="76">
        <f t="shared" ca="1" si="32"/>
        <v>4.8915770109604226</v>
      </c>
      <c r="M129" s="76">
        <f t="shared" ca="1" si="32"/>
        <v>7.963258888272275</v>
      </c>
      <c r="N129" s="76">
        <f t="shared" ca="1" si="32"/>
        <v>6.9684826880082058</v>
      </c>
      <c r="O129" s="76">
        <f t="shared" ca="1" si="32"/>
        <v>16.292442529998549</v>
      </c>
      <c r="P129" s="76">
        <f t="shared" ca="1" si="32"/>
        <v>2.3657167753923316</v>
      </c>
      <c r="Q129" s="76">
        <f t="shared" ca="1" si="32"/>
        <v>5.1626365608585791</v>
      </c>
      <c r="R129" s="76">
        <f t="shared" ca="1" si="32"/>
        <v>4.7646423259520407</v>
      </c>
      <c r="S129" s="76">
        <f t="shared" ca="1" si="32"/>
        <v>4.582777684338371</v>
      </c>
      <c r="T129" s="76">
        <f t="shared" ca="1" si="32"/>
        <v>16.448035395411054</v>
      </c>
      <c r="U129" s="76">
        <f t="shared" ca="1" si="32"/>
        <v>10.521001732849351</v>
      </c>
      <c r="V129" s="76">
        <f t="shared" ca="1" si="32"/>
        <v>11.165702939303504</v>
      </c>
      <c r="W129" s="76">
        <f t="shared" ca="1" si="32"/>
        <v>18.082213458149074</v>
      </c>
      <c r="X129" s="76">
        <f t="shared" ca="1" si="32"/>
        <v>0.41879685063282712</v>
      </c>
      <c r="Y129" s="76">
        <f t="shared" ca="1" si="32"/>
        <v>0.33045607260240667</v>
      </c>
      <c r="Z129" s="76">
        <f t="shared" ca="1" si="32"/>
        <v>0.96366308077098906</v>
      </c>
      <c r="AA129" s="76">
        <f t="shared" ca="1" si="32"/>
        <v>0.87926753128759039</v>
      </c>
      <c r="AB129" s="76">
        <f t="shared" ca="1" si="32"/>
        <v>0.85080438286353199</v>
      </c>
      <c r="AC129" s="76">
        <f t="shared" ca="1" si="32"/>
        <v>0.96250339836193233</v>
      </c>
      <c r="AD129" s="76">
        <f t="shared" ca="1" si="32"/>
        <v>2.1269731902433846</v>
      </c>
      <c r="AE129" s="76">
        <f t="shared" ca="1" si="32"/>
        <v>2.0360686231044052</v>
      </c>
      <c r="AF129" s="76">
        <f t="shared" ca="1" si="32"/>
        <v>10.037828107372029</v>
      </c>
      <c r="AG129" s="76">
        <f t="shared" ca="1" si="32"/>
        <v>15.797368770408035</v>
      </c>
      <c r="AH129" s="76">
        <f t="shared" ca="1" si="32"/>
        <v>139.73171130725379</v>
      </c>
      <c r="AI129" s="76">
        <f t="shared" ca="1" si="32"/>
        <v>0.82990760768466842</v>
      </c>
      <c r="AJ129" s="76">
        <f t="shared" ca="1" si="32"/>
        <v>19.436664407430246</v>
      </c>
      <c r="AK129" s="76">
        <f t="shared" ca="1" si="32"/>
        <v>17.492468169962162</v>
      </c>
      <c r="AL129" s="76">
        <f t="shared" ca="1" si="32"/>
        <v>0</v>
      </c>
      <c r="AM129" s="76">
        <f t="shared" ca="1" si="32"/>
        <v>2.293419845949451</v>
      </c>
      <c r="AN129" s="76">
        <f t="shared" ca="1" si="32"/>
        <v>0</v>
      </c>
      <c r="AO129" s="76">
        <f t="shared" ca="1" si="32"/>
        <v>18.858705539187987</v>
      </c>
      <c r="AP129" s="76">
        <f t="shared" ca="1" si="32"/>
        <v>3.9190249795174168</v>
      </c>
      <c r="AQ129" s="76">
        <f t="shared" ca="1" si="32"/>
        <v>17.331484428135497</v>
      </c>
      <c r="AR129" s="76">
        <f t="shared" ca="1" si="32"/>
        <v>0.43490479714497504</v>
      </c>
      <c r="AS129" s="76">
        <f t="shared" ca="1" si="32"/>
        <v>31.856337685293298</v>
      </c>
      <c r="AT129" s="76">
        <f t="shared" ca="1" si="32"/>
        <v>18.757132810681181</v>
      </c>
      <c r="AU129" s="76">
        <f t="shared" ca="1" si="32"/>
        <v>22.420624406010546</v>
      </c>
      <c r="AV129" s="76">
        <f t="shared" ca="1" si="32"/>
        <v>34.540378710346261</v>
      </c>
      <c r="AW129" s="76">
        <f t="shared" ca="1" si="32"/>
        <v>132.01428237602227</v>
      </c>
      <c r="AX129" s="76">
        <f t="shared" ca="1" si="32"/>
        <v>2.3028527255069253</v>
      </c>
      <c r="AY129" s="76">
        <f t="shared" ca="1" si="32"/>
        <v>0</v>
      </c>
      <c r="AZ129" s="76">
        <f t="shared" ca="1" si="32"/>
        <v>0</v>
      </c>
      <c r="BA129" s="76">
        <f t="shared" ca="1" si="32"/>
        <v>0</v>
      </c>
      <c r="BB129" s="76">
        <f t="shared" ca="1" si="32"/>
        <v>0</v>
      </c>
      <c r="BC129" s="76">
        <f t="shared" ca="1" si="32"/>
        <v>0</v>
      </c>
      <c r="BD129" s="76">
        <f t="shared" ca="1" si="32"/>
        <v>0</v>
      </c>
      <c r="BE129" s="76">
        <f t="shared" ca="1" si="32"/>
        <v>0</v>
      </c>
      <c r="BG129" s="76">
        <f t="shared" ca="1" si="30"/>
        <v>624.73250692178362</v>
      </c>
      <c r="BH129" s="349">
        <f t="shared" ca="1" si="31"/>
        <v>0</v>
      </c>
    </row>
    <row r="130" spans="2:60" s="177" customFormat="1" x14ac:dyDescent="0.25">
      <c r="B130" s="69"/>
    </row>
    <row r="131" spans="2:60" s="69" customFormat="1" x14ac:dyDescent="0.25">
      <c r="B131" s="69" t="s">
        <v>410</v>
      </c>
      <c r="E131" s="81">
        <f ca="1">F131*'2020 Assumptions'!$B$4</f>
        <v>3649099.5174160004</v>
      </c>
      <c r="F131" s="351">
        <f ca="1">SUM(I131:BE131)</f>
        <v>2714699.8344115461</v>
      </c>
      <c r="I131" s="351">
        <f ca="1">SUM(I6:I20,I31:I34,I36:I37,I39:I42,I61,I62)</f>
        <v>26850.182859693501</v>
      </c>
      <c r="J131" s="351">
        <f t="shared" ref="J131:BE131" ca="1" si="33">SUM(J6:J20,J31:J34,J36:J37,J39:J42,J61,J62)</f>
        <v>7042.7303941977307</v>
      </c>
      <c r="K131" s="351">
        <f t="shared" ca="1" si="33"/>
        <v>2215.9739581124736</v>
      </c>
      <c r="L131" s="351">
        <f t="shared" ca="1" si="33"/>
        <v>2394.5571415208133</v>
      </c>
      <c r="M131" s="351">
        <f t="shared" ca="1" si="33"/>
        <v>3904.4415203431026</v>
      </c>
      <c r="N131" s="351">
        <f t="shared" ca="1" si="33"/>
        <v>3412.95999538775</v>
      </c>
      <c r="O131" s="351">
        <f t="shared" ca="1" si="33"/>
        <v>7983.9244478097753</v>
      </c>
      <c r="P131" s="351">
        <f t="shared" ca="1" si="33"/>
        <v>1159.7502715906928</v>
      </c>
      <c r="Q131" s="351">
        <f t="shared" ca="1" si="33"/>
        <v>2530.8791285714778</v>
      </c>
      <c r="R131" s="351">
        <f t="shared" ca="1" si="33"/>
        <v>2336.2373864617839</v>
      </c>
      <c r="S131" s="351">
        <f t="shared" ca="1" si="33"/>
        <v>2246.688196121172</v>
      </c>
      <c r="T131" s="351">
        <f t="shared" ca="1" si="33"/>
        <v>8064.508567988647</v>
      </c>
      <c r="U131" s="351">
        <f t="shared" ca="1" si="33"/>
        <v>5157.3296566940153</v>
      </c>
      <c r="V131" s="351">
        <f t="shared" ca="1" si="33"/>
        <v>5472.7719810314757</v>
      </c>
      <c r="W131" s="351">
        <f t="shared" ca="1" si="33"/>
        <v>8864.305857603722</v>
      </c>
      <c r="X131" s="351">
        <f t="shared" ca="1" si="33"/>
        <v>205.18071147773782</v>
      </c>
      <c r="Y131" s="351">
        <f t="shared" ca="1" si="33"/>
        <v>161.82117076779932</v>
      </c>
      <c r="Z131" s="351">
        <f t="shared" ca="1" si="33"/>
        <v>471.83547836124779</v>
      </c>
      <c r="AA131" s="351">
        <f t="shared" ca="1" si="33"/>
        <v>430.43603490662804</v>
      </c>
      <c r="AB131" s="351">
        <f t="shared" ca="1" si="33"/>
        <v>416.25864136220531</v>
      </c>
      <c r="AC131" s="351">
        <f t="shared" ca="1" si="33"/>
        <v>471.32320965062365</v>
      </c>
      <c r="AD131" s="351">
        <f t="shared" ca="1" si="33"/>
        <v>1040.6137209450833</v>
      </c>
      <c r="AE131" s="351">
        <f t="shared" ca="1" si="33"/>
        <v>997.38129554807927</v>
      </c>
      <c r="AF131" s="351">
        <f t="shared" ca="1" si="33"/>
        <v>4923.3306049273442</v>
      </c>
      <c r="AG131" s="351">
        <f t="shared" ca="1" si="33"/>
        <v>7748.8158890568993</v>
      </c>
      <c r="AH131" s="351">
        <f t="shared" ca="1" si="33"/>
        <v>68438.343030744218</v>
      </c>
      <c r="AI131" s="351">
        <f t="shared" ca="1" si="33"/>
        <v>406.830613985757</v>
      </c>
      <c r="AJ131" s="351">
        <f t="shared" ca="1" si="33"/>
        <v>9530.3488425331198</v>
      </c>
      <c r="AK131" s="351">
        <f t="shared" ca="1" si="33"/>
        <v>8575.1316047138625</v>
      </c>
      <c r="AL131" s="351">
        <f t="shared" ca="1" si="33"/>
        <v>0</v>
      </c>
      <c r="AM131" s="351">
        <f t="shared" ca="1" si="33"/>
        <v>1122.9980466450577</v>
      </c>
      <c r="AN131" s="351">
        <f t="shared" ca="1" si="33"/>
        <v>0</v>
      </c>
      <c r="AO131" s="351">
        <f t="shared" ca="1" si="33"/>
        <v>9242.2228921348669</v>
      </c>
      <c r="AP131" s="351">
        <f t="shared" ca="1" si="33"/>
        <v>1921.4045154941848</v>
      </c>
      <c r="AQ131" s="351">
        <f t="shared" ca="1" si="33"/>
        <v>8498.4307724853224</v>
      </c>
      <c r="AR131" s="351">
        <f t="shared" ca="1" si="33"/>
        <v>212.87524700026637</v>
      </c>
      <c r="AS131" s="351">
        <f t="shared" ca="1" si="33"/>
        <v>15622.330173301234</v>
      </c>
      <c r="AT131" s="351">
        <f t="shared" ca="1" si="33"/>
        <v>9199.5734850850113</v>
      </c>
      <c r="AU131" s="351">
        <f t="shared" ca="1" si="33"/>
        <v>10991.237062666911</v>
      </c>
      <c r="AV131" s="351">
        <f t="shared" ca="1" si="33"/>
        <v>16930.735531947161</v>
      </c>
      <c r="AW131" s="351">
        <f t="shared" ca="1" si="33"/>
        <v>64736.382223137727</v>
      </c>
      <c r="AX131" s="351">
        <f t="shared" ca="1" si="33"/>
        <v>1126.6621292974908</v>
      </c>
      <c r="AY131" s="351">
        <f t="shared" ca="1" si="33"/>
        <v>0</v>
      </c>
      <c r="AZ131" s="351">
        <f ca="1">SUM(AZ6:AZ20,AZ31:AZ34,AZ36:AZ37,AZ39:AZ42,AZ61,AZ62)</f>
        <v>1383858.5835117868</v>
      </c>
      <c r="BA131" s="351">
        <f t="shared" ca="1" si="33"/>
        <v>244375.20442066423</v>
      </c>
      <c r="BB131" s="351">
        <f t="shared" ca="1" si="33"/>
        <v>206363.97001306847</v>
      </c>
      <c r="BC131" s="351">
        <f t="shared" ca="1" si="33"/>
        <v>6652.4953359922129</v>
      </c>
      <c r="BD131" s="351">
        <f t="shared" ca="1" si="33"/>
        <v>123445.69334634487</v>
      </c>
      <c r="BE131" s="351">
        <f t="shared" ca="1" si="33"/>
        <v>416944.14349238545</v>
      </c>
      <c r="BG131" s="76">
        <f t="shared" ref="BG131:BG135" ca="1" si="34">SUM(I131:BF131)</f>
        <v>2714699.8344115461</v>
      </c>
      <c r="BH131" s="349">
        <f t="shared" ref="BH131:BH135" ca="1" si="35">BG131-F131</f>
        <v>0</v>
      </c>
    </row>
    <row r="132" spans="2:60" s="69" customFormat="1" x14ac:dyDescent="0.25">
      <c r="B132" s="69" t="s">
        <v>411</v>
      </c>
      <c r="E132" s="81">
        <f ca="1">F132*'2020 Assumptions'!$B$4</f>
        <v>316879.24811400002</v>
      </c>
      <c r="F132" s="351">
        <f t="shared" ref="F132:F133" ca="1" si="36">SUM(I132:BE132)</f>
        <v>235738.17</v>
      </c>
      <c r="I132" s="351">
        <f ca="1">SUM(I35,I38)</f>
        <v>0</v>
      </c>
      <c r="J132" s="351">
        <f t="shared" ref="J132:BE132" ca="1" si="37">SUM(J35,J38)</f>
        <v>782.29633213314366</v>
      </c>
      <c r="K132" s="351">
        <f t="shared" ca="1" si="37"/>
        <v>244.24002080373066</v>
      </c>
      <c r="L132" s="351">
        <f t="shared" ca="1" si="37"/>
        <v>262.883693442962</v>
      </c>
      <c r="M132" s="351">
        <f t="shared" ca="1" si="37"/>
        <v>438.34023291252061</v>
      </c>
      <c r="N132" s="351">
        <f t="shared" ca="1" si="37"/>
        <v>377.3437214501954</v>
      </c>
      <c r="O132" s="351">
        <f t="shared" ca="1" si="37"/>
        <v>903.66280631003053</v>
      </c>
      <c r="P132" s="351">
        <f t="shared" ca="1" si="37"/>
        <v>132.81589006560046</v>
      </c>
      <c r="Q132" s="351">
        <f t="shared" ca="1" si="37"/>
        <v>289.8020053367855</v>
      </c>
      <c r="R132" s="351">
        <f t="shared" ca="1" si="37"/>
        <v>269.09344084654606</v>
      </c>
      <c r="S132" s="351">
        <f t="shared" ca="1" si="37"/>
        <v>257.50807156341051</v>
      </c>
      <c r="T132" s="351">
        <f t="shared" ca="1" si="37"/>
        <v>927.45860801708272</v>
      </c>
      <c r="U132" s="351">
        <f t="shared" ca="1" si="37"/>
        <v>589.26032376511125</v>
      </c>
      <c r="V132" s="351">
        <f t="shared" ca="1" si="37"/>
        <v>578.890572507466</v>
      </c>
      <c r="W132" s="351">
        <f t="shared" ca="1" si="37"/>
        <v>939.16463037469634</v>
      </c>
      <c r="X132" s="351">
        <f t="shared" ca="1" si="37"/>
        <v>23.856319955466745</v>
      </c>
      <c r="Y132" s="351">
        <f t="shared" ca="1" si="37"/>
        <v>18.575232200070754</v>
      </c>
      <c r="Z132" s="351">
        <f t="shared" ca="1" si="37"/>
        <v>53.975515723760552</v>
      </c>
      <c r="AA132" s="351">
        <f t="shared" ca="1" si="37"/>
        <v>49.005072641771164</v>
      </c>
      <c r="AB132" s="351">
        <f t="shared" ca="1" si="37"/>
        <v>46.649872596320769</v>
      </c>
      <c r="AC132" s="351">
        <f t="shared" ca="1" si="37"/>
        <v>54.085889498535195</v>
      </c>
      <c r="AD132" s="351">
        <f t="shared" ca="1" si="37"/>
        <v>116.57713999631703</v>
      </c>
      <c r="AE132" s="351">
        <f t="shared" ca="1" si="37"/>
        <v>115.51621207990101</v>
      </c>
      <c r="AF132" s="351">
        <f t="shared" ca="1" si="37"/>
        <v>1040.8591939650646</v>
      </c>
      <c r="AG132" s="351">
        <f t="shared" ca="1" si="37"/>
        <v>759.64260302101877</v>
      </c>
      <c r="AH132" s="351">
        <f t="shared" ca="1" si="37"/>
        <v>7708.2401628480675</v>
      </c>
      <c r="AI132" s="351">
        <f t="shared" ca="1" si="37"/>
        <v>48.016081616746987</v>
      </c>
      <c r="AJ132" s="351">
        <f t="shared" ca="1" si="37"/>
        <v>2015.207735158067</v>
      </c>
      <c r="AK132" s="351">
        <f t="shared" ca="1" si="37"/>
        <v>1813.465529831363</v>
      </c>
      <c r="AL132" s="351">
        <f t="shared" ca="1" si="37"/>
        <v>0</v>
      </c>
      <c r="AM132" s="351">
        <f t="shared" ca="1" si="37"/>
        <v>128.70159189610908</v>
      </c>
      <c r="AN132" s="351">
        <f t="shared" ca="1" si="37"/>
        <v>0</v>
      </c>
      <c r="AO132" s="351">
        <f t="shared" ca="1" si="37"/>
        <v>1954.8743526825233</v>
      </c>
      <c r="AP132" s="351">
        <f t="shared" ca="1" si="37"/>
        <v>406.30967172342298</v>
      </c>
      <c r="AQ132" s="351">
        <f t="shared" ca="1" si="37"/>
        <v>848.51850568743578</v>
      </c>
      <c r="AR132" s="351">
        <f t="shared" ca="1" si="37"/>
        <v>24.151362054592642</v>
      </c>
      <c r="AS132" s="351">
        <f t="shared" ca="1" si="37"/>
        <v>1548.4923696367753</v>
      </c>
      <c r="AT132" s="351">
        <f t="shared" ca="1" si="37"/>
        <v>905.85952531140128</v>
      </c>
      <c r="AU132" s="351">
        <f t="shared" ca="1" si="37"/>
        <v>1114.196676000224</v>
      </c>
      <c r="AV132" s="351">
        <f t="shared" ca="1" si="37"/>
        <v>1722.5996802799493</v>
      </c>
      <c r="AW132" s="351">
        <f t="shared" ca="1" si="37"/>
        <v>14670.369859534634</v>
      </c>
      <c r="AX132" s="351">
        <f t="shared" ca="1" si="37"/>
        <v>126.21691039819915</v>
      </c>
      <c r="AY132" s="351">
        <f t="shared" ca="1" si="37"/>
        <v>0</v>
      </c>
      <c r="AZ132" s="351">
        <f t="shared" ca="1" si="37"/>
        <v>0</v>
      </c>
      <c r="BA132" s="351">
        <f t="shared" ca="1" si="37"/>
        <v>34218.222927028066</v>
      </c>
      <c r="BB132" s="351">
        <f t="shared" ca="1" si="37"/>
        <v>41296.956866999244</v>
      </c>
      <c r="BC132" s="351">
        <f t="shared" ca="1" si="37"/>
        <v>1351.6594119292454</v>
      </c>
      <c r="BD132" s="351">
        <f t="shared" ca="1" si="37"/>
        <v>24832.169880673002</v>
      </c>
      <c r="BE132" s="351">
        <f t="shared" ca="1" si="37"/>
        <v>89732.437497503444</v>
      </c>
      <c r="BG132" s="76">
        <f t="shared" ca="1" si="34"/>
        <v>235738.17</v>
      </c>
      <c r="BH132" s="349">
        <f t="shared" ca="1" si="35"/>
        <v>0</v>
      </c>
    </row>
    <row r="133" spans="2:60" s="69" customFormat="1" x14ac:dyDescent="0.25">
      <c r="B133" s="69" t="s">
        <v>412</v>
      </c>
      <c r="E133" s="81">
        <f ca="1">F133*'2020 Assumptions'!$B$4</f>
        <v>1644550.4300000002</v>
      </c>
      <c r="F133" s="351">
        <f t="shared" ca="1" si="36"/>
        <v>1223441.7720577295</v>
      </c>
      <c r="I133" s="351">
        <f ca="1">SUM(I21:I29)</f>
        <v>0</v>
      </c>
      <c r="J133" s="351">
        <f t="shared" ref="J133:BE133" ca="1" si="38">SUM(J21:J29)</f>
        <v>15638.338934797861</v>
      </c>
      <c r="K133" s="351">
        <f t="shared" ca="1" si="38"/>
        <v>4454.8954466164814</v>
      </c>
      <c r="L133" s="351">
        <f t="shared" ca="1" si="38"/>
        <v>4560.129511957346</v>
      </c>
      <c r="M133" s="351">
        <f t="shared" ca="1" si="38"/>
        <v>9802.8284123722788</v>
      </c>
      <c r="N133" s="351">
        <f t="shared" ca="1" si="38"/>
        <v>7148.0083350873547</v>
      </c>
      <c r="O133" s="351">
        <f t="shared" ca="1" si="38"/>
        <v>19186.220931171287</v>
      </c>
      <c r="P133" s="351">
        <f t="shared" ca="1" si="38"/>
        <v>3008.7975635390067</v>
      </c>
      <c r="Q133" s="351">
        <f t="shared" ca="1" si="38"/>
        <v>6560.6757343482886</v>
      </c>
      <c r="R133" s="351">
        <f t="shared" ca="1" si="38"/>
        <v>6282.1977085834269</v>
      </c>
      <c r="S133" s="351">
        <f t="shared" ca="1" si="38"/>
        <v>5859.452380108788</v>
      </c>
      <c r="T133" s="351">
        <f t="shared" ca="1" si="38"/>
        <v>21480.801997464227</v>
      </c>
      <c r="U133" s="351">
        <f t="shared" ca="1" si="38"/>
        <v>13184.81023591892</v>
      </c>
      <c r="V133" s="351">
        <f t="shared" ca="1" si="38"/>
        <v>11179.775898972774</v>
      </c>
      <c r="W133" s="351">
        <f t="shared" ca="1" si="38"/>
        <v>18622.971531740484</v>
      </c>
      <c r="X133" s="351">
        <f t="shared" ca="1" si="38"/>
        <v>515.68632169058526</v>
      </c>
      <c r="Y133" s="351">
        <f t="shared" ca="1" si="38"/>
        <v>370.05871430643464</v>
      </c>
      <c r="Z133" s="351">
        <f t="shared" ca="1" si="38"/>
        <v>1050.5938738975206</v>
      </c>
      <c r="AA133" s="351">
        <f t="shared" ca="1" si="38"/>
        <v>922.54544897404651</v>
      </c>
      <c r="AB133" s="351">
        <f t="shared" ca="1" si="38"/>
        <v>778.83368216767701</v>
      </c>
      <c r="AC133" s="351">
        <f t="shared" ca="1" si="38"/>
        <v>1075.2918686445801</v>
      </c>
      <c r="AD133" s="351">
        <f t="shared" ca="1" si="38"/>
        <v>1940.3164198031043</v>
      </c>
      <c r="AE133" s="351">
        <f t="shared" ca="1" si="38"/>
        <v>2438.0705293787532</v>
      </c>
      <c r="AF133" s="351">
        <f t="shared" ca="1" si="38"/>
        <v>13040.859899652321</v>
      </c>
      <c r="AG133" s="351">
        <f t="shared" ca="1" si="38"/>
        <v>14129.669795316606</v>
      </c>
      <c r="AH133" s="351">
        <f t="shared" ca="1" si="38"/>
        <v>151919.83190189925</v>
      </c>
      <c r="AI133" s="351">
        <f t="shared" ca="1" si="38"/>
        <v>1131.6744144943279</v>
      </c>
      <c r="AJ133" s="351">
        <f t="shared" ca="1" si="38"/>
        <v>23824.360531692677</v>
      </c>
      <c r="AK133" s="351">
        <f t="shared" ca="1" si="38"/>
        <v>20495.476606637621</v>
      </c>
      <c r="AL133" s="351">
        <f t="shared" ca="1" si="38"/>
        <v>0</v>
      </c>
      <c r="AM133" s="351">
        <f t="shared" ca="1" si="38"/>
        <v>2536.6401005808902</v>
      </c>
      <c r="AN133" s="351">
        <f t="shared" ca="1" si="38"/>
        <v>0</v>
      </c>
      <c r="AO133" s="351">
        <f t="shared" ca="1" si="38"/>
        <v>20785.946427421361</v>
      </c>
      <c r="AP133" s="351">
        <f t="shared" ca="1" si="38"/>
        <v>4702.973967037522</v>
      </c>
      <c r="AQ133" s="351">
        <f t="shared" ca="1" si="38"/>
        <v>15529.668788212271</v>
      </c>
      <c r="AR133" s="351">
        <f t="shared" ca="1" si="38"/>
        <v>443.33787139518449</v>
      </c>
      <c r="AS133" s="351">
        <f t="shared" ca="1" si="38"/>
        <v>28397.356301853441</v>
      </c>
      <c r="AT133" s="351">
        <f t="shared" ca="1" si="38"/>
        <v>16697.492832599364</v>
      </c>
      <c r="AU133" s="351">
        <f t="shared" ca="1" si="38"/>
        <v>20271.267036485606</v>
      </c>
      <c r="AV133" s="351">
        <f t="shared" ca="1" si="38"/>
        <v>31014.081433241554</v>
      </c>
      <c r="AW133" s="351">
        <f t="shared" ca="1" si="38"/>
        <v>118316.50654503604</v>
      </c>
      <c r="AX133" s="351">
        <f t="shared" ca="1" si="38"/>
        <v>2100.7612959983408</v>
      </c>
      <c r="AY133" s="351">
        <f t="shared" ca="1" si="38"/>
        <v>0</v>
      </c>
      <c r="AZ133" s="351">
        <f t="shared" ca="1" si="38"/>
        <v>0</v>
      </c>
      <c r="BA133" s="351">
        <f t="shared" ca="1" si="38"/>
        <v>0</v>
      </c>
      <c r="BB133" s="351">
        <f t="shared" ca="1" si="38"/>
        <v>154574.12271380649</v>
      </c>
      <c r="BC133" s="351">
        <f t="shared" ca="1" si="38"/>
        <v>4662.9848852583755</v>
      </c>
      <c r="BD133" s="351">
        <f t="shared" ca="1" si="38"/>
        <v>88350.714086843655</v>
      </c>
      <c r="BE133" s="351">
        <f t="shared" ca="1" si="38"/>
        <v>334454.74314072542</v>
      </c>
      <c r="BG133" s="76">
        <f t="shared" ca="1" si="34"/>
        <v>1223441.7720577295</v>
      </c>
      <c r="BH133" s="349">
        <f t="shared" ca="1" si="35"/>
        <v>0</v>
      </c>
    </row>
    <row r="134" spans="2:60" s="69" customFormat="1" x14ac:dyDescent="0.25">
      <c r="B134" s="69" t="s">
        <v>413</v>
      </c>
      <c r="E134" s="81">
        <f ca="1">F134*'2020 Assumptions'!$B$4</f>
        <v>123749.90165903515</v>
      </c>
      <c r="F134" s="351">
        <f ca="1">SUM(I134:BE134)</f>
        <v>92062.119966548984</v>
      </c>
      <c r="I134" s="351">
        <f ca="1">SUM(I66:I102,I121,I122)</f>
        <v>1166.2065287903588</v>
      </c>
      <c r="J134" s="351">
        <f t="shared" ref="J134:BE134" ca="1" si="39">SUM(J66:J102,J121,J122)</f>
        <v>111.79604408170897</v>
      </c>
      <c r="K134" s="351">
        <f t="shared" ca="1" si="39"/>
        <v>35.001817291691296</v>
      </c>
      <c r="L134" s="351">
        <f t="shared" ca="1" si="39"/>
        <v>37.727493720240084</v>
      </c>
      <c r="M134" s="351">
        <f t="shared" ca="1" si="39"/>
        <v>62.403484850378561</v>
      </c>
      <c r="N134" s="351">
        <f t="shared" ca="1" si="39"/>
        <v>54.015923184311852</v>
      </c>
      <c r="O134" s="351">
        <f t="shared" ca="1" si="39"/>
        <v>127.82204635221861</v>
      </c>
      <c r="P134" s="351">
        <f t="shared" ca="1" si="39"/>
        <v>18.682471940416551</v>
      </c>
      <c r="Q134" s="351">
        <f t="shared" ca="1" si="39"/>
        <v>40.767299703542577</v>
      </c>
      <c r="R134" s="351">
        <f t="shared" ca="1" si="39"/>
        <v>37.749195822742372</v>
      </c>
      <c r="S134" s="351">
        <f t="shared" ca="1" si="39"/>
        <v>36.207948043135652</v>
      </c>
      <c r="T134" s="351">
        <f t="shared" ca="1" si="39"/>
        <v>130.20109455407299</v>
      </c>
      <c r="U134" s="351">
        <f t="shared" ca="1" si="39"/>
        <v>82.97854486433792</v>
      </c>
      <c r="V134" s="351">
        <f t="shared" ca="1" si="39"/>
        <v>85.265845759889146</v>
      </c>
      <c r="W134" s="351">
        <f t="shared" ca="1" si="39"/>
        <v>138.27011744865553</v>
      </c>
      <c r="X134" s="351">
        <f t="shared" ca="1" si="39"/>
        <v>3.3202561611379533</v>
      </c>
      <c r="Y134" s="351">
        <f t="shared" ca="1" si="39"/>
        <v>2.6004227494801229</v>
      </c>
      <c r="Z134" s="351">
        <f t="shared" ca="1" si="39"/>
        <v>7.5681699425418456</v>
      </c>
      <c r="AA134" s="351">
        <f t="shared" ca="1" si="39"/>
        <v>6.8863328539410213</v>
      </c>
      <c r="AB134" s="351">
        <f t="shared" ca="1" si="39"/>
        <v>6.6032881261788443</v>
      </c>
      <c r="AC134" s="351">
        <f t="shared" ca="1" si="39"/>
        <v>7.5727733159767521</v>
      </c>
      <c r="AD134" s="351">
        <f t="shared" ca="1" si="39"/>
        <v>16.504371308869757</v>
      </c>
      <c r="AE134" s="351">
        <f t="shared" ca="1" si="39"/>
        <v>16.10565659374377</v>
      </c>
      <c r="AF134" s="351">
        <f t="shared" ca="1" si="39"/>
        <v>108.3704815688213</v>
      </c>
      <c r="AG134" s="351">
        <f t="shared" ca="1" si="39"/>
        <v>117.45342678610838</v>
      </c>
      <c r="AH134" s="351">
        <f t="shared" ca="1" si="39"/>
        <v>1091.6589572079647</v>
      </c>
      <c r="AI134" s="351">
        <f t="shared" ca="1" si="39"/>
        <v>6.6375450753878518</v>
      </c>
      <c r="AJ134" s="351">
        <f t="shared" ca="1" si="39"/>
        <v>209.65539141941403</v>
      </c>
      <c r="AK134" s="351">
        <f t="shared" ca="1" si="39"/>
        <v>188.56029095782509</v>
      </c>
      <c r="AL134" s="351">
        <f t="shared" ca="1" si="39"/>
        <v>0</v>
      </c>
      <c r="AM134" s="351">
        <f t="shared" ca="1" si="39"/>
        <v>18.030660890474586</v>
      </c>
      <c r="AN134" s="351">
        <f t="shared" ca="1" si="39"/>
        <v>0</v>
      </c>
      <c r="AO134" s="351">
        <f t="shared" ca="1" si="39"/>
        <v>203.11608674201594</v>
      </c>
      <c r="AP134" s="351">
        <f t="shared" ca="1" si="39"/>
        <v>42.259736163967368</v>
      </c>
      <c r="AQ134" s="351">
        <f t="shared" ca="1" si="39"/>
        <v>129.58637270713234</v>
      </c>
      <c r="AR134" s="351">
        <f t="shared" ca="1" si="39"/>
        <v>3.3992783740990098</v>
      </c>
      <c r="AS134" s="351">
        <f t="shared" ca="1" si="39"/>
        <v>237.62584282071197</v>
      </c>
      <c r="AT134" s="351">
        <f t="shared" ca="1" si="39"/>
        <v>139.62869440498667</v>
      </c>
      <c r="AU134" s="351">
        <f t="shared" ca="1" si="39"/>
        <v>168.46362613521904</v>
      </c>
      <c r="AV134" s="351">
        <f t="shared" ca="1" si="39"/>
        <v>259.77619201979627</v>
      </c>
      <c r="AW134" s="351">
        <f t="shared" ca="1" si="39"/>
        <v>1483.3232528203121</v>
      </c>
      <c r="AX134" s="351">
        <f t="shared" ca="1" si="39"/>
        <v>17.86911872032573</v>
      </c>
      <c r="AY134" s="351">
        <f t="shared" ca="1" si="39"/>
        <v>0</v>
      </c>
      <c r="AZ134" s="351">
        <f t="shared" ca="1" si="39"/>
        <v>51926.221321331934</v>
      </c>
      <c r="BA134" s="351">
        <f t="shared" ca="1" si="39"/>
        <v>10278.370355895029</v>
      </c>
      <c r="BB134" s="351">
        <f t="shared" ca="1" si="39"/>
        <v>14375.160226288919</v>
      </c>
      <c r="BC134" s="351">
        <f t="shared" ca="1" si="39"/>
        <v>439.28734366215326</v>
      </c>
      <c r="BD134" s="351">
        <f t="shared" ca="1" si="39"/>
        <v>8385.4086370967925</v>
      </c>
      <c r="BE134" s="351">
        <f t="shared" ca="1" si="39"/>
        <v>0</v>
      </c>
      <c r="BG134" s="76">
        <f t="shared" ca="1" si="34"/>
        <v>92062.119966548984</v>
      </c>
      <c r="BH134" s="349">
        <f t="shared" ca="1" si="35"/>
        <v>0</v>
      </c>
    </row>
    <row r="135" spans="2:60" s="177" customFormat="1" ht="15.75" thickBot="1" x14ac:dyDescent="0.3">
      <c r="E135" s="329">
        <f t="shared" ref="E135:F135" ca="1" si="40">SUM(E131:E134)</f>
        <v>5734279.0971890362</v>
      </c>
      <c r="F135" s="329">
        <f t="shared" ca="1" si="40"/>
        <v>4265941.8964358242</v>
      </c>
      <c r="I135" s="329">
        <f ca="1">SUM(I131:I134)</f>
        <v>28016.389388483862</v>
      </c>
      <c r="J135" s="329">
        <f t="shared" ref="J135:BE135" ca="1" si="41">SUM(J131:J134)</f>
        <v>23575.161705210445</v>
      </c>
      <c r="K135" s="329">
        <f t="shared" ca="1" si="41"/>
        <v>6950.1112428243778</v>
      </c>
      <c r="L135" s="329">
        <f t="shared" ca="1" si="41"/>
        <v>7255.2978406413613</v>
      </c>
      <c r="M135" s="329">
        <f t="shared" ca="1" si="41"/>
        <v>14208.01365047828</v>
      </c>
      <c r="N135" s="329">
        <f t="shared" ca="1" si="41"/>
        <v>10992.327975109612</v>
      </c>
      <c r="O135" s="329">
        <f t="shared" ca="1" si="41"/>
        <v>28201.63023164331</v>
      </c>
      <c r="P135" s="329">
        <f t="shared" ca="1" si="41"/>
        <v>4320.0461971357172</v>
      </c>
      <c r="Q135" s="329">
        <f t="shared" ca="1" si="41"/>
        <v>9422.1241679600953</v>
      </c>
      <c r="R135" s="329">
        <f t="shared" ca="1" si="41"/>
        <v>8925.2777317144992</v>
      </c>
      <c r="S135" s="329">
        <f t="shared" ca="1" si="41"/>
        <v>8399.8565958365052</v>
      </c>
      <c r="T135" s="329">
        <f t="shared" ca="1" si="41"/>
        <v>30602.970268024026</v>
      </c>
      <c r="U135" s="329">
        <f t="shared" ca="1" si="41"/>
        <v>19014.378761242384</v>
      </c>
      <c r="V135" s="329">
        <f t="shared" ca="1" si="41"/>
        <v>17316.704298271601</v>
      </c>
      <c r="W135" s="329">
        <f t="shared" ca="1" si="41"/>
        <v>28564.712137167557</v>
      </c>
      <c r="X135" s="329">
        <f t="shared" ca="1" si="41"/>
        <v>748.04360928492781</v>
      </c>
      <c r="Y135" s="329">
        <f t="shared" ca="1" si="41"/>
        <v>553.05554002378483</v>
      </c>
      <c r="Z135" s="329">
        <f t="shared" ca="1" si="41"/>
        <v>1583.9730379250707</v>
      </c>
      <c r="AA135" s="329">
        <f t="shared" ca="1" si="41"/>
        <v>1408.8728893763866</v>
      </c>
      <c r="AB135" s="329">
        <f t="shared" ca="1" si="41"/>
        <v>1248.3454842523818</v>
      </c>
      <c r="AC135" s="329">
        <f t="shared" ca="1" si="41"/>
        <v>1608.2737411097157</v>
      </c>
      <c r="AD135" s="329">
        <f t="shared" ca="1" si="41"/>
        <v>3114.0116520533747</v>
      </c>
      <c r="AE135" s="329">
        <f t="shared" ca="1" si="41"/>
        <v>3567.0736936004773</v>
      </c>
      <c r="AF135" s="329">
        <f t="shared" ca="1" si="41"/>
        <v>19113.420180113553</v>
      </c>
      <c r="AG135" s="329">
        <f t="shared" ca="1" si="41"/>
        <v>22755.581714180633</v>
      </c>
      <c r="AH135" s="329">
        <f t="shared" ca="1" si="41"/>
        <v>229158.07405269949</v>
      </c>
      <c r="AI135" s="329">
        <f t="shared" ca="1" si="41"/>
        <v>1593.1586551722198</v>
      </c>
      <c r="AJ135" s="329">
        <f t="shared" ca="1" si="41"/>
        <v>35579.572500803282</v>
      </c>
      <c r="AK135" s="329">
        <f t="shared" ca="1" si="41"/>
        <v>31072.634032140671</v>
      </c>
      <c r="AL135" s="329">
        <f t="shared" ca="1" si="41"/>
        <v>0</v>
      </c>
      <c r="AM135" s="329">
        <f t="shared" ca="1" si="41"/>
        <v>3806.3704000125317</v>
      </c>
      <c r="AN135" s="329">
        <f t="shared" ca="1" si="41"/>
        <v>0</v>
      </c>
      <c r="AO135" s="329">
        <f t="shared" ca="1" si="41"/>
        <v>32186.159758980768</v>
      </c>
      <c r="AP135" s="329">
        <f t="shared" ca="1" si="41"/>
        <v>7072.9478904190973</v>
      </c>
      <c r="AQ135" s="329">
        <f t="shared" ca="1" si="41"/>
        <v>25006.204439092166</v>
      </c>
      <c r="AR135" s="329">
        <f t="shared" ca="1" si="41"/>
        <v>683.76375882414254</v>
      </c>
      <c r="AS135" s="329">
        <f t="shared" ca="1" si="41"/>
        <v>45805.804687612166</v>
      </c>
      <c r="AT135" s="329">
        <f t="shared" ca="1" si="41"/>
        <v>26942.554537400763</v>
      </c>
      <c r="AU135" s="329">
        <f t="shared" ca="1" si="41"/>
        <v>32545.164401287962</v>
      </c>
      <c r="AV135" s="329">
        <f t="shared" ca="1" si="41"/>
        <v>49927.192837488459</v>
      </c>
      <c r="AW135" s="329">
        <f t="shared" ca="1" si="41"/>
        <v>199206.58188052874</v>
      </c>
      <c r="AX135" s="329">
        <f t="shared" ca="1" si="41"/>
        <v>3371.5094544143567</v>
      </c>
      <c r="AY135" s="329">
        <f t="shared" ca="1" si="41"/>
        <v>0</v>
      </c>
      <c r="AZ135" s="329">
        <f t="shared" ca="1" si="41"/>
        <v>1435784.8048331188</v>
      </c>
      <c r="BA135" s="329">
        <f t="shared" ca="1" si="41"/>
        <v>288871.79770358733</v>
      </c>
      <c r="BB135" s="329">
        <f t="shared" ca="1" si="41"/>
        <v>416610.20982016309</v>
      </c>
      <c r="BC135" s="329">
        <f t="shared" ca="1" si="41"/>
        <v>13106.426976841989</v>
      </c>
      <c r="BD135" s="329">
        <f t="shared" ca="1" si="41"/>
        <v>245013.9859509583</v>
      </c>
      <c r="BE135" s="329">
        <f t="shared" ca="1" si="41"/>
        <v>841131.32413061429</v>
      </c>
      <c r="BG135" s="76">
        <f t="shared" ca="1" si="34"/>
        <v>4265941.8964358252</v>
      </c>
      <c r="BH135" s="349">
        <f t="shared" ca="1" si="35"/>
        <v>0</v>
      </c>
    </row>
    <row r="136" spans="2:60" s="177" customFormat="1" x14ac:dyDescent="0.25">
      <c r="I136" s="330">
        <f t="shared" ref="I136:AZ136" ca="1" si="42">I135-I125+SUM(I103:I120,I43:I60)</f>
        <v>0</v>
      </c>
      <c r="J136" s="330">
        <f t="shared" ca="1" si="42"/>
        <v>-4.0927261579781771E-12</v>
      </c>
      <c r="K136" s="330">
        <f t="shared" ca="1" si="42"/>
        <v>1.5916157281026244E-12</v>
      </c>
      <c r="L136" s="330">
        <f t="shared" ca="1" si="42"/>
        <v>0</v>
      </c>
      <c r="M136" s="330">
        <f t="shared" ca="1" si="42"/>
        <v>0</v>
      </c>
      <c r="N136" s="330">
        <f t="shared" ca="1" si="42"/>
        <v>1.1368683772161603E-12</v>
      </c>
      <c r="O136" s="330">
        <f t="shared" ca="1" si="42"/>
        <v>6.3664629124104977E-12</v>
      </c>
      <c r="P136" s="330">
        <f t="shared" ca="1" si="42"/>
        <v>-2.5579538487363607E-13</v>
      </c>
      <c r="Q136" s="330">
        <f t="shared" ca="1" si="42"/>
        <v>8.5265128291212022E-13</v>
      </c>
      <c r="R136" s="330">
        <f t="shared" ca="1" si="42"/>
        <v>-8.5265128291212022E-13</v>
      </c>
      <c r="S136" s="330">
        <f t="shared" ca="1" si="42"/>
        <v>-1.8189894035458565E-12</v>
      </c>
      <c r="T136" s="330">
        <f t="shared" ca="1" si="42"/>
        <v>0</v>
      </c>
      <c r="U136" s="330">
        <f t="shared" ca="1" si="42"/>
        <v>-2.1600499167107046E-12</v>
      </c>
      <c r="V136" s="330">
        <f t="shared" ca="1" si="42"/>
        <v>-2.9558577807620168E-12</v>
      </c>
      <c r="W136" s="330">
        <f t="shared" ca="1" si="42"/>
        <v>0</v>
      </c>
      <c r="X136" s="330">
        <f t="shared" ca="1" si="42"/>
        <v>-1.5631940186722204E-13</v>
      </c>
      <c r="Y136" s="330">
        <f t="shared" ca="1" si="42"/>
        <v>1.9539925233402755E-13</v>
      </c>
      <c r="Z136" s="330">
        <f t="shared" ca="1" si="42"/>
        <v>0</v>
      </c>
      <c r="AA136" s="330">
        <f t="shared" ca="1" si="42"/>
        <v>-1.4210854715202004E-13</v>
      </c>
      <c r="AB136" s="330">
        <f t="shared" ca="1" si="42"/>
        <v>-1.4210854715202004E-13</v>
      </c>
      <c r="AC136" s="330">
        <f t="shared" ca="1" si="42"/>
        <v>1.1368683772161603E-13</v>
      </c>
      <c r="AD136" s="330">
        <f t="shared" ca="1" si="42"/>
        <v>0</v>
      </c>
      <c r="AE136" s="330">
        <f t="shared" ca="1" si="42"/>
        <v>0</v>
      </c>
      <c r="AF136" s="330">
        <f t="shared" ca="1" si="42"/>
        <v>-1.8189894035458565E-12</v>
      </c>
      <c r="AG136" s="330">
        <f t="shared" ca="1" si="42"/>
        <v>-6.3664629124104977E-12</v>
      </c>
      <c r="AH136" s="330">
        <f t="shared" ca="1" si="42"/>
        <v>0</v>
      </c>
      <c r="AI136" s="330">
        <f t="shared" ca="1" si="42"/>
        <v>0</v>
      </c>
      <c r="AJ136" s="330">
        <f t="shared" ca="1" si="42"/>
        <v>1.5916157281026244E-12</v>
      </c>
      <c r="AK136" s="330">
        <f t="shared" ca="1" si="42"/>
        <v>-1.0231815394945443E-12</v>
      </c>
      <c r="AL136" s="330">
        <f t="shared" ca="1" si="42"/>
        <v>0</v>
      </c>
      <c r="AM136" s="330">
        <f t="shared" ca="1" si="42"/>
        <v>0</v>
      </c>
      <c r="AN136" s="330">
        <f t="shared" ca="1" si="42"/>
        <v>0</v>
      </c>
      <c r="AO136" s="330">
        <f t="shared" ca="1" si="42"/>
        <v>-4.5474735088646412E-12</v>
      </c>
      <c r="AP136" s="330">
        <f t="shared" ca="1" si="42"/>
        <v>2.2737367544323206E-12</v>
      </c>
      <c r="AQ136" s="330">
        <f t="shared" ca="1" si="42"/>
        <v>9.7770680440589786E-12</v>
      </c>
      <c r="AR136" s="330">
        <f t="shared" ca="1" si="42"/>
        <v>0</v>
      </c>
      <c r="AS136" s="330">
        <f t="shared" ca="1" si="42"/>
        <v>5.4569682106375694E-12</v>
      </c>
      <c r="AT136" s="330">
        <f t="shared" ca="1" si="42"/>
        <v>-2.7284841053187847E-12</v>
      </c>
      <c r="AU136" s="330">
        <f t="shared" ca="1" si="42"/>
        <v>1.0686562745831907E-11</v>
      </c>
      <c r="AV136" s="330">
        <f t="shared" ca="1" si="42"/>
        <v>-1.2278178473934531E-11</v>
      </c>
      <c r="AW136" s="330">
        <f t="shared" ca="1" si="42"/>
        <v>5.7298166211694479E-11</v>
      </c>
      <c r="AX136" s="330">
        <f t="shared" ca="1" si="42"/>
        <v>5.1159076974727213E-13</v>
      </c>
      <c r="AY136" s="330">
        <f t="shared" ca="1" si="42"/>
        <v>0</v>
      </c>
      <c r="AZ136" s="330">
        <f t="shared" ca="1" si="42"/>
        <v>0</v>
      </c>
      <c r="BA136" s="330">
        <f ca="1">BA135-BA125+SUM(BA103:BA120,BA43:BA60)</f>
        <v>0</v>
      </c>
      <c r="BB136" s="330">
        <f t="shared" ref="BB136:BE136" ca="1" si="43">BB135-BB125+SUM(BB103:BB120,BB43:BB60)</f>
        <v>2.0008883439004421E-11</v>
      </c>
      <c r="BC136" s="330">
        <f t="shared" ca="1" si="43"/>
        <v>0</v>
      </c>
      <c r="BD136" s="330">
        <f t="shared" ca="1" si="43"/>
        <v>2.9103830456733704E-11</v>
      </c>
      <c r="BE136" s="330">
        <f t="shared" ca="1" si="43"/>
        <v>-7.2759576141834259E-11</v>
      </c>
      <c r="BG136" s="348" t="s">
        <v>414</v>
      </c>
    </row>
    <row r="137" spans="2:60" s="177" customFormat="1" x14ac:dyDescent="0.25">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330"/>
      <c r="AE137" s="330"/>
      <c r="AF137" s="330"/>
      <c r="AG137" s="330"/>
      <c r="AH137" s="330"/>
      <c r="AI137" s="330"/>
      <c r="AJ137" s="330"/>
      <c r="AK137" s="330"/>
      <c r="AL137" s="330"/>
      <c r="AM137" s="330"/>
      <c r="AN137" s="330"/>
      <c r="AO137" s="330"/>
      <c r="AP137" s="330"/>
      <c r="AQ137" s="330"/>
      <c r="AR137" s="330"/>
      <c r="AS137" s="330"/>
      <c r="AT137" s="330"/>
      <c r="AU137" s="330"/>
      <c r="AV137" s="330"/>
      <c r="AW137" s="330"/>
      <c r="AX137" s="330"/>
      <c r="AY137" s="330"/>
      <c r="AZ137" s="330"/>
      <c r="BA137" s="330"/>
      <c r="BB137" s="330"/>
      <c r="BC137" s="330"/>
      <c r="BD137" s="330"/>
      <c r="BE137" s="330"/>
      <c r="BG137" s="348"/>
    </row>
    <row r="138" spans="2:60" x14ac:dyDescent="0.25">
      <c r="E138" s="76">
        <f ca="1">E125-SUM(E43:E60,E103:E120)</f>
        <v>5734279.0971890325</v>
      </c>
      <c r="F138" s="76">
        <f ca="1">F125-SUM(F43:F60,F103:F120)</f>
        <v>4265941.8964358233</v>
      </c>
      <c r="J138" s="76"/>
    </row>
    <row r="139" spans="2:60" x14ac:dyDescent="0.25">
      <c r="E139" s="330">
        <f ca="1">E138-E135</f>
        <v>0</v>
      </c>
      <c r="F139" s="330">
        <f ca="1">F138-F135</f>
        <v>0</v>
      </c>
      <c r="G139" s="139" t="s">
        <v>118</v>
      </c>
      <c r="J139" s="76"/>
    </row>
    <row r="140" spans="2:60" x14ac:dyDescent="0.25">
      <c r="J140" s="76"/>
    </row>
    <row r="141" spans="2:60" x14ac:dyDescent="0.25">
      <c r="J141" s="76"/>
    </row>
  </sheetData>
  <dataValidations count="2">
    <dataValidation type="list" allowBlank="1" showInputMessage="1" showErrorMessage="1" sqref="C6" xr:uid="{00000000-0002-0000-0800-000000000000}">
      <formula1>C$3:C$4</formula1>
    </dataValidation>
    <dataValidation type="list" allowBlank="1" showInputMessage="1" showErrorMessage="1" sqref="C7:C62 C122" xr:uid="{00000000-0002-0000-0800-000001000000}">
      <formula1>$C$3:$C$4</formula1>
    </dataValidation>
  </dataValidations>
  <pageMargins left="0.7" right="0.7" top="0.75" bottom="0.75" header="0.3" footer="0.3"/>
  <pageSetup orientation="portrait" r:id="rId1"/>
  <customProperties>
    <customPr name="AdaptiveCustomXmlPartId" r:id="rId2"/>
    <customPr name="AdaptiveReportingSheetKey" r:id="rId3"/>
    <customPr name="CurrentId" r:id="rId4"/>
  </customProperties>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2000000}">
          <x14:formula1>
            <xm:f>'Allocation %'!$M$5:$AK$5</xm:f>
          </x14:formula1>
          <xm:sqref>D6:D61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item1.xml>��< ? x m l   v e r s i o n = " 1 . 0 "   e n c o d i n g = " u t f - 1 6 " ? > < d o c u m e n t   I d = " c f c f 1 0 f 5 - 3 a 8 6 - 4 9 0 b - 9 3 3 e - 1 6 c e 2 f 7 6 1 a 7 8 " >  
     < v e r s i o n > 1 < / v e r s i o n >  
     < c r e a t e d B y > S a r a v a n a n . R a j e n d r a n < / c r e a t e d B y >  
     < m o d i f i e d B y > A n n a . B a c a l s o < / m o d i f i e d B y >  
     < c r e a t e d D a t e > 2 0 2 0 - 0 4 - 0 3 T 1 6 : 3 1 : 0 9 . 8 9 2 2 0 9 Z < / c r e a t e d D a t e >  
     < m o d i f i e d D a t e > 2 0 2 0 - 0 5 - 1 5 T 2 2 : 0 1 : 0 5 . 8 4 9 9 7 7 6 Z < / m o d i f i e d D a t e >  
     < s h e e t s >  
         < s h e e t   I d = " 5 1 8 c e f 0 e - a 4 f c - 4 6 b 4 - a 8 7 f - f 3 d 5 1 8 a 7 f 5 5 1 "   N a m e = " E B I T D A " / >  
         < s h e e t   I d = " c b 3 b 9 f 6 1 - 6 d 9 3 - 4 4 c f - 9 f d 5 - b c 8 0 d 0 3 3 5 9 e 8 "   N a m e = " D & a m p ; A " / >  
         < s h e e t   I d = " c 7 8 f 5 c 2 4 - 7 9 f e - 4 4 8 6 - 8 1 c e - e a a b f b b 0 f c c a "   N a m e = " E x c l u d e d   C o s t s " / >  
         < s h e e t   I d = " 7 b f 7 0 2 8 4 - 0 1 e 9 - 4 3 0 2 - 9 e a 8 - 6 6 c b 3 f 7 e 0 e d e "   N a m e = " A l l o c a t i o n   $ " / >  
     < / s h e e t s >  
     < d o c u m e n t D e f i n i t i o n s >  
         < r e p o r t D o c u m e n t D e f i n i t i o n >  
             < p r o p e r t i e s   v e r s i o n = " 2 0 "   r e v i s i o n = " 1 "   i s C r i t e r i a E n a b l e d = " f a l s e "   s u p p r e s s i o n s = " 1 0 " / >  
             < r e p o r t D a t e > 2 0 1 9 - 0 9 - 2 0 T 0 0 : 0 0 : 0 0 < / r e p o r t D a t e >  
             < l a s t R e f r e s h T i m e > 2 0 2 0 - 0 5 - 1 5 T 2 1 : 5 8 : 3 1 . 8 8 3 6 4 8 8 Z < / l a s t R e f r e s h T i m e >  
             < o p t i o n s   a r e D a t e s R e l a t i v e B y D e f a u l t = " t r u e "   a u t o F i t C o l u m n s O n R e f r e s h = " t r u e "   r o u n d i n g = " 3 "   d i s p l a y Z e r o F o r B l a n k = " t r u e "   c l e a r D a t a O n S a v e = " f a l s e " / >  
             < a r e L o c a t i o n s H i d d e n > f a l s e < / a r e L o c a t i o n s H i d d e n >  
             < a d a p t e r R e p o r t O p t i o n s >  
                 < o p t i o n   a d a p t e r I d = " 2 " >  
                     < r e p o r t S e t t i n g s   U s e L e v e l C u r r e n c y = " t r u e " / >  
                 < / o p t i o n >  
             < / a d a p t e r R e p o r t O p t i o n s >  
         < / r e p o r t D o c u m e n t D e f i n i t i o n >  
     < / d o c u m e n t D e f i n i t i o n s >  
 < / d o c u m e n t > 
</file>

<file path=customXml/item2.xml><?xml version="1.0" encoding="utf-8"?>
<AdaptiveCompressedXml>H4sIAAAAAAAEAOVdXW8dtxF9L9D/IOh9In4MOWQgO0idPBgo2iJ2gaJvQ3IYC5UlQ/cmaVr0v3eoyrJ9fWWtARNodv1g+y65JHf37PDM4XD2/Jt/vr48+VludhfXV09O7Vfm9Junv//d+YtXIvuT5+3JabCpSjcCjL0CxoLAiTp037SIqYdgT0/+xK/lyen3f3j+8rtvT7WBk5Pz3WjiO+kXVxd7bXx3e1SP38ib65v9iw9L7wq1+A3f7Hf3P+/r/0UP347HGGsrCYIOwgFWY4BDMhCMrb54JM729L3ztYU/Xlf+oJO74xftZP/rGx13PD05Oyyscnn5bWs3stud3Fz/8uTUn57U68ufXuttMkfq/0N+fWrPz8Y/H3R+drT383pzsZebCz5sRi7ltVztX+jd58ZvtM64aHd6UG+M/mq356sqH5W8V6Yjbnp9z/78w/O/2Y8HPYb3YDNvh7I71sFd2cmFDg4thY/Hd1tt3N4TrXex//XlQ3f6f8O4a/DIAB8Yxn2B3qqDO37k3p6fvYPRJ8BVXUpC1UMzhgGtwj6VSGCaOHYmB1vTFHCFx8HltgquuBJwRd8wkCuQPQZAkzLkGCJw6WqzuGBxPAVc8XFw+a2Ci9YCrhpdjN0DhoSAOTpIVc0XNjHBsM7VLFPAlR4HF24VXGkl4PIcpCBlSCY0QGeS2jDXIBO5KlH0NcIp4MqPgytsFVx5JeAypUplCkCBC2BvDCVX5VyOiVPzpbUyBVzWPI6uuFF0JbMSdBHlgs4aqBiVdKH6jIlNg8KYWTjn7GgOuuzj6KKtosuuBF2huF59IBBRLxG76JxoXIfYXQ0cfEw8h9Jb9zi60ibRFUJaC+2imKVlGyEHXwF98ZCdzWBM8JxDDLVMsl0LtK68SXSp7Toyvttqvzl0EcWYsUKKwoClIKSEDNVjlNol+jCJdy0Qu6zZJLzUeK1GkCjV+GIFvPcJsNYOxRoHpcWSyZoeXZsDrwVyl92qUp/8SuDlpCdP6jUG8eo1VjZQpDAkz1WSr15inAMvWgCvrWr1CVcCL2MVX0kKlIADXj0Be/UiveuxlMDkap0DrwWSl92mWh8orUbz6h2bRws+ZDvgZRVexg6RgqIEW03rU+Dllqxib1Ov92k11D4U34RTVcdRvUesyu+zJwcOyyD7jprPc+CFC+C1TcVe4bUW7tWD62ydKKHvBtA5hJJyBG+Lkn6jhu1wWfVLwWuJ57hNyV7htRbuJdaxMHol9KyToyjJ58wEFEn/NIuMYQ68llD7bWr2Cq+1xHiZamqvzBCsM0P3cpAKRXBOfcock/XFz4HXglAJu03RXuG1ligvZ7mQrayeo2uANlqdJrPOldWRuo1DpJgjq7olnuM2VXuF11pkVe9CMZETSGwJMPuBrJjA1RCCMSQV54Ti+AXREm6bqr3Cay1LjnolvrXMkBAVXjGgci+XATtKMOo+Om/mwGtBuITbpmrv0+GOhvtqvzV4ERthqk6dxoiAxhEwUwLTqpSxGMk8afPGgngJt03VXuG1Ft2rUKg12wIZvRmeY4eCxkAn0zvZ4PTIHHgtkFXdNlV7hddadK9WTRaisYZdBRBJuVfsAZTUZ2tctO2QZn4peC3ZHrRV1T6vRZgozRQficA3UetlqnIvwQ7GddRD1rJMmhwXqPZuq6p9XousGhqNvUEOYrHmLlaVJQOXUDKnjnHSkrZfEJDjtqnahxDXQu3VZnnpzYIye50cExNkXwoYz9GTN+jcHOuFSzzHrar2eS26l7HOd5YCzvU2Ns86SFHhVUtpIZouaVLEBC6h9ttU7UNYzUaOFgJKSV25l7J6HDuEUnWinmNk30zyMc6RVXEJ99qmaq/wWoswkVPoGaUC9RwBi8/qOaYI7FKiXFzpOId74QLP0W9TtddZYy3CBLUipgUcMr1S+zQiJgp1aBWbN5KrLZOs15LUEttU7dV6rWVJu1fuDpHBdlLuJQWhkJL8akLoMUnth8EhXwpeCyIm/DZVe4XXanSv7rGIEKQ+UpekEfnVUoMmscTmrQ1uTrQqLoiY8JtV7dcSa29d9nk4jSFGtV4+dIVXIzCJKyn98jZOCshZEDHht6nah3woBt1X+63By3hiH5NR6xXMSLxkgVkaiBVHpBxT8pwUAGGB7uU3qtrnuBbrVV1xRmyF4vKIta8CxacCVK36jb1XOyk7TlgQMeE3qtpbsxbrJaFmbGR1XuQR75UDFKGRCcCq14hO0TVnl3ZYIKv6jar2eTX5VDPniNQaZBudeo5WPUfXFV7GpCghisc5qv2CnRx+o6K9PpCVoMtg8NQLAdk+NmknB7nqT7Hsus1UQ5hDvRZo9n6jmn3E1ahezMUTdmhJ8sgFTZBHuhyTarPdp+4nhePYBfDCrWr2h1v/7qv91uCVk2dupH6jawQ4shPm2szYRNtKIu+lTIr2WjA34kY1+4hrWXG0jcR5q5Ohw6HZJzOyyGVogapUEfJmTqxqWKB64TY1e5+jvnsXu79e6YXKj9c3F/8SPby/+UlWgroQkzccCdrIU4hN7RmrDwmEOZmAtkQ7aZ17gVqB29Rafcpr2Z3GJC1VjtB7Z0CXEPKQxbyPNZiYao9zktzbJVnut6m1hmjWQslab1yyETBkHSCjhazAgu4csjfeGjMHXriEkm1Uaw2rSZuTs0VTg4dExSrjRwelI4GjELOxpqF1U+DlFkTp4Da11kCr2bot6HIPxoN3Mj4DMxKueju+2UHK/r2VOklrDUv0io2KrbSa/R1smzOum5GoUKk91jq2D0UopiTsWcS0SQ7lghBW3KjamnAt8DI195K8kq1aE2AqDri5AoVqriZmMTwJXgsmx5g2yu3zaiLw0WdrGxN0VgaGcWRcTUTAMVKlyLb4OSHSYQG3j2mj5D6vhtyTpWTFZTB55MTMUkDnxAS1crNcE5KZFAa2QJqIaaPsPq8mKaYL1EakITRxI30OR8jZWYhFSvEcmCYlZgoLgqRj2ii9z+sJwufqJKnjaEVBhqTeI4foQRp7soao9DmBYHHJV/jSRvl9Xs0eIkkUOBSCMnLKYU0JcpUAoWFSAtakTvpSWlwQJh3zRsMp8mryYoZmgrdjWwclnR9bVv5lRjSrwdJqacmVOXvU4oKVx5g3Gk+RV6OuOurYuKH6j96q/8gGuESB0jNXg9GXSZvU3pse3QPwCtu0XjagWfyZWv+58DrojD7jy2xHr/iRvm7kUp/Wz/KML+Wq8c33d31f976T/e2zbz/d3D7Q0cltiI95SJypd408b0fLP6xhjVH8PHLK4xX2t6N6qL+P7lE6fo9GTw+2NF7Vo3fpUaTQYpk0/3+bIdNJus5mkF2SkeEyQckS1SsMkYPzhfqkNcQFZugztspecpHLw0b28s/903+b/ygExv8OSm9P+U76xdXFaO9u8GoeP7BXt8/7iFV4GJ8LsfkALs/PDsZ1cPmHF7o0zXdFFisIJow034gemG0HS9goWtuMTPqCj1/woLepVuoUsHhX4WdPATPNyPnZG/35ruHzV7x79oqvfpTd086XOzk/e+/Ifa2L3bO7Dr6/4nIp7W3ljwvuz7nk3f4H6YqnVy8vXstTZ5xRDIMNL539OuDXIX6FMcWI9u/j5fiw9n0zu1fXvzy7vtrrZT/Xv292Uge07of7YPm7S7xoTa7eYvL9m3r8RXn3muDho/ssn/Loe/AFuvzEdwFndfkJz2Zalw+LQbO6/ES88qwuPxGsOqvLT4QATUPswwsTR7pUE3T0jX1r0F68EtkfzLLDDnxwdJx0fnZb9el/AcPW417akAAA</AdaptiveCompressedXml>
</file>

<file path=customXml/item3.xml><?xml version="1.0" encoding="utf-8"?>
<AdaptiveCompressedXml>H4sIAAAAAAAEAOWdS28cuRHH7wHyHQQdcqsViyy+NrIXC+8eDARJsN4AQW5ksbgWIkuGZvaVIN891RNZtsczUjswtXD3RY9uTheb82uy6s8i+/yrX15dnvwkN5uL66snp/iFOf3q6e9/d/7ipcj25Hl7csrV1dwDQmjZARF3yL15qJxMM875LOn05M/llTw5/eYP5dXrP359qlc4OTnfTNf4RvrF1cVWr77ZHdXjN/L6+mb74v2ztyf19Otys93c/XtX/q96eFchVIOZa4Wkv4FQGIqkBJxCTsGW5tmdvvN5vcKfrrm8Z+T2+EU72f76WiseTk/O9k+yXF5+3dqNbDYnN9c/Pzl1pyd8ffnjK20nc6D8P+XXp3h+Nv16z/jZQevnfHOxlZuLsn8ZuZRXcrV9oc1fWnmtZaabtqd75abaX2225YrlgzPvnNMaN72/Z3/57vnf8cNKT9U7epk3VdkcMnB77uRCK0cY/Yf12xWbmvdEy11sf/3+WEv/rxq3FzxQwSPVuDuhTbXX4gfa9vzsLUb3wNUyF6mSobGNQK1aqNlV6FTEUPHepD4ELv8wXHatcIWFwFVtoGqjQEKvPVfIBlJrCLk6ia0ksY2GwBUehsutFa64ELiaYWuya5BtLUCmOIWLjY7YJdUYjbFch8CVHoaL1gpXWghcvZfiLKv/15sOiy7rsNiZwSpXPbNQ3O+kPxFc+WG4/FrhyguBi3t2BQ2qu6WOF8ViocTSoBdUp8sV6+qYYRHNw3SFldKVzELoQqZsOWqvpZGqOl0YIRskyFhC7cSZahxDFz5MV1wrXbgQukwX9r4iYA9JfS1f1esqDMZhiJxCITuILvswXWmVdHmfluJ2Zd8x+NohGleB2DEUo/FjoOQlUmSqPIauGVpXXiVd2ncdqN+u2OdGV0zd1N4zuB4mzx4d1FADcC8eKbcgZYzWhTPELjSrxEs7r6UIEjUk15gTsDdFvS8ripcTHRptyI1Ti1bG4DVD7sK1KvXJLQQvsZ6dzx1QJjG1VQJ1tirEVGy3iV0MY6aBMM7Aa61afaKF4MUtt4rsoKg/r66XOmE7vIpYl1Jqzg2aZcQZkheuU633MS1F87Ktl9rS1HtptEiMFXLN+leVzo1kgm8IXnbOLPY69Xp9rpfi2mNqiU1I4JvsoDJQW43QOFguldmFMb6XpRl4rVOxV7yW4nt5m8RVp4MjSgVKrkDpJUHyWDllodgH9V5zIsd1SvaK11J8L6lkuaKHnK36XqV77b0ygsPOHKuT0gb1XnNc+3Vq9orXUnK8XGy9UargKBKQCw6y8aigBeN8MN3VPAavGakSuE7RXvFaSpaXC6kLpQaNvOKFTSDlIuBSkVKQWiMzBq85keM6VXvFaymyajIJXfINDClZ5GqAGmMBHRWZvE9CXMakP8/IlrDrVO0nRWgheKHjysIdxEwZOcVEKBI9hJqarSjW5TET2m5GuoRdp2rvUl5KvkTo1HLCBFyrBbIYNWhsFhKFWmogtnlMrpebkS9h16naK15L0b3IedOTEeho+6TahylhQmnLLZtC6AyOmdJ2M2RVu07VXvFaiu7FGjEGyxY47PDSGFJjRoTqq+/OZtdkTI69m7M8aK2qfV6KMFFRxz8KDOx0hCQXGlRbvA6TehxbDpLTGLxmqPZ2rar9vkNyV+xzw6tJ8yZiBu+d9l6mdkjq60MwuRUnkcv+k/Sp8JqRkGPXqdp7H5bi2hevnRdWo+Mi7X4gFDYBWjK9FfXMPlhT8InwojmR41pV+/1o/a7Y54YXcgjU1PeKiQNQszS5XQSUXUy+m2DCmN6L5rj261TtvV/MQg5bMlb14kGEo3pc0UOK1YKJobSM1EoZ1HvN8b3WqdorXksRJrpNxSEXsDFOa7KNRo4eLZBgC4LeODNmJQfNiBzdOlV7H8xShAkr3ZtGGWygKd9LR8jqko6VIdoS0UfrxmRM0JytJdap2mvvtZQp7VJIuy/boVXnp4ScCgmNh2o6GRPFNzMm34tmZEy4dar2itdSdC9kJlc1aOyVJmHCCFRMFTJZLilKaHaMak8zMibcalX7peTad1tzza6DFcJpwzgLKWGH0qh5Klijs0Pw8jOECbdS1T6HpeBVgmfMTcCy0d5L2EDtoUCnXKNxGd2gXb38jCltt07V3uO+Q3JX7HPDyyWDrUuA5kIEyqFD5uIhWW9CZknJjplz9DN0L7dO1d7lxWx4yZ2sazFCCJN07yevvmEGYyiF3mL1g6a0Z6Tau3WK9j7QUkT7EMil0g2E2LPSVRCKtxWkdXaGTRMck6w6Q1R1K9XsAy1Floheh0CMoqNiCurYB40bTauA2eRYkKW6MXThHLxWqtkHWsrQmB0Z2/JEVpFpdZDi1awDr0OjDpnN10Gel5sxNtJaNXtaypRQSbFWcdNsUEAgyw0KkcaNpnfHofZUxmj2fsZCDlqnZu9y0GfvYvO3K71R+eH65uJfooe3Nz/KQqhj37rBaUs56gTURT2y6iOYhLaFbALHQTNFM9QKWq3WupTlQ87ZEEO20JqjaeMJgczsgRGTiy3EZsdsFI1ztiFfp9bqg1mKS5ac7UV9AIiFp+SJ6qflQwxsciiRjauDtlulOS7ZSrVWv5h9TUJt4jEziCsTXhpLqofWIcXEOUvMPGrjiRlpFLROrdXHxaytzd6HmFMDFHIaUCJDNg0hRmTLKWDcn9L/VB7/DL2CViq2xsUk4PduqkybjzuMXfFqFqrrHkxpKVRONvQxWxbaGQFlWqdr77NdCl4xmJAiF0iEEYg5Q5EpHaz2WCTXSjRoInLOpl9xpXzpl7EQvoztJjSvfEUzLfDwyhe6DNllis03QjsoTWfO8rSV5un4vJgUfJ+DRA5h2gRTey1D09v3jMaOaEyoonjRmOHRz4gd7VoTdfJigscWRIg1WjSCWfnqrHz1DDo82oKoPtj+Bo2fiq8Z0pddaaaO8rWY5dvOiDV5evvLtCtmCxWypQbdGBSsFIqMWaHmZ2RJ27Xm6uTFZOELpxBTKWAJNXxMKUBiHR9bsl4jypKbjFnkEeZsLLfWbJ28mEVELmBJPVaYaAIqIpD0GCTbUy/ehjDojQphzv4Aa03XyYvZGJNTYnXt1fWi6UUKgSPkFi2k2psx1VGOY1YRhTlby601XycvRr3n6DhTkCkdzChfvoE6lx1azOgS19J4DF/vDI/2mHi/ztERPZnZ76l1H4vXPsohzx6KD97xR9jCOFvVy/+HqRu5VDB+kmflUq5aufn21vR17xvZ7jBrP97s2JmM7NZommM6EN9e5Hk7eP79EmiMdoQPfOThAttdrY7Z+6CN0uE2miwdvdLUKxxspd+4Gyrsk28hgEN1zslwgiphmrLO1cZuOuKYnSTsw92Q/4iswctS5XL/Ilv5Zfv03+Y/+r1Mf+2d3X3kG+kXVxfT9W4rr93je/3V7gE60Csch2YmMEdgOT/bq9fe7e/f6MHv+fzstf77FqDzl2Xz7GW5+kE2T3u53Mj52TtH7kpdbJ7dgvTtVamX0t4U/vDE3Wcuy2b7nXT9Yl9+f/FKnlpjDRgP6L+3+KUPXxr/hc82orP/mGr/fum7y2xeXv/87Ppqq832XH/ebISnm988nZIlz8+Onn57hxetydUbON59dg4D+xZX2v92PsrnPwjkJzB5j0wyzORxZXmYyeOTccNMHl+IOMrkPS/hG2by8Rv2nrc8jzL5GwD76BbviQeHmTwuoQ1r1+OzDsNMHp+oHWbyeObUMJOPj889K0JGmbxnZ59hJh+/Ye/Z+XaUyXtSSYeZfPyH5J6Us2Gj5eMTe88602EmH/8hefx2ffxH5KO+SI31DsZGbyLHFy9Ftnvx5hRxvXd0+tD52a7o0/8CRRq0Q+aXAAA=</AdaptiveCompressedXml>
</file>

<file path=customXml/item4.xml><?xml version="1.0" encoding="utf-8"?>
<AdaptiveCompressedXml>H4sIAAAAAAAEAOWdS28cuRHH7wHyHQTda8VX8bGQvQi8ezAQJMHaAYLcqsjiehBZMmbG+0iQ755qRZat8YzVDswNtvviRzenye75TVXxz2L15Tc/v746+1G2u83N9ZNz+5U5/+bp7393+eKVyP7seXtyXlPuWF2AVLpACDlCtlVAiLgzm14rnZ/9iV7Lk/Pvfq5Xb5u0s2c3u/3uXC90dna5my71rfTN9Wavnexuj+rxrby52e5fPDx7d1JPv6Htfnf/3/v2f9HDt+MyzjFJseAkNghSGLhYhMA+Gl99qZjPP/i8XuGPN5UedHJ3fNPO9r+80fHH87OLw5NVrq7+0NpWdruz7c1PT879+Vm9uXr7Wh+XOdL+H/LLU3t5Mf31oPOLo71f1u1mL9sNHV5GruS1XO9f6LdAjd5om+mm3flBu2n017s9XVf56MwH53TETe/v2Z+/f/43+/Ggp+GdvMy7oeyOdXB37myjgws24cfju202Pd4zbbfZ//Ly1JP+7zDuLnhkgCeGcX9CH9XBEz/ybC8v3mP0Cbg4J1da8lDZK/SpVKBeDDhPPiXjgnVtCFz4OFxurXDFhcBFVbia0qEnp5arUYPcbQPTuou9R2QZA1d8HC6/VrjSQuBKOUhKSpN0zApX70C+JQidU/Ytdm5lCFz5cbjCWuHKC4HLJO8rBQO1FXWLKAayqwyhYm3WkM8xDoGrPA4XrhWushC4yNmaqCcoaYq5NL4HwuKhOfY9Vw3JhIbAZc3jdMWV0pXNQugqUnuNTCAW1RuWaqHU5iEiVTXQvgQc4xetfZyutFa67ELosjVk6R6h1ogQYvfAziYgEznX1LoatzF0ucfpyqukCzEvJexqGJObtC1ncoFApD7SsgcsKbuo9+mrH0PXDK2rrJIutV1Hxnfb7LdGl5Tic1K6SptmjFyM2i51jxKKtTVXU4TH0DVD7LJmlXip8VqKIGELd24coXj0EHyMQJMtQ0kxBiqmyRid3s6Qu+xalfrsF4JXQqnJiob0JjqNvDS459qUsR5TYZerMzgGrzQDr7Vq9TksBK9WMbF3BZoYA6H7DpRjh1aLb4Z7ZzdG8bIzJC+7TrUeU16K5tXYZNsyQmIhxcs24NYreBtqND1SdGYIXm7OKvY69XqfFxPaO502Yg8dMla1Xt5kyL6oryRPjN7a7mQMXmEGXutU7BWvpcReIZVUqDdw4isEp6AxBgvNhUQKm0b8Y0J7N2fmuE7JXvFaSuzlq7EszkEypUFIIsDJeVDOOlnLNh4qfF8Krzmh/To1e8VrKTleJUVmSwlqcXmaORYgZ1lBy4SuiyWqY/CakSph1ynaK15LyfLCUEJzMYI4UaioFmDbLOTUSilIfVQKoZszc1ynaq94LUVWzVUieStTaB/VZvUIJOIhFHGMaGPCMbqXn5Et4dap2iteS1lydI0p9eABUckKorFXKd6qMUspVePI8ZhkHD8jXcKtU7X3uSwlX4JLFHJIwBRpslkZKFQPmVwTRzpv5EGbN2bkS7h1qvaK11J0r9Jt6sqR2iypEGrN6iaTRmG+eJcdYbJ9DF4zZFW3TtVe8VqK7uXFWA4KVc/YdebIFUpV2iazFWL1zHWQ9ZqzPWitqn1ZijAh2fqQo1HDZR0Ejh5Krgwcs7SYuPo+JpnQz1Dt3VpV+7IUWZU5pmxNgeBo+kMDMMLoYNp4Vqd1R8tjFoX8jIQct07VHjEuJbSn6H0mimDatKQtpIbL+gbcOcVgUOKgDWhhzsxxrap9WYruZcQkDeo9RA2zICAjFFM0ABNKhSjZdCjxfSm85oT261TtERezkYONw44FIdO0Ca3mBExcQCR021N3o5xjmBN7rVO1V7yWIkxQ4IRebZaXKbR3WSBzj2Cz8hZTjYUGWa8ZM0e/TtUeo1mKMGEidouJAH1Par2cUeco6iurRvhRg4AgY9IJw5zSEutU7dV6LWVJW+MrX1zMU7kSnTn2wJCtq2CdKeS7V6M2yHrNyJjw61TtFa+l6F6+FT9t9YeMk/VKUqBwDICm2pCFg4lhDF4zMib8alX7peTa12xNihrau0gGAuUpF6dOdswbjb9ybXXMPkecIUz4lar2JS4FrzitLfK0mq2gQZg2CeWUss4cuwvdmMI0JmMCZyxp+3Wq9mjNUoSJFG3Gpi4x01Tksk+L2xIMxNKk5RYR25iNaDhD9/LrVO19WUzBy+okUG0ZItNUz8sYyNVFyJyjcVHj/TwmGXpGqr1fp2iPMSxFtK8lGQmsOKknhCB9KjbRHSRCcRid9DQmH2eGqOpXqtnHsBRZgmoxNZcMyXKDoHEWlE4dSqoahjlTCQcVX5qD10o1+xiW4hqjSTlHDeyTDzRtoiWg5KclIRSxNVM0g5IJZ/jGsFbNPixlScjHRCEHBu6uQFDLpfNG9tBbapIMoz/Mm/xSgf2MjRxhnZq9L1F/e5vdX6/1RuWHm+3mn6KH99u3shDquhVCjA0iTZUB+lQZoJoICZsT729rsY6JyGaoFWGdUr7XGGYheKFF7rEJ2KkoZpAp/8unBC1k6pmq5T7GZ9o5ZcjXKeVjPKyEdd/st4ZXZRt5mkp6Fz0E1Plk7rFA65i8ZYMoY3xmmBOSrVPKR1xMXZPSHVYvBsgEC8FJBcrWAEoONccqZlC9VTcjjSKsVMpPi9lbmzEHocZgA6pzdCUBR+5QufSSQop2UBIYztArwjqlfEyLScBnb5NYZmjJTimsPmho3wUqlZY6ds6Ha65fynrNmVCuVMsvh/Xf75v91vCygciwrZCdzhdDFAFKraoJE5aO1hscZL1mpLCWdeoV6lCWglc2hlmjeMjeTSmsk5gfCwOi4S4NhXnMzBHnlIs2K10sKovJwI/BIonzkJJGYMFN6YYlFLDoGruWW+AxdXNwTlE5s9LVorKYuSOGVhUiglgMqXvMOotkjcNSbcYiE1FzY/iaU1Vura9TKIspismegrWpQRPqEHJowMF08CGIY8MU66A3084pK7fS9ykoX0uRVh2WkBJ36N445YscKHAGQnHRZA6c3JjaJnHG7NGu9IUKytdSknW6F3WCPYBzGtoHNh7UUSIU34pwqw37mA22cUYWvl3rGxXKYupi6lcYfBIFKlCY4vsKJcUCyYkTMlVt2xj1K85Y2LYrfaWC8rUU8b6rKRZnEdRWqVfE4oBzKuBbTaGFxsWM2aT2gXt0p8TVdaoTFoOZ/Zpa/7l4HXQWXZi9Y+noHX9GXxgOa/gO7AsPX2Q0ri+bZquV5X/oaitXCvyP8oyu5LrR9ru7rm9638n+9ufT3m5vfxNTJ7dew5zSt+rdRZ63o+cftrDG6AT7kY883mB/O6pT/X30jPLxZzT1dPJKk7U7+pT+z+bVq8MuXs2rNzzVHXYGCKc5iC2RuymxujGbNN3j5hU/Y3J7RSxXhxfZy8/7p/8y/9bvZfrXwdnbj3wrfXO9ma53N3g1+w/s8O0P6Ii1Ow3NTGBOwHJ5cTCug9s/vNGj3/PlxRv973uALl/R7tkruv5Bdk87Xe3k8uKDI/etNrtndyB9d018Je1d449P3H/minb776XrF/vq5ea1PHVGETIIFl86+zXmr735Cm2xJrq/T6N/2Pr+MrtXNz89u7ne62N7rn9ud1Knm78f7snz729x05pcv6Pjwx/PcWLf84qHX89nTWaOEvkFuvzE8tuoLj/xDrxhXZ5W6Ud1+YmJw7AuT2stw/A5vbw2rMtf/y4/kd08qstP5IwN6/J0HtGw3+Xp1Y1hXf76d/nrf5WfdY/qpY86tXc+/8Urkf1BpDC5ygdHpw9dXtw2ffofbxk6z36SAAA=</AdaptiveCompressedXml>
</file>

<file path=customXml/item5.xml><?xml version="1.0" encoding="utf-8"?>
<AdaptiveCompressedXml>H4sIAAAAAAAEAOWaS2/jNhDH7wX6HQSj16mH4rtQvFikPQQo2sUmh2JvfAxro34ElrbbfPuOHa+bh7P2RYdKgGDDnOFwRP1ADf9m8+6f1bL6m7btYrO+mogfcfJu9v13ze2cqKtu8tXExmKxdgpQkAclsQZPwYExKcpiCSnTpPotrOhq8n653KTQcajqhwmHqaqm3QX6mcpivdi1t/tWbt/S/Wbb3T63Hoxsvg/brj3+PPp/4OZ9Vq6IIpTV4I0qoHJW4GKyULS3Nksra4qTJ/05wq+H1J61cvsiV93DPWdvJtX0pTHRcvk+5y21bbXdfLmaSPZKm+XnFc8WnujwFz3MRDPdfT0bfXpy+CZtFx1tF+FlGFrSitbdLT+EkMM9++zuup688Nulv267sE70yvLExhlnvsHr3z/e/CFeJ71L780wX1NpTw1wsFULTk57dyK/vdtufiv2W3QPd29N9WMah4AnEnwjjaOBp+rFjJ+Y22b6H0ffoEtER9onDSIlBSr4BM5kAaWWTJomL3zphy57nq56rHTJgdAVk0taJQ+UNIKyzoOPFMAUTFlIb7IP/dDlztMlx0qXGghdgSmK1guobRT8ZhQaYlYIZCzyolajLj3R5c/TpcZKlx4IXSZHXasgQYha7NYuC6EoC3UuyfLzkAJ9L3QpPE+XHitdZiB0FVkn0sgr1v7NaLwFnygCqWh8EBiCSf3QJc7TZcZKlx0IXdqrhElEKIFLLlWbAhG5yI/BWwxc5Qtj+qGrPk+XHStdbiB0KWklJa8gRKNBRd4zcrGVINkigpHKhNr1Qpe/QJFwY6VrKIpEqUnx+qXBOMl0SaYrFF3AcS1GyRVXhOyHrgsUCT9WuoaiSKjgipc2A8WYQRXmLEreM2blnc+aGXP9VPX+AkVC4FjxGookUVJCYQTu/jMwoEREiFQHLuulNTU6Sqj6wesCSUKMVq0fiiaRHEqnVQabHePF9RaX9Fzc824yC+OptqYftV7gBaKEGK1ePxRVQicyyokCaA3vGwNlCOg95Ky5FW1M2E/tJfACWUKMVrEfii4RDGKNugY0RnH1VRA8egIdoxfSBF7a+lq/LhAmxGg1+/+nMtFMn5+daOahvZ6H9Z/UzrrtZ2qmTxqOTov2+hD/l3WIS8qzEpYtO782HPssQ9t9pMI8ze8WK5ohooD9dYfuJ0S+PjXTl17H7u188+V6s+74bm/4c9tSejwhchj5TftjhK83f+oIya7zq2MnzXTvOvsX5kF0nPMiAAA=</AdaptiveCompressedXml>
</file>

<file path=customXml/item6.xml><?xml version="1.0" encoding="utf-8"?>
<ct:contentTypeSchema xmlns:ct="http://schemas.microsoft.com/office/2006/metadata/contentType" xmlns:ma="http://schemas.microsoft.com/office/2006/metadata/properties/metaAttributes" ct:_="" ma:_="" ma:contentTypeName="Document" ma:contentTypeID="0x010100A25CF23BE1583744A399D2AEB5471D86" ma:contentTypeVersion="10" ma:contentTypeDescription="Create a new document." ma:contentTypeScope="" ma:versionID="40e69d81150c64c4219d49f0b4e71835">
  <xsd:schema xmlns:xsd="http://www.w3.org/2001/XMLSchema" xmlns:xs="http://www.w3.org/2001/XMLSchema" xmlns:p="http://schemas.microsoft.com/office/2006/metadata/properties" xmlns:ns2="df8ae66f-53df-467a-af4c-c770ce507cf7" xmlns:ns3="95e4d656-0ac5-42b1-a052-84b7cbe36ba9" targetNamespace="http://schemas.microsoft.com/office/2006/metadata/properties" ma:root="true" ma:fieldsID="c0f29bf2aee1eae0db1b85e717b52983" ns2:_="" ns3:_="">
    <xsd:import namespace="df8ae66f-53df-467a-af4c-c770ce507cf7"/>
    <xsd:import namespace="95e4d656-0ac5-42b1-a052-84b7cbe36ba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8ae66f-53df-467a-af4c-c770ce507c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e4d656-0ac5-42b1-a052-84b7cbe36ba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48DFCE3-B7D1-4E28-B063-FCDB8311DB00}">
  <ds:schemaRefs/>
</ds:datastoreItem>
</file>

<file path=customXml/itemProps2.xml><?xml version="1.0" encoding="utf-8"?>
<ds:datastoreItem xmlns:ds="http://schemas.openxmlformats.org/officeDocument/2006/customXml" ds:itemID="{418F48AD-BD54-493D-95C3-11CDD13D9A7B}">
  <ds:schemaRefs/>
</ds:datastoreItem>
</file>

<file path=customXml/itemProps3.xml><?xml version="1.0" encoding="utf-8"?>
<ds:datastoreItem xmlns:ds="http://schemas.openxmlformats.org/officeDocument/2006/customXml" ds:itemID="{85E2691E-D421-42E2-BEE2-2519EE06621F}">
  <ds:schemaRefs/>
</ds:datastoreItem>
</file>

<file path=customXml/itemProps4.xml><?xml version="1.0" encoding="utf-8"?>
<ds:datastoreItem xmlns:ds="http://schemas.openxmlformats.org/officeDocument/2006/customXml" ds:itemID="{26235549-2DE8-452D-95E3-4A1474E20D07}">
  <ds:schemaRefs/>
</ds:datastoreItem>
</file>

<file path=customXml/itemProps5.xml><?xml version="1.0" encoding="utf-8"?>
<ds:datastoreItem xmlns:ds="http://schemas.openxmlformats.org/officeDocument/2006/customXml" ds:itemID="{332A4678-DF89-4DFD-892E-12833DDE66D0}">
  <ds:schemaRefs/>
</ds:datastoreItem>
</file>

<file path=customXml/itemProps6.xml><?xml version="1.0" encoding="utf-8"?>
<ds:datastoreItem xmlns:ds="http://schemas.openxmlformats.org/officeDocument/2006/customXml" ds:itemID="{CF32FC16-3F30-4DF5-ABFA-A5451D39F8DC}"/>
</file>

<file path=customXml/itemProps7.xml><?xml version="1.0" encoding="utf-8"?>
<ds:datastoreItem xmlns:ds="http://schemas.openxmlformats.org/officeDocument/2006/customXml" ds:itemID="{2B410F56-8552-4792-8DDB-B6120F2CFB28}"/>
</file>

<file path=customXml/itemProps8.xml><?xml version="1.0" encoding="utf-8"?>
<ds:datastoreItem xmlns:ds="http://schemas.openxmlformats.org/officeDocument/2006/customXml" ds:itemID="{DA8671B5-DAEC-4D0F-8038-03A5F97545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10</vt:i4>
      </vt:variant>
    </vt:vector>
  </HeadingPairs>
  <TitlesOfParts>
    <vt:vector size="53" baseType="lpstr">
      <vt:lpstr>Corporate Costs Summary</vt:lpstr>
      <vt:lpstr>TTM Summary</vt:lpstr>
      <vt:lpstr>2020 Q1&gt;&gt;&gt;</vt:lpstr>
      <vt:lpstr>2020 Assumptions</vt:lpstr>
      <vt:lpstr>CAM Budget</vt:lpstr>
      <vt:lpstr>JE</vt:lpstr>
      <vt:lpstr>RU Summary Q1 2020</vt:lpstr>
      <vt:lpstr>Allocation Summary</vt:lpstr>
      <vt:lpstr>Allocation $</vt:lpstr>
      <vt:lpstr>CII</vt:lpstr>
      <vt:lpstr>CISUS</vt:lpstr>
      <vt:lpstr>Board Fees</vt:lpstr>
      <vt:lpstr>Sense Check</vt:lpstr>
      <vt:lpstr>ACTUALS</vt:lpstr>
      <vt:lpstr>EBITDA</vt:lpstr>
      <vt:lpstr>D&amp;A</vt:lpstr>
      <vt:lpstr>Non-margin Costs</vt:lpstr>
      <vt:lpstr>Allocation %</vt:lpstr>
      <vt:lpstr>US</vt:lpstr>
      <vt:lpstr>Canada</vt:lpstr>
      <vt:lpstr>WSC</vt:lpstr>
      <vt:lpstr>2019 Q4&gt;&gt;&gt;</vt:lpstr>
      <vt:lpstr>Assumptions</vt:lpstr>
      <vt:lpstr>RU Summary Q4 2019</vt:lpstr>
      <vt:lpstr>Cost Allocation - Tier 1</vt:lpstr>
      <vt:lpstr>CII (2)</vt:lpstr>
      <vt:lpstr>CISUS (2)</vt:lpstr>
      <vt:lpstr>Summary</vt:lpstr>
      <vt:lpstr>Cost Allocation - Tier 2</vt:lpstr>
      <vt:lpstr>Allocation CU RU</vt:lpstr>
      <vt:lpstr>Vancouver Rent</vt:lpstr>
      <vt:lpstr>CU Composites</vt:lpstr>
      <vt:lpstr>RU Composites</vt:lpstr>
      <vt:lpstr>RU Working Paper</vt:lpstr>
      <vt:lpstr>CU Can Data</vt:lpstr>
      <vt:lpstr>2019 Q1&gt;&gt;&gt;</vt:lpstr>
      <vt:lpstr>Assumptions (3)</vt:lpstr>
      <vt:lpstr>RU Summary Q1 2019</vt:lpstr>
      <vt:lpstr>CII (3)</vt:lpstr>
      <vt:lpstr>CISUS (3)</vt:lpstr>
      <vt:lpstr>Cost Allocation - Tier 1 (2)</vt:lpstr>
      <vt:lpstr>Cost Allocation - Tier 2 (2)</vt:lpstr>
      <vt:lpstr>ERC Summary - March 31, 2020</vt:lpstr>
      <vt:lpstr>'2020 Assumptions'!Print_Area</vt:lpstr>
      <vt:lpstr>'Allocation CU RU'!Print_Area</vt:lpstr>
      <vt:lpstr>Assumptions!Print_Area</vt:lpstr>
      <vt:lpstr>'Assumptions (3)'!Print_Area</vt:lpstr>
      <vt:lpstr>'Corporate Costs Summary'!Print_Area</vt:lpstr>
      <vt:lpstr>'Cost Allocation - Tier 1'!Print_Area</vt:lpstr>
      <vt:lpstr>'Cost Allocation - Tier 1 (2)'!Print_Area</vt:lpstr>
      <vt:lpstr>'Cost Allocation - Tier 2'!Print_Area</vt:lpstr>
      <vt:lpstr>'Cost Allocation - Tier 2 (2)'!Print_Area</vt:lpstr>
      <vt:lpstr>JE!Print_Area</vt:lpstr>
    </vt:vector>
  </TitlesOfParts>
  <Company>Corix Group of Companies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Bacalso</dc:creator>
  <cp:lastModifiedBy>Robert A. Guttormsen</cp:lastModifiedBy>
  <cp:lastPrinted>2020-05-20T23:08:43Z</cp:lastPrinted>
  <dcterms:created xsi:type="dcterms:W3CDTF">2018-11-05T17:16:57Z</dcterms:created>
  <dcterms:modified xsi:type="dcterms:W3CDTF">2020-05-28T19:00:29Z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daptiveDocumentId">
    <vt:lpwstr>cfcf10f5-3a86-490b-933e-16ce2f761a78</vt:lpwstr>
  </property>
  <property fmtid="{D5CDD505-2E9C-101B-9397-08002B2CF9AE}" pid="5" name="AdaptiveReportingVersion">
    <vt:lpwstr>4</vt:lpwstr>
  </property>
  <property fmtid="{D5CDD505-2E9C-101B-9397-08002B2CF9AE}" pid="6" name="AdaptiveReportingRevision">
    <vt:lpwstr>0</vt:lpwstr>
  </property>
  <property fmtid="{D5CDD505-2E9C-101B-9397-08002B2CF9AE}" pid="7" name="AdaptiveCustomXmlPartId">
    <vt:lpwstr>b48dfce3-b7d1-4e28-b063-fcdb8311db00</vt:lpwstr>
  </property>
  <property fmtid="{D5CDD505-2E9C-101B-9397-08002B2CF9AE}" pid="8" name="Jet Reports Function Literals">
    <vt:lpwstr>,	;	,	{	}	[@[{0}]]	1033</vt:lpwstr>
  </property>
  <property fmtid="{D5CDD505-2E9C-101B-9397-08002B2CF9AE}" pid="9" name="ContentTypeId">
    <vt:lpwstr>0x010100A25CF23BE1583744A399D2AEB5471D86</vt:lpwstr>
  </property>
</Properties>
</file>